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26" activeTab="1"/>
  </bookViews>
  <sheets>
    <sheet name="Ex B p1 - Rate Spread" sheetId="6" r:id="rId1"/>
    <sheet name="Ex B p2 - Billing Determinants" sheetId="5" r:id="rId2"/>
    <sheet name="Ex B p3 - Table A" sheetId="10" r:id="rId3"/>
    <sheet name="Sch1 Bill Impact" sheetId="9" r:id="rId4"/>
    <sheet name="COS Factor" sheetId="24" r:id="rId5"/>
  </sheets>
  <externalReferences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'Ex B p2 - Billing Determinants'!#REF!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AGRAPH1" localSheetId="1" hidden="1">'Ex B p2 - Billing Determinants'!#REF!</definedName>
    <definedName name="__123Graph_B" localSheetId="1" hidden="1">'Ex B p2 - Billing Determinants'!#REF!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C" localSheetId="1" hidden="1">'Ex B p2 - Billing Determinants'!#REF!</definedName>
    <definedName name="__123Graph_D" localSheetId="1" hidden="1">'Ex B p2 - Billing Determinants'!#REF!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localSheetId="1" hidden="1">'Ex B p2 - Billing Determinants'!#REF!</definedName>
    <definedName name="__123Graph_E" hidden="1">[2]Input!$E$22:$E$37</definedName>
    <definedName name="__123Graph_F" localSheetId="1" hidden="1">'Ex B p2 - Billing Determinants'!#REF!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1" hidden="1">'Ex B p2 - Billing Determinants'!#REF!</definedName>
    <definedName name="_Fill" localSheetId="0" hidden="1">#REF!</definedName>
    <definedName name="_Fill" localSheetId="1" hidden="1">'Ex B p2 - Billing Determinants'!#REF!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1" hidden="1">'Ex B p2 - Billing Determinants'!#REF!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2" hidden="1">255</definedName>
    <definedName name="_Order1" localSheetId="3" hidden="1">255</definedName>
    <definedName name="_Order1" hidden="1">0</definedName>
    <definedName name="_Order2" localSheetId="0" hidden="1">255</definedName>
    <definedName name="_Order2" localSheetId="2" hidden="1">255</definedName>
    <definedName name="_Order2" localSheetId="3" hidden="1">255</definedName>
    <definedName name="_Order2" hidden="1">0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3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2" hidden="1">#REF!</definedName>
    <definedName name="DUDE" localSheetId="3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'Ex B p1 - Rate Spread'!$A$1:$M$53</definedName>
    <definedName name="_xlnm.Print_Area" localSheetId="1">'Ex B p2 - Billing Determinants'!$A$1:$K$512</definedName>
    <definedName name="_xlnm.Print_Area" localSheetId="2">'Ex B p3 - Table A'!$A$1:$AC$49</definedName>
    <definedName name="_xlnm.Print_Area" localSheetId="3">'Sch1 Bill Impact'!$A$1:$Q$34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1" hidden="1">'Ex B p2 - Billing Determinants'!#REF!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'Ex B p2 - Billing Determinants'!#REF!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AD18" i="10" l="1"/>
  <c r="Y15" i="9"/>
  <c r="Y14" i="9"/>
  <c r="C31" i="9"/>
  <c r="K31" i="9"/>
  <c r="K30" i="9"/>
  <c r="K29" i="9"/>
  <c r="K28" i="9"/>
  <c r="K27" i="9"/>
  <c r="K26" i="9"/>
  <c r="K25" i="9"/>
  <c r="K24" i="9"/>
  <c r="K23" i="9"/>
  <c r="K22" i="9"/>
  <c r="K21" i="9"/>
  <c r="K20" i="9"/>
  <c r="K18" i="9"/>
  <c r="K17" i="9"/>
  <c r="K16" i="9"/>
  <c r="K15" i="9"/>
  <c r="K14" i="9"/>
  <c r="K13" i="9"/>
  <c r="K12" i="9"/>
  <c r="K1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6" i="9"/>
  <c r="C15" i="9"/>
  <c r="C14" i="9"/>
  <c r="C13" i="9"/>
  <c r="C12" i="9"/>
  <c r="C11" i="9"/>
  <c r="K10" i="9"/>
  <c r="C10" i="9"/>
  <c r="U31" i="9"/>
  <c r="T31" i="9"/>
  <c r="S46" i="10" l="1"/>
  <c r="S36" i="10"/>
  <c r="I43" i="6" l="1"/>
  <c r="I45" i="6" l="1"/>
  <c r="I44" i="6"/>
  <c r="I35" i="6"/>
  <c r="I34" i="6"/>
  <c r="I32" i="6"/>
  <c r="I30" i="6"/>
  <c r="I27" i="6"/>
  <c r="I24" i="6"/>
  <c r="I23" i="6"/>
  <c r="I18" i="6"/>
  <c r="I49" i="6" l="1"/>
  <c r="U18" i="9"/>
  <c r="T18" i="9"/>
  <c r="G461" i="5" l="1"/>
  <c r="U26" i="9" l="1"/>
  <c r="T26" i="9"/>
  <c r="U25" i="9"/>
  <c r="T25" i="9"/>
  <c r="U24" i="9"/>
  <c r="T24" i="9"/>
  <c r="T23" i="9" l="1"/>
  <c r="G464" i="5" l="1"/>
  <c r="G463" i="5"/>
  <c r="G462" i="5"/>
  <c r="G460" i="5"/>
  <c r="X14" i="9" l="1"/>
  <c r="X13" i="9"/>
  <c r="X12" i="9"/>
  <c r="K46" i="10" l="1"/>
  <c r="G47" i="6"/>
  <c r="G46" i="6"/>
  <c r="G37" i="6" l="1"/>
  <c r="G36" i="6"/>
  <c r="G35" i="6"/>
  <c r="G34" i="6"/>
  <c r="G17" i="6"/>
  <c r="G434" i="5" l="1"/>
  <c r="G431" i="5"/>
  <c r="G427" i="5"/>
  <c r="G424" i="5"/>
  <c r="G420" i="5"/>
  <c r="G413" i="5"/>
  <c r="G293" i="5"/>
  <c r="G299" i="5"/>
  <c r="G93" i="5"/>
  <c r="G94" i="5"/>
  <c r="G95" i="5"/>
  <c r="G78" i="5"/>
  <c r="G79" i="5"/>
  <c r="G80" i="5"/>
  <c r="G433" i="5"/>
  <c r="G430" i="5"/>
  <c r="G426" i="5"/>
  <c r="G423" i="5"/>
  <c r="G421" i="5"/>
  <c r="G418" i="5"/>
  <c r="G13" i="5" l="1"/>
  <c r="G14" i="5"/>
  <c r="G16" i="5"/>
  <c r="G17" i="5"/>
  <c r="G18" i="5"/>
  <c r="G20" i="5"/>
  <c r="G21" i="5"/>
  <c r="G22" i="5"/>
  <c r="G23" i="5"/>
  <c r="G24" i="5"/>
  <c r="G33" i="5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G49" i="5" l="1"/>
  <c r="G29" i="5"/>
  <c r="G71" i="5"/>
  <c r="G16" i="6" s="1"/>
  <c r="G15" i="6" l="1"/>
  <c r="G18" i="6" s="1"/>
  <c r="K47" i="10" l="1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Y12" i="9" l="1"/>
  <c r="AC15" i="9" l="1"/>
  <c r="AC14" i="9"/>
  <c r="AC12" i="9"/>
  <c r="Y13" i="9" l="1"/>
  <c r="AC13" i="9" s="1"/>
  <c r="O262" i="5" l="1"/>
  <c r="O260" i="5"/>
  <c r="K510" i="5" l="1"/>
  <c r="K501" i="5"/>
  <c r="K438" i="5"/>
  <c r="A16" i="6" l="1"/>
  <c r="E12" i="6"/>
  <c r="G386" i="5"/>
  <c r="O35" i="10" l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G366" i="5" l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K41" i="10" l="1"/>
  <c r="O41" i="10" s="1"/>
  <c r="G41" i="6"/>
  <c r="K44" i="10"/>
  <c r="Q44" i="10" s="1"/>
  <c r="G44" i="6"/>
  <c r="Q41" i="10"/>
  <c r="G153" i="5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O44" i="10" l="1"/>
  <c r="K43" i="10"/>
  <c r="O43" i="10" s="1"/>
  <c r="G43" i="6"/>
  <c r="K40" i="10"/>
  <c r="Q40" i="10" s="1"/>
  <c r="G40" i="6"/>
  <c r="W44" i="10"/>
  <c r="Y44" i="10" s="1"/>
  <c r="W41" i="10"/>
  <c r="Y41" i="10" s="1"/>
  <c r="G396" i="5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Q43" i="10" l="1"/>
  <c r="O40" i="10"/>
  <c r="K32" i="10"/>
  <c r="O32" i="10" s="1"/>
  <c r="G32" i="6"/>
  <c r="W43" i="10"/>
  <c r="Y43" i="10" s="1"/>
  <c r="W40" i="10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Q32" i="10" l="1"/>
  <c r="W32" i="10" s="1"/>
  <c r="Y32" i="10" s="1"/>
  <c r="M45" i="10"/>
  <c r="M48" i="10" s="1"/>
  <c r="Y40" i="10"/>
  <c r="G351" i="5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O292" i="5"/>
  <c r="O308" i="5"/>
  <c r="O297" i="5"/>
  <c r="K15" i="10"/>
  <c r="G165" i="5"/>
  <c r="G113" i="5"/>
  <c r="K16" i="10"/>
  <c r="G176" i="5"/>
  <c r="G204" i="5"/>
  <c r="G181" i="5"/>
  <c r="G196" i="5"/>
  <c r="G380" i="5"/>
  <c r="G447" i="5"/>
  <c r="G92" i="5"/>
  <c r="G203" i="5"/>
  <c r="G205" i="5"/>
  <c r="G97" i="5"/>
  <c r="G454" i="5"/>
  <c r="O42" i="10" l="1"/>
  <c r="O45" i="10" s="1"/>
  <c r="O48" i="10" s="1"/>
  <c r="Q42" i="10"/>
  <c r="K25" i="10"/>
  <c r="O25" i="10" s="1"/>
  <c r="G25" i="6"/>
  <c r="K21" i="10"/>
  <c r="O21" i="10" s="1"/>
  <c r="G21" i="6"/>
  <c r="K24" i="10"/>
  <c r="O24" i="10" s="1"/>
  <c r="G24" i="6"/>
  <c r="G45" i="6"/>
  <c r="G48" i="6" s="1"/>
  <c r="M18" i="10"/>
  <c r="O15" i="10"/>
  <c r="Q15" i="10"/>
  <c r="K18" i="10"/>
  <c r="Q16" i="10"/>
  <c r="W16" i="10" s="1"/>
  <c r="Y16" i="10" s="1"/>
  <c r="O16" i="10"/>
  <c r="W42" i="10"/>
  <c r="Q45" i="10"/>
  <c r="Q48" i="10" s="1"/>
  <c r="G382" i="5"/>
  <c r="G383" i="5" s="1"/>
  <c r="G455" i="5"/>
  <c r="G83" i="5"/>
  <c r="G212" i="5"/>
  <c r="Q25" i="10" l="1"/>
  <c r="Q24" i="10"/>
  <c r="K31" i="10"/>
  <c r="Q31" i="10" s="1"/>
  <c r="G31" i="6"/>
  <c r="Q21" i="10"/>
  <c r="W21" i="10" s="1"/>
  <c r="Y21" i="10" s="1"/>
  <c r="W25" i="10"/>
  <c r="W24" i="10"/>
  <c r="Y24" i="10" s="1"/>
  <c r="W15" i="10"/>
  <c r="Q18" i="10"/>
  <c r="Y42" i="10"/>
  <c r="W45" i="10"/>
  <c r="W48" i="10" s="1"/>
  <c r="O18" i="10"/>
  <c r="G86" i="5"/>
  <c r="G20" i="6" s="1"/>
  <c r="G182" i="5"/>
  <c r="O31" i="10" l="1"/>
  <c r="K20" i="10"/>
  <c r="Q20" i="10" s="1"/>
  <c r="Y45" i="10"/>
  <c r="W18" i="10"/>
  <c r="Y18" i="10" s="1"/>
  <c r="Y15" i="10"/>
  <c r="Y25" i="10"/>
  <c r="W31" i="10"/>
  <c r="Y31" i="10" s="1"/>
  <c r="G184" i="5"/>
  <c r="M27" i="10"/>
  <c r="G98" i="5"/>
  <c r="K26" i="10" l="1"/>
  <c r="K27" i="10" s="1"/>
  <c r="G26" i="6"/>
  <c r="G27" i="6" s="1"/>
  <c r="O20" i="10"/>
  <c r="O26" i="10"/>
  <c r="O27" i="10" s="1"/>
  <c r="Y48" i="10"/>
  <c r="W20" i="10"/>
  <c r="G101" i="5"/>
  <c r="G22" i="6" s="1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Q26" i="10" l="1"/>
  <c r="W26" i="10" s="1"/>
  <c r="G23" i="6"/>
  <c r="K22" i="10"/>
  <c r="K23" i="10" s="1"/>
  <c r="Y20" i="10"/>
  <c r="O191" i="5"/>
  <c r="G198" i="5"/>
  <c r="G207" i="5"/>
  <c r="G436" i="5"/>
  <c r="G206" i="5"/>
  <c r="G404" i="5"/>
  <c r="G213" i="5"/>
  <c r="G194" i="5"/>
  <c r="Q27" i="10" l="1"/>
  <c r="O22" i="10"/>
  <c r="Q22" i="10"/>
  <c r="Q23" i="10" s="1"/>
  <c r="M23" i="10"/>
  <c r="Y26" i="10"/>
  <c r="W27" i="10"/>
  <c r="Y27" i="10" s="1"/>
  <c r="O23" i="10"/>
  <c r="W22" i="10"/>
  <c r="G200" i="5"/>
  <c r="G214" i="5"/>
  <c r="K28" i="10" l="1"/>
  <c r="Q28" i="10" s="1"/>
  <c r="G28" i="6"/>
  <c r="Y22" i="10"/>
  <c r="W23" i="10"/>
  <c r="Y23" i="10" s="1"/>
  <c r="G410" i="5"/>
  <c r="G209" i="5"/>
  <c r="K36" i="10"/>
  <c r="O28" i="10" l="1"/>
  <c r="W28" i="10"/>
  <c r="O36" i="10"/>
  <c r="Q36" i="10"/>
  <c r="G210" i="5"/>
  <c r="G216" i="5" s="1"/>
  <c r="G411" i="5"/>
  <c r="G438" i="5" s="1"/>
  <c r="K29" i="10" l="1"/>
  <c r="Q29" i="10" s="1"/>
  <c r="G29" i="6"/>
  <c r="W36" i="10"/>
  <c r="Y36" i="10" s="1"/>
  <c r="Y28" i="10"/>
  <c r="G457" i="5"/>
  <c r="K30" i="10" l="1"/>
  <c r="G30" i="6"/>
  <c r="G512" i="5"/>
  <c r="G33" i="6"/>
  <c r="M30" i="10"/>
  <c r="M38" i="10"/>
  <c r="O29" i="10"/>
  <c r="K33" i="10"/>
  <c r="K38" i="10" s="1"/>
  <c r="W29" i="10"/>
  <c r="Q30" i="10"/>
  <c r="G38" i="6" l="1"/>
  <c r="G49" i="6" s="1"/>
  <c r="K52" i="6" s="1"/>
  <c r="K31" i="6" s="1"/>
  <c r="O30" i="10"/>
  <c r="M49" i="10"/>
  <c r="Y29" i="10"/>
  <c r="W30" i="10"/>
  <c r="Y30" i="10" s="1"/>
  <c r="Q33" i="10"/>
  <c r="O33" i="10"/>
  <c r="O38" i="10" s="1"/>
  <c r="K33" i="6" l="1"/>
  <c r="K41" i="6" s="1"/>
  <c r="M41" i="6" s="1"/>
  <c r="K42" i="6"/>
  <c r="M42" i="6" s="1"/>
  <c r="K32" i="6"/>
  <c r="N387" i="5" s="1"/>
  <c r="N462" i="5"/>
  <c r="N464" i="5" s="1"/>
  <c r="M34" i="6"/>
  <c r="N468" i="5"/>
  <c r="N470" i="5" s="1"/>
  <c r="I469" i="5" s="1"/>
  <c r="M35" i="6"/>
  <c r="W33" i="10"/>
  <c r="Q38" i="10"/>
  <c r="K49" i="10"/>
  <c r="O49" i="10"/>
  <c r="K23" i="6" l="1"/>
  <c r="K20" i="6" s="1"/>
  <c r="M20" i="6" s="1"/>
  <c r="K18" i="6"/>
  <c r="K15" i="6" s="1"/>
  <c r="K24" i="6"/>
  <c r="M24" i="6" s="1"/>
  <c r="M32" i="6"/>
  <c r="K27" i="6"/>
  <c r="K30" i="6"/>
  <c r="K43" i="6"/>
  <c r="N355" i="5" s="1"/>
  <c r="N357" i="5" s="1"/>
  <c r="I358" i="5" s="1"/>
  <c r="K358" i="5" s="1"/>
  <c r="K44" i="6"/>
  <c r="M44" i="6" s="1"/>
  <c r="K40" i="6"/>
  <c r="M40" i="6" s="1"/>
  <c r="N119" i="5"/>
  <c r="N121" i="5" s="1"/>
  <c r="I293" i="5" s="1"/>
  <c r="K293" i="5" s="1"/>
  <c r="I464" i="5"/>
  <c r="K464" i="5" s="1"/>
  <c r="O464" i="5" s="1"/>
  <c r="I462" i="5"/>
  <c r="K462" i="5" s="1"/>
  <c r="I463" i="5"/>
  <c r="K469" i="5"/>
  <c r="K470" i="5" s="1"/>
  <c r="S35" i="10" s="1"/>
  <c r="Q49" i="10"/>
  <c r="Y33" i="10"/>
  <c r="W38" i="10"/>
  <c r="N389" i="5"/>
  <c r="I275" i="5" l="1"/>
  <c r="K275" i="5" s="1"/>
  <c r="O275" i="5" s="1"/>
  <c r="I125" i="5"/>
  <c r="K125" i="5" s="1"/>
  <c r="O125" i="5" s="1"/>
  <c r="N363" i="5"/>
  <c r="N365" i="5" s="1"/>
  <c r="I364" i="5" s="1"/>
  <c r="I227" i="5"/>
  <c r="K227" i="5" s="1"/>
  <c r="O227" i="5" s="1"/>
  <c r="M27" i="6"/>
  <c r="K25" i="6"/>
  <c r="M25" i="6" s="1"/>
  <c r="K26" i="6"/>
  <c r="N180" i="5" s="1"/>
  <c r="N182" i="5" s="1"/>
  <c r="I182" i="5" s="1"/>
  <c r="K182" i="5" s="1"/>
  <c r="O182" i="5" s="1"/>
  <c r="I255" i="5"/>
  <c r="K255" i="5" s="1"/>
  <c r="O255" i="5" s="1"/>
  <c r="I117" i="5"/>
  <c r="K117" i="5" s="1"/>
  <c r="I130" i="5"/>
  <c r="K130" i="5" s="1"/>
  <c r="O130" i="5" s="1"/>
  <c r="I263" i="5"/>
  <c r="K263" i="5" s="1"/>
  <c r="O263" i="5" s="1"/>
  <c r="I261" i="5"/>
  <c r="K261" i="5" s="1"/>
  <c r="O261" i="5" s="1"/>
  <c r="K21" i="6"/>
  <c r="M21" i="6" s="1"/>
  <c r="K45" i="6"/>
  <c r="M45" i="6" s="1"/>
  <c r="I283" i="5"/>
  <c r="K283" i="5" s="1"/>
  <c r="O283" i="5" s="1"/>
  <c r="I302" i="5"/>
  <c r="K302" i="5" s="1"/>
  <c r="O302" i="5" s="1"/>
  <c r="I257" i="5"/>
  <c r="K257" i="5" s="1"/>
  <c r="O257" i="5" s="1"/>
  <c r="M23" i="6"/>
  <c r="M43" i="6"/>
  <c r="M30" i="6"/>
  <c r="K28" i="6"/>
  <c r="N188" i="5"/>
  <c r="K48" i="6"/>
  <c r="M48" i="6" s="1"/>
  <c r="I132" i="5"/>
  <c r="K132" i="5" s="1"/>
  <c r="O132" i="5" s="1"/>
  <c r="I299" i="5"/>
  <c r="K299" i="5" s="1"/>
  <c r="I246" i="5"/>
  <c r="K246" i="5" s="1"/>
  <c r="O246" i="5" s="1"/>
  <c r="I305" i="5"/>
  <c r="K305" i="5" s="1"/>
  <c r="O305" i="5" s="1"/>
  <c r="I234" i="5"/>
  <c r="K234" i="5" s="1"/>
  <c r="O234" i="5" s="1"/>
  <c r="I311" i="5"/>
  <c r="K311" i="5" s="1"/>
  <c r="O311" i="5" s="1"/>
  <c r="I142" i="5"/>
  <c r="K142" i="5" s="1"/>
  <c r="O142" i="5" s="1"/>
  <c r="I341" i="5"/>
  <c r="K341" i="5" s="1"/>
  <c r="O341" i="5" s="1"/>
  <c r="I243" i="5"/>
  <c r="K243" i="5" s="1"/>
  <c r="O243" i="5" s="1"/>
  <c r="I317" i="5"/>
  <c r="K317" i="5" s="1"/>
  <c r="O317" i="5" s="1"/>
  <c r="I231" i="5"/>
  <c r="K231" i="5" s="1"/>
  <c r="O231" i="5" s="1"/>
  <c r="I127" i="5"/>
  <c r="K127" i="5" s="1"/>
  <c r="O127" i="5" s="1"/>
  <c r="I274" i="5"/>
  <c r="K274" i="5" s="1"/>
  <c r="O274" i="5" s="1"/>
  <c r="I295" i="5"/>
  <c r="K295" i="5" s="1"/>
  <c r="O295" i="5" s="1"/>
  <c r="I332" i="5"/>
  <c r="K332" i="5" s="1"/>
  <c r="O332" i="5" s="1"/>
  <c r="I141" i="5"/>
  <c r="K141" i="5" s="1"/>
  <c r="O141" i="5" s="1"/>
  <c r="I298" i="5"/>
  <c r="K298" i="5" s="1"/>
  <c r="O298" i="5" s="1"/>
  <c r="I145" i="5"/>
  <c r="K145" i="5" s="1"/>
  <c r="O145" i="5" s="1"/>
  <c r="I313" i="5"/>
  <c r="K313" i="5" s="1"/>
  <c r="O313" i="5" s="1"/>
  <c r="I335" i="5"/>
  <c r="K335" i="5" s="1"/>
  <c r="O335" i="5" s="1"/>
  <c r="I342" i="5"/>
  <c r="K342" i="5" s="1"/>
  <c r="O342" i="5" s="1"/>
  <c r="I245" i="5"/>
  <c r="K245" i="5" s="1"/>
  <c r="O245" i="5" s="1"/>
  <c r="I276" i="5"/>
  <c r="K276" i="5" s="1"/>
  <c r="O276" i="5" s="1"/>
  <c r="I290" i="5"/>
  <c r="K290" i="5" s="1"/>
  <c r="I224" i="5"/>
  <c r="K224" i="5" s="1"/>
  <c r="O224" i="5" s="1"/>
  <c r="I240" i="5"/>
  <c r="K240" i="5" s="1"/>
  <c r="O240" i="5" s="1"/>
  <c r="I120" i="5"/>
  <c r="K120" i="5" s="1"/>
  <c r="O120" i="5" s="1"/>
  <c r="I137" i="5"/>
  <c r="K137" i="5" s="1"/>
  <c r="O137" i="5" s="1"/>
  <c r="I306" i="5"/>
  <c r="K306" i="5" s="1"/>
  <c r="O306" i="5" s="1"/>
  <c r="I232" i="5"/>
  <c r="K232" i="5" s="1"/>
  <c r="O232" i="5" s="1"/>
  <c r="I330" i="5"/>
  <c r="K330" i="5" s="1"/>
  <c r="O330" i="5" s="1"/>
  <c r="I307" i="5"/>
  <c r="K307" i="5" s="1"/>
  <c r="O307" i="5" s="1"/>
  <c r="I248" i="5"/>
  <c r="K248" i="5" s="1"/>
  <c r="O248" i="5" s="1"/>
  <c r="I256" i="5"/>
  <c r="K256" i="5" s="1"/>
  <c r="O256" i="5" s="1"/>
  <c r="I241" i="5"/>
  <c r="K241" i="5" s="1"/>
  <c r="O241" i="5" s="1"/>
  <c r="I258" i="5"/>
  <c r="K258" i="5" s="1"/>
  <c r="O258" i="5" s="1"/>
  <c r="I282" i="5"/>
  <c r="K282" i="5" s="1"/>
  <c r="O282" i="5" s="1"/>
  <c r="I119" i="5"/>
  <c r="K119" i="5" s="1"/>
  <c r="O119" i="5" s="1"/>
  <c r="I139" i="5"/>
  <c r="K139" i="5" s="1"/>
  <c r="O139" i="5" s="1"/>
  <c r="I279" i="5"/>
  <c r="K279" i="5" s="1"/>
  <c r="O279" i="5" s="1"/>
  <c r="I304" i="5"/>
  <c r="K304" i="5" s="1"/>
  <c r="O304" i="5" s="1"/>
  <c r="I337" i="5"/>
  <c r="K337" i="5" s="1"/>
  <c r="O337" i="5" s="1"/>
  <c r="I124" i="5"/>
  <c r="K124" i="5" s="1"/>
  <c r="O124" i="5" s="1"/>
  <c r="I228" i="5"/>
  <c r="K228" i="5" s="1"/>
  <c r="O228" i="5" s="1"/>
  <c r="I303" i="5"/>
  <c r="K303" i="5" s="1"/>
  <c r="O303" i="5" s="1"/>
  <c r="I326" i="5"/>
  <c r="K326" i="5" s="1"/>
  <c r="O326" i="5" s="1"/>
  <c r="I147" i="5"/>
  <c r="K147" i="5" s="1"/>
  <c r="O147" i="5" s="1"/>
  <c r="I233" i="5"/>
  <c r="K233" i="5" s="1"/>
  <c r="O233" i="5" s="1"/>
  <c r="I300" i="5"/>
  <c r="K300" i="5" s="1"/>
  <c r="O300" i="5" s="1"/>
  <c r="I244" i="5"/>
  <c r="K244" i="5" s="1"/>
  <c r="O244" i="5" s="1"/>
  <c r="I122" i="5"/>
  <c r="K122" i="5" s="1"/>
  <c r="O122" i="5" s="1"/>
  <c r="I325" i="5"/>
  <c r="I334" i="5"/>
  <c r="K334" i="5" s="1"/>
  <c r="O334" i="5" s="1"/>
  <c r="I259" i="5"/>
  <c r="K259" i="5" s="1"/>
  <c r="O259" i="5" s="1"/>
  <c r="I336" i="5"/>
  <c r="K336" i="5" s="1"/>
  <c r="O336" i="5" s="1"/>
  <c r="I226" i="5"/>
  <c r="K226" i="5" s="1"/>
  <c r="O226" i="5" s="1"/>
  <c r="I242" i="5"/>
  <c r="K242" i="5" s="1"/>
  <c r="O242" i="5" s="1"/>
  <c r="I291" i="5"/>
  <c r="K291" i="5" s="1"/>
  <c r="O291" i="5" s="1"/>
  <c r="I328" i="5"/>
  <c r="K328" i="5" s="1"/>
  <c r="O328" i="5" s="1"/>
  <c r="I146" i="5"/>
  <c r="K146" i="5" s="1"/>
  <c r="O146" i="5" s="1"/>
  <c r="I236" i="5"/>
  <c r="K236" i="5" s="1"/>
  <c r="O236" i="5" s="1"/>
  <c r="I301" i="5"/>
  <c r="K301" i="5" s="1"/>
  <c r="O301" i="5" s="1"/>
  <c r="I123" i="5"/>
  <c r="K123" i="5" s="1"/>
  <c r="O123" i="5" s="1"/>
  <c r="I294" i="5"/>
  <c r="K294" i="5" s="1"/>
  <c r="O294" i="5" s="1"/>
  <c r="I310" i="5"/>
  <c r="K310" i="5" s="1"/>
  <c r="O310" i="5" s="1"/>
  <c r="I138" i="5"/>
  <c r="K138" i="5" s="1"/>
  <c r="O138" i="5" s="1"/>
  <c r="I225" i="5"/>
  <c r="K225" i="5" s="1"/>
  <c r="O225" i="5" s="1"/>
  <c r="I239" i="5"/>
  <c r="K239" i="5" s="1"/>
  <c r="O239" i="5" s="1"/>
  <c r="I249" i="5"/>
  <c r="K249" i="5" s="1"/>
  <c r="O249" i="5" s="1"/>
  <c r="I220" i="5"/>
  <c r="K220" i="5" s="1"/>
  <c r="I222" i="5"/>
  <c r="K222" i="5" s="1"/>
  <c r="O222" i="5" s="1"/>
  <c r="I229" i="5"/>
  <c r="K229" i="5" s="1"/>
  <c r="O229" i="5" s="1"/>
  <c r="I273" i="5"/>
  <c r="K273" i="5" s="1"/>
  <c r="I126" i="5"/>
  <c r="K126" i="5" s="1"/>
  <c r="O126" i="5" s="1"/>
  <c r="I237" i="5"/>
  <c r="K237" i="5" s="1"/>
  <c r="O237" i="5" s="1"/>
  <c r="I252" i="5"/>
  <c r="K252" i="5" s="1"/>
  <c r="O252" i="5" s="1"/>
  <c r="I280" i="5"/>
  <c r="K280" i="5" s="1"/>
  <c r="O280" i="5" s="1"/>
  <c r="I134" i="5"/>
  <c r="K134" i="5" s="1"/>
  <c r="O134" i="5" s="1"/>
  <c r="I144" i="5"/>
  <c r="K144" i="5" s="1"/>
  <c r="O144" i="5" s="1"/>
  <c r="I251" i="5"/>
  <c r="K251" i="5" s="1"/>
  <c r="O251" i="5" s="1"/>
  <c r="I230" i="5"/>
  <c r="K230" i="5" s="1"/>
  <c r="O230" i="5" s="1"/>
  <c r="I238" i="5"/>
  <c r="K238" i="5" s="1"/>
  <c r="O238" i="5" s="1"/>
  <c r="I118" i="5"/>
  <c r="K118" i="5" s="1"/>
  <c r="O118" i="5" s="1"/>
  <c r="I135" i="5"/>
  <c r="K135" i="5" s="1"/>
  <c r="O135" i="5" s="1"/>
  <c r="I148" i="5"/>
  <c r="K148" i="5" s="1"/>
  <c r="O148" i="5" s="1"/>
  <c r="I314" i="5"/>
  <c r="K314" i="5" s="1"/>
  <c r="O314" i="5" s="1"/>
  <c r="I329" i="5"/>
  <c r="K329" i="5" s="1"/>
  <c r="O329" i="5" s="1"/>
  <c r="I340" i="5"/>
  <c r="K340" i="5" s="1"/>
  <c r="O340" i="5" s="1"/>
  <c r="I281" i="5"/>
  <c r="K281" i="5" s="1"/>
  <c r="O281" i="5" s="1"/>
  <c r="I131" i="5"/>
  <c r="K131" i="5" s="1"/>
  <c r="O131" i="5" s="1"/>
  <c r="I143" i="5"/>
  <c r="K143" i="5" s="1"/>
  <c r="O143" i="5" s="1"/>
  <c r="I221" i="5"/>
  <c r="K221" i="5" s="1"/>
  <c r="O221" i="5" s="1"/>
  <c r="I136" i="5"/>
  <c r="K136" i="5" s="1"/>
  <c r="O136" i="5" s="1"/>
  <c r="I223" i="5"/>
  <c r="K223" i="5" s="1"/>
  <c r="O223" i="5" s="1"/>
  <c r="I333" i="5"/>
  <c r="K333" i="5" s="1"/>
  <c r="O333" i="5" s="1"/>
  <c r="I296" i="5"/>
  <c r="K296" i="5" s="1"/>
  <c r="O296" i="5" s="1"/>
  <c r="I312" i="5"/>
  <c r="K312" i="5" s="1"/>
  <c r="O312" i="5" s="1"/>
  <c r="I339" i="5"/>
  <c r="K339" i="5" s="1"/>
  <c r="O339" i="5" s="1"/>
  <c r="I129" i="5"/>
  <c r="K129" i="5" s="1"/>
  <c r="O129" i="5" s="1"/>
  <c r="I254" i="5"/>
  <c r="K254" i="5" s="1"/>
  <c r="O254" i="5" s="1"/>
  <c r="I309" i="5"/>
  <c r="K309" i="5" s="1"/>
  <c r="O309" i="5" s="1"/>
  <c r="I318" i="5"/>
  <c r="K318" i="5" s="1"/>
  <c r="O318" i="5" s="1"/>
  <c r="I250" i="5"/>
  <c r="K250" i="5" s="1"/>
  <c r="O250" i="5" s="1"/>
  <c r="I277" i="5"/>
  <c r="K277" i="5" s="1"/>
  <c r="O277" i="5" s="1"/>
  <c r="I315" i="5"/>
  <c r="K315" i="5" s="1"/>
  <c r="O315" i="5" s="1"/>
  <c r="I128" i="5"/>
  <c r="K128" i="5" s="1"/>
  <c r="O128" i="5" s="1"/>
  <c r="O469" i="5"/>
  <c r="O358" i="5"/>
  <c r="K360" i="5"/>
  <c r="S43" i="10" s="1"/>
  <c r="O462" i="5"/>
  <c r="N170" i="5"/>
  <c r="N172" i="5" s="1"/>
  <c r="K325" i="5"/>
  <c r="N467" i="5"/>
  <c r="N469" i="5" s="1"/>
  <c r="U35" i="10"/>
  <c r="AA35" i="10" s="1"/>
  <c r="AC35" i="10" s="1"/>
  <c r="K463" i="5"/>
  <c r="K465" i="5" s="1"/>
  <c r="S34" i="10" s="1"/>
  <c r="K364" i="5"/>
  <c r="K366" i="5" s="1"/>
  <c r="S44" i="10" s="1"/>
  <c r="Y38" i="10"/>
  <c r="W49" i="10"/>
  <c r="Y49" i="10" s="1"/>
  <c r="N190" i="5"/>
  <c r="I387" i="5"/>
  <c r="I391" i="5"/>
  <c r="K391" i="5" s="1"/>
  <c r="O391" i="5" s="1"/>
  <c r="I392" i="5"/>
  <c r="K392" i="5" s="1"/>
  <c r="O392" i="5" s="1"/>
  <c r="I388" i="5"/>
  <c r="K388" i="5" s="1"/>
  <c r="O388" i="5" s="1"/>
  <c r="I390" i="5"/>
  <c r="K390" i="5" s="1"/>
  <c r="O390" i="5" s="1"/>
  <c r="I393" i="5"/>
  <c r="K393" i="5" s="1"/>
  <c r="O393" i="5" s="1"/>
  <c r="M26" i="6" l="1"/>
  <c r="M28" i="6"/>
  <c r="K29" i="6"/>
  <c r="M29" i="6" s="1"/>
  <c r="N105" i="5"/>
  <c r="N107" i="5" s="1"/>
  <c r="I110" i="5" s="1"/>
  <c r="K110" i="5" s="1"/>
  <c r="O110" i="5" s="1"/>
  <c r="K22" i="6"/>
  <c r="K264" i="5"/>
  <c r="K268" i="5" s="1"/>
  <c r="K319" i="5"/>
  <c r="K321" i="5" s="1"/>
  <c r="K284" i="5"/>
  <c r="K343" i="5"/>
  <c r="K345" i="5" s="1"/>
  <c r="I181" i="5"/>
  <c r="K181" i="5" s="1"/>
  <c r="K184" i="5" s="1"/>
  <c r="S26" i="10" s="1"/>
  <c r="O463" i="5"/>
  <c r="O325" i="5"/>
  <c r="O220" i="5"/>
  <c r="N461" i="5"/>
  <c r="N463" i="5" s="1"/>
  <c r="U34" i="10"/>
  <c r="AA34" i="10" s="1"/>
  <c r="AC34" i="10" s="1"/>
  <c r="O117" i="5"/>
  <c r="K149" i="5"/>
  <c r="K153" i="5" s="1"/>
  <c r="S40" i="10" s="1"/>
  <c r="O290" i="5"/>
  <c r="U43" i="10"/>
  <c r="AA43" i="10" s="1"/>
  <c r="AC43" i="10" s="1"/>
  <c r="N354" i="5"/>
  <c r="N356" i="5" s="1"/>
  <c r="M36" i="6"/>
  <c r="O273" i="5"/>
  <c r="N158" i="5"/>
  <c r="N160" i="5" s="1"/>
  <c r="M33" i="6"/>
  <c r="N373" i="5"/>
  <c r="N375" i="5" s="1"/>
  <c r="M31" i="6"/>
  <c r="O364" i="5"/>
  <c r="K387" i="5"/>
  <c r="O387" i="5" s="1"/>
  <c r="N362" i="5"/>
  <c r="N364" i="5" s="1"/>
  <c r="I206" i="5"/>
  <c r="K206" i="5" s="1"/>
  <c r="I197" i="5"/>
  <c r="I193" i="5"/>
  <c r="K193" i="5" s="1"/>
  <c r="I208" i="5"/>
  <c r="K208" i="5" s="1"/>
  <c r="O208" i="5" s="1"/>
  <c r="I213" i="5"/>
  <c r="I190" i="5"/>
  <c r="I192" i="5"/>
  <c r="K192" i="5" s="1"/>
  <c r="I209" i="5"/>
  <c r="I111" i="5" l="1"/>
  <c r="I109" i="5"/>
  <c r="K109" i="5" s="1"/>
  <c r="O109" i="5" s="1"/>
  <c r="S41" i="10"/>
  <c r="U41" i="10" s="1"/>
  <c r="AA41" i="10" s="1"/>
  <c r="AC41" i="10" s="1"/>
  <c r="I108" i="5"/>
  <c r="K108" i="5" s="1"/>
  <c r="O108" i="5" s="1"/>
  <c r="M22" i="6"/>
  <c r="N76" i="5"/>
  <c r="N78" i="5" s="1"/>
  <c r="K38" i="6"/>
  <c r="M38" i="6" s="1"/>
  <c r="K348" i="5"/>
  <c r="K351" i="5" s="1"/>
  <c r="K286" i="5"/>
  <c r="I442" i="5"/>
  <c r="I163" i="5"/>
  <c r="K163" i="5" s="1"/>
  <c r="O163" i="5" s="1"/>
  <c r="I446" i="5"/>
  <c r="K446" i="5" s="1"/>
  <c r="O446" i="5" s="1"/>
  <c r="I447" i="5"/>
  <c r="K447" i="5" s="1"/>
  <c r="O447" i="5" s="1"/>
  <c r="I158" i="5"/>
  <c r="I445" i="5"/>
  <c r="K445" i="5" s="1"/>
  <c r="O445" i="5" s="1"/>
  <c r="I161" i="5"/>
  <c r="K161" i="5" s="1"/>
  <c r="O161" i="5" s="1"/>
  <c r="I159" i="5"/>
  <c r="K159" i="5" s="1"/>
  <c r="O159" i="5" s="1"/>
  <c r="I443" i="5"/>
  <c r="K443" i="5" s="1"/>
  <c r="O443" i="5" s="1"/>
  <c r="I162" i="5"/>
  <c r="K162" i="5" s="1"/>
  <c r="O162" i="5" s="1"/>
  <c r="U40" i="10"/>
  <c r="AA40" i="10" s="1"/>
  <c r="AC40" i="10" s="1"/>
  <c r="I372" i="5"/>
  <c r="I380" i="5"/>
  <c r="K380" i="5" s="1"/>
  <c r="O380" i="5" s="1"/>
  <c r="I373" i="5"/>
  <c r="K373" i="5" s="1"/>
  <c r="O373" i="5" s="1"/>
  <c r="I379" i="5"/>
  <c r="I452" i="5"/>
  <c r="K452" i="5" s="1"/>
  <c r="O452" i="5" s="1"/>
  <c r="I454" i="5"/>
  <c r="K454" i="5" s="1"/>
  <c r="O454" i="5" s="1"/>
  <c r="I171" i="5"/>
  <c r="K171" i="5" s="1"/>
  <c r="O171" i="5" s="1"/>
  <c r="K490" i="5"/>
  <c r="O490" i="5" s="1"/>
  <c r="I450" i="5"/>
  <c r="K450" i="5" s="1"/>
  <c r="O450" i="5" s="1"/>
  <c r="I170" i="5"/>
  <c r="I174" i="5"/>
  <c r="K174" i="5" s="1"/>
  <c r="O174" i="5" s="1"/>
  <c r="I173" i="5"/>
  <c r="K173" i="5" s="1"/>
  <c r="O173" i="5" s="1"/>
  <c r="I453" i="5"/>
  <c r="K453" i="5" s="1"/>
  <c r="O453" i="5" s="1"/>
  <c r="K487" i="5"/>
  <c r="O487" i="5" s="1"/>
  <c r="I172" i="5"/>
  <c r="K172" i="5" s="1"/>
  <c r="O172" i="5" s="1"/>
  <c r="K491" i="5"/>
  <c r="O491" i="5" s="1"/>
  <c r="I451" i="5"/>
  <c r="K451" i="5" s="1"/>
  <c r="O451" i="5" s="1"/>
  <c r="K489" i="5"/>
  <c r="O489" i="5" s="1"/>
  <c r="O181" i="5"/>
  <c r="K190" i="5"/>
  <c r="O190" i="5" s="1"/>
  <c r="K396" i="5"/>
  <c r="S32" i="10" s="1"/>
  <c r="N179" i="5"/>
  <c r="N181" i="5" s="1"/>
  <c r="U26" i="10"/>
  <c r="AA26" i="10" s="1"/>
  <c r="AC26" i="10" s="1"/>
  <c r="U44" i="10"/>
  <c r="K111" i="5"/>
  <c r="O111" i="5" s="1"/>
  <c r="K197" i="5"/>
  <c r="K198" i="5" s="1"/>
  <c r="K209" i="5"/>
  <c r="O209" i="5" s="1"/>
  <c r="K213" i="5"/>
  <c r="K214" i="5" s="1"/>
  <c r="O206" i="5"/>
  <c r="S42" i="10" l="1"/>
  <c r="U42" i="10" s="1"/>
  <c r="N118" i="5"/>
  <c r="N120" i="5" s="1"/>
  <c r="I80" i="5"/>
  <c r="K80" i="5" s="1"/>
  <c r="O80" i="5" s="1"/>
  <c r="I98" i="5"/>
  <c r="K98" i="5" s="1"/>
  <c r="O98" i="5" s="1"/>
  <c r="I79" i="5"/>
  <c r="I83" i="5"/>
  <c r="K83" i="5" s="1"/>
  <c r="O83" i="5" s="1"/>
  <c r="I95" i="5"/>
  <c r="K95" i="5" s="1"/>
  <c r="O95" i="5" s="1"/>
  <c r="I82" i="5"/>
  <c r="K82" i="5" s="1"/>
  <c r="O82" i="5" s="1"/>
  <c r="I94" i="5"/>
  <c r="K94" i="5" s="1"/>
  <c r="O94" i="5" s="1"/>
  <c r="I97" i="5"/>
  <c r="K97" i="5" s="1"/>
  <c r="O97" i="5" s="1"/>
  <c r="N386" i="5"/>
  <c r="N388" i="5" s="1"/>
  <c r="K486" i="5"/>
  <c r="K492" i="5" s="1"/>
  <c r="K372" i="5"/>
  <c r="K158" i="5"/>
  <c r="K442" i="5"/>
  <c r="K455" i="5" s="1"/>
  <c r="K457" i="5" s="1"/>
  <c r="S33" i="10" s="1"/>
  <c r="K379" i="5"/>
  <c r="K382" i="5" s="1"/>
  <c r="K170" i="5"/>
  <c r="K194" i="5"/>
  <c r="K200" i="5" s="1"/>
  <c r="S28" i="10" s="1"/>
  <c r="K113" i="5"/>
  <c r="S21" i="10" s="1"/>
  <c r="O213" i="5"/>
  <c r="AA44" i="10"/>
  <c r="K210" i="5"/>
  <c r="K216" i="5" s="1"/>
  <c r="S29" i="10" s="1"/>
  <c r="O197" i="5"/>
  <c r="AA42" i="10" l="1"/>
  <c r="AC42" i="10" s="1"/>
  <c r="U45" i="10"/>
  <c r="U48" i="10" s="1"/>
  <c r="S45" i="10"/>
  <c r="S48" i="10" s="1"/>
  <c r="U36" i="10"/>
  <c r="AA36" i="10" s="1"/>
  <c r="AC36" i="10" s="1"/>
  <c r="K79" i="5"/>
  <c r="K101" i="5"/>
  <c r="U21" i="10"/>
  <c r="AA21" i="10" s="1"/>
  <c r="AC21" i="10" s="1"/>
  <c r="U33" i="10"/>
  <c r="AA33" i="10" s="1"/>
  <c r="AC33" i="10" s="1"/>
  <c r="O379" i="5"/>
  <c r="O170" i="5"/>
  <c r="K176" i="5"/>
  <c r="S25" i="10" s="1"/>
  <c r="O442" i="5"/>
  <c r="O372" i="5"/>
  <c r="K375" i="5"/>
  <c r="K383" i="5" s="1"/>
  <c r="S31" i="10" s="1"/>
  <c r="O158" i="5"/>
  <c r="K165" i="5"/>
  <c r="S24" i="10" s="1"/>
  <c r="O486" i="5"/>
  <c r="U32" i="10"/>
  <c r="AA32" i="10" s="1"/>
  <c r="AC32" i="10" s="1"/>
  <c r="N104" i="5"/>
  <c r="N106" i="5" s="1"/>
  <c r="U28" i="10"/>
  <c r="N187" i="5"/>
  <c r="N189" i="5" s="1"/>
  <c r="U29" i="10"/>
  <c r="AA29" i="10" s="1"/>
  <c r="AC29" i="10" s="1"/>
  <c r="AC44" i="10"/>
  <c r="AA45" i="10"/>
  <c r="AA48" i="10" s="1"/>
  <c r="S22" i="10" l="1"/>
  <c r="U22" i="10" s="1"/>
  <c r="AA22" i="10" s="1"/>
  <c r="AC22" i="10" s="1"/>
  <c r="K86" i="5"/>
  <c r="S20" i="10" s="1"/>
  <c r="O79" i="5"/>
  <c r="N169" i="5"/>
  <c r="N171" i="5" s="1"/>
  <c r="U31" i="10"/>
  <c r="AA31" i="10" s="1"/>
  <c r="AC31" i="10" s="1"/>
  <c r="N372" i="5"/>
  <c r="N374" i="5" s="1"/>
  <c r="U24" i="10"/>
  <c r="AA24" i="10" s="1"/>
  <c r="AC24" i="10" s="1"/>
  <c r="N157" i="5"/>
  <c r="N159" i="5" s="1"/>
  <c r="S30" i="10"/>
  <c r="AA28" i="10"/>
  <c r="U30" i="10"/>
  <c r="AC48" i="10"/>
  <c r="AC45" i="10"/>
  <c r="N75" i="5" l="1"/>
  <c r="N77" i="5" s="1"/>
  <c r="S27" i="10"/>
  <c r="U25" i="10"/>
  <c r="AC28" i="10"/>
  <c r="AA30" i="10"/>
  <c r="AC30" i="10" s="1"/>
  <c r="U20" i="10" l="1"/>
  <c r="S23" i="10"/>
  <c r="S38" i="10"/>
  <c r="AA25" i="10"/>
  <c r="U27" i="10"/>
  <c r="M18" i="6"/>
  <c r="K49" i="6"/>
  <c r="M53" i="6" s="1"/>
  <c r="M15" i="6"/>
  <c r="N17" i="5"/>
  <c r="N20" i="5" s="1"/>
  <c r="I36" i="5" s="1"/>
  <c r="AA20" i="10" l="1"/>
  <c r="U23" i="10"/>
  <c r="U38" i="10"/>
  <c r="AA27" i="10"/>
  <c r="AC27" i="10" s="1"/>
  <c r="AC25" i="10"/>
  <c r="N391" i="5"/>
  <c r="M49" i="6"/>
  <c r="I16" i="5"/>
  <c r="U28" i="9" s="1"/>
  <c r="I37" i="5"/>
  <c r="K37" i="5" s="1"/>
  <c r="O37" i="5" s="1"/>
  <c r="N174" i="5"/>
  <c r="K36" i="5"/>
  <c r="O36" i="5" s="1"/>
  <c r="I63" i="5"/>
  <c r="I41" i="5"/>
  <c r="I59" i="5"/>
  <c r="I40" i="5"/>
  <c r="I38" i="5"/>
  <c r="I21" i="5"/>
  <c r="K21" i="5" s="1"/>
  <c r="I20" i="5"/>
  <c r="I17" i="5"/>
  <c r="I18" i="5"/>
  <c r="I58" i="5"/>
  <c r="I62" i="5"/>
  <c r="I60" i="5"/>
  <c r="K16" i="6"/>
  <c r="M16" i="6" s="1"/>
  <c r="N80" i="5"/>
  <c r="M28" i="9" l="1"/>
  <c r="M24" i="9"/>
  <c r="M20" i="9"/>
  <c r="M15" i="9"/>
  <c r="M11" i="9"/>
  <c r="E30" i="9"/>
  <c r="E26" i="9"/>
  <c r="E22" i="9"/>
  <c r="E18" i="9"/>
  <c r="E13" i="9"/>
  <c r="E10" i="9"/>
  <c r="M22" i="9"/>
  <c r="M13" i="9"/>
  <c r="E24" i="9"/>
  <c r="E11" i="9"/>
  <c r="M31" i="9"/>
  <c r="M27" i="9"/>
  <c r="M23" i="9"/>
  <c r="M18" i="9"/>
  <c r="M14" i="9"/>
  <c r="E29" i="9"/>
  <c r="E25" i="9"/>
  <c r="E21" i="9"/>
  <c r="E16" i="9"/>
  <c r="Z15" i="9" s="1"/>
  <c r="E12" i="9"/>
  <c r="M30" i="9"/>
  <c r="M17" i="9"/>
  <c r="E20" i="9"/>
  <c r="E31" i="9"/>
  <c r="M29" i="9"/>
  <c r="M25" i="9"/>
  <c r="M21" i="9"/>
  <c r="M16" i="9"/>
  <c r="M12" i="9"/>
  <c r="E27" i="9"/>
  <c r="E23" i="9"/>
  <c r="E19" i="9"/>
  <c r="E14" i="9"/>
  <c r="M26" i="9"/>
  <c r="E28" i="9"/>
  <c r="E15" i="9"/>
  <c r="M10" i="9"/>
  <c r="AA23" i="10"/>
  <c r="AC23" i="10" s="1"/>
  <c r="AC20" i="10"/>
  <c r="AA38" i="10"/>
  <c r="AC38" i="10" s="1"/>
  <c r="K16" i="5"/>
  <c r="O16" i="5" s="1"/>
  <c r="K20" i="5"/>
  <c r="O20" i="5" s="1"/>
  <c r="K41" i="5"/>
  <c r="O41" i="5" s="1"/>
  <c r="K18" i="5"/>
  <c r="O18" i="5" s="1"/>
  <c r="K38" i="5"/>
  <c r="O38" i="5" s="1"/>
  <c r="K63" i="5"/>
  <c r="O63" i="5" s="1"/>
  <c r="K62" i="5"/>
  <c r="O62" i="5" s="1"/>
  <c r="K59" i="5"/>
  <c r="O59" i="5" s="1"/>
  <c r="K58" i="5"/>
  <c r="K60" i="5"/>
  <c r="O60" i="5" s="1"/>
  <c r="K17" i="5"/>
  <c r="O17" i="5" s="1"/>
  <c r="K40" i="5"/>
  <c r="O40" i="5" s="1"/>
  <c r="Z14" i="9" l="1"/>
  <c r="K49" i="5"/>
  <c r="K71" i="5"/>
  <c r="S16" i="10" s="1"/>
  <c r="K29" i="5"/>
  <c r="O58" i="5"/>
  <c r="S15" i="10" l="1"/>
  <c r="U16" i="10"/>
  <c r="AA16" i="10" s="1"/>
  <c r="AC16" i="10" s="1"/>
  <c r="O12" i="9"/>
  <c r="Q12" i="9"/>
  <c r="Q30" i="9"/>
  <c r="O30" i="9"/>
  <c r="O14" i="9"/>
  <c r="Q14" i="9"/>
  <c r="I31" i="9"/>
  <c r="G31" i="9"/>
  <c r="Q13" i="9"/>
  <c r="O13" i="9"/>
  <c r="Q28" i="9"/>
  <c r="O28" i="9"/>
  <c r="O21" i="9"/>
  <c r="Q21" i="9"/>
  <c r="Q26" i="9"/>
  <c r="O26" i="9"/>
  <c r="O25" i="9"/>
  <c r="Q25" i="9"/>
  <c r="O18" i="9"/>
  <c r="Q18" i="9"/>
  <c r="Q22" i="9"/>
  <c r="O22" i="9"/>
  <c r="I18" i="9"/>
  <c r="G18" i="9"/>
  <c r="G29" i="9"/>
  <c r="I29" i="9"/>
  <c r="Q17" i="9"/>
  <c r="Z13" i="9"/>
  <c r="O17" i="9"/>
  <c r="G14" i="9"/>
  <c r="I14" i="9"/>
  <c r="I10" i="9"/>
  <c r="G10" i="9"/>
  <c r="I22" i="9"/>
  <c r="G22" i="9"/>
  <c r="O31" i="9"/>
  <c r="Q31" i="9"/>
  <c r="O29" i="9"/>
  <c r="Q29" i="9"/>
  <c r="I21" i="9"/>
  <c r="G21" i="9"/>
  <c r="Q16" i="9"/>
  <c r="O16" i="9"/>
  <c r="O23" i="9"/>
  <c r="Q23" i="9"/>
  <c r="I13" i="9"/>
  <c r="G13" i="9"/>
  <c r="I25" i="9"/>
  <c r="G25" i="9"/>
  <c r="G28" i="9"/>
  <c r="I28" i="9"/>
  <c r="O11" i="9"/>
  <c r="Q11" i="9"/>
  <c r="G19" i="9"/>
  <c r="Z12" i="9"/>
  <c r="I19" i="9"/>
  <c r="O15" i="9"/>
  <c r="Q15" i="9"/>
  <c r="I15" i="9"/>
  <c r="G15" i="9"/>
  <c r="G27" i="9"/>
  <c r="I27" i="9"/>
  <c r="I11" i="9"/>
  <c r="G11" i="9"/>
  <c r="I23" i="9"/>
  <c r="G23" i="9"/>
  <c r="I16" i="9"/>
  <c r="G16" i="9"/>
  <c r="Q24" i="9"/>
  <c r="O24" i="9"/>
  <c r="G12" i="9"/>
  <c r="I12" i="9"/>
  <c r="Q27" i="9"/>
  <c r="O27" i="9"/>
  <c r="I24" i="9"/>
  <c r="G24" i="9"/>
  <c r="Q20" i="9"/>
  <c r="O20" i="9"/>
  <c r="G30" i="9"/>
  <c r="I30" i="9"/>
  <c r="G20" i="9"/>
  <c r="I20" i="9"/>
  <c r="O10" i="9"/>
  <c r="Q10" i="9"/>
  <c r="G26" i="9"/>
  <c r="I26" i="9"/>
  <c r="N16" i="5"/>
  <c r="N18" i="5" s="1"/>
  <c r="K512" i="5"/>
  <c r="AB14" i="9" l="1"/>
  <c r="AD14" i="9"/>
  <c r="AA14" i="9"/>
  <c r="AA12" i="9"/>
  <c r="AB12" i="9"/>
  <c r="AD12" i="9"/>
  <c r="AB15" i="9"/>
  <c r="AD15" i="9"/>
  <c r="AA15" i="9"/>
  <c r="AD13" i="9"/>
  <c r="AA13" i="9"/>
  <c r="AB13" i="9"/>
  <c r="S18" i="10"/>
  <c r="S49" i="10" s="1"/>
  <c r="U15" i="10"/>
  <c r="N79" i="5" l="1"/>
  <c r="N390" i="5"/>
  <c r="N173" i="5"/>
  <c r="AA15" i="10"/>
  <c r="U18" i="10"/>
  <c r="U49" i="10" s="1"/>
  <c r="AC15" i="10" l="1"/>
  <c r="AA18" i="10"/>
  <c r="AE18" i="10" s="1"/>
  <c r="AC18" i="10" l="1"/>
  <c r="AA49" i="10"/>
  <c r="AC49" i="10" s="1"/>
</calcChain>
</file>

<file path=xl/sharedStrings.xml><?xml version="1.0" encoding="utf-8"?>
<sst xmlns="http://schemas.openxmlformats.org/spreadsheetml/2006/main" count="1130" uniqueCount="631">
  <si>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</si>
  <si>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</si>
  <si>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</si>
  <si>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</si>
  <si>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</si>
  <si>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</si>
  <si>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</si>
  <si>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</si>
  <si>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</si>
  <si>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</si>
  <si>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</si>
  <si>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</si>
  <si>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</si>
  <si>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</si>
  <si>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</si>
  <si>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</si>
  <si>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</si>
  <si>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</si>
  <si>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</si>
  <si>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</si>
  <si>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</si>
  <si>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</si>
  <si>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</si>
  <si>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</si>
  <si>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</si>
  <si>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</si>
  <si>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</si>
  <si>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</si>
  <si>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</si>
  <si>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</si>
  <si>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</si>
  <si>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</si>
  <si>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</si>
  <si>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</si>
  <si>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</si>
  <si>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</si>
  <si>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</si>
  <si>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</si>
  <si>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</si>
  <si>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</si>
  <si>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</si>
  <si>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</si>
  <si>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</si>
  <si>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</si>
  <si>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</si>
  <si>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</si>
  <si>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</si>
  <si>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</si>
  <si>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</si>
  <si>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</si>
  <si>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</si>
  <si>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</si>
  <si>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</si>
  <si>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</si>
  <si>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</si>
  <si>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</si>
  <si>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</si>
  <si>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</si>
  <si>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</si>
  <si>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</si>
  <si>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</si>
  <si>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</si>
  <si>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</si>
  <si>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</si>
  <si>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</si>
  <si>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</si>
  <si>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</si>
  <si>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</si>
  <si>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</si>
  <si>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</si>
  <si>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</si>
  <si>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</si>
  <si>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</si>
  <si>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</si>
  <si>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</si>
  <si>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</si>
  <si>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</si>
  <si>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</si>
  <si>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</si>
  <si>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</si>
  <si>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</si>
  <si>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</si>
  <si>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</si>
  <si>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</si>
  <si>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</si>
  <si>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</si>
  <si>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</si>
  <si>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</si>
  <si>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</si>
  <si>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</si>
  <si>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</si>
  <si>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</si>
  <si>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</si>
  <si>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</si>
  <si>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</si>
  <si>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</si>
  <si>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</si>
  <si>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</si>
  <si>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</si>
  <si>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</si>
  <si>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</si>
  <si>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</si>
  <si>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</si>
  <si>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</si>
  <si>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</si>
  <si>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</si>
  <si>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</si>
  <si>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</si>
  <si>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</si>
  <si>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</si>
  <si>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</si>
  <si>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</si>
  <si>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</si>
  <si>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</si>
  <si>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</si>
  <si>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</si>
  <si>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</si>
  <si>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</si>
  <si>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</si>
  <si>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</si>
  <si>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</si>
  <si>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</si>
  <si>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</si>
  <si>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</si>
  <si>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</si>
  <si>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</si>
  <si>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</si>
  <si>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</si>
  <si>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</si>
  <si>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</si>
  <si>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</si>
  <si>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</si>
  <si>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</si>
  <si>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</si>
  <si>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</si>
  <si>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</si>
  <si>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</si>
  <si>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</si>
  <si>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</si>
  <si>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</si>
  <si>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</si>
  <si>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</si>
  <si>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</si>
  <si>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</si>
  <si>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</si>
  <si>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</si>
  <si>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</si>
  <si>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</si>
  <si>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</si>
  <si>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</si>
  <si>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</si>
  <si>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</si>
  <si>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</si>
  <si>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</si>
  <si>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</si>
  <si>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</si>
  <si>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</si>
  <si>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</si>
  <si>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</si>
  <si>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</si>
  <si>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</si>
  <si>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</si>
  <si>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</si>
  <si>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</si>
  <si>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</si>
  <si>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</si>
  <si>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</si>
  <si>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</si>
  <si>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</si>
  <si>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</si>
  <si>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</si>
  <si>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</si>
  <si>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</si>
  <si>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</si>
  <si>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</si>
  <si>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</si>
  <si>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</si>
  <si>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</si>
  <si>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</si>
  <si>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</si>
  <si>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</si>
  <si>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</si>
  <si>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</si>
  <si>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</si>
  <si>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</si>
  <si>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</si>
  <si>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</si>
  <si>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</si>
  <si>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</si>
  <si>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</si>
  <si>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</si>
  <si>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</si>
  <si>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</si>
  <si>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</si>
  <si>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</si>
  <si>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</si>
  <si>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</si>
  <si>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</si>
  <si>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</si>
  <si>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</si>
  <si>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</si>
  <si>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</si>
  <si>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</si>
  <si>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</si>
  <si>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</si>
  <si>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</si>
  <si>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</si>
  <si>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</si>
  <si>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</si>
  <si>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</si>
  <si>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</si>
  <si>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</si>
  <si>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</si>
  <si>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</si>
  <si>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</si>
  <si>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</si>
  <si>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</si>
  <si>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</si>
  <si>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</si>
  <si>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</si>
  <si>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</si>
  <si>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</si>
  <si>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</si>
  <si>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</si>
  <si>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</si>
  <si>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</si>
  <si>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</si>
  <si>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</si>
  <si>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</si>
  <si>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</si>
  <si>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</si>
  <si>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</si>
  <si>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</si>
  <si>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</si>
  <si>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</si>
  <si>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</si>
  <si>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</si>
  <si>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</si>
  <si>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</si>
  <si>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</si>
  <si>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</si>
  <si>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</si>
  <si>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</si>
  <si>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</si>
  <si>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</si>
  <si>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</si>
  <si>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</si>
  <si>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</si>
  <si>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</si>
  <si>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</si>
  <si>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</si>
  <si>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</si>
  <si>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</si>
  <si>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</si>
  <si>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</si>
  <si>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</si>
  <si>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</si>
  <si>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</si>
  <si>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</si>
  <si>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</si>
  <si>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</si>
  <si>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</si>
  <si>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</si>
  <si>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</si>
  <si>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</si>
  <si>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</si>
  <si>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</si>
  <si>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</si>
  <si>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</si>
  <si>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</si>
  <si>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</si>
  <si>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</si>
  <si>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</si>
  <si>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</si>
  <si>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</si>
  <si>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</si>
  <si>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</si>
  <si>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</si>
  <si>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</si>
  <si>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</si>
  <si>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</si>
  <si>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</si>
  <si>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</si>
  <si>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</si>
  <si>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</si>
  <si>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</si>
  <si>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</si>
  <si>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</si>
  <si>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</si>
  <si>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</si>
  <si>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</si>
  <si>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Checking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</si>
  <si>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</si>
  <si>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</si>
  <si>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</si>
  <si>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</si>
  <si>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</si>
  <si>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</si>
  <si>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</si>
  <si>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</si>
  <si>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</si>
  <si>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</si>
  <si>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</si>
  <si>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</si>
  <si>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</si>
  <si>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</si>
  <si>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</si>
  <si>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</si>
  <si>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</si>
  <si>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</si>
  <si>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</si>
  <si>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</si>
  <si>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</si>
  <si>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</si>
  <si>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</si>
  <si>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COS</t>
  </si>
  <si>
    <t xml:space="preserve">DESCRIPTION </t>
  </si>
  <si>
    <t>Factor</t>
  </si>
  <si>
    <t>Sch 1</t>
  </si>
  <si>
    <t>F10</t>
  </si>
  <si>
    <t>F30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</si>
  <si>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</si>
  <si>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</si>
  <si>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</si>
  <si>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</si>
  <si>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</si>
  <si>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</si>
  <si>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</si>
  <si>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</si>
  <si>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</si>
  <si>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</si>
  <si>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</si>
  <si>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</si>
  <si>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</si>
  <si>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</si>
  <si>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</si>
  <si>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</si>
  <si>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</si>
  <si>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</si>
  <si>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</si>
  <si>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</si>
  <si>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</si>
  <si>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</si>
  <si>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</si>
  <si>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 xml:space="preserve">Proposed </t>
  </si>
  <si>
    <t>¢/kWh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</si>
  <si>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</si>
  <si>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</si>
  <si>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</si>
  <si>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</si>
  <si>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</si>
  <si>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</si>
  <si>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</si>
  <si>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</si>
  <si>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(%)</t>
  </si>
  <si>
    <t>GRC Actual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</si>
  <si>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</si>
  <si>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</si>
  <si>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</si>
  <si>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</si>
  <si>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</si>
  <si>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</si>
  <si>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</si>
  <si>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</si>
  <si>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</si>
  <si>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</si>
  <si>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</si>
  <si>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</si>
  <si>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</si>
  <si>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</si>
  <si>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</si>
  <si>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</si>
  <si>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</si>
  <si>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 xml:space="preserve">  Fixed Customer Charge</t>
  </si>
  <si>
    <t>Res AVG</t>
  </si>
  <si>
    <t>DSM/STEP</t>
  </si>
  <si>
    <t>Sch 98 RBA</t>
  </si>
  <si>
    <t>F101</t>
  </si>
  <si>
    <t>Factor Table COS</t>
  </si>
  <si>
    <t>Cost Of Service By Rate Schedule - COS Factor Summary</t>
  </si>
  <si>
    <t>12 Months Ended Dec 2016</t>
  </si>
  <si>
    <t>Class Allocation Factors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</si>
  <si>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</si>
  <si>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</si>
  <si>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</si>
  <si>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</si>
  <si>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</si>
  <si>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</si>
  <si>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</si>
  <si>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</si>
  <si>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</si>
  <si>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</si>
  <si>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</si>
  <si>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</si>
  <si>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</si>
  <si>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</si>
  <si>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</si>
  <si>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Dmd</t>
  </si>
  <si>
    <t>Eng</t>
  </si>
  <si>
    <t>Split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</si>
  <si>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</si>
  <si>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</si>
  <si>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</si>
  <si>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</si>
  <si>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</si>
  <si>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</si>
  <si>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</si>
  <si>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</si>
  <si>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</si>
  <si>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</si>
  <si>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</si>
  <si>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Direct Assignment</t>
  </si>
  <si>
    <t xml:space="preserve">Coincident Peak, System </t>
  </si>
  <si>
    <t>/</t>
  </si>
  <si>
    <t>F11</t>
  </si>
  <si>
    <t>F12</t>
  </si>
  <si>
    <t>F20</t>
  </si>
  <si>
    <t>12 Weighted Distribution Peaks</t>
  </si>
  <si>
    <t>F21</t>
  </si>
  <si>
    <t>Transformers      - NCP</t>
  </si>
  <si>
    <t>F22</t>
  </si>
  <si>
    <t>Secondary Lines - NCP</t>
  </si>
  <si>
    <t>F40</t>
  </si>
  <si>
    <t>Average Customers</t>
  </si>
  <si>
    <t>F41</t>
  </si>
  <si>
    <t>Weighted Customers Acct 902</t>
  </si>
  <si>
    <t>F42</t>
  </si>
  <si>
    <t>Weighted Customers Acct 903</t>
  </si>
  <si>
    <t>F43</t>
  </si>
  <si>
    <t>Residential Split</t>
  </si>
  <si>
    <t>F44</t>
  </si>
  <si>
    <t>Commercial Split</t>
  </si>
  <si>
    <t>F45</t>
  </si>
  <si>
    <t>Industrial / Irrigation Split</t>
  </si>
  <si>
    <t>F46</t>
  </si>
  <si>
    <t>Lighting / OSPA  Split</t>
  </si>
  <si>
    <t>F47</t>
  </si>
  <si>
    <t>Wtd Customers Acct 902 - irrigation</t>
  </si>
  <si>
    <t>F48</t>
  </si>
  <si>
    <t>Wtd Customers Acct 903 - irrigation</t>
  </si>
  <si>
    <t>F50</t>
  </si>
  <si>
    <t>Contribution in Aid of Construction</t>
  </si>
  <si>
    <t>F51</t>
  </si>
  <si>
    <t>Security Deposits</t>
  </si>
  <si>
    <t>F60</t>
  </si>
  <si>
    <t>Meters</t>
  </si>
  <si>
    <t>F70</t>
  </si>
  <si>
    <t>Services</t>
  </si>
  <si>
    <t>F80</t>
  </si>
  <si>
    <t>Uncollectables</t>
  </si>
  <si>
    <t>F85</t>
  </si>
  <si>
    <t>Firm Sales - Utah Share</t>
  </si>
  <si>
    <t>F86</t>
  </si>
  <si>
    <t>Non Firm Sales - Utah Share</t>
  </si>
  <si>
    <t>F87</t>
  </si>
  <si>
    <t>Firm Purchases (Non-Seasonal) - Utah Share</t>
  </si>
  <si>
    <t>F88</t>
  </si>
  <si>
    <t>Seasonal Purchases - Utah Share</t>
  </si>
  <si>
    <t>F89</t>
  </si>
  <si>
    <t>Non firm Purchases - Utah Share</t>
  </si>
  <si>
    <t>F90</t>
  </si>
  <si>
    <t>Coal (Non-Seasonal) - Utah Share</t>
  </si>
  <si>
    <t>F91</t>
  </si>
  <si>
    <t>Seasonal Cholla Coal - Utah Share</t>
  </si>
  <si>
    <t>F92</t>
  </si>
  <si>
    <t>Gas (Non-Seasonal) - Utah Share</t>
  </si>
  <si>
    <t>F93</t>
  </si>
  <si>
    <t>Seasonal CT Gas - Utah Share</t>
  </si>
  <si>
    <t>F94</t>
  </si>
  <si>
    <t>Other Generation - Utah Share</t>
  </si>
  <si>
    <t>F95</t>
  </si>
  <si>
    <t>Firm Wheeling - Utah Share</t>
  </si>
  <si>
    <t>F96</t>
  </si>
  <si>
    <t>Non-Firm Wheeling - Utah Share</t>
  </si>
  <si>
    <t>Rate Base</t>
  </si>
  <si>
    <t>F101P</t>
  </si>
  <si>
    <t>Generation Rate Base</t>
  </si>
  <si>
    <t>F101T</t>
  </si>
  <si>
    <t>Transmission Rate Base</t>
  </si>
  <si>
    <t>F101D</t>
  </si>
  <si>
    <t>Distribution Rate Base</t>
  </si>
  <si>
    <t>F101R</t>
  </si>
  <si>
    <t>Retail Rate Base</t>
  </si>
  <si>
    <t>F101M</t>
  </si>
  <si>
    <t>Misc Rate Base</t>
  </si>
  <si>
    <t>F102</t>
  </si>
  <si>
    <t>SGP - System Gross Plant</t>
  </si>
  <si>
    <t>F102P</t>
  </si>
  <si>
    <t>SGGP - System Gross Generation Plant</t>
  </si>
  <si>
    <t>F102T</t>
  </si>
  <si>
    <t>SGTP - System Gross Transmission Plant</t>
  </si>
  <si>
    <t>F102D</t>
  </si>
  <si>
    <t>SGDP - System Gross Distribution Plant</t>
  </si>
  <si>
    <t>F102R</t>
  </si>
  <si>
    <t>SGTP - System Gross Retail Plant</t>
  </si>
  <si>
    <t>F102M</t>
  </si>
  <si>
    <t>SGDP - System Gross Misc Plant</t>
  </si>
  <si>
    <t>F103</t>
  </si>
  <si>
    <t>SGP - System Gross Plant (Regulatory fees)</t>
  </si>
  <si>
    <t>F104</t>
  </si>
  <si>
    <t>SNP - System Net Plant</t>
  </si>
  <si>
    <t>F104P</t>
  </si>
  <si>
    <t>SNP - System Net Generation Plant</t>
  </si>
  <si>
    <t>F104T</t>
  </si>
  <si>
    <t>SNP - System Net Transmission Plant</t>
  </si>
  <si>
    <t>F104D</t>
  </si>
  <si>
    <t>SNP - System Net Distribution Plant</t>
  </si>
  <si>
    <t>F104R</t>
  </si>
  <si>
    <t>SNP - System Net Retail Plant</t>
  </si>
  <si>
    <t>F104M</t>
  </si>
  <si>
    <t>SNP - System Net Misc Plant</t>
  </si>
  <si>
    <t>F105</t>
  </si>
  <si>
    <t>STP - System Prod &amp; Trans Plant</t>
  </si>
  <si>
    <t>F105P</t>
  </si>
  <si>
    <t>F105T</t>
  </si>
  <si>
    <t>F105D</t>
  </si>
  <si>
    <t>F105R</t>
  </si>
  <si>
    <t>F105M</t>
  </si>
  <si>
    <t>F106</t>
  </si>
  <si>
    <t>STP - System Transmission Plant</t>
  </si>
  <si>
    <t>F107</t>
  </si>
  <si>
    <t>STP - System Trans &amp; Dist Plant</t>
  </si>
  <si>
    <t>F107P</t>
  </si>
  <si>
    <t>F107T</t>
  </si>
  <si>
    <t>F107D</t>
  </si>
  <si>
    <t>F107R</t>
  </si>
  <si>
    <t>F107M</t>
  </si>
  <si>
    <t>F108</t>
  </si>
  <si>
    <t>SGP - System General Plant</t>
  </si>
  <si>
    <t>F108P</t>
  </si>
  <si>
    <t>SGGP - System Gen Generation Plant</t>
  </si>
  <si>
    <t>F108T</t>
  </si>
  <si>
    <t>SGTP - System Gen Transmission Plant</t>
  </si>
  <si>
    <t>F108D</t>
  </si>
  <si>
    <t>SGDP - System Gen Distribution Plant</t>
  </si>
  <si>
    <t>F108R</t>
  </si>
  <si>
    <t>SGTP - System Gen Retail Plant</t>
  </si>
  <si>
    <t>F108M</t>
  </si>
  <si>
    <t>SGDP - System Gen Misc Plant</t>
  </si>
  <si>
    <t>F110</t>
  </si>
  <si>
    <t>SIP - System Intangible Plant</t>
  </si>
  <si>
    <t>F118</t>
  </si>
  <si>
    <t>Account 360</t>
  </si>
  <si>
    <t>F119</t>
  </si>
  <si>
    <t>Account 361</t>
  </si>
  <si>
    <t>F120</t>
  </si>
  <si>
    <t>Account 362</t>
  </si>
  <si>
    <t>F121</t>
  </si>
  <si>
    <t>Account 364</t>
  </si>
  <si>
    <t>F122</t>
  </si>
  <si>
    <t>Account 365</t>
  </si>
  <si>
    <t>F123</t>
  </si>
  <si>
    <t>Account 366</t>
  </si>
  <si>
    <t>F124</t>
  </si>
  <si>
    <t>Account 367</t>
  </si>
  <si>
    <t>F125</t>
  </si>
  <si>
    <t>Account 368</t>
  </si>
  <si>
    <t>F126</t>
  </si>
  <si>
    <t>Account 369</t>
  </si>
  <si>
    <t>F127</t>
  </si>
  <si>
    <t>Account 370</t>
  </si>
  <si>
    <t>F128</t>
  </si>
  <si>
    <t>Account 371</t>
  </si>
  <si>
    <t>F129</t>
  </si>
  <si>
    <t>Account 372</t>
  </si>
  <si>
    <t>F130</t>
  </si>
  <si>
    <t>Account 373</t>
  </si>
  <si>
    <t>F131</t>
  </si>
  <si>
    <t>Account 581 thru 587 &amp; 591 thru 597</t>
  </si>
  <si>
    <t>F132</t>
  </si>
  <si>
    <t>Account 364 + 365</t>
  </si>
  <si>
    <t>F133</t>
  </si>
  <si>
    <t>Account 366 + 367</t>
  </si>
  <si>
    <t>F134</t>
  </si>
  <si>
    <t>Account 364 + 365 + 369  (OH)</t>
  </si>
  <si>
    <t>F135</t>
  </si>
  <si>
    <t>Account 366 + 367 + 369  (UG)</t>
  </si>
  <si>
    <t>F136</t>
  </si>
  <si>
    <t>Account 902 + 903 + 904</t>
  </si>
  <si>
    <t>F137</t>
  </si>
  <si>
    <t>Total O &amp; M Expense</t>
  </si>
  <si>
    <t>F137P</t>
  </si>
  <si>
    <t>Generation O &amp; M Exp</t>
  </si>
  <si>
    <t>F137T</t>
  </si>
  <si>
    <t>Transmission O &amp; M Exp</t>
  </si>
  <si>
    <t>F137D</t>
  </si>
  <si>
    <t xml:space="preserve">Distribution O &amp; M Exp </t>
  </si>
  <si>
    <t>F137R</t>
  </si>
  <si>
    <t>Retail O &amp; M Exp  (Customer)</t>
  </si>
  <si>
    <t>F137M</t>
  </si>
  <si>
    <t xml:space="preserve">Misc &amp; Customer O &amp; M Exp </t>
  </si>
  <si>
    <t>F138</t>
  </si>
  <si>
    <t>GTD O&amp;M Exp  (less fuel, purchased p &amp; wheeling)</t>
  </si>
  <si>
    <t>F138P</t>
  </si>
  <si>
    <t xml:space="preserve">Generation O &amp; M Exp (less fuel &amp; purchased power) </t>
  </si>
  <si>
    <t>F138T</t>
  </si>
  <si>
    <t>Transmission O &amp; M Exp - (less wheeling exp)</t>
  </si>
  <si>
    <t>F138D</t>
  </si>
  <si>
    <t>F138R</t>
  </si>
  <si>
    <t>F138M</t>
  </si>
  <si>
    <t>F140</t>
  </si>
  <si>
    <t>Revenue Requirement Before Rev Credits</t>
  </si>
  <si>
    <t>F140P</t>
  </si>
  <si>
    <t>F140T</t>
  </si>
  <si>
    <t>F140D</t>
  </si>
  <si>
    <t>F140R</t>
  </si>
  <si>
    <t>F140M</t>
  </si>
  <si>
    <t>F141</t>
  </si>
  <si>
    <t>Firm Revenues</t>
  </si>
  <si>
    <t>F150</t>
  </si>
  <si>
    <t>Income Before State Taxes</t>
  </si>
  <si>
    <t>F150P</t>
  </si>
  <si>
    <t>F150T</t>
  </si>
  <si>
    <t>F150D</t>
  </si>
  <si>
    <t>F150R</t>
  </si>
  <si>
    <t>F150M</t>
  </si>
  <si>
    <t>F151</t>
  </si>
  <si>
    <t>Depreciation Expense</t>
  </si>
  <si>
    <t>F151P</t>
  </si>
  <si>
    <t>F151T</t>
  </si>
  <si>
    <t>F151D</t>
  </si>
  <si>
    <t>F151R</t>
  </si>
  <si>
    <t>F151M</t>
  </si>
  <si>
    <t>Tax Act Rev</t>
  </si>
  <si>
    <t>TAA</t>
  </si>
  <si>
    <r>
      <t>Rate Base</t>
    </r>
    <r>
      <rPr>
        <b/>
        <vertAlign val="superscript"/>
        <sz val="12"/>
        <rFont val="Times New Roman"/>
        <family val="1"/>
      </rPr>
      <t>1</t>
    </r>
  </si>
  <si>
    <t>Proposed TAA</t>
  </si>
  <si>
    <t>Sch 197 TAA</t>
  </si>
  <si>
    <r>
      <t>1</t>
    </r>
    <r>
      <rPr>
        <sz val="10"/>
        <rFont val="Times New Roman"/>
        <family val="1"/>
      </rPr>
      <t xml:space="preserve">  Including HELP, DSM, EBA, RBA, STEP and TAA adjustments.</t>
    </r>
  </si>
  <si>
    <t>Net (EBA+RBA)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</si>
  <si>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Rate Base Cost allocator from 2010 cost of service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</si>
</sst>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_(* #,##0.00000_);_(* \(#,##0.00000\);_(* &quot;-&quot;??_);_(@_)"/>
    <numFmt numFmtId="181" formatCode="_-* #,##0\ &quot;F&quot;_-;\-* #,##0\ &quot;F&quot;_-;_-* &quot;-&quot;\ &quot;F&quot;_-;_-@_-"/>
    <numFmt numFmtId="182" formatCode="#,##0.000;[Red]\-#,##0.000"/>
    <numFmt numFmtId="183" formatCode="_(* #,##0_);[Red]_(* \(#,##0\);_(* &quot;-&quot;_);_(@_)"/>
    <numFmt numFmtId="184" formatCode="0.0000"/>
    <numFmt numFmtId="185" formatCode="&quot;$&quot;#,##0.000_);\(&quot;$&quot;#,##0.000\)"/>
    <numFmt numFmtId="186" formatCode="#,##0;\-#,##0;&quot;-&quot;"/>
    <numFmt numFmtId="187" formatCode="mmmm\ d\,\ yyyy"/>
    <numFmt numFmtId="188" formatCode="########\-###\-###"/>
    <numFmt numFmtId="189" formatCode="#,##0.0_);\(#,##0.0\);\-\ ;"/>
    <numFmt numFmtId="190" formatCode="0.000000"/>
    <numFmt numFmtId="191" formatCode="mmm\ dd\,\ yyyy"/>
    <numFmt numFmtId="192" formatCode="_-* #,##0_-;\-* #,##0_-;_-* &quot;-&quot;_-;_-@_-"/>
    <numFmt numFmtId="193" formatCode="_-* #,##0.00_-;\-* #,##0.00_-;_-* &quot;-&quot;??_-;_-@_-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.000_);\(#,##0.000\)"/>
    <numFmt numFmtId="197" formatCode="#,##0.0_);\(#,##0.0\)"/>
    <numFmt numFmtId="198" formatCode="&quot;$&quot;#,##0.0"/>
    <numFmt numFmtId="199" formatCode="_(* #,##0.00000000000000_);_(* \(#,##0.00000000000000\);_(* &quot;-&quot;_);_(@_)"/>
    <numFmt numFmtId="200" formatCode="_(* #,##0.00000000_);_(* \(#,##0.00000000\);_(* &quot;-&quot;_);_(@_)"/>
    <numFmt numFmtId="201" formatCode="_(* #,##0.000_);_(* \(#,##0.000\);_(* &quot;-&quot;_);_(@_)"/>
    <numFmt numFmtId="202" formatCode="_(* #,##0.000000_);_(* \(#,##0.000000\);_(* &quot;-&quot;??_);_(@_)"/>
  </numFmts>
  <fonts count="10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5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3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8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9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5" fontId="24" fillId="0" borderId="0" applyNumberFormat="0" applyFill="0" applyBorder="0" applyAlignment="0" applyProtection="0"/>
    <xf numFmtId="0" fontId="25" fillId="0" borderId="15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6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7" applyNumberFormat="0" applyProtection="0">
      <alignment vertical="center"/>
    </xf>
    <xf numFmtId="4" fontId="30" fillId="4" borderId="17" applyNumberFormat="0" applyProtection="0">
      <alignment vertical="center"/>
    </xf>
    <xf numFmtId="4" fontId="29" fillId="4" borderId="17" applyNumberFormat="0" applyProtection="0">
      <alignment vertical="center"/>
    </xf>
    <xf numFmtId="0" fontId="29" fillId="4" borderId="17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7" applyNumberFormat="0" applyProtection="0">
      <alignment horizontal="right" vertical="center"/>
    </xf>
    <xf numFmtId="4" fontId="31" fillId="7" borderId="17" applyNumberFormat="0" applyProtection="0">
      <alignment horizontal="right" vertical="center"/>
    </xf>
    <xf numFmtId="4" fontId="31" fillId="8" borderId="17" applyNumberFormat="0" applyProtection="0">
      <alignment horizontal="right" vertical="center"/>
    </xf>
    <xf numFmtId="4" fontId="31" fillId="9" borderId="17" applyNumberFormat="0" applyProtection="0">
      <alignment horizontal="right" vertical="center"/>
    </xf>
    <xf numFmtId="4" fontId="31" fillId="10" borderId="17" applyNumberFormat="0" applyProtection="0">
      <alignment horizontal="right" vertical="center"/>
    </xf>
    <xf numFmtId="4" fontId="31" fillId="11" borderId="17" applyNumberFormat="0" applyProtection="0">
      <alignment horizontal="right" vertical="center"/>
    </xf>
    <xf numFmtId="4" fontId="31" fillId="12" borderId="17" applyNumberFormat="0" applyProtection="0">
      <alignment horizontal="right" vertical="center"/>
    </xf>
    <xf numFmtId="4" fontId="31" fillId="13" borderId="17" applyNumberFormat="0" applyProtection="0">
      <alignment horizontal="right" vertical="center"/>
    </xf>
    <xf numFmtId="4" fontId="31" fillId="14" borderId="17" applyNumberFormat="0" applyProtection="0">
      <alignment horizontal="right" vertical="center"/>
    </xf>
    <xf numFmtId="4" fontId="29" fillId="15" borderId="18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7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top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top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top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top" indent="1"/>
    </xf>
    <xf numFmtId="4" fontId="31" fillId="21" borderId="17" applyNumberFormat="0" applyProtection="0">
      <alignment vertical="center"/>
    </xf>
    <xf numFmtId="4" fontId="35" fillId="21" borderId="17" applyNumberFormat="0" applyProtection="0">
      <alignment vertical="center"/>
    </xf>
    <xf numFmtId="4" fontId="31" fillId="21" borderId="17" applyNumberFormat="0" applyProtection="0">
      <alignment horizontal="left" vertical="center" indent="1"/>
    </xf>
    <xf numFmtId="0" fontId="31" fillId="21" borderId="17" applyNumberFormat="0" applyProtection="0">
      <alignment horizontal="left" vertical="top" indent="1"/>
    </xf>
    <xf numFmtId="4" fontId="31" fillId="22" borderId="19" applyNumberFormat="0" applyProtection="0">
      <alignment horizontal="right" vertical="center"/>
    </xf>
    <xf numFmtId="4" fontId="35" fillId="16" borderId="17" applyNumberFormat="0" applyProtection="0">
      <alignment horizontal="right" vertical="center"/>
    </xf>
    <xf numFmtId="4" fontId="31" fillId="18" borderId="17" applyNumberFormat="0" applyProtection="0">
      <alignment horizontal="left" vertical="center" indent="1"/>
    </xf>
    <xf numFmtId="0" fontId="31" fillId="5" borderId="17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7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20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3" fillId="0" borderId="0"/>
    <xf numFmtId="0" fontId="28" fillId="0" borderId="24" applyNumberFormat="0" applyAlignment="0" applyProtection="0">
      <alignment horizontal="left" vertical="center"/>
    </xf>
    <xf numFmtId="0" fontId="28" fillId="0" borderId="23">
      <alignment horizontal="left" vertical="center"/>
    </xf>
    <xf numFmtId="10" fontId="25" fillId="21" borderId="21" applyNumberFormat="0" applyBorder="0" applyAlignment="0" applyProtection="0"/>
    <xf numFmtId="182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3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4" fillId="25" borderId="0" applyNumberFormat="0" applyProtection="0">
      <alignment horizontal="left"/>
    </xf>
    <xf numFmtId="0" fontId="41" fillId="0" borderId="21">
      <alignment horizontal="center" vertical="center" wrapText="1"/>
    </xf>
    <xf numFmtId="0" fontId="12" fillId="0" borderId="0"/>
    <xf numFmtId="164" fontId="54" fillId="0" borderId="0"/>
    <xf numFmtId="0" fontId="55" fillId="0" borderId="0"/>
    <xf numFmtId="9" fontId="54" fillId="0" borderId="0" applyFont="0" applyFill="0" applyBorder="0" applyAlignment="0" applyProtection="0"/>
    <xf numFmtId="164" fontId="6" fillId="0" borderId="0"/>
    <xf numFmtId="0" fontId="59" fillId="40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4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1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59" fillId="4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59" fillId="41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3" borderId="0" applyNumberFormat="0" applyBorder="0" applyAlignment="0" applyProtection="0"/>
    <xf numFmtId="0" fontId="59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4" borderId="0" applyNumberFormat="0" applyBorder="0" applyAlignment="0" applyProtection="0"/>
    <xf numFmtId="0" fontId="59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1" fillId="50" borderId="21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41" fillId="51" borderId="0" applyNumberFormat="0" applyBorder="0" applyAlignment="0" applyProtection="0"/>
    <xf numFmtId="186" fontId="31" fillId="0" borderId="0" applyFill="0" applyBorder="0" applyAlignment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4" fillId="0" borderId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54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" fontId="66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70" fillId="0" borderId="0"/>
    <xf numFmtId="0" fontId="70" fillId="0" borderId="0"/>
    <xf numFmtId="0" fontId="7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0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71" fillId="0" borderId="0"/>
    <xf numFmtId="0" fontId="71" fillId="0" borderId="31"/>
    <xf numFmtId="0" fontId="70" fillId="0" borderId="0"/>
    <xf numFmtId="0" fontId="70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7" fontId="12" fillId="0" borderId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70" fillId="0" borderId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4" fontId="12" fillId="0" borderId="0">
      <protection locked="0"/>
    </xf>
    <xf numFmtId="174" fontId="12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0" fontId="25" fillId="21" borderId="21" applyNumberFormat="0" applyBorder="0" applyAlignment="0" applyProtection="0"/>
    <xf numFmtId="10" fontId="25" fillId="21" borderId="21" applyNumberFormat="0" applyBorder="0" applyAlignment="0" applyProtection="0"/>
    <xf numFmtId="0" fontId="77" fillId="0" borderId="0" applyNumberFormat="0" applyFill="0" applyBorder="0" applyAlignment="0">
      <protection locked="0"/>
    </xf>
    <xf numFmtId="0" fontId="77" fillId="0" borderId="0" applyNumberFormat="0" applyFill="0" applyBorder="0" applyAlignment="0">
      <protection locked="0"/>
    </xf>
    <xf numFmtId="38" fontId="78" fillId="0" borderId="0">
      <alignment horizontal="left" wrapText="1"/>
    </xf>
    <xf numFmtId="38" fontId="79" fillId="0" borderId="0">
      <alignment horizontal="left" wrapText="1"/>
    </xf>
    <xf numFmtId="0" fontId="80" fillId="54" borderId="31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2" fillId="55" borderId="0"/>
    <xf numFmtId="0" fontId="82" fillId="56" borderId="0"/>
    <xf numFmtId="0" fontId="41" fillId="57" borderId="7" applyBorder="0"/>
    <xf numFmtId="0" fontId="12" fillId="58" borderId="8" applyNumberFormat="0" applyFont="0" applyBorder="0" applyAlignment="0" applyProtection="0"/>
    <xf numFmtId="188" fontId="12" fillId="0" borderId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37" fontId="84" fillId="0" borderId="0" applyNumberFormat="0" applyFill="0" applyBorder="0"/>
    <xf numFmtId="0" fontId="25" fillId="0" borderId="15" applyNumberFormat="0" applyBorder="0" applyAlignment="0"/>
    <xf numFmtId="0" fontId="25" fillId="0" borderId="15" applyNumberFormat="0" applyBorder="0" applyAlignment="0"/>
    <xf numFmtId="0" fontId="25" fillId="0" borderId="15" applyNumberFormat="0" applyBorder="0" applyAlignment="0"/>
    <xf numFmtId="182" fontId="12" fillId="0" borderId="0"/>
    <xf numFmtId="182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0" fillId="0" borderId="0"/>
    <xf numFmtId="0" fontId="12" fillId="59" borderId="34" applyNumberFormat="0" applyFont="0" applyAlignment="0" applyProtection="0"/>
    <xf numFmtId="0" fontId="21" fillId="27" borderId="28" applyNumberFormat="0" applyFont="0" applyAlignment="0" applyProtection="0"/>
    <xf numFmtId="0" fontId="21" fillId="27" borderId="28" applyNumberFormat="0" applyFont="0" applyAlignment="0" applyProtection="0"/>
    <xf numFmtId="0" fontId="21" fillId="27" borderId="28" applyNumberFormat="0" applyFont="0" applyAlignment="0" applyProtection="0"/>
    <xf numFmtId="0" fontId="12" fillId="59" borderId="34" applyNumberFormat="0" applyFont="0" applyAlignment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70" fillId="0" borderId="0"/>
    <xf numFmtId="0" fontId="70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/>
    <xf numFmtId="0" fontId="71" fillId="0" borderId="0"/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15" borderId="18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37" fontId="26" fillId="62" borderId="0" applyNumberFormat="0" applyFont="0" applyBorder="0" applyAlignment="0" applyProtection="0"/>
    <xf numFmtId="0" fontId="91" fillId="0" borderId="0" applyNumberFormat="0" applyFill="0" applyBorder="0" applyAlignment="0" applyProtection="0"/>
    <xf numFmtId="169" fontId="12" fillId="0" borderId="25">
      <alignment horizontal="justify" vertical="top" wrapText="1"/>
    </xf>
    <xf numFmtId="169" fontId="12" fillId="0" borderId="25">
      <alignment horizontal="justify" vertical="top" wrapText="1"/>
    </xf>
    <xf numFmtId="169" fontId="12" fillId="0" borderId="25">
      <alignment horizontal="justify" vertical="top" wrapText="1"/>
    </xf>
    <xf numFmtId="0" fontId="92" fillId="63" borderId="36"/>
    <xf numFmtId="190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93" fillId="64" borderId="37" applyProtection="0">
      <alignment horizontal="right"/>
    </xf>
    <xf numFmtId="0" fontId="93" fillId="0" borderId="0" applyNumberFormat="0" applyFill="0" applyBorder="0" applyProtection="0">
      <alignment horizontal="left"/>
    </xf>
    <xf numFmtId="191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71" fillId="0" borderId="31"/>
    <xf numFmtId="38" fontId="12" fillId="0" borderId="0">
      <alignment horizontal="left" wrapText="1"/>
    </xf>
    <xf numFmtId="0" fontId="94" fillId="65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21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12"/>
    <xf numFmtId="0" fontId="80" fillId="0" borderId="38"/>
    <xf numFmtId="0" fontId="80" fillId="0" borderId="31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70" fillId="0" borderId="2"/>
    <xf numFmtId="38" fontId="31" fillId="0" borderId="27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0" borderId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8">
    <xf numFmtId="0" fontId="0" fillId="0" borderId="0" xfId="0"/>
    <xf numFmtId="164" fontId="7" fillId="0" borderId="0" xfId="4" applyNumberFormat="1" applyFont="1" applyFill="1" applyBorder="1" applyAlignment="1">
      <alignment horizontal="centerContinuous"/>
    </xf>
    <xf numFmtId="164" fontId="6" fillId="0" borderId="0" xfId="4" applyNumberFormat="1"/>
    <xf numFmtId="164" fontId="6" fillId="0" borderId="0" xfId="4" applyNumberFormat="1" applyFill="1"/>
    <xf numFmtId="37" fontId="10" fillId="0" borderId="0" xfId="4" applyNumberFormat="1" applyFont="1" applyFill="1" applyProtection="1"/>
    <xf numFmtId="164" fontId="10" fillId="0" borderId="0" xfId="4" applyNumberFormat="1" applyFont="1" applyFill="1" applyBorder="1"/>
    <xf numFmtId="37" fontId="11" fillId="0" borderId="0" xfId="4" applyNumberFormat="1" applyFont="1" applyFill="1" applyProtection="1"/>
    <xf numFmtId="37" fontId="11" fillId="0" borderId="0" xfId="4" applyNumberFormat="1" applyFont="1" applyFill="1" applyAlignment="1" applyProtection="1">
      <alignment horizontal="center"/>
    </xf>
    <xf numFmtId="5" fontId="6" fillId="0" borderId="0" xfId="4" applyNumberFormat="1" applyFill="1" applyProtection="1"/>
    <xf numFmtId="37" fontId="11" fillId="0" borderId="0" xfId="4" applyNumberFormat="1" applyFont="1" applyFill="1" applyBorder="1" applyAlignment="1" applyProtection="1">
      <alignment horizontal="center"/>
    </xf>
    <xf numFmtId="37" fontId="11" fillId="0" borderId="1" xfId="4" quotePrefix="1" applyNumberFormat="1" applyFont="1" applyFill="1" applyBorder="1" applyAlignment="1" applyProtection="1">
      <alignment horizontal="center"/>
    </xf>
    <xf numFmtId="164" fontId="6" fillId="0" borderId="0" xfId="4" applyNumberFormat="1" applyFont="1" applyBorder="1"/>
    <xf numFmtId="164" fontId="6" fillId="0" borderId="0" xfId="4" applyNumberFormat="1" applyBorder="1"/>
    <xf numFmtId="37" fontId="10" fillId="0" borderId="0" xfId="4" applyNumberFormat="1" applyFont="1" applyFill="1" applyProtection="1">
      <protection locked="0"/>
    </xf>
    <xf numFmtId="7" fontId="10" fillId="0" borderId="0" xfId="4" applyNumberFormat="1" applyFont="1" applyFill="1" applyProtection="1">
      <protection locked="0"/>
    </xf>
    <xf numFmtId="5" fontId="10" fillId="0" borderId="0" xfId="4" applyNumberFormat="1" applyFont="1" applyFill="1" applyProtection="1"/>
    <xf numFmtId="37" fontId="10" fillId="0" borderId="0" xfId="4" applyNumberFormat="1" applyFont="1" applyFill="1" applyBorder="1" applyProtection="1"/>
    <xf numFmtId="5" fontId="6" fillId="0" borderId="6" xfId="4" applyNumberFormat="1" applyFill="1" applyBorder="1" applyProtection="1"/>
    <xf numFmtId="5" fontId="6" fillId="0" borderId="7" xfId="4" applyNumberFormat="1" applyFill="1" applyBorder="1" applyProtection="1"/>
    <xf numFmtId="5" fontId="6" fillId="0" borderId="10" xfId="4" applyNumberFormat="1" applyFill="1" applyBorder="1" applyProtection="1"/>
    <xf numFmtId="7" fontId="10" fillId="0" borderId="0" xfId="4" applyNumberFormat="1" applyFont="1" applyFill="1" applyBorder="1" applyProtection="1"/>
    <xf numFmtId="5" fontId="10" fillId="0" borderId="0" xfId="4" applyNumberFormat="1" applyFont="1" applyFill="1" applyBorder="1" applyProtection="1"/>
    <xf numFmtId="164" fontId="6" fillId="0" borderId="0" xfId="4" applyNumberFormat="1" applyFont="1"/>
    <xf numFmtId="37" fontId="10" fillId="0" borderId="2" xfId="4" applyNumberFormat="1" applyFont="1" applyFill="1" applyBorder="1" applyProtection="1"/>
    <xf numFmtId="5" fontId="10" fillId="0" borderId="2" xfId="4" applyNumberFormat="1" applyFont="1" applyFill="1" applyBorder="1" applyProtection="1"/>
    <xf numFmtId="37" fontId="10" fillId="0" borderId="11" xfId="4" applyNumberFormat="1" applyFont="1" applyFill="1" applyBorder="1" applyProtection="1"/>
    <xf numFmtId="5" fontId="10" fillId="0" borderId="11" xfId="4" applyNumberFormat="1" applyFont="1" applyFill="1" applyBorder="1" applyProtection="1"/>
    <xf numFmtId="170" fontId="10" fillId="0" borderId="0" xfId="4" applyNumberFormat="1" applyFont="1" applyFill="1" applyProtection="1"/>
    <xf numFmtId="5" fontId="10" fillId="0" borderId="12" xfId="4" applyNumberFormat="1" applyFont="1" applyFill="1" applyBorder="1" applyProtection="1"/>
    <xf numFmtId="37" fontId="10" fillId="0" borderId="12" xfId="4" applyNumberFormat="1" applyFont="1" applyFill="1" applyBorder="1" applyProtection="1"/>
    <xf numFmtId="168" fontId="10" fillId="0" borderId="0" xfId="4" applyNumberFormat="1" applyFont="1" applyFill="1" applyProtection="1"/>
    <xf numFmtId="10" fontId="10" fillId="0" borderId="0" xfId="4" applyNumberFormat="1" applyFont="1" applyFill="1" applyProtection="1">
      <protection locked="0"/>
    </xf>
    <xf numFmtId="164" fontId="6" fillId="0" borderId="0" xfId="4" applyNumberFormat="1" applyFont="1" applyAlignment="1">
      <alignment horizontal="right"/>
    </xf>
    <xf numFmtId="6" fontId="6" fillId="0" borderId="0" xfId="3" applyNumberFormat="1" applyFont="1" applyAlignment="1">
      <alignment horizontal="right"/>
    </xf>
    <xf numFmtId="168" fontId="13" fillId="0" borderId="0" xfId="4" applyNumberFormat="1" applyFont="1" applyFill="1" applyAlignment="1" applyProtection="1">
      <alignment horizontal="right"/>
    </xf>
    <xf numFmtId="10" fontId="13" fillId="0" borderId="0" xfId="4" applyNumberFormat="1" applyFont="1" applyFill="1" applyAlignment="1" applyProtection="1">
      <alignment horizontal="right"/>
    </xf>
    <xf numFmtId="37" fontId="10" fillId="0" borderId="1" xfId="4" applyNumberFormat="1" applyFont="1" applyFill="1" applyBorder="1" applyProtection="1">
      <protection locked="0"/>
    </xf>
    <xf numFmtId="5" fontId="10" fillId="0" borderId="1" xfId="4" applyNumberFormat="1" applyFont="1" applyFill="1" applyBorder="1" applyProtection="1"/>
    <xf numFmtId="37" fontId="10" fillId="0" borderId="11" xfId="4" applyNumberFormat="1" applyFont="1" applyFill="1" applyBorder="1" applyProtection="1">
      <protection locked="0"/>
    </xf>
    <xf numFmtId="174" fontId="13" fillId="0" borderId="0" xfId="4" applyNumberFormat="1" applyFont="1" applyFill="1" applyAlignment="1" applyProtection="1">
      <alignment horizontal="right"/>
    </xf>
    <xf numFmtId="37" fontId="10" fillId="0" borderId="13" xfId="4" applyNumberFormat="1" applyFont="1" applyFill="1" applyBorder="1" applyProtection="1"/>
    <xf numFmtId="164" fontId="9" fillId="0" borderId="0" xfId="4" applyNumberFormat="1" applyFont="1"/>
    <xf numFmtId="175" fontId="9" fillId="0" borderId="0" xfId="4" applyNumberFormat="1" applyFont="1"/>
    <xf numFmtId="37" fontId="10" fillId="0" borderId="12" xfId="4" applyNumberFormat="1" applyFont="1" applyFill="1" applyBorder="1" applyProtection="1">
      <protection locked="0"/>
    </xf>
    <xf numFmtId="0" fontId="9" fillId="0" borderId="0" xfId="0" applyFont="1"/>
    <xf numFmtId="37" fontId="10" fillId="0" borderId="2" xfId="4" applyNumberFormat="1" applyFont="1" applyFill="1" applyBorder="1" applyProtection="1">
      <protection locked="0"/>
    </xf>
    <xf numFmtId="165" fontId="10" fillId="0" borderId="12" xfId="1" applyNumberFormat="1" applyFont="1" applyFill="1" applyBorder="1"/>
    <xf numFmtId="37" fontId="10" fillId="0" borderId="0" xfId="4" applyNumberFormat="1" applyFont="1" applyFill="1" applyBorder="1" applyProtection="1">
      <protection locked="0"/>
    </xf>
    <xf numFmtId="37" fontId="10" fillId="0" borderId="1" xfId="4" applyNumberFormat="1" applyFont="1" applyFill="1" applyBorder="1" applyProtection="1"/>
    <xf numFmtId="9" fontId="6" fillId="0" borderId="0" xfId="3" applyNumberFormat="1" applyFont="1"/>
    <xf numFmtId="9" fontId="6" fillId="0" borderId="0" xfId="4" applyNumberFormat="1"/>
    <xf numFmtId="5" fontId="10" fillId="0" borderId="0" xfId="4" applyNumberFormat="1" applyFont="1" applyFill="1" applyProtection="1">
      <protection locked="0"/>
    </xf>
    <xf numFmtId="37" fontId="10" fillId="0" borderId="14" xfId="4" applyNumberFormat="1" applyFont="1" applyFill="1" applyBorder="1" applyProtection="1"/>
    <xf numFmtId="173" fontId="10" fillId="0" borderId="0" xfId="1" applyNumberFormat="1" applyFont="1" applyFill="1"/>
    <xf numFmtId="173" fontId="10" fillId="0" borderId="11" xfId="1" applyNumberFormat="1" applyFont="1" applyFill="1" applyBorder="1"/>
    <xf numFmtId="0" fontId="0" fillId="0" borderId="0" xfId="0" applyAlignment="1"/>
    <xf numFmtId="37" fontId="8" fillId="0" borderId="0" xfId="5" quotePrefix="1" applyNumberFormat="1" applyFont="1" applyAlignment="1">
      <alignment horizontal="center"/>
    </xf>
    <xf numFmtId="37" fontId="8" fillId="0" borderId="0" xfId="5" quotePrefix="1" applyNumberFormat="1" applyFont="1" applyFill="1" applyAlignment="1">
      <alignment horizontal="center"/>
    </xf>
    <xf numFmtId="173" fontId="6" fillId="0" borderId="0" xfId="1" applyNumberFormat="1" applyFont="1" applyFill="1"/>
    <xf numFmtId="5" fontId="6" fillId="0" borderId="0" xfId="2" applyNumberFormat="1" applyFont="1" applyFill="1"/>
    <xf numFmtId="5" fontId="6" fillId="0" borderId="0" xfId="5" applyNumberFormat="1" applyFill="1"/>
    <xf numFmtId="5" fontId="6" fillId="0" borderId="1" xfId="2" applyNumberFormat="1" applyFont="1" applyFill="1" applyBorder="1"/>
    <xf numFmtId="5" fontId="6" fillId="0" borderId="0" xfId="2" applyNumberFormat="1" applyFont="1" applyFill="1" applyBorder="1"/>
    <xf numFmtId="5" fontId="6" fillId="0" borderId="0" xfId="5" applyNumberFormat="1" applyFill="1" applyBorder="1"/>
    <xf numFmtId="177" fontId="6" fillId="0" borderId="0" xfId="2" applyNumberFormat="1" applyFont="1" applyFill="1"/>
    <xf numFmtId="177" fontId="6" fillId="0" borderId="0" xfId="5" applyNumberFormat="1" applyFill="1"/>
    <xf numFmtId="5" fontId="6" fillId="0" borderId="11" xfId="2" applyNumberFormat="1" applyFont="1" applyFill="1" applyBorder="1"/>
    <xf numFmtId="0" fontId="10" fillId="0" borderId="1" xfId="6" applyFont="1" applyBorder="1" applyAlignment="1" applyProtection="1">
      <alignment horizontal="center"/>
      <protection locked="0"/>
    </xf>
    <xf numFmtId="166" fontId="10" fillId="0" borderId="0" xfId="6" applyNumberFormat="1" applyFont="1" applyProtection="1">
      <protection locked="0"/>
    </xf>
    <xf numFmtId="164" fontId="10" fillId="0" borderId="3" xfId="4" applyNumberFormat="1" applyFont="1" applyFill="1" applyBorder="1"/>
    <xf numFmtId="164" fontId="10" fillId="0" borderId="5" xfId="4" applyNumberFormat="1" applyFont="1" applyBorder="1"/>
    <xf numFmtId="164" fontId="10" fillId="0" borderId="8" xfId="4" applyNumberFormat="1" applyFont="1" applyBorder="1"/>
    <xf numFmtId="164" fontId="39" fillId="0" borderId="9" xfId="4" applyNumberFormat="1" applyFont="1" applyBorder="1"/>
    <xf numFmtId="164" fontId="10" fillId="0" borderId="5" xfId="4" applyNumberFormat="1" applyFont="1" applyFill="1" applyBorder="1"/>
    <xf numFmtId="164" fontId="6" fillId="0" borderId="7" xfId="4" applyNumberFormat="1" applyBorder="1"/>
    <xf numFmtId="164" fontId="10" fillId="0" borderId="9" xfId="4" applyNumberFormat="1" applyFont="1" applyFill="1" applyBorder="1"/>
    <xf numFmtId="10" fontId="6" fillId="0" borderId="10" xfId="3" applyNumberFormat="1" applyFont="1" applyBorder="1"/>
    <xf numFmtId="164" fontId="6" fillId="0" borderId="4" xfId="4" applyNumberFormat="1" applyFont="1" applyBorder="1"/>
    <xf numFmtId="164" fontId="10" fillId="0" borderId="0" xfId="4" applyNumberFormat="1" applyFont="1" applyBorder="1"/>
    <xf numFmtId="7" fontId="10" fillId="0" borderId="5" xfId="4" applyNumberFormat="1" applyFont="1" applyFill="1" applyBorder="1" applyProtection="1">
      <protection locked="0"/>
    </xf>
    <xf numFmtId="164" fontId="6" fillId="0" borderId="6" xfId="4" applyNumberFormat="1" applyFont="1" applyBorder="1"/>
    <xf numFmtId="5" fontId="6" fillId="0" borderId="3" xfId="4" applyNumberFormat="1" applyFill="1" applyBorder="1" applyProtection="1"/>
    <xf numFmtId="10" fontId="6" fillId="0" borderId="10" xfId="3" applyNumberFormat="1" applyFont="1" applyBorder="1" applyAlignment="1">
      <alignment horizontal="right"/>
    </xf>
    <xf numFmtId="164" fontId="8" fillId="0" borderId="0" xfId="5" applyFont="1" applyFill="1" applyBorder="1" applyAlignment="1">
      <alignment horizontal="center"/>
    </xf>
    <xf numFmtId="164" fontId="8" fillId="0" borderId="0" xfId="5" applyFont="1" applyFill="1" applyAlignment="1">
      <alignment horizontal="center"/>
    </xf>
    <xf numFmtId="164" fontId="8" fillId="0" borderId="0" xfId="5" applyFont="1" applyFill="1" applyBorder="1" applyAlignment="1">
      <alignment horizontal="centerContinuous"/>
    </xf>
    <xf numFmtId="164" fontId="8" fillId="0" borderId="1" xfId="5" quotePrefix="1" applyFont="1" applyFill="1" applyBorder="1" applyAlignment="1">
      <alignment horizontal="center"/>
    </xf>
    <xf numFmtId="164" fontId="8" fillId="0" borderId="0" xfId="5" applyFont="1"/>
    <xf numFmtId="164" fontId="8" fillId="0" borderId="0" xfId="5" applyFont="1" applyAlignment="1">
      <alignment horizontal="centerContinuous"/>
    </xf>
    <xf numFmtId="10" fontId="7" fillId="0" borderId="0" xfId="4" applyNumberFormat="1" applyFont="1" applyFill="1" applyAlignment="1">
      <alignment horizontal="centerContinuous"/>
    </xf>
    <xf numFmtId="5" fontId="10" fillId="0" borderId="0" xfId="4" applyNumberFormat="1" applyFont="1" applyFill="1" applyAlignment="1">
      <alignment horizontal="centerContinuous"/>
    </xf>
    <xf numFmtId="10" fontId="10" fillId="0" borderId="0" xfId="4" applyNumberFormat="1" applyFont="1" applyFill="1"/>
    <xf numFmtId="5" fontId="10" fillId="0" borderId="0" xfId="4" applyNumberFormat="1" applyFont="1" applyFill="1"/>
    <xf numFmtId="164" fontId="11" fillId="0" borderId="0" xfId="4" applyNumberFormat="1" applyFont="1" applyFill="1" applyBorder="1" applyAlignment="1">
      <alignment horizontal="center"/>
    </xf>
    <xf numFmtId="5" fontId="11" fillId="0" borderId="0" xfId="4" applyNumberFormat="1" applyFont="1" applyFill="1" applyAlignment="1">
      <alignment horizontal="center"/>
    </xf>
    <xf numFmtId="164" fontId="11" fillId="0" borderId="1" xfId="4" applyNumberFormat="1" applyFont="1" applyFill="1" applyBorder="1" applyAlignment="1">
      <alignment horizontal="centerContinuous"/>
    </xf>
    <xf numFmtId="10" fontId="11" fillId="0" borderId="1" xfId="4" applyNumberFormat="1" applyFont="1" applyFill="1" applyBorder="1" applyAlignment="1">
      <alignment horizontal="centerContinuous"/>
    </xf>
    <xf numFmtId="5" fontId="11" fillId="0" borderId="1" xfId="4" applyNumberFormat="1" applyFont="1" applyFill="1" applyBorder="1" applyAlignment="1">
      <alignment horizontal="centerContinuous"/>
    </xf>
    <xf numFmtId="10" fontId="11" fillId="0" borderId="0" xfId="4" applyNumberFormat="1" applyFont="1" applyFill="1" applyAlignment="1">
      <alignment horizontal="center"/>
    </xf>
    <xf numFmtId="10" fontId="11" fillId="0" borderId="2" xfId="4" applyNumberFormat="1" applyFont="1" applyFill="1" applyBorder="1" applyAlignment="1">
      <alignment horizontal="center"/>
    </xf>
    <xf numFmtId="7" fontId="10" fillId="0" borderId="0" xfId="4" applyNumberFormat="1" applyFont="1" applyFill="1" applyBorder="1" applyProtection="1">
      <protection locked="0"/>
    </xf>
    <xf numFmtId="167" fontId="10" fillId="0" borderId="0" xfId="4" applyNumberFormat="1" applyFont="1" applyFill="1" applyProtection="1">
      <protection locked="0"/>
    </xf>
    <xf numFmtId="0" fontId="10" fillId="0" borderId="0" xfId="0" applyFont="1" applyBorder="1"/>
    <xf numFmtId="10" fontId="10" fillId="0" borderId="0" xfId="3" applyNumberFormat="1" applyFont="1" applyBorder="1"/>
    <xf numFmtId="168" fontId="10" fillId="0" borderId="0" xfId="4" applyNumberFormat="1" applyFont="1" applyFill="1" applyProtection="1">
      <protection locked="0"/>
    </xf>
    <xf numFmtId="7" fontId="10" fillId="0" borderId="0" xfId="4" applyNumberFormat="1" applyFont="1" applyFill="1" applyProtection="1"/>
    <xf numFmtId="10" fontId="10" fillId="0" borderId="0" xfId="4" applyNumberFormat="1" applyFont="1" applyFill="1" applyProtection="1"/>
    <xf numFmtId="10" fontId="10" fillId="0" borderId="11" xfId="4" applyNumberFormat="1" applyFont="1" applyFill="1" applyBorder="1"/>
    <xf numFmtId="10" fontId="10" fillId="0" borderId="0" xfId="3" applyNumberFormat="1" applyFont="1" applyFill="1"/>
    <xf numFmtId="10" fontId="10" fillId="0" borderId="0" xfId="3" applyNumberFormat="1" applyFont="1" applyFill="1" applyBorder="1"/>
    <xf numFmtId="168" fontId="10" fillId="0" borderId="0" xfId="4" applyNumberFormat="1" applyFont="1" applyFill="1" applyBorder="1" applyProtection="1">
      <protection locked="0"/>
    </xf>
    <xf numFmtId="10" fontId="10" fillId="0" borderId="0" xfId="4" applyNumberFormat="1" applyFont="1" applyFill="1" applyBorder="1" applyProtection="1">
      <protection locked="0"/>
    </xf>
    <xf numFmtId="171" fontId="10" fillId="0" borderId="0" xfId="4" applyNumberFormat="1" applyFont="1" applyFill="1" applyProtection="1">
      <protection locked="0"/>
    </xf>
    <xf numFmtId="10" fontId="10" fillId="0" borderId="12" xfId="4" applyNumberFormat="1" applyFont="1" applyFill="1" applyBorder="1"/>
    <xf numFmtId="168" fontId="10" fillId="0" borderId="12" xfId="4" applyNumberFormat="1" applyFont="1" applyFill="1" applyBorder="1" applyProtection="1"/>
    <xf numFmtId="168" fontId="10" fillId="0" borderId="0" xfId="4" applyNumberFormat="1" applyFont="1" applyFill="1" applyBorder="1" applyProtection="1"/>
    <xf numFmtId="10" fontId="10" fillId="0" borderId="1" xfId="4" applyNumberFormat="1" applyFont="1" applyFill="1" applyBorder="1"/>
    <xf numFmtId="169" fontId="10" fillId="0" borderId="0" xfId="4" applyNumberFormat="1" applyFont="1" applyFill="1" applyProtection="1">
      <protection locked="0"/>
    </xf>
    <xf numFmtId="164" fontId="10" fillId="0" borderId="0" xfId="4" applyNumberFormat="1" applyFont="1" applyFill="1" applyProtection="1">
      <protection locked="0"/>
    </xf>
    <xf numFmtId="171" fontId="10" fillId="0" borderId="0" xfId="4" applyNumberFormat="1" applyFont="1" applyFill="1" applyProtection="1"/>
    <xf numFmtId="10" fontId="10" fillId="0" borderId="2" xfId="4" applyNumberFormat="1" applyFont="1" applyFill="1" applyBorder="1"/>
    <xf numFmtId="10" fontId="10" fillId="0" borderId="0" xfId="4" applyNumberFormat="1" applyFont="1" applyFill="1" applyBorder="1" applyProtection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2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0" fontId="10" fillId="0" borderId="0" xfId="4" applyNumberFormat="1" applyFont="1" applyFill="1" applyBorder="1"/>
    <xf numFmtId="172" fontId="10" fillId="0" borderId="0" xfId="1" applyNumberFormat="1" applyFont="1" applyFill="1" applyProtection="1">
      <protection locked="0"/>
    </xf>
    <xf numFmtId="10" fontId="10" fillId="0" borderId="0" xfId="1" applyNumberFormat="1" applyFont="1" applyFill="1" applyProtection="1">
      <protection locked="0"/>
    </xf>
    <xf numFmtId="176" fontId="10" fillId="0" borderId="0" xfId="4" applyNumberFormat="1" applyFont="1" applyFill="1" applyProtection="1">
      <protection locked="0"/>
    </xf>
    <xf numFmtId="176" fontId="10" fillId="0" borderId="0" xfId="4" applyNumberFormat="1" applyFont="1" applyFill="1" applyBorder="1" applyProtection="1">
      <protection locked="0"/>
    </xf>
    <xf numFmtId="176" fontId="10" fillId="0" borderId="0" xfId="4" applyNumberFormat="1" applyFont="1" applyFill="1" applyBorder="1" applyProtection="1"/>
    <xf numFmtId="164" fontId="10" fillId="0" borderId="0" xfId="4" applyNumberFormat="1" applyFont="1" applyFill="1" applyProtection="1"/>
    <xf numFmtId="164" fontId="10" fillId="0" borderId="0" xfId="4" applyNumberFormat="1" applyFont="1" applyFill="1" applyBorder="1" applyProtection="1"/>
    <xf numFmtId="172" fontId="10" fillId="0" borderId="0" xfId="1" applyNumberFormat="1" applyFont="1" applyFill="1" applyProtection="1"/>
    <xf numFmtId="172" fontId="10" fillId="0" borderId="0" xfId="1" applyNumberFormat="1" applyFont="1" applyFill="1" applyBorder="1" applyProtection="1"/>
    <xf numFmtId="168" fontId="10" fillId="0" borderId="11" xfId="4" applyNumberFormat="1" applyFont="1" applyFill="1" applyBorder="1" applyProtection="1"/>
    <xf numFmtId="164" fontId="10" fillId="0" borderId="0" xfId="4" applyNumberFormat="1" applyFont="1" applyFill="1" applyBorder="1" applyProtection="1">
      <protection locked="0"/>
    </xf>
    <xf numFmtId="3" fontId="6" fillId="0" borderId="0" xfId="4" applyNumberFormat="1" applyBorder="1" applyAlignment="1">
      <alignment horizontal="center"/>
    </xf>
    <xf numFmtId="10" fontId="10" fillId="0" borderId="3" xfId="4" applyNumberFormat="1" applyFont="1" applyFill="1" applyBorder="1" applyAlignment="1">
      <alignment horizontal="right"/>
    </xf>
    <xf numFmtId="164" fontId="14" fillId="0" borderId="4" xfId="4" applyNumberFormat="1" applyFont="1" applyFill="1" applyBorder="1"/>
    <xf numFmtId="164" fontId="8" fillId="0" borderId="0" xfId="5" applyFont="1" applyFill="1" applyAlignment="1">
      <alignment horizontal="centerContinuous"/>
    </xf>
    <xf numFmtId="164" fontId="6" fillId="0" borderId="0" xfId="5" applyFill="1" applyAlignment="1">
      <alignment horizontal="centerContinuous"/>
    </xf>
    <xf numFmtId="164" fontId="6" fillId="0" borderId="0" xfId="5"/>
    <xf numFmtId="164" fontId="6" fillId="0" borderId="0" xfId="5" applyAlignment="1">
      <alignment horizontal="centerContinuous"/>
    </xf>
    <xf numFmtId="164" fontId="6" fillId="0" borderId="0" xfId="5" applyFill="1"/>
    <xf numFmtId="164" fontId="8" fillId="0" borderId="0" xfId="5" applyFont="1" applyAlignment="1">
      <alignment horizontal="center"/>
    </xf>
    <xf numFmtId="164" fontId="8" fillId="0" borderId="1" xfId="5" applyFont="1" applyBorder="1" applyAlignment="1">
      <alignment horizontal="center"/>
    </xf>
    <xf numFmtId="164" fontId="8" fillId="0" borderId="0" xfId="5" applyFont="1" applyFill="1"/>
    <xf numFmtId="164" fontId="6" fillId="0" borderId="0" xfId="5" applyFont="1" applyAlignment="1">
      <alignment horizontal="right"/>
    </xf>
    <xf numFmtId="164" fontId="6" fillId="0" borderId="0" xfId="5" applyAlignment="1">
      <alignment horizontal="right"/>
    </xf>
    <xf numFmtId="164" fontId="6" fillId="0" borderId="0" xfId="5" applyFont="1"/>
    <xf numFmtId="164" fontId="6" fillId="0" borderId="0" xfId="5" applyBorder="1" applyAlignment="1">
      <alignment horizontal="right"/>
    </xf>
    <xf numFmtId="176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164" fontId="6" fillId="0" borderId="0" xfId="5" applyBorder="1"/>
    <xf numFmtId="164" fontId="6" fillId="0" borderId="0" xfId="5" applyFill="1" applyBorder="1"/>
    <xf numFmtId="164" fontId="6" fillId="0" borderId="0" xfId="4"/>
    <xf numFmtId="164" fontId="9" fillId="0" borderId="0" xfId="4" applyFont="1" applyFill="1"/>
    <xf numFmtId="164" fontId="6" fillId="0" borderId="0" xfId="4" applyBorder="1"/>
    <xf numFmtId="164" fontId="16" fillId="0" borderId="0" xfId="4" applyFont="1"/>
    <xf numFmtId="164" fontId="6" fillId="0" borderId="0" xfId="4" applyFont="1"/>
    <xf numFmtId="164" fontId="9" fillId="0" borderId="0" xfId="4" applyFont="1"/>
    <xf numFmtId="164" fontId="7" fillId="0" borderId="0" xfId="4" applyFont="1" applyFill="1" applyAlignment="1">
      <alignment horizontal="centerContinuous"/>
    </xf>
    <xf numFmtId="164" fontId="7" fillId="0" borderId="0" xfId="4" applyFont="1" applyFill="1" applyBorder="1" applyAlignment="1">
      <alignment horizontal="centerContinuous"/>
    </xf>
    <xf numFmtId="164" fontId="10" fillId="0" borderId="0" xfId="4" applyFont="1" applyFill="1" applyBorder="1"/>
    <xf numFmtId="164" fontId="10" fillId="0" borderId="0" xfId="4" applyFont="1" applyFill="1"/>
    <xf numFmtId="164" fontId="11" fillId="0" borderId="1" xfId="4" applyFont="1" applyFill="1" applyBorder="1" applyAlignment="1">
      <alignment horizontal="centerContinuous"/>
    </xf>
    <xf numFmtId="164" fontId="11" fillId="0" borderId="0" xfId="4" applyFont="1" applyFill="1" applyAlignment="1">
      <alignment horizontal="center"/>
    </xf>
    <xf numFmtId="164" fontId="11" fillId="0" borderId="2" xfId="4" applyFont="1" applyFill="1" applyBorder="1" applyAlignment="1">
      <alignment horizontal="center"/>
    </xf>
    <xf numFmtId="164" fontId="40" fillId="0" borderId="0" xfId="4" applyFont="1" applyFill="1" applyBorder="1"/>
    <xf numFmtId="164" fontId="10" fillId="0" borderId="11" xfId="4" applyFont="1" applyFill="1" applyBorder="1"/>
    <xf numFmtId="164" fontId="10" fillId="0" borderId="12" xfId="4" applyFont="1" applyFill="1" applyBorder="1"/>
    <xf numFmtId="164" fontId="10" fillId="0" borderId="1" xfId="4" applyFont="1" applyFill="1" applyBorder="1"/>
    <xf numFmtId="164" fontId="10" fillId="0" borderId="2" xfId="4" applyFont="1" applyFill="1" applyBorder="1"/>
    <xf numFmtId="171" fontId="10" fillId="0" borderId="0" xfId="4" applyNumberFormat="1" applyFont="1" applyFill="1" applyBorder="1" applyProtection="1"/>
    <xf numFmtId="10" fontId="10" fillId="0" borderId="0" xfId="1" applyNumberFormat="1" applyFont="1" applyFill="1" applyBorder="1"/>
    <xf numFmtId="164" fontId="8" fillId="0" borderId="0" xfId="5" applyFont="1" applyFill="1" applyAlignment="1">
      <alignment horizontal="left"/>
    </xf>
    <xf numFmtId="164" fontId="6" fillId="0" borderId="0" xfId="5" applyFill="1" applyBorder="1" applyAlignment="1">
      <alignment horizontal="centerContinuous"/>
    </xf>
    <xf numFmtId="5" fontId="10" fillId="0" borderId="11" xfId="2" applyNumberFormat="1" applyFont="1" applyFill="1" applyBorder="1"/>
    <xf numFmtId="164" fontId="10" fillId="0" borderId="0" xfId="5" applyFont="1"/>
    <xf numFmtId="164" fontId="11" fillId="0" borderId="1" xfId="5" quotePrefix="1" applyFont="1" applyFill="1" applyBorder="1" applyAlignment="1">
      <alignment horizontal="center"/>
    </xf>
    <xf numFmtId="166" fontId="10" fillId="0" borderId="0" xfId="2" applyNumberFormat="1" applyFont="1" applyFill="1"/>
    <xf numFmtId="166" fontId="10" fillId="0" borderId="1" xfId="2" applyNumberFormat="1" applyFont="1" applyFill="1" applyBorder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4" fontId="10" fillId="0" borderId="0" xfId="4" applyFont="1" applyFill="1" applyAlignment="1">
      <alignment horizontal="centerContinuous"/>
    </xf>
    <xf numFmtId="164" fontId="11" fillId="0" borderId="0" xfId="4" applyFont="1" applyFill="1" applyBorder="1" applyAlignment="1">
      <alignment horizontal="center"/>
    </xf>
    <xf numFmtId="164" fontId="10" fillId="0" borderId="0" xfId="4" applyFont="1" applyFill="1" applyAlignment="1">
      <alignment horizontal="left"/>
    </xf>
    <xf numFmtId="5" fontId="40" fillId="0" borderId="0" xfId="4" applyNumberFormat="1" applyFont="1" applyFill="1" applyProtection="1"/>
    <xf numFmtId="164" fontId="10" fillId="0" borderId="0" xfId="4" applyFont="1" applyFill="1" applyBorder="1" applyAlignment="1">
      <alignment horizontal="left"/>
    </xf>
    <xf numFmtId="164" fontId="10" fillId="0" borderId="0" xfId="4" applyFont="1"/>
    <xf numFmtId="164" fontId="10" fillId="0" borderId="0" xfId="4" applyFont="1" applyBorder="1"/>
    <xf numFmtId="10" fontId="14" fillId="0" borderId="0" xfId="4" applyNumberFormat="1" applyFont="1" applyFill="1"/>
    <xf numFmtId="164" fontId="14" fillId="0" borderId="0" xfId="5" applyFont="1" applyFill="1" applyBorder="1"/>
    <xf numFmtId="3" fontId="45" fillId="0" borderId="0" xfId="213" applyNumberFormat="1" applyFont="1" applyAlignment="1">
      <alignment horizontal="centerContinuous"/>
    </xf>
    <xf numFmtId="0" fontId="46" fillId="0" borderId="0" xfId="213" applyFont="1" applyAlignment="1">
      <alignment horizontal="centerContinuous"/>
    </xf>
    <xf numFmtId="178" fontId="46" fillId="0" borderId="0" xfId="213" applyNumberFormat="1" applyFont="1" applyAlignment="1">
      <alignment horizontal="centerContinuous"/>
    </xf>
    <xf numFmtId="7" fontId="46" fillId="0" borderId="0" xfId="213" applyNumberFormat="1" applyFont="1" applyAlignment="1">
      <alignment horizontal="centerContinuous"/>
    </xf>
    <xf numFmtId="0" fontId="46" fillId="0" borderId="0" xfId="213" applyFont="1" applyBorder="1" applyAlignment="1">
      <alignment horizontal="centerContinuous"/>
    </xf>
    <xf numFmtId="0" fontId="46" fillId="0" borderId="0" xfId="213" applyFont="1" applyBorder="1"/>
    <xf numFmtId="164" fontId="8" fillId="0" borderId="0" xfId="4" applyFont="1" applyFill="1" applyBorder="1" applyAlignment="1">
      <alignment horizontal="right"/>
    </xf>
    <xf numFmtId="9" fontId="8" fillId="0" borderId="0" xfId="4" applyNumberFormat="1" applyFont="1" applyBorder="1" applyAlignment="1">
      <alignment horizontal="right"/>
    </xf>
    <xf numFmtId="0" fontId="46" fillId="0" borderId="0" xfId="213" applyFont="1"/>
    <xf numFmtId="10" fontId="8" fillId="0" borderId="0" xfId="4" applyNumberFormat="1" applyFont="1" applyBorder="1" applyAlignment="1">
      <alignment horizontal="right"/>
    </xf>
    <xf numFmtId="164" fontId="8" fillId="0" borderId="0" xfId="4" applyFont="1" applyFill="1" applyBorder="1"/>
    <xf numFmtId="165" fontId="8" fillId="0" borderId="0" xfId="4" applyNumberFormat="1" applyFont="1" applyBorder="1"/>
    <xf numFmtId="3" fontId="47" fillId="0" borderId="0" xfId="213" applyNumberFormat="1" applyFont="1" applyBorder="1" applyAlignment="1">
      <alignment horizontal="left"/>
    </xf>
    <xf numFmtId="178" fontId="46" fillId="0" borderId="0" xfId="213" applyNumberFormat="1" applyFont="1" applyBorder="1"/>
    <xf numFmtId="0" fontId="48" fillId="0" borderId="0" xfId="213" applyFont="1" applyBorder="1" applyAlignment="1">
      <alignment horizontal="centerContinuous"/>
    </xf>
    <xf numFmtId="178" fontId="48" fillId="0" borderId="0" xfId="213" applyNumberFormat="1" applyFont="1" applyBorder="1" applyAlignment="1">
      <alignment horizontal="centerContinuous"/>
    </xf>
    <xf numFmtId="0" fontId="48" fillId="0" borderId="0" xfId="213" applyFont="1" applyAlignment="1">
      <alignment horizontal="centerContinuous"/>
    </xf>
    <xf numFmtId="178" fontId="48" fillId="0" borderId="0" xfId="213" applyNumberFormat="1" applyFont="1" applyAlignment="1">
      <alignment horizontal="centerContinuous"/>
    </xf>
    <xf numFmtId="3" fontId="46" fillId="0" borderId="0" xfId="213" applyNumberFormat="1" applyFont="1"/>
    <xf numFmtId="178" fontId="46" fillId="0" borderId="0" xfId="213" applyNumberFormat="1" applyFont="1"/>
    <xf numFmtId="178" fontId="46" fillId="0" borderId="0" xfId="213" applyNumberFormat="1" applyFont="1" applyBorder="1" applyAlignment="1">
      <alignment horizontal="centerContinuous"/>
    </xf>
    <xf numFmtId="178" fontId="48" fillId="0" borderId="1" xfId="213" applyNumberFormat="1" applyFont="1" applyBorder="1" applyAlignment="1">
      <alignment horizontal="centerContinuous"/>
    </xf>
    <xf numFmtId="0" fontId="12" fillId="0" borderId="1" xfId="213" applyBorder="1" applyAlignment="1">
      <alignment horizontal="centerContinuous"/>
    </xf>
    <xf numFmtId="178" fontId="46" fillId="0" borderId="1" xfId="213" applyNumberFormat="1" applyFont="1" applyBorder="1" applyAlignment="1">
      <alignment horizontal="centerContinuous"/>
    </xf>
    <xf numFmtId="0" fontId="46" fillId="0" borderId="1" xfId="213" applyFont="1" applyBorder="1" applyAlignment="1">
      <alignment horizontal="centerContinuous"/>
    </xf>
    <xf numFmtId="7" fontId="46" fillId="0" borderId="1" xfId="213" applyNumberFormat="1" applyFont="1" applyBorder="1" applyAlignment="1">
      <alignment horizontal="centerContinuous"/>
    </xf>
    <xf numFmtId="7" fontId="46" fillId="0" borderId="0" xfId="213" applyNumberFormat="1" applyFont="1"/>
    <xf numFmtId="3" fontId="50" fillId="0" borderId="0" xfId="213" applyNumberFormat="1" applyFont="1" applyAlignment="1">
      <alignment horizontal="center"/>
    </xf>
    <xf numFmtId="178" fontId="46" fillId="0" borderId="23" xfId="213" applyNumberFormat="1" applyFont="1" applyBorder="1" applyAlignment="1">
      <alignment horizontal="centerContinuous"/>
    </xf>
    <xf numFmtId="178" fontId="46" fillId="0" borderId="23" xfId="213" applyNumberFormat="1" applyFont="1" applyBorder="1" applyAlignment="1">
      <alignment horizontal="centerContinuous" wrapText="1"/>
    </xf>
    <xf numFmtId="7" fontId="46" fillId="0" borderId="1" xfId="213" applyNumberFormat="1" applyFont="1" applyBorder="1" applyAlignment="1">
      <alignment horizontal="center"/>
    </xf>
    <xf numFmtId="0" fontId="46" fillId="0" borderId="1" xfId="213" applyFont="1" applyBorder="1" applyAlignment="1">
      <alignment horizontal="center"/>
    </xf>
    <xf numFmtId="0" fontId="46" fillId="0" borderId="0" xfId="213" applyFont="1" applyAlignment="1">
      <alignment horizontal="center"/>
    </xf>
    <xf numFmtId="7" fontId="46" fillId="0" borderId="0" xfId="3" applyNumberFormat="1" applyFont="1"/>
    <xf numFmtId="166" fontId="46" fillId="0" borderId="0" xfId="3" applyNumberFormat="1" applyFont="1"/>
    <xf numFmtId="0" fontId="48" fillId="0" borderId="3" xfId="213" applyFont="1" applyBorder="1"/>
    <xf numFmtId="0" fontId="48" fillId="0" borderId="23" xfId="213" applyFont="1" applyBorder="1" applyAlignment="1">
      <alignment horizontal="center"/>
    </xf>
    <xf numFmtId="0" fontId="48" fillId="0" borderId="4" xfId="213" applyFont="1" applyBorder="1" applyAlignment="1">
      <alignment horizontal="center"/>
    </xf>
    <xf numFmtId="39" fontId="46" fillId="0" borderId="0" xfId="213" applyNumberFormat="1" applyFont="1"/>
    <xf numFmtId="0" fontId="51" fillId="0" borderId="8" xfId="213" applyFont="1" applyBorder="1"/>
    <xf numFmtId="0" fontId="46" fillId="0" borderId="7" xfId="213" applyFont="1" applyBorder="1"/>
    <xf numFmtId="0" fontId="46" fillId="0" borderId="8" xfId="213" applyFont="1" applyBorder="1"/>
    <xf numFmtId="7" fontId="52" fillId="0" borderId="0" xfId="213" applyNumberFormat="1" applyFont="1" applyBorder="1"/>
    <xf numFmtId="7" fontId="52" fillId="0" borderId="7" xfId="213" applyNumberFormat="1" applyFont="1" applyBorder="1"/>
    <xf numFmtId="166" fontId="46" fillId="0" borderId="0" xfId="213" applyNumberFormat="1" applyFont="1"/>
    <xf numFmtId="169" fontId="52" fillId="0" borderId="0" xfId="213" applyNumberFormat="1" applyFont="1" applyBorder="1"/>
    <xf numFmtId="169" fontId="52" fillId="0" borderId="7" xfId="213" applyNumberFormat="1" applyFont="1" applyBorder="1"/>
    <xf numFmtId="10" fontId="52" fillId="0" borderId="0" xfId="3" applyNumberFormat="1" applyFont="1" applyBorder="1"/>
    <xf numFmtId="7" fontId="46" fillId="0" borderId="0" xfId="213" applyNumberFormat="1" applyFont="1" applyBorder="1"/>
    <xf numFmtId="7" fontId="46" fillId="0" borderId="7" xfId="213" applyNumberFormat="1" applyFont="1" applyBorder="1"/>
    <xf numFmtId="184" fontId="53" fillId="0" borderId="0" xfId="213" applyNumberFormat="1" applyFont="1" applyBorder="1"/>
    <xf numFmtId="184" fontId="53" fillId="0" borderId="7" xfId="213" applyNumberFormat="1" applyFont="1" applyBorder="1"/>
    <xf numFmtId="0" fontId="46" fillId="0" borderId="9" xfId="213" applyFont="1" applyBorder="1"/>
    <xf numFmtId="10" fontId="46" fillId="0" borderId="1" xfId="3" applyNumberFormat="1" applyFont="1" applyBorder="1"/>
    <xf numFmtId="10" fontId="46" fillId="0" borderId="10" xfId="3" applyNumberFormat="1" applyFont="1" applyBorder="1"/>
    <xf numFmtId="10" fontId="53" fillId="0" borderId="0" xfId="213" applyNumberFormat="1" applyFont="1" applyBorder="1"/>
    <xf numFmtId="9" fontId="46" fillId="0" borderId="0" xfId="213" applyNumberFormat="1" applyFont="1"/>
    <xf numFmtId="3" fontId="49" fillId="0" borderId="0" xfId="213" applyNumberFormat="1" applyFont="1"/>
    <xf numFmtId="0" fontId="46" fillId="0" borderId="5" xfId="213" applyFont="1" applyBorder="1" applyAlignment="1">
      <alignment horizontal="centerContinuous"/>
    </xf>
    <xf numFmtId="0" fontId="46" fillId="0" borderId="22" xfId="213" applyFont="1" applyBorder="1" applyAlignment="1">
      <alignment horizontal="centerContinuous"/>
    </xf>
    <xf numFmtId="0" fontId="46" fillId="0" borderId="3" xfId="213" applyFont="1" applyBorder="1" applyAlignment="1">
      <alignment horizontal="centerContinuous"/>
    </xf>
    <xf numFmtId="0" fontId="46" fillId="0" borderId="4" xfId="213" applyFont="1" applyBorder="1" applyAlignment="1">
      <alignment horizontal="centerContinuous"/>
    </xf>
    <xf numFmtId="0" fontId="46" fillId="0" borderId="21" xfId="213" applyFont="1" applyBorder="1" applyAlignment="1">
      <alignment horizontal="centerContinuous"/>
    </xf>
    <xf numFmtId="0" fontId="46" fillId="0" borderId="3" xfId="213" applyFont="1" applyBorder="1" applyAlignment="1">
      <alignment horizontal="center"/>
    </xf>
    <xf numFmtId="0" fontId="46" fillId="0" borderId="9" xfId="213" applyFont="1" applyBorder="1" applyAlignment="1">
      <alignment horizontal="center"/>
    </xf>
    <xf numFmtId="0" fontId="46" fillId="0" borderId="25" xfId="213" applyFont="1" applyBorder="1" applyAlignment="1">
      <alignment horizontal="center"/>
    </xf>
    <xf numFmtId="0" fontId="46" fillId="0" borderId="21" xfId="213" applyFont="1" applyBorder="1" applyAlignment="1">
      <alignment horizontal="center"/>
    </xf>
    <xf numFmtId="0" fontId="46" fillId="0" borderId="26" xfId="213" applyFont="1" applyBorder="1"/>
    <xf numFmtId="1" fontId="46" fillId="0" borderId="0" xfId="213" applyNumberFormat="1" applyFont="1" applyBorder="1"/>
    <xf numFmtId="178" fontId="46" fillId="0" borderId="8" xfId="213" applyNumberFormat="1" applyFont="1" applyBorder="1"/>
    <xf numFmtId="166" fontId="46" fillId="0" borderId="26" xfId="3" applyNumberFormat="1" applyFont="1" applyBorder="1"/>
    <xf numFmtId="0" fontId="46" fillId="0" borderId="27" xfId="213" applyFont="1" applyBorder="1"/>
    <xf numFmtId="166" fontId="46" fillId="0" borderId="27" xfId="3" applyNumberFormat="1" applyFont="1" applyBorder="1"/>
    <xf numFmtId="2" fontId="46" fillId="0" borderId="27" xfId="213" applyNumberFormat="1" applyFont="1" applyBorder="1"/>
    <xf numFmtId="3" fontId="46" fillId="0" borderId="0" xfId="213" applyNumberFormat="1" applyFont="1" applyBorder="1"/>
    <xf numFmtId="0" fontId="12" fillId="0" borderId="0" xfId="213" applyBorder="1" applyAlignment="1">
      <alignment horizontal="centerContinuous"/>
    </xf>
    <xf numFmtId="7" fontId="46" fillId="0" borderId="0" xfId="213" applyNumberFormat="1" applyFont="1" applyBorder="1" applyAlignment="1">
      <alignment horizontal="centerContinuous"/>
    </xf>
    <xf numFmtId="3" fontId="50" fillId="0" borderId="0" xfId="213" applyNumberFormat="1" applyFont="1" applyBorder="1" applyAlignment="1">
      <alignment horizontal="center"/>
    </xf>
    <xf numFmtId="178" fontId="46" fillId="0" borderId="0" xfId="213" applyNumberFormat="1" applyFont="1" applyBorder="1" applyAlignment="1">
      <alignment horizontal="centerContinuous" wrapText="1"/>
    </xf>
    <xf numFmtId="7" fontId="46" fillId="0" borderId="0" xfId="213" applyNumberFormat="1" applyFont="1" applyBorder="1" applyAlignment="1">
      <alignment horizontal="center"/>
    </xf>
    <xf numFmtId="0" fontId="46" fillId="0" borderId="0" xfId="213" applyFont="1" applyBorder="1" applyAlignment="1">
      <alignment horizontal="center"/>
    </xf>
    <xf numFmtId="166" fontId="46" fillId="0" borderId="0" xfId="3" applyNumberFormat="1" applyFont="1" applyBorder="1"/>
    <xf numFmtId="7" fontId="46" fillId="0" borderId="0" xfId="3" applyNumberFormat="1" applyFont="1" applyBorder="1"/>
    <xf numFmtId="0" fontId="46" fillId="26" borderId="25" xfId="213" applyFont="1" applyFill="1" applyBorder="1"/>
    <xf numFmtId="3" fontId="46" fillId="26" borderId="1" xfId="213" applyNumberFormat="1" applyFont="1" applyFill="1" applyBorder="1"/>
    <xf numFmtId="178" fontId="46" fillId="26" borderId="9" xfId="213" applyNumberFormat="1" applyFont="1" applyFill="1" applyBorder="1"/>
    <xf numFmtId="166" fontId="46" fillId="26" borderId="25" xfId="3" applyNumberFormat="1" applyFont="1" applyFill="1" applyBorder="1"/>
    <xf numFmtId="164" fontId="8" fillId="0" borderId="0" xfId="5" applyNumberFormat="1" applyFont="1" applyAlignment="1">
      <alignment horizontal="centerContinuous"/>
    </xf>
    <xf numFmtId="164" fontId="8" fillId="0" borderId="0" xfId="5" applyNumberFormat="1" applyFont="1" applyFill="1" applyAlignment="1">
      <alignment horizontal="centerContinuous"/>
    </xf>
    <xf numFmtId="164" fontId="6" fillId="0" borderId="0" xfId="5" applyNumberFormat="1" applyFill="1" applyAlignment="1">
      <alignment horizontal="centerContinuous"/>
    </xf>
    <xf numFmtId="166" fontId="6" fillId="0" borderId="0" xfId="5" applyNumberFormat="1" applyFill="1" applyAlignment="1">
      <alignment horizontal="centerContinuous"/>
    </xf>
    <xf numFmtId="164" fontId="6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6" fillId="0" borderId="0" xfId="5" applyNumberFormat="1" applyAlignment="1">
      <alignment horizontal="centerContinuous"/>
    </xf>
    <xf numFmtId="166" fontId="6" fillId="0" borderId="0" xfId="5" applyNumberFormat="1" applyAlignment="1">
      <alignment horizontal="centerContinuous"/>
    </xf>
    <xf numFmtId="164" fontId="8" fillId="0" borderId="0" xfId="5" applyNumberFormat="1" applyFont="1" applyFill="1" applyBorder="1" applyAlignment="1">
      <alignment horizontal="left"/>
    </xf>
    <xf numFmtId="164" fontId="8" fillId="0" borderId="0" xfId="5" applyNumberFormat="1" applyFont="1" applyFill="1" applyAlignment="1">
      <alignment horizontal="center"/>
    </xf>
    <xf numFmtId="164" fontId="6" fillId="0" borderId="0" xfId="5" applyNumberFormat="1" applyFill="1"/>
    <xf numFmtId="166" fontId="6" fillId="0" borderId="0" xfId="5" applyNumberFormat="1" applyFill="1"/>
    <xf numFmtId="164" fontId="8" fillId="0" borderId="0" xfId="5" applyNumberFormat="1" applyFont="1" applyAlignment="1">
      <alignment horizontal="center"/>
    </xf>
    <xf numFmtId="164" fontId="8" fillId="0" borderId="1" xfId="5" applyFont="1" applyFill="1" applyBorder="1" applyAlignment="1">
      <alignment horizontal="centerContinuous"/>
    </xf>
    <xf numFmtId="166" fontId="8" fillId="0" borderId="1" xfId="5" applyNumberFormat="1" applyFont="1" applyFill="1" applyBorder="1" applyAlignment="1">
      <alignment horizontal="centerContinuous"/>
    </xf>
    <xf numFmtId="164" fontId="8" fillId="0" borderId="0" xfId="5" applyNumberFormat="1" applyFont="1"/>
    <xf numFmtId="164" fontId="8" fillId="0" borderId="0" xfId="5" applyNumberFormat="1" applyFont="1" applyFill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4" fontId="8" fillId="0" borderId="1" xfId="5" applyNumberFormat="1" applyFont="1" applyFill="1" applyBorder="1" applyAlignment="1">
      <alignment horizontal="center"/>
    </xf>
    <xf numFmtId="166" fontId="8" fillId="0" borderId="1" xfId="5" applyNumberFormat="1" applyFont="1" applyFill="1" applyBorder="1" applyAlignment="1">
      <alignment horizontal="center"/>
    </xf>
    <xf numFmtId="164" fontId="8" fillId="0" borderId="0" xfId="5" applyNumberFormat="1" applyFont="1" applyFill="1"/>
    <xf numFmtId="166" fontId="8" fillId="0" borderId="0" xfId="5" applyNumberFormat="1" applyFont="1" applyFill="1" applyAlignment="1">
      <alignment horizontal="center"/>
    </xf>
    <xf numFmtId="164" fontId="6" fillId="0" borderId="0" xfId="5" applyNumberFormat="1" applyFont="1" applyAlignment="1">
      <alignment horizontal="right"/>
    </xf>
    <xf numFmtId="166" fontId="6" fillId="0" borderId="0" xfId="2" applyNumberFormat="1" applyFont="1" applyFill="1"/>
    <xf numFmtId="164" fontId="6" fillId="0" borderId="0" xfId="5" applyNumberFormat="1" applyFont="1"/>
    <xf numFmtId="164" fontId="6" fillId="0" borderId="0" xfId="5" applyNumberFormat="1" applyBorder="1" applyAlignment="1">
      <alignment horizontal="right"/>
    </xf>
    <xf numFmtId="164" fontId="6" fillId="0" borderId="1" xfId="5" applyNumberFormat="1" applyFill="1" applyBorder="1" applyAlignment="1">
      <alignment horizontal="right"/>
    </xf>
    <xf numFmtId="166" fontId="6" fillId="0" borderId="1" xfId="2" applyNumberFormat="1" applyFont="1" applyFill="1" applyBorder="1"/>
    <xf numFmtId="164" fontId="6" fillId="0" borderId="0" xfId="5" quotePrefix="1" applyNumberFormat="1" applyAlignment="1">
      <alignment horizontal="right"/>
    </xf>
    <xf numFmtId="164" fontId="6" fillId="0" borderId="0" xfId="5" applyNumberFormat="1" applyAlignment="1">
      <alignment horizontal="right"/>
    </xf>
    <xf numFmtId="173" fontId="6" fillId="0" borderId="1" xfId="1" applyNumberFormat="1" applyFont="1" applyFill="1" applyBorder="1"/>
    <xf numFmtId="164" fontId="16" fillId="0" borderId="0" xfId="5" applyNumberFormat="1" applyFont="1"/>
    <xf numFmtId="164" fontId="6" fillId="0" borderId="0" xfId="5" quotePrefix="1" applyNumberFormat="1" applyFont="1" applyAlignment="1">
      <alignment horizontal="right"/>
    </xf>
    <xf numFmtId="3" fontId="6" fillId="0" borderId="0" xfId="5" applyNumberFormat="1" applyFill="1"/>
    <xf numFmtId="164" fontId="6" fillId="0" borderId="0" xfId="5" applyNumberFormat="1" applyBorder="1"/>
    <xf numFmtId="164" fontId="6" fillId="0" borderId="0" xfId="5" applyNumberFormat="1" applyFill="1" applyBorder="1"/>
    <xf numFmtId="173" fontId="6" fillId="0" borderId="0" xfId="1" applyNumberFormat="1" applyFont="1" applyFill="1" applyBorder="1"/>
    <xf numFmtId="166" fontId="6" fillId="0" borderId="0" xfId="2" applyNumberFormat="1" applyFont="1" applyFill="1" applyBorder="1"/>
    <xf numFmtId="173" fontId="6" fillId="0" borderId="1" xfId="1" applyNumberFormat="1" applyFont="1" applyFill="1" applyBorder="1" applyAlignment="1">
      <alignment horizontal="right"/>
    </xf>
    <xf numFmtId="173" fontId="6" fillId="0" borderId="11" xfId="1" applyNumberFormat="1" applyFont="1" applyFill="1" applyBorder="1"/>
    <xf numFmtId="166" fontId="6" fillId="0" borderId="11" xfId="2" applyNumberFormat="1" applyFont="1" applyFill="1" applyBorder="1"/>
    <xf numFmtId="164" fontId="6" fillId="0" borderId="1" xfId="5" applyFill="1" applyBorder="1" applyAlignment="1">
      <alignment horizontal="right"/>
    </xf>
    <xf numFmtId="166" fontId="8" fillId="0" borderId="0" xfId="5" applyNumberFormat="1" applyFont="1" applyFill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7" fontId="6" fillId="0" borderId="0" xfId="2" applyNumberFormat="1" applyFont="1" applyFill="1"/>
    <xf numFmtId="164" fontId="10" fillId="0" borderId="0" xfId="4" applyFont="1" applyFill="1" applyBorder="1" applyAlignment="1">
      <alignment vertical="center"/>
    </xf>
    <xf numFmtId="9" fontId="6" fillId="0" borderId="0" xfId="3" applyFont="1"/>
    <xf numFmtId="164" fontId="14" fillId="0" borderId="0" xfId="4" applyFont="1"/>
    <xf numFmtId="5" fontId="14" fillId="0" borderId="0" xfId="4" applyNumberFormat="1" applyFont="1" applyFill="1" applyProtection="1">
      <protection locked="0"/>
    </xf>
    <xf numFmtId="5" fontId="14" fillId="0" borderId="2" xfId="4" applyNumberFormat="1" applyFont="1" applyFill="1" applyBorder="1" applyProtection="1"/>
    <xf numFmtId="5" fontId="14" fillId="0" borderId="12" xfId="4" applyNumberFormat="1" applyFont="1" applyFill="1" applyBorder="1" applyProtection="1"/>
    <xf numFmtId="5" fontId="10" fillId="0" borderId="0" xfId="2" applyNumberFormat="1" applyFont="1" applyFill="1" applyBorder="1"/>
    <xf numFmtId="164" fontId="57" fillId="0" borderId="0" xfId="4" applyFont="1" applyFill="1" applyAlignment="1">
      <alignment horizontal="centerContinuous"/>
    </xf>
    <xf numFmtId="164" fontId="6" fillId="0" borderId="0" xfId="4" applyFill="1"/>
    <xf numFmtId="164" fontId="6" fillId="0" borderId="0" xfId="4" applyFill="1" applyBorder="1"/>
    <xf numFmtId="164" fontId="6" fillId="0" borderId="0" xfId="4" applyFont="1" applyFill="1"/>
    <xf numFmtId="164" fontId="11" fillId="0" borderId="1" xfId="217" applyFont="1" applyFill="1" applyBorder="1" applyAlignment="1">
      <alignment horizontal="centerContinuous"/>
    </xf>
    <xf numFmtId="164" fontId="58" fillId="0" borderId="0" xfId="4" applyFont="1" applyFill="1" applyAlignment="1">
      <alignment horizontal="left"/>
    </xf>
    <xf numFmtId="164" fontId="9" fillId="0" borderId="0" xfId="4" applyFont="1" applyFill="1" applyAlignment="1">
      <alignment horizontal="left"/>
    </xf>
    <xf numFmtId="3" fontId="56" fillId="0" borderId="0" xfId="0" applyNumberFormat="1" applyFont="1" applyAlignment="1">
      <alignment horizontal="centerContinuous"/>
    </xf>
    <xf numFmtId="164" fontId="11" fillId="0" borderId="2" xfId="4" quotePrefix="1" applyFont="1" applyFill="1" applyBorder="1" applyAlignment="1">
      <alignment horizontal="center"/>
    </xf>
    <xf numFmtId="196" fontId="10" fillId="0" borderId="0" xfId="4" applyNumberFormat="1" applyFont="1" applyFill="1" applyProtection="1"/>
    <xf numFmtId="164" fontId="96" fillId="0" borderId="0" xfId="4" applyFont="1" applyFill="1" applyAlignment="1">
      <alignment horizontal="left"/>
    </xf>
    <xf numFmtId="164" fontId="16" fillId="0" borderId="0" xfId="4" applyFont="1" applyFill="1"/>
    <xf numFmtId="164" fontId="9" fillId="0" borderId="0" xfId="4" applyFont="1" applyFill="1" applyBorder="1" applyAlignment="1">
      <alignment horizontal="left"/>
    </xf>
    <xf numFmtId="37" fontId="40" fillId="0" borderId="0" xfId="4" applyNumberFormat="1" applyFont="1" applyFill="1" applyProtection="1"/>
    <xf numFmtId="7" fontId="40" fillId="0" borderId="0" xfId="4" applyNumberFormat="1" applyFont="1" applyFill="1" applyProtection="1">
      <protection locked="0"/>
    </xf>
    <xf numFmtId="7" fontId="40" fillId="0" borderId="0" xfId="4" applyNumberFormat="1" applyFont="1" applyFill="1" applyBorder="1" applyProtection="1">
      <protection locked="0"/>
    </xf>
    <xf numFmtId="184" fontId="10" fillId="0" borderId="0" xfId="4" applyNumberFormat="1" applyFont="1" applyFill="1" applyProtection="1">
      <protection locked="0"/>
    </xf>
    <xf numFmtId="164" fontId="97" fillId="0" borderId="0" xfId="4" applyFont="1" applyFill="1" applyAlignment="1">
      <alignment horizontal="left"/>
    </xf>
    <xf numFmtId="49" fontId="58" fillId="0" borderId="0" xfId="4" applyNumberFormat="1" applyFont="1" applyFill="1"/>
    <xf numFmtId="197" fontId="10" fillId="0" borderId="0" xfId="4" applyNumberFormat="1" applyFont="1" applyFill="1" applyProtection="1"/>
    <xf numFmtId="164" fontId="98" fillId="0" borderId="0" xfId="4" applyFont="1" applyFill="1" applyAlignment="1">
      <alignment horizontal="left"/>
    </xf>
    <xf numFmtId="39" fontId="10" fillId="0" borderId="0" xfId="4" applyNumberFormat="1" applyFont="1" applyFill="1" applyProtection="1"/>
    <xf numFmtId="185" fontId="10" fillId="0" borderId="0" xfId="4" applyNumberFormat="1" applyFont="1" applyFill="1" applyProtection="1">
      <protection locked="0"/>
    </xf>
    <xf numFmtId="171" fontId="10" fillId="0" borderId="1" xfId="4" applyNumberFormat="1" applyFont="1" applyFill="1" applyBorder="1" applyProtection="1"/>
    <xf numFmtId="164" fontId="58" fillId="0" borderId="0" xfId="4" applyFont="1" applyFill="1" applyBorder="1" applyAlignment="1">
      <alignment horizontal="left"/>
    </xf>
    <xf numFmtId="164" fontId="9" fillId="0" borderId="0" xfId="4" applyFont="1" applyFill="1" applyBorder="1"/>
    <xf numFmtId="164" fontId="9" fillId="0" borderId="11" xfId="4" applyFont="1" applyFill="1" applyBorder="1"/>
    <xf numFmtId="164" fontId="6" fillId="0" borderId="11" xfId="4" applyFill="1" applyBorder="1"/>
    <xf numFmtId="172" fontId="10" fillId="0" borderId="1" xfId="1" applyNumberFormat="1" applyFont="1" applyFill="1" applyBorder="1" applyProtection="1">
      <protection locked="0"/>
    </xf>
    <xf numFmtId="7" fontId="10" fillId="0" borderId="1" xfId="4" applyNumberFormat="1" applyFont="1" applyFill="1" applyBorder="1" applyProtection="1">
      <protection locked="0"/>
    </xf>
    <xf numFmtId="164" fontId="6" fillId="0" borderId="0" xfId="5" applyFill="1" applyBorder="1" applyAlignment="1">
      <alignment horizontal="center"/>
    </xf>
    <xf numFmtId="9" fontId="6" fillId="0" borderId="0" xfId="5" applyNumberFormat="1" applyFill="1" applyBorder="1" applyAlignment="1">
      <alignment horizontal="center"/>
    </xf>
    <xf numFmtId="0" fontId="46" fillId="0" borderId="25" xfId="213" applyFont="1" applyBorder="1"/>
    <xf numFmtId="3" fontId="46" fillId="0" borderId="1" xfId="213" applyNumberFormat="1" applyFont="1" applyBorder="1"/>
    <xf numFmtId="178" fontId="46" fillId="0" borderId="9" xfId="213" applyNumberFormat="1" applyFont="1" applyBorder="1"/>
    <xf numFmtId="166" fontId="46" fillId="0" borderId="25" xfId="3" applyNumberFormat="1" applyFont="1" applyBorder="1"/>
    <xf numFmtId="5" fontId="14" fillId="0" borderId="0" xfId="2" applyNumberFormat="1" applyFont="1" applyFill="1" applyBorder="1"/>
    <xf numFmtId="164" fontId="11" fillId="0" borderId="0" xfId="5" quotePrefix="1" applyFont="1" applyFill="1" applyBorder="1" applyAlignment="1">
      <alignment horizontal="center"/>
    </xf>
    <xf numFmtId="164" fontId="14" fillId="0" borderId="0" xfId="5" applyFont="1" applyFill="1" applyBorder="1" applyAlignment="1">
      <alignment horizontal="center"/>
    </xf>
    <xf numFmtId="165" fontId="14" fillId="0" borderId="0" xfId="5" applyNumberFormat="1" applyFont="1" applyFill="1" applyBorder="1"/>
    <xf numFmtId="166" fontId="14" fillId="0" borderId="0" xfId="5" applyNumberFormat="1" applyFont="1" applyFill="1" applyBorder="1"/>
    <xf numFmtId="164" fontId="46" fillId="0" borderId="0" xfId="5" applyFont="1"/>
    <xf numFmtId="164" fontId="14" fillId="0" borderId="0" xfId="5" applyFont="1" applyFill="1" applyBorder="1" applyAlignment="1">
      <alignment horizontal="right"/>
    </xf>
    <xf numFmtId="164" fontId="14" fillId="0" borderId="0" xfId="5" applyFont="1" applyFill="1" applyBorder="1" applyAlignment="1">
      <alignment horizontal="centerContinuous"/>
    </xf>
    <xf numFmtId="5" fontId="14" fillId="0" borderId="0" xfId="5" applyNumberFormat="1" applyFont="1" applyFill="1" applyBorder="1" applyAlignment="1">
      <alignment horizontal="center"/>
    </xf>
    <xf numFmtId="5" fontId="6" fillId="0" borderId="0" xfId="5" applyNumberFormat="1"/>
    <xf numFmtId="5" fontId="10" fillId="0" borderId="0" xfId="5" applyNumberFormat="1" applyFont="1"/>
    <xf numFmtId="5" fontId="10" fillId="0" borderId="12" xfId="4" applyNumberFormat="1" applyFont="1" applyFill="1" applyBorder="1"/>
    <xf numFmtId="5" fontId="10" fillId="0" borderId="12" xfId="1" applyNumberFormat="1" applyFont="1" applyFill="1" applyBorder="1"/>
    <xf numFmtId="5" fontId="10" fillId="0" borderId="0" xfId="4" applyNumberFormat="1" applyFont="1" applyFill="1" applyBorder="1"/>
    <xf numFmtId="10" fontId="6" fillId="0" borderId="0" xfId="4" applyNumberFormat="1"/>
    <xf numFmtId="164" fontId="8" fillId="0" borderId="1" xfId="5" applyFont="1" applyBorder="1"/>
    <xf numFmtId="164" fontId="14" fillId="0" borderId="0" xfId="5" applyFont="1" applyBorder="1"/>
    <xf numFmtId="198" fontId="14" fillId="0" borderId="0" xfId="5" applyNumberFormat="1" applyFont="1" applyFill="1" applyBorder="1"/>
    <xf numFmtId="164" fontId="6" fillId="0" borderId="0" xfId="5" applyAlignment="1">
      <alignment horizontal="center"/>
    </xf>
    <xf numFmtId="166" fontId="14" fillId="0" borderId="0" xfId="5" applyNumberFormat="1" applyFont="1" applyFill="1" applyBorder="1" applyAlignment="1">
      <alignment horizontal="right"/>
    </xf>
    <xf numFmtId="175" fontId="14" fillId="0" borderId="0" xfId="5" applyNumberFormat="1" applyFont="1" applyFill="1"/>
    <xf numFmtId="5" fontId="14" fillId="0" borderId="0" xfId="1083" applyNumberFormat="1" applyFont="1" applyFill="1"/>
    <xf numFmtId="0" fontId="42" fillId="0" borderId="0" xfId="1082" applyFont="1" applyFill="1"/>
    <xf numFmtId="0" fontId="12" fillId="0" borderId="0" xfId="1082" applyFont="1" applyFill="1"/>
    <xf numFmtId="199" fontId="12" fillId="0" borderId="0" xfId="1082" applyNumberFormat="1" applyFont="1" applyFill="1"/>
    <xf numFmtId="37" fontId="41" fillId="0" borderId="0" xfId="1082" applyNumberFormat="1" applyFont="1" applyFill="1" applyAlignment="1" applyProtection="1">
      <alignment horizontal="centerContinuous"/>
    </xf>
    <xf numFmtId="0" fontId="12" fillId="0" borderId="0" xfId="1082" applyFont="1" applyFill="1" applyAlignment="1">
      <alignment horizontal="centerContinuous"/>
    </xf>
    <xf numFmtId="37" fontId="12" fillId="0" borderId="0" xfId="1082" applyNumberFormat="1" applyFont="1" applyFill="1" applyAlignment="1" applyProtection="1">
      <alignment horizontal="centerContinuous"/>
    </xf>
    <xf numFmtId="199" fontId="12" fillId="0" borderId="0" xfId="1082" applyNumberFormat="1" applyFont="1" applyFill="1" applyAlignment="1">
      <alignment horizontal="centerContinuous"/>
    </xf>
    <xf numFmtId="37" fontId="41" fillId="0" borderId="0" xfId="1082" applyNumberFormat="1" applyFont="1" applyFill="1" applyProtection="1"/>
    <xf numFmtId="0" fontId="42" fillId="0" borderId="0" xfId="1082" applyFont="1" applyFill="1" applyProtection="1"/>
    <xf numFmtId="2" fontId="42" fillId="0" borderId="0" xfId="1082" applyNumberFormat="1" applyFont="1" applyFill="1" applyBorder="1" applyAlignment="1">
      <alignment horizontal="center"/>
    </xf>
    <xf numFmtId="0" fontId="41" fillId="0" borderId="0" xfId="1082" applyFont="1" applyFill="1"/>
    <xf numFmtId="0" fontId="41" fillId="0" borderId="39" xfId="1082" applyFont="1" applyFill="1" applyBorder="1"/>
    <xf numFmtId="0" fontId="41" fillId="0" borderId="40" xfId="1082" applyFont="1" applyFill="1" applyBorder="1"/>
    <xf numFmtId="0" fontId="41" fillId="0" borderId="41" xfId="1082" applyFont="1" applyFill="1" applyBorder="1"/>
    <xf numFmtId="0" fontId="41" fillId="0" borderId="40" xfId="1082" applyFont="1" applyFill="1" applyBorder="1" applyAlignment="1">
      <alignment horizontal="center"/>
    </xf>
    <xf numFmtId="173" fontId="41" fillId="0" borderId="40" xfId="1084" applyNumberFormat="1" applyFont="1" applyFill="1" applyBorder="1" applyAlignment="1">
      <alignment horizontal="center"/>
    </xf>
    <xf numFmtId="199" fontId="41" fillId="0" borderId="42" xfId="1082" applyNumberFormat="1" applyFont="1" applyFill="1" applyBorder="1"/>
    <xf numFmtId="0" fontId="41" fillId="0" borderId="43" xfId="1082" applyFont="1" applyFill="1" applyBorder="1" applyAlignment="1">
      <alignment horizontal="center"/>
    </xf>
    <xf numFmtId="0" fontId="41" fillId="0" borderId="44" xfId="1082" applyFont="1" applyFill="1" applyBorder="1"/>
    <xf numFmtId="0" fontId="41" fillId="0" borderId="0" xfId="1082" applyFont="1" applyFill="1" applyBorder="1" applyAlignment="1">
      <alignment horizontal="center"/>
    </xf>
    <xf numFmtId="0" fontId="41" fillId="0" borderId="0" xfId="1082" applyFont="1" applyFill="1" applyBorder="1"/>
    <xf numFmtId="0" fontId="41" fillId="0" borderId="44" xfId="1082" applyFont="1" applyFill="1" applyBorder="1" applyAlignment="1">
      <alignment horizontal="center"/>
    </xf>
    <xf numFmtId="0" fontId="41" fillId="0" borderId="36" xfId="1082" applyFont="1" applyFill="1" applyBorder="1" applyAlignment="1">
      <alignment horizontal="center"/>
    </xf>
    <xf numFmtId="37" fontId="41" fillId="0" borderId="27" xfId="1082" applyNumberFormat="1" applyFont="1" applyFill="1" applyBorder="1" applyAlignment="1" applyProtection="1">
      <alignment horizontal="center"/>
    </xf>
    <xf numFmtId="199" fontId="41" fillId="0" borderId="45" xfId="1082" applyNumberFormat="1" applyFont="1" applyFill="1" applyBorder="1"/>
    <xf numFmtId="0" fontId="41" fillId="0" borderId="46" xfId="1082" applyFont="1" applyFill="1" applyBorder="1" applyAlignment="1">
      <alignment horizontal="center"/>
    </xf>
    <xf numFmtId="0" fontId="41" fillId="0" borderId="47" xfId="1082" applyFont="1" applyFill="1" applyBorder="1" applyAlignment="1">
      <alignment horizontal="center"/>
    </xf>
    <xf numFmtId="0" fontId="41" fillId="0" borderId="1" xfId="1082" applyFont="1" applyFill="1" applyBorder="1" applyAlignment="1">
      <alignment horizontal="centerContinuous"/>
    </xf>
    <xf numFmtId="0" fontId="41" fillId="0" borderId="47" xfId="1082" applyFont="1" applyFill="1" applyBorder="1" applyAlignment="1">
      <alignment horizontal="centerContinuous"/>
    </xf>
    <xf numFmtId="0" fontId="41" fillId="0" borderId="48" xfId="1082" applyFont="1" applyFill="1" applyBorder="1" applyAlignment="1">
      <alignment horizontal="center" wrapText="1"/>
    </xf>
    <xf numFmtId="199" fontId="41" fillId="0" borderId="49" xfId="1082" applyNumberFormat="1" applyFont="1" applyFill="1" applyBorder="1" applyAlignment="1">
      <alignment horizontal="center"/>
    </xf>
    <xf numFmtId="0" fontId="41" fillId="0" borderId="50" xfId="1082" applyFont="1" applyFill="1" applyBorder="1" applyAlignment="1">
      <alignment horizontal="center"/>
    </xf>
    <xf numFmtId="0" fontId="41" fillId="0" borderId="51" xfId="1082" applyFont="1" applyFill="1" applyBorder="1"/>
    <xf numFmtId="0" fontId="41" fillId="0" borderId="22" xfId="1082" applyFont="1" applyFill="1" applyBorder="1"/>
    <xf numFmtId="0" fontId="41" fillId="0" borderId="51" xfId="1082" applyFont="1" applyFill="1" applyBorder="1" applyProtection="1"/>
    <xf numFmtId="0" fontId="41" fillId="0" borderId="22" xfId="1082" applyFont="1" applyFill="1" applyBorder="1" applyProtection="1"/>
    <xf numFmtId="0" fontId="41" fillId="0" borderId="52" xfId="1082" applyFont="1" applyFill="1" applyBorder="1" applyProtection="1"/>
    <xf numFmtId="199" fontId="12" fillId="0" borderId="53" xfId="1082" applyNumberFormat="1" applyFont="1" applyFill="1" applyBorder="1"/>
    <xf numFmtId="0" fontId="41" fillId="0" borderId="54" xfId="1082" applyFont="1" applyFill="1" applyBorder="1" applyAlignment="1">
      <alignment horizontal="center"/>
    </xf>
    <xf numFmtId="0" fontId="41" fillId="0" borderId="55" xfId="1082" applyFont="1" applyFill="1" applyBorder="1"/>
    <xf numFmtId="9" fontId="41" fillId="0" borderId="56" xfId="1082" applyNumberFormat="1" applyFont="1" applyFill="1" applyBorder="1" applyAlignment="1" applyProtection="1">
      <alignment horizontal="center"/>
    </xf>
    <xf numFmtId="0" fontId="41" fillId="0" borderId="56" xfId="1082" applyFont="1" applyFill="1" applyBorder="1" applyAlignment="1">
      <alignment horizontal="center"/>
    </xf>
    <xf numFmtId="9" fontId="41" fillId="0" borderId="55" xfId="1082" applyNumberFormat="1" applyFont="1" applyFill="1" applyBorder="1" applyAlignment="1" applyProtection="1">
      <alignment horizontal="center"/>
    </xf>
    <xf numFmtId="180" fontId="41" fillId="0" borderId="55" xfId="1082" applyNumberFormat="1" applyFont="1" applyFill="1" applyBorder="1" applyProtection="1"/>
    <xf numFmtId="200" fontId="41" fillId="0" borderId="57" xfId="1082" applyNumberFormat="1" applyFont="1" applyFill="1" applyBorder="1" applyAlignment="1" applyProtection="1">
      <alignment horizontal="right"/>
    </xf>
    <xf numFmtId="0" fontId="41" fillId="0" borderId="58" xfId="1082" applyFont="1" applyFill="1" applyBorder="1" applyAlignment="1">
      <alignment horizontal="center"/>
    </xf>
    <xf numFmtId="0" fontId="41" fillId="0" borderId="59" xfId="1082" applyFont="1" applyFill="1" applyBorder="1"/>
    <xf numFmtId="9" fontId="41" fillId="0" borderId="2" xfId="1082" applyNumberFormat="1" applyFont="1" applyFill="1" applyBorder="1" applyAlignment="1" applyProtection="1">
      <alignment horizontal="center"/>
    </xf>
    <xf numFmtId="0" fontId="41" fillId="0" borderId="2" xfId="1082" applyFont="1" applyFill="1" applyBorder="1" applyAlignment="1">
      <alignment horizontal="center"/>
    </xf>
    <xf numFmtId="180" fontId="41" fillId="0" borderId="59" xfId="1082" applyNumberFormat="1" applyFont="1" applyFill="1" applyBorder="1" applyProtection="1"/>
    <xf numFmtId="0" fontId="41" fillId="0" borderId="58" xfId="1082" quotePrefix="1" applyFont="1" applyFill="1" applyBorder="1" applyAlignment="1">
      <alignment horizontal="center"/>
    </xf>
    <xf numFmtId="9" fontId="41" fillId="0" borderId="59" xfId="1082" applyNumberFormat="1" applyFont="1" applyFill="1" applyBorder="1" applyAlignment="1" applyProtection="1">
      <alignment horizontal="center"/>
    </xf>
    <xf numFmtId="0" fontId="41" fillId="0" borderId="2" xfId="1082" applyFont="1" applyFill="1" applyBorder="1"/>
    <xf numFmtId="0" fontId="41" fillId="0" borderId="56" xfId="1082" applyFont="1" applyFill="1" applyBorder="1"/>
    <xf numFmtId="0" fontId="41" fillId="0" borderId="60" xfId="1082" applyFont="1" applyFill="1" applyBorder="1"/>
    <xf numFmtId="0" fontId="41" fillId="0" borderId="61" xfId="1082" applyFont="1" applyFill="1" applyBorder="1"/>
    <xf numFmtId="180" fontId="41" fillId="0" borderId="61" xfId="1084" applyNumberFormat="1" applyFont="1" applyFill="1" applyBorder="1"/>
    <xf numFmtId="180" fontId="41" fillId="0" borderId="61" xfId="26" applyNumberFormat="1" applyFont="1" applyFill="1" applyBorder="1"/>
    <xf numFmtId="0" fontId="41" fillId="0" borderId="1" xfId="1082" applyFont="1" applyFill="1" applyBorder="1"/>
    <xf numFmtId="0" fontId="41" fillId="0" borderId="9" xfId="1082" applyFont="1" applyFill="1" applyBorder="1"/>
    <xf numFmtId="0" fontId="41" fillId="0" borderId="10" xfId="1082" applyFont="1" applyFill="1" applyBorder="1"/>
    <xf numFmtId="180" fontId="41" fillId="0" borderId="62" xfId="1084" applyNumberFormat="1" applyFont="1" applyFill="1" applyBorder="1"/>
    <xf numFmtId="0" fontId="41" fillId="66" borderId="58" xfId="1082" applyFont="1" applyFill="1" applyBorder="1" applyAlignment="1">
      <alignment horizontal="center"/>
    </xf>
    <xf numFmtId="0" fontId="41" fillId="66" borderId="59" xfId="1082" applyFont="1" applyFill="1" applyBorder="1"/>
    <xf numFmtId="0" fontId="41" fillId="66" borderId="2" xfId="1082" applyFont="1" applyFill="1" applyBorder="1"/>
    <xf numFmtId="180" fontId="41" fillId="66" borderId="59" xfId="1082" applyNumberFormat="1" applyFont="1" applyFill="1" applyBorder="1" applyProtection="1"/>
    <xf numFmtId="200" fontId="41" fillId="66" borderId="57" xfId="1082" applyNumberFormat="1" applyFont="1" applyFill="1" applyBorder="1" applyAlignment="1" applyProtection="1">
      <alignment horizontal="right"/>
    </xf>
    <xf numFmtId="0" fontId="12" fillId="66" borderId="0" xfId="1082" applyFont="1" applyFill="1"/>
    <xf numFmtId="0" fontId="41" fillId="0" borderId="63" xfId="1082" applyFont="1" applyFill="1" applyBorder="1" applyAlignment="1">
      <alignment horizontal="center"/>
    </xf>
    <xf numFmtId="0" fontId="41" fillId="0" borderId="4" xfId="1082" applyFont="1" applyFill="1" applyBorder="1" applyAlignment="1">
      <alignment horizontal="left"/>
    </xf>
    <xf numFmtId="0" fontId="41" fillId="0" borderId="4" xfId="1082" applyFont="1" applyFill="1" applyBorder="1"/>
    <xf numFmtId="0" fontId="41" fillId="0" borderId="59" xfId="1082" quotePrefix="1" applyFont="1" applyFill="1" applyBorder="1" applyAlignment="1">
      <alignment horizontal="left"/>
    </xf>
    <xf numFmtId="0" fontId="41" fillId="0" borderId="47" xfId="1082" applyFont="1" applyFill="1" applyBorder="1"/>
    <xf numFmtId="180" fontId="41" fillId="0" borderId="47" xfId="1082" applyNumberFormat="1" applyFont="1" applyFill="1" applyBorder="1" applyProtection="1"/>
    <xf numFmtId="0" fontId="12" fillId="0" borderId="0" xfId="1082" applyFont="1" applyFill="1" applyBorder="1"/>
    <xf numFmtId="0" fontId="41" fillId="0" borderId="64" xfId="1082" applyFont="1" applyFill="1" applyBorder="1" applyAlignment="1">
      <alignment horizontal="center"/>
    </xf>
    <xf numFmtId="0" fontId="41" fillId="0" borderId="6" xfId="1082" applyFont="1" applyFill="1" applyBorder="1" applyAlignment="1">
      <alignment horizontal="left"/>
    </xf>
    <xf numFmtId="0" fontId="41" fillId="0" borderId="65" xfId="1082" applyFont="1" applyFill="1" applyBorder="1"/>
    <xf numFmtId="0" fontId="41" fillId="0" borderId="66" xfId="1082" applyFont="1" applyFill="1" applyBorder="1"/>
    <xf numFmtId="180" fontId="41" fillId="0" borderId="65" xfId="1084" applyNumberFormat="1" applyFont="1" applyFill="1" applyBorder="1" applyProtection="1"/>
    <xf numFmtId="0" fontId="41" fillId="0" borderId="3" xfId="1082" applyFont="1" applyFill="1" applyBorder="1"/>
    <xf numFmtId="0" fontId="41" fillId="0" borderId="23" xfId="1082" applyFont="1" applyFill="1" applyBorder="1"/>
    <xf numFmtId="0" fontId="41" fillId="0" borderId="67" xfId="1082" applyFont="1" applyFill="1" applyBorder="1"/>
    <xf numFmtId="180" fontId="41" fillId="0" borderId="67" xfId="1082" applyNumberFormat="1" applyFont="1" applyFill="1" applyBorder="1" applyProtection="1"/>
    <xf numFmtId="0" fontId="41" fillId="0" borderId="5" xfId="1082" applyFont="1" applyFill="1" applyBorder="1"/>
    <xf numFmtId="0" fontId="41" fillId="0" borderId="68" xfId="1082" applyFont="1" applyFill="1" applyBorder="1" applyAlignment="1">
      <alignment horizontal="center"/>
    </xf>
    <xf numFmtId="0" fontId="41" fillId="0" borderId="69" xfId="1082" applyFont="1" applyFill="1" applyBorder="1" applyAlignment="1">
      <alignment horizontal="left"/>
    </xf>
    <xf numFmtId="0" fontId="41" fillId="0" borderId="70" xfId="1082" applyFont="1" applyFill="1" applyBorder="1"/>
    <xf numFmtId="0" fontId="41" fillId="0" borderId="37" xfId="1082" applyFont="1" applyFill="1" applyBorder="1"/>
    <xf numFmtId="0" fontId="41" fillId="0" borderId="71" xfId="1082" applyFont="1" applyFill="1" applyBorder="1"/>
    <xf numFmtId="180" fontId="41" fillId="0" borderId="72" xfId="1082" applyNumberFormat="1" applyFont="1" applyFill="1" applyBorder="1" applyProtection="1"/>
    <xf numFmtId="180" fontId="41" fillId="0" borderId="73" xfId="1082" applyNumberFormat="1" applyFont="1" applyFill="1" applyBorder="1" applyProtection="1"/>
    <xf numFmtId="199" fontId="41" fillId="0" borderId="74" xfId="1082" applyNumberFormat="1" applyFont="1" applyFill="1" applyBorder="1" applyAlignment="1" applyProtection="1">
      <alignment horizontal="right"/>
    </xf>
    <xf numFmtId="0" fontId="12" fillId="0" borderId="75" xfId="1082" applyFont="1" applyFill="1" applyBorder="1"/>
    <xf numFmtId="0" fontId="12" fillId="0" borderId="24" xfId="1082" applyFont="1" applyFill="1" applyBorder="1"/>
    <xf numFmtId="200" fontId="12" fillId="0" borderId="76" xfId="1082" applyNumberFormat="1" applyFont="1" applyFill="1" applyBorder="1"/>
    <xf numFmtId="201" fontId="12" fillId="0" borderId="0" xfId="1082" applyNumberFormat="1" applyFont="1" applyFill="1"/>
    <xf numFmtId="202" fontId="41" fillId="0" borderId="0" xfId="1082" applyNumberFormat="1" applyFont="1" applyFill="1" applyBorder="1" applyProtection="1"/>
    <xf numFmtId="165" fontId="6" fillId="0" borderId="0" xfId="2" applyNumberFormat="1" applyFont="1" applyFill="1"/>
    <xf numFmtId="165" fontId="6" fillId="0" borderId="1" xfId="2" applyNumberFormat="1" applyFont="1" applyFill="1" applyBorder="1"/>
    <xf numFmtId="165" fontId="6" fillId="0" borderId="0" xfId="2" applyNumberFormat="1" applyFont="1" applyFill="1" applyBorder="1"/>
    <xf numFmtId="165" fontId="6" fillId="0" borderId="11" xfId="2" applyNumberFormat="1" applyFont="1" applyFill="1" applyBorder="1"/>
    <xf numFmtId="164" fontId="8" fillId="0" borderId="1" xfId="5" quotePrefix="1" applyFont="1" applyBorder="1" applyAlignment="1">
      <alignment horizontal="centerContinuous"/>
    </xf>
    <xf numFmtId="0" fontId="11" fillId="0" borderId="1" xfId="6" applyFont="1" applyBorder="1" applyAlignment="1" applyProtection="1">
      <alignment horizontal="centerContinuous"/>
      <protection locked="0"/>
    </xf>
    <xf numFmtId="10" fontId="10" fillId="0" borderId="0" xfId="2" applyNumberFormat="1" applyFont="1" applyFill="1" applyBorder="1"/>
    <xf numFmtId="10" fontId="10" fillId="0" borderId="1" xfId="2" applyNumberFormat="1" applyFont="1" applyFill="1" applyBorder="1"/>
    <xf numFmtId="164" fontId="6" fillId="0" borderId="0" xfId="5" applyFill="1" applyAlignment="1">
      <alignment horizontal="right"/>
    </xf>
    <xf numFmtId="166" fontId="14" fillId="0" borderId="0" xfId="2" applyNumberFormat="1" applyFont="1" applyFill="1" applyBorder="1"/>
    <xf numFmtId="164" fontId="6" fillId="0" borderId="0" xfId="5" applyNumberFormat="1" applyBorder="1" applyAlignment="1">
      <alignment horizontal="centerContinuous"/>
    </xf>
    <xf numFmtId="164" fontId="6" fillId="0" borderId="0" xfId="5" applyNumberFormat="1" applyBorder="1" applyAlignment="1">
      <alignment horizontal="center"/>
    </xf>
    <xf numFmtId="9" fontId="6" fillId="0" borderId="0" xfId="5" applyNumberFormat="1" applyBorder="1" applyAlignment="1">
      <alignment horizontal="center"/>
    </xf>
    <xf numFmtId="10" fontId="53" fillId="0" borderId="1" xfId="213" applyNumberFormat="1" applyFont="1" applyBorder="1"/>
    <xf numFmtId="0" fontId="46" fillId="0" borderId="5" xfId="213" applyFont="1" applyBorder="1"/>
    <xf numFmtId="10" fontId="53" fillId="0" borderId="22" xfId="213" applyNumberFormat="1" applyFont="1" applyBorder="1"/>
    <xf numFmtId="10" fontId="53" fillId="0" borderId="6" xfId="213" applyNumberFormat="1" applyFont="1" applyBorder="1"/>
    <xf numFmtId="10" fontId="53" fillId="0" borderId="7" xfId="213" applyNumberFormat="1" applyFont="1" applyBorder="1"/>
    <xf numFmtId="10" fontId="53" fillId="0" borderId="10" xfId="213" applyNumberFormat="1" applyFont="1" applyBorder="1"/>
    <xf numFmtId="10" fontId="46" fillId="0" borderId="1" xfId="213" applyNumberFormat="1" applyFont="1" applyBorder="1"/>
    <xf numFmtId="10" fontId="46" fillId="0" borderId="10" xfId="213" applyNumberFormat="1" applyFont="1" applyBorder="1"/>
    <xf numFmtId="0" fontId="51" fillId="0" borderId="5" xfId="213" applyFont="1" applyBorder="1"/>
    <xf numFmtId="0" fontId="46" fillId="0" borderId="22" xfId="213" applyFont="1" applyBorder="1"/>
    <xf numFmtId="0" fontId="46" fillId="0" borderId="6" xfId="213" applyFont="1" applyBorder="1"/>
    <xf numFmtId="10" fontId="52" fillId="0" borderId="7" xfId="3" applyNumberFormat="1" applyFont="1" applyBorder="1"/>
    <xf numFmtId="7" fontId="48" fillId="0" borderId="0" xfId="213" applyNumberFormat="1" applyFont="1" applyAlignment="1">
      <alignment horizontal="center"/>
    </xf>
  </cellXfs>
  <cellStyles count="1085">
    <cellStyle name="20% - Accent1 2" xfId="218"/>
    <cellStyle name="20% - Accent1 3" xfId="219"/>
    <cellStyle name="20% - Accent1 4" xfId="220"/>
    <cellStyle name="20% - Accent1 5" xfId="221"/>
    <cellStyle name="20% - Accent1 6" xfId="222"/>
    <cellStyle name="20% - Accent2 2" xfId="223"/>
    <cellStyle name="20% - Accent2 3" xfId="224"/>
    <cellStyle name="20% - Accent2 4" xfId="225"/>
    <cellStyle name="20% - Accent2 5" xfId="226"/>
    <cellStyle name="20% - Accent2 6" xfId="227"/>
    <cellStyle name="20% - Accent3 2" xfId="228"/>
    <cellStyle name="20% - Accent3 3" xfId="229"/>
    <cellStyle name="20% - Accent3 4" xfId="230"/>
    <cellStyle name="20% - Accent3 5" xfId="231"/>
    <cellStyle name="20% - Accent3 6" xfId="232"/>
    <cellStyle name="20% - Accent4 2" xfId="233"/>
    <cellStyle name="20% - Accent4 3" xfId="234"/>
    <cellStyle name="20% - Accent4 4" xfId="235"/>
    <cellStyle name="20% - Accent4 5" xfId="236"/>
    <cellStyle name="20% - Accent4 6" xfId="237"/>
    <cellStyle name="20% - Accent5 2" xfId="238"/>
    <cellStyle name="20% - Accent5 3" xfId="239"/>
    <cellStyle name="20% - Accent5 4" xfId="240"/>
    <cellStyle name="20% - Accent5 5" xfId="241"/>
    <cellStyle name="20% - Accent5 6" xfId="242"/>
    <cellStyle name="20% - Accent6 2" xfId="243"/>
    <cellStyle name="20% - Accent6 3" xfId="244"/>
    <cellStyle name="20% - Accent6 4" xfId="245"/>
    <cellStyle name="20% - Accent6 5" xfId="246"/>
    <cellStyle name="20% - Accent6 6" xfId="247"/>
    <cellStyle name="40% - Accent1 2" xfId="248"/>
    <cellStyle name="40% - Accent1 3" xfId="249"/>
    <cellStyle name="40% - Accent1 4" xfId="250"/>
    <cellStyle name="40% - Accent1 5" xfId="251"/>
    <cellStyle name="40% - Accent1 6" xfId="252"/>
    <cellStyle name="40% - Accent2 2" xfId="253"/>
    <cellStyle name="40% - Accent2 3" xfId="254"/>
    <cellStyle name="40% - Accent2 4" xfId="255"/>
    <cellStyle name="40% - Accent2 5" xfId="256"/>
    <cellStyle name="40% - Accent2 6" xfId="257"/>
    <cellStyle name="40% - Accent3 2" xfId="258"/>
    <cellStyle name="40% - Accent3 3" xfId="259"/>
    <cellStyle name="40% - Accent3 4" xfId="260"/>
    <cellStyle name="40% - Accent3 5" xfId="261"/>
    <cellStyle name="40% - Accent3 6" xfId="262"/>
    <cellStyle name="40% - Accent4 2" xfId="263"/>
    <cellStyle name="40% - Accent4 3" xfId="264"/>
    <cellStyle name="40% - Accent4 4" xfId="265"/>
    <cellStyle name="40% - Accent4 5" xfId="266"/>
    <cellStyle name="40% - Accent4 6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6 2" xfId="273"/>
    <cellStyle name="40% - Accent6 3" xfId="274"/>
    <cellStyle name="40% - Accent6 4" xfId="275"/>
    <cellStyle name="40% - Accent6 5" xfId="276"/>
    <cellStyle name="40% - Accent6 6" xfId="277"/>
    <cellStyle name="60% - Accent1 2" xfId="278"/>
    <cellStyle name="60% - Accent1 3" xfId="279"/>
    <cellStyle name="60% - Accent1 4" xfId="280"/>
    <cellStyle name="60% - Accent1 5" xfId="281"/>
    <cellStyle name="60% - Accent1 6" xfId="282"/>
    <cellStyle name="60% - Accent2 2" xfId="283"/>
    <cellStyle name="60% - Accent2 3" xfId="284"/>
    <cellStyle name="60% - Accent2 4" xfId="285"/>
    <cellStyle name="60% - Accent2 5" xfId="286"/>
    <cellStyle name="60% - Accent2 6" xfId="287"/>
    <cellStyle name="60% - Accent3 2" xfId="288"/>
    <cellStyle name="60% - Accent3 3" xfId="289"/>
    <cellStyle name="60% - Accent3 4" xfId="290"/>
    <cellStyle name="60% - Accent3 5" xfId="291"/>
    <cellStyle name="60% - Accent3 6" xfId="292"/>
    <cellStyle name="60% - Accent4 2" xfId="293"/>
    <cellStyle name="60% - Accent4 3" xfId="294"/>
    <cellStyle name="60% - Accent4 4" xfId="295"/>
    <cellStyle name="60% - Accent4 5" xfId="296"/>
    <cellStyle name="60% - Accent4 6" xfId="297"/>
    <cellStyle name="60% - Accent5 2" xfId="298"/>
    <cellStyle name="60% - Accent5 3" xfId="299"/>
    <cellStyle name="60% - Accent5 4" xfId="300"/>
    <cellStyle name="60% - Accent5 5" xfId="301"/>
    <cellStyle name="60% - Accent5 6" xfId="302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Accent1 - 20%" xfId="308"/>
    <cellStyle name="Accent1 - 40%" xfId="309"/>
    <cellStyle name="Accent1 - 60%" xfId="310"/>
    <cellStyle name="Accent1 2" xfId="311"/>
    <cellStyle name="Accent1 3" xfId="312"/>
    <cellStyle name="Accent1 4" xfId="313"/>
    <cellStyle name="Accent1 5" xfId="314"/>
    <cellStyle name="Accent1 6" xfId="315"/>
    <cellStyle name="Accent2 - 20%" xfId="316"/>
    <cellStyle name="Accent2 - 40%" xfId="317"/>
    <cellStyle name="Accent2 - 60%" xfId="318"/>
    <cellStyle name="Accent2 2" xfId="319"/>
    <cellStyle name="Accent2 3" xfId="320"/>
    <cellStyle name="Accent2 4" xfId="321"/>
    <cellStyle name="Accent2 5" xfId="322"/>
    <cellStyle name="Accent2 6" xfId="323"/>
    <cellStyle name="Accent3 - 20%" xfId="324"/>
    <cellStyle name="Accent3 - 40%" xfId="325"/>
    <cellStyle name="Accent3 - 60%" xfId="326"/>
    <cellStyle name="Accent3 2" xfId="327"/>
    <cellStyle name="Accent3 3" xfId="328"/>
    <cellStyle name="Accent3 4" xfId="329"/>
    <cellStyle name="Accent3 5" xfId="330"/>
    <cellStyle name="Accent3 6" xfId="331"/>
    <cellStyle name="Accent4 - 20%" xfId="332"/>
    <cellStyle name="Accent4 - 40%" xfId="333"/>
    <cellStyle name="Accent4 - 60%" xfId="334"/>
    <cellStyle name="Accent4 2" xfId="335"/>
    <cellStyle name="Accent4 3" xfId="336"/>
    <cellStyle name="Accent4 4" xfId="337"/>
    <cellStyle name="Accent4 5" xfId="338"/>
    <cellStyle name="Accent4 6" xfId="339"/>
    <cellStyle name="Accent5 - 20%" xfId="340"/>
    <cellStyle name="Accent5 - 40%" xfId="341"/>
    <cellStyle name="Accent5 - 60%" xfId="342"/>
    <cellStyle name="Accent5 2" xfId="343"/>
    <cellStyle name="Accent5 3" xfId="344"/>
    <cellStyle name="Accent5 4" xfId="345"/>
    <cellStyle name="Accent5 5" xfId="346"/>
    <cellStyle name="Accent5 6" xfId="347"/>
    <cellStyle name="Accent6 - 20%" xfId="348"/>
    <cellStyle name="Accent6 - 40%" xfId="349"/>
    <cellStyle name="Accent6 - 60%" xfId="350"/>
    <cellStyle name="Accent6 2" xfId="351"/>
    <cellStyle name="Accent6 3" xfId="352"/>
    <cellStyle name="Accent6 4" xfId="353"/>
    <cellStyle name="Accent6 5" xfId="354"/>
    <cellStyle name="Accent6 6" xfId="355"/>
    <cellStyle name="ArrayHeading" xfId="356"/>
    <cellStyle name="Bad 2" xfId="357"/>
    <cellStyle name="Bad 3" xfId="358"/>
    <cellStyle name="Bad 4" xfId="359"/>
    <cellStyle name="Bad 5" xfId="360"/>
    <cellStyle name="Bad 6" xfId="361"/>
    <cellStyle name="BetweenMacros" xfId="362"/>
    <cellStyle name="Calc Currency (0)" xfId="363"/>
    <cellStyle name="Calculation 2" xfId="364"/>
    <cellStyle name="Calculation 3" xfId="365"/>
    <cellStyle name="Calculation 4" xfId="366"/>
    <cellStyle name="Calculation 5" xfId="367"/>
    <cellStyle name="Calculation 6" xfId="368"/>
    <cellStyle name="Cancel" xfId="369"/>
    <cellStyle name="Check Cell 2" xfId="370"/>
    <cellStyle name="Check Cell 3" xfId="371"/>
    <cellStyle name="Check Cell 4" xfId="372"/>
    <cellStyle name="Check Cell 5" xfId="373"/>
    <cellStyle name="Check Cell 6" xfId="374"/>
    <cellStyle name="Column total in dollars" xfId="375"/>
    <cellStyle name="Comma" xfId="1" builtinId="3"/>
    <cellStyle name="Comma  - Style1" xfId="189"/>
    <cellStyle name="Comma  - Style1 2" xfId="376"/>
    <cellStyle name="Comma  - Style1 3" xfId="377"/>
    <cellStyle name="Comma  - Style2" xfId="190"/>
    <cellStyle name="Comma  - Style2 2" xfId="378"/>
    <cellStyle name="Comma  - Style2 3" xfId="379"/>
    <cellStyle name="Comma  - Style3" xfId="191"/>
    <cellStyle name="Comma  - Style3 2" xfId="380"/>
    <cellStyle name="Comma  - Style3 3" xfId="381"/>
    <cellStyle name="Comma  - Style4" xfId="192"/>
    <cellStyle name="Comma  - Style4 2" xfId="382"/>
    <cellStyle name="Comma  - Style4 3" xfId="383"/>
    <cellStyle name="Comma  - Style5" xfId="193"/>
    <cellStyle name="Comma  - Style5 2" xfId="384"/>
    <cellStyle name="Comma  - Style5 3" xfId="385"/>
    <cellStyle name="Comma  - Style6" xfId="194"/>
    <cellStyle name="Comma  - Style6 2" xfId="386"/>
    <cellStyle name="Comma  - Style6 3" xfId="387"/>
    <cellStyle name="Comma  - Style7" xfId="195"/>
    <cellStyle name="Comma  - Style7 2" xfId="388"/>
    <cellStyle name="Comma  - Style7 3" xfId="389"/>
    <cellStyle name="Comma  - Style8" xfId="196"/>
    <cellStyle name="Comma  - Style8 2" xfId="390"/>
    <cellStyle name="Comma  - Style8 3" xfId="391"/>
    <cellStyle name="Comma (0)" xfId="392"/>
    <cellStyle name="Comma [0] 2" xfId="393"/>
    <cellStyle name="Comma 10" xfId="394"/>
    <cellStyle name="Comma 10 2" xfId="395"/>
    <cellStyle name="Comma 11" xfId="26"/>
    <cellStyle name="Comma 12" xfId="396"/>
    <cellStyle name="Comma 13" xfId="397"/>
    <cellStyle name="Comma 13 2" xfId="398"/>
    <cellStyle name="Comma 13 2 2" xfId="399"/>
    <cellStyle name="Comma 14" xfId="400"/>
    <cellStyle name="Comma 15" xfId="401"/>
    <cellStyle name="Comma 16" xfId="402"/>
    <cellStyle name="Comma 17" xfId="403"/>
    <cellStyle name="Comma 17 2" xfId="404"/>
    <cellStyle name="Comma 18" xfId="405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6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7"/>
    <cellStyle name="Comma 21" xfId="49"/>
    <cellStyle name="Comma 22" xfId="50"/>
    <cellStyle name="Comma 23" xfId="408"/>
    <cellStyle name="Comma 24" xfId="409"/>
    <cellStyle name="Comma 25" xfId="410"/>
    <cellStyle name="Comma 26" xfId="411"/>
    <cellStyle name="Comma 27" xfId="412"/>
    <cellStyle name="Comma 28" xfId="413"/>
    <cellStyle name="Comma 29" xfId="414"/>
    <cellStyle name="Comma 3" xfId="51"/>
    <cellStyle name="Comma 3 2" xfId="197"/>
    <cellStyle name="Comma 3 3" xfId="415"/>
    <cellStyle name="Comma 3 4" xfId="416"/>
    <cellStyle name="Comma 30" xfId="417"/>
    <cellStyle name="Comma 31" xfId="418"/>
    <cellStyle name="Comma 32" xfId="419"/>
    <cellStyle name="Comma 33" xfId="420"/>
    <cellStyle name="Comma 34" xfId="421"/>
    <cellStyle name="Comma 35" xfId="422"/>
    <cellStyle name="Comma 36" xfId="423"/>
    <cellStyle name="Comma 37" xfId="424"/>
    <cellStyle name="Comma 38" xfId="425"/>
    <cellStyle name="Comma 39" xfId="1084"/>
    <cellStyle name="Comma 4" xfId="52"/>
    <cellStyle name="Comma 4 2" xfId="426"/>
    <cellStyle name="Comma 4 2 2" xfId="427"/>
    <cellStyle name="Comma 4 3" xfId="428"/>
    <cellStyle name="Comma 4 3 2" xfId="429"/>
    <cellStyle name="Comma 4 3 3" xfId="430"/>
    <cellStyle name="Comma 4 3 4" xfId="431"/>
    <cellStyle name="Comma 4 4" xfId="432"/>
    <cellStyle name="Comma 4 5" xfId="433"/>
    <cellStyle name="Comma 5" xfId="53"/>
    <cellStyle name="Comma 5 2" xfId="434"/>
    <cellStyle name="Comma 6" xfId="186"/>
    <cellStyle name="Comma 6 2" xfId="435"/>
    <cellStyle name="Comma 6 2 2" xfId="436"/>
    <cellStyle name="Comma 6 3" xfId="437"/>
    <cellStyle name="Comma 7" xfId="438"/>
    <cellStyle name="Comma 7 2" xfId="439"/>
    <cellStyle name="Comma 7 2 2" xfId="440"/>
    <cellStyle name="Comma 7 2 2 2" xfId="441"/>
    <cellStyle name="Comma 7 2 2 2 2" xfId="442"/>
    <cellStyle name="Comma 7 2 2 2 3" xfId="443"/>
    <cellStyle name="Comma 7 2 2 3" xfId="444"/>
    <cellStyle name="Comma 8" xfId="445"/>
    <cellStyle name="Comma 9" xfId="446"/>
    <cellStyle name="Comma0" xfId="54"/>
    <cellStyle name="Comma0 - Style1" xfId="447"/>
    <cellStyle name="Comma0 - Style2" xfId="448"/>
    <cellStyle name="Comma0 - Style3" xfId="449"/>
    <cellStyle name="Comma0 - Style4" xfId="450"/>
    <cellStyle name="Comma0 2" xfId="451"/>
    <cellStyle name="Comma0 2 2" xfId="452"/>
    <cellStyle name="Comma0 3" xfId="453"/>
    <cellStyle name="Comma0 4" xfId="454"/>
    <cellStyle name="Comma0_1st Qtr 2009 Global Insight Factors" xfId="455"/>
    <cellStyle name="Comma1 - Style1" xfId="456"/>
    <cellStyle name="Curren - Style2" xfId="457"/>
    <cellStyle name="Curren - Style3" xfId="458"/>
    <cellStyle name="Currency" xfId="2" builtinId="4"/>
    <cellStyle name="Currency 10" xfId="459"/>
    <cellStyle name="Currency 10 2" xfId="460"/>
    <cellStyle name="Currency 10 3" xfId="461"/>
    <cellStyle name="Currency 11" xfId="1083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2"/>
    <cellStyle name="Currency 4" xfId="463"/>
    <cellStyle name="Currency 4 2" xfId="464"/>
    <cellStyle name="Currency 5" xfId="465"/>
    <cellStyle name="Currency 6" xfId="466"/>
    <cellStyle name="Currency 7" xfId="467"/>
    <cellStyle name="Currency 7 2" xfId="468"/>
    <cellStyle name="Currency 7 2 2" xfId="469"/>
    <cellStyle name="Currency 8" xfId="470"/>
    <cellStyle name="Currency 9" xfId="471"/>
    <cellStyle name="Currency No Comma" xfId="76"/>
    <cellStyle name="Currency(0)" xfId="472"/>
    <cellStyle name="Currency0" xfId="77"/>
    <cellStyle name="Currency0 2" xfId="473"/>
    <cellStyle name="Currency0 2 2" xfId="474"/>
    <cellStyle name="Currency0 3" xfId="475"/>
    <cellStyle name="Currency0 4" xfId="476"/>
    <cellStyle name="Custom - Style8" xfId="477"/>
    <cellStyle name="Data   - Style2" xfId="478"/>
    <cellStyle name="Date" xfId="78"/>
    <cellStyle name="Date - Style1" xfId="479"/>
    <cellStyle name="Date - Style3" xfId="480"/>
    <cellStyle name="Date 2" xfId="481"/>
    <cellStyle name="Date 2 2" xfId="482"/>
    <cellStyle name="Date 3" xfId="483"/>
    <cellStyle name="Date 4" xfId="484"/>
    <cellStyle name="Date_1st Qtr 2009 Global Insight Factors" xfId="485"/>
    <cellStyle name="Explanatory Text 2" xfId="486"/>
    <cellStyle name="Explanatory Text 3" xfId="487"/>
    <cellStyle name="Explanatory Text 4" xfId="488"/>
    <cellStyle name="Explanatory Text 5" xfId="489"/>
    <cellStyle name="Explanatory Text 6" xfId="490"/>
    <cellStyle name="Fixed" xfId="79"/>
    <cellStyle name="Fixed 2" xfId="491"/>
    <cellStyle name="Fixed 2 2" xfId="492"/>
    <cellStyle name="Fixed 3" xfId="493"/>
    <cellStyle name="Fixed 4" xfId="494"/>
    <cellStyle name="Fixed2 - Style2" xfId="495"/>
    <cellStyle name="General" xfId="10"/>
    <cellStyle name="Good 2" xfId="496"/>
    <cellStyle name="Good 3" xfId="497"/>
    <cellStyle name="Good 4" xfId="498"/>
    <cellStyle name="Good 5" xfId="499"/>
    <cellStyle name="Good 6" xfId="500"/>
    <cellStyle name="Grey" xfId="199"/>
    <cellStyle name="Grey 2" xfId="501"/>
    <cellStyle name="Grey 3" xfId="502"/>
    <cellStyle name="header" xfId="200"/>
    <cellStyle name="Header1" xfId="201"/>
    <cellStyle name="Header2" xfId="202"/>
    <cellStyle name="Heading 1 2" xfId="503"/>
    <cellStyle name="Heading 2 2" xfId="504"/>
    <cellStyle name="Heading 2 2 2" xfId="505"/>
    <cellStyle name="Heading 2 3" xfId="506"/>
    <cellStyle name="Heading 2 4" xfId="507"/>
    <cellStyle name="Heading 2 5" xfId="508"/>
    <cellStyle name="Heading 3 2" xfId="509"/>
    <cellStyle name="Heading 3 3" xfId="510"/>
    <cellStyle name="Heading 3 4" xfId="511"/>
    <cellStyle name="Heading 3 5" xfId="512"/>
    <cellStyle name="Heading 3 6" xfId="513"/>
    <cellStyle name="Heading 4 2" xfId="514"/>
    <cellStyle name="Heading 4 3" xfId="515"/>
    <cellStyle name="Heading 4 4" xfId="516"/>
    <cellStyle name="Heading 4 5" xfId="517"/>
    <cellStyle name="Heading 4 6" xfId="518"/>
    <cellStyle name="Heading1" xfId="519"/>
    <cellStyle name="Heading2" xfId="520"/>
    <cellStyle name="Hyperlink 2" xfId="521"/>
    <cellStyle name="Hyperlink 2 2" xfId="522"/>
    <cellStyle name="Hyperlink 2 3" xfId="523"/>
    <cellStyle name="Hyperlink 3" xfId="524"/>
    <cellStyle name="Hyperlink 4" xfId="525"/>
    <cellStyle name="Input [yellow]" xfId="203"/>
    <cellStyle name="Input [yellow] 2" xfId="526"/>
    <cellStyle name="Input [yellow] 3" xfId="527"/>
    <cellStyle name="Input 2" xfId="528"/>
    <cellStyle name="Input 2 2" xfId="529"/>
    <cellStyle name="Inst. Sections" xfId="530"/>
    <cellStyle name="Inst. Subheading" xfId="531"/>
    <cellStyle name="Labels - Style3" xfId="532"/>
    <cellStyle name="Linked Cell 2" xfId="533"/>
    <cellStyle name="Linked Cell 3" xfId="534"/>
    <cellStyle name="Linked Cell 4" xfId="535"/>
    <cellStyle name="Linked Cell 5" xfId="536"/>
    <cellStyle name="Linked Cell 6" xfId="537"/>
    <cellStyle name="Macro" xfId="538"/>
    <cellStyle name="macro descr" xfId="539"/>
    <cellStyle name="Macro_Comments" xfId="540"/>
    <cellStyle name="MacroText" xfId="541"/>
    <cellStyle name="Marathon" xfId="542"/>
    <cellStyle name="MCP" xfId="80"/>
    <cellStyle name="Neutral 2" xfId="543"/>
    <cellStyle name="Neutral 3" xfId="544"/>
    <cellStyle name="Neutral 4" xfId="545"/>
    <cellStyle name="Neutral 5" xfId="546"/>
    <cellStyle name="Neutral 6" xfId="547"/>
    <cellStyle name="nONE" xfId="11"/>
    <cellStyle name="nONE 2" xfId="548"/>
    <cellStyle name="noninput" xfId="81"/>
    <cellStyle name="noninput 2" xfId="549"/>
    <cellStyle name="noninput 3" xfId="550"/>
    <cellStyle name="noninput 4" xfId="551"/>
    <cellStyle name="Normal" xfId="0" builtinId="0"/>
    <cellStyle name="Normal - Style1" xfId="204"/>
    <cellStyle name="Normal - Style1 2" xfId="552"/>
    <cellStyle name="Normal - Style1 3" xfId="553"/>
    <cellStyle name="Normal - Style2" xfId="554"/>
    <cellStyle name="Normal - Style3" xfId="555"/>
    <cellStyle name="Normal - Style4" xfId="556"/>
    <cellStyle name="Normal - Style5" xfId="557"/>
    <cellStyle name="Normal - Style6" xfId="558"/>
    <cellStyle name="Normal - Style7" xfId="559"/>
    <cellStyle name="Normal - Style8" xfId="560"/>
    <cellStyle name="Normal 10" xfId="82"/>
    <cellStyle name="Normal 10 2" xfId="561"/>
    <cellStyle name="Normal 10 2 2" xfId="562"/>
    <cellStyle name="Normal 10 3" xfId="563"/>
    <cellStyle name="Normal 10 4" xfId="564"/>
    <cellStyle name="Normal 10 5" xfId="565"/>
    <cellStyle name="Normal 10 6" xfId="566"/>
    <cellStyle name="Normal 100" xfId="567"/>
    <cellStyle name="Normal 101" xfId="568"/>
    <cellStyle name="Normal 102" xfId="569"/>
    <cellStyle name="Normal 103" xfId="570"/>
    <cellStyle name="Normal 104" xfId="571"/>
    <cellStyle name="Normal 105" xfId="572"/>
    <cellStyle name="Normal 106" xfId="573"/>
    <cellStyle name="Normal 107" xfId="574"/>
    <cellStyle name="Normal 108" xfId="575"/>
    <cellStyle name="Normal 109" xfId="576"/>
    <cellStyle name="Normal 11" xfId="83"/>
    <cellStyle name="Normal 11 2" xfId="577"/>
    <cellStyle name="Normal 11 2 2" xfId="578"/>
    <cellStyle name="Normal 110" xfId="579"/>
    <cellStyle name="Normal 111" xfId="580"/>
    <cellStyle name="Normal 112" xfId="581"/>
    <cellStyle name="Normal 113" xfId="582"/>
    <cellStyle name="Normal 114" xfId="583"/>
    <cellStyle name="Normal 115" xfId="584"/>
    <cellStyle name="Normal 116" xfId="585"/>
    <cellStyle name="Normal 117" xfId="586"/>
    <cellStyle name="Normal 118" xfId="587"/>
    <cellStyle name="Normal 119" xfId="588"/>
    <cellStyle name="Normal 12" xfId="84"/>
    <cellStyle name="Normal 12 2" xfId="589"/>
    <cellStyle name="Normal 120" xfId="590"/>
    <cellStyle name="Normal 121" xfId="591"/>
    <cellStyle name="Normal 122" xfId="592"/>
    <cellStyle name="Normal 123" xfId="593"/>
    <cellStyle name="Normal 124" xfId="594"/>
    <cellStyle name="Normal 125" xfId="595"/>
    <cellStyle name="Normal 126" xfId="596"/>
    <cellStyle name="Normal 127" xfId="597"/>
    <cellStyle name="Normal 128" xfId="598"/>
    <cellStyle name="Normal 129" xfId="599"/>
    <cellStyle name="Normal 13" xfId="85"/>
    <cellStyle name="Normal 130" xfId="600"/>
    <cellStyle name="Normal 131" xfId="601"/>
    <cellStyle name="Normal 132" xfId="602"/>
    <cellStyle name="Normal 133" xfId="603"/>
    <cellStyle name="Normal 134" xfId="604"/>
    <cellStyle name="Normal 135" xfId="605"/>
    <cellStyle name="Normal 136" xfId="606"/>
    <cellStyle name="Normal 137" xfId="607"/>
    <cellStyle name="Normal 138" xfId="608"/>
    <cellStyle name="Normal 139" xfId="609"/>
    <cellStyle name="Normal 14" xfId="86"/>
    <cellStyle name="Normal 14 2" xfId="610"/>
    <cellStyle name="Normal 140" xfId="611"/>
    <cellStyle name="Normal 141" xfId="612"/>
    <cellStyle name="Normal 142" xfId="613"/>
    <cellStyle name="Normal 143" xfId="614"/>
    <cellStyle name="Normal 144" xfId="615"/>
    <cellStyle name="Normal 145" xfId="616"/>
    <cellStyle name="Normal 146" xfId="617"/>
    <cellStyle name="Normal 147" xfId="618"/>
    <cellStyle name="Normal 148" xfId="619"/>
    <cellStyle name="Normal 149" xfId="620"/>
    <cellStyle name="Normal 15" xfId="184"/>
    <cellStyle name="Normal 15 2" xfId="621"/>
    <cellStyle name="Normal 15 2 2" xfId="622"/>
    <cellStyle name="Normal 150" xfId="623"/>
    <cellStyle name="Normal 151" xfId="624"/>
    <cellStyle name="Normal 152" xfId="625"/>
    <cellStyle name="Normal 153" xfId="626"/>
    <cellStyle name="Normal 154" xfId="627"/>
    <cellStyle name="Normal 155" xfId="628"/>
    <cellStyle name="Normal 156" xfId="629"/>
    <cellStyle name="Normal 157" xfId="630"/>
    <cellStyle name="Normal 158" xfId="631"/>
    <cellStyle name="Normal 159" xfId="632"/>
    <cellStyle name="Normal 16" xfId="87"/>
    <cellStyle name="Normal 16 2" xfId="633"/>
    <cellStyle name="Normal 160" xfId="634"/>
    <cellStyle name="Normal 161" xfId="635"/>
    <cellStyle name="Normal 162" xfId="636"/>
    <cellStyle name="Normal 163" xfId="637"/>
    <cellStyle name="Normal 164" xfId="638"/>
    <cellStyle name="Normal 165" xfId="639"/>
    <cellStyle name="Normal 166" xfId="640"/>
    <cellStyle name="Normal 167" xfId="641"/>
    <cellStyle name="Normal 168" xfId="642"/>
    <cellStyle name="Normal 169" xfId="643"/>
    <cellStyle name="Normal 17" xfId="88"/>
    <cellStyle name="Normal 170" xfId="644"/>
    <cellStyle name="Normal 171" xfId="645"/>
    <cellStyle name="Normal 172" xfId="646"/>
    <cellStyle name="Normal 173" xfId="647"/>
    <cellStyle name="Normal 174" xfId="648"/>
    <cellStyle name="Normal 175" xfId="649"/>
    <cellStyle name="Normal 176" xfId="650"/>
    <cellStyle name="Normal 177" xfId="651"/>
    <cellStyle name="Normal 178" xfId="652"/>
    <cellStyle name="Normal 179" xfId="653"/>
    <cellStyle name="Normal 18" xfId="89"/>
    <cellStyle name="Normal 18 2" xfId="654"/>
    <cellStyle name="Normal 180" xfId="655"/>
    <cellStyle name="Normal 181" xfId="656"/>
    <cellStyle name="Normal 182" xfId="657"/>
    <cellStyle name="Normal 183" xfId="658"/>
    <cellStyle name="Normal 184" xfId="659"/>
    <cellStyle name="Normal 185" xfId="660"/>
    <cellStyle name="Normal 186" xfId="661"/>
    <cellStyle name="Normal 187" xfId="662"/>
    <cellStyle name="Normal 188" xfId="663"/>
    <cellStyle name="Normal 189" xfId="664"/>
    <cellStyle name="Normal 19" xfId="90"/>
    <cellStyle name="Normal 190" xfId="665"/>
    <cellStyle name="Normal 191" xfId="666"/>
    <cellStyle name="Normal 192" xfId="667"/>
    <cellStyle name="Normal 193" xfId="668"/>
    <cellStyle name="Normal 194" xfId="669"/>
    <cellStyle name="Normal 195" xfId="670"/>
    <cellStyle name="Normal 196" xfId="671"/>
    <cellStyle name="Normal 197" xfId="672"/>
    <cellStyle name="Normal 198" xfId="673"/>
    <cellStyle name="Normal 199" xfId="674"/>
    <cellStyle name="Normal 2" xfId="12"/>
    <cellStyle name="Normal 2 10" xfId="91"/>
    <cellStyle name="Normal 2 10 2" xfId="675"/>
    <cellStyle name="Normal 2 10 2 2 2 3" xfId="108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6"/>
    <cellStyle name="Normal 2 2 2 2" xfId="677"/>
    <cellStyle name="Normal 2 2 3" xfId="678"/>
    <cellStyle name="Normal 2 2 4" xfId="679"/>
    <cellStyle name="Normal 2 2 5" xfId="680"/>
    <cellStyle name="Normal 2 20" xfId="101"/>
    <cellStyle name="Normal 2 21" xfId="102"/>
    <cellStyle name="Normal 2 22" xfId="103"/>
    <cellStyle name="Normal 2 23" xfId="681"/>
    <cellStyle name="Normal 2 3" xfId="104"/>
    <cellStyle name="Normal 2 3 2" xfId="105"/>
    <cellStyle name="Normal 2 3 2 2" xfId="682"/>
    <cellStyle name="Normal 2 3 3" xfId="683"/>
    <cellStyle name="Normal 2 3 4" xfId="684"/>
    <cellStyle name="Normal 2 3 5" xfId="685"/>
    <cellStyle name="Normal 2 3 6" xfId="686"/>
    <cellStyle name="Normal 2 4" xfId="106"/>
    <cellStyle name="Normal 2 4 2" xfId="687"/>
    <cellStyle name="Normal 2 5" xfId="107"/>
    <cellStyle name="Normal 2 5 2" xfId="688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9"/>
    <cellStyle name="Normal 200" xfId="690"/>
    <cellStyle name="Normal 201" xfId="691"/>
    <cellStyle name="Normal 202" xfId="692"/>
    <cellStyle name="Normal 203" xfId="693"/>
    <cellStyle name="Normal 204" xfId="694"/>
    <cellStyle name="Normal 205" xfId="695"/>
    <cellStyle name="Normal 206" xfId="696"/>
    <cellStyle name="Normal 207" xfId="697"/>
    <cellStyle name="Normal 208" xfId="698"/>
    <cellStyle name="Normal 209" xfId="699"/>
    <cellStyle name="Normal 21" xfId="114"/>
    <cellStyle name="Normal 210" xfId="700"/>
    <cellStyle name="Normal 211" xfId="701"/>
    <cellStyle name="Normal 212" xfId="702"/>
    <cellStyle name="Normal 213" xfId="703"/>
    <cellStyle name="Normal 214" xfId="704"/>
    <cellStyle name="Normal 215" xfId="705"/>
    <cellStyle name="Normal 216" xfId="706"/>
    <cellStyle name="Normal 217" xfId="707"/>
    <cellStyle name="Normal 218" xfId="708"/>
    <cellStyle name="Normal 219" xfId="709"/>
    <cellStyle name="Normal 22" xfId="115"/>
    <cellStyle name="Normal 22 2" xfId="710"/>
    <cellStyle name="Normal 22 3" xfId="711"/>
    <cellStyle name="Normal 220" xfId="712"/>
    <cellStyle name="Normal 221" xfId="713"/>
    <cellStyle name="Normal 222" xfId="714"/>
    <cellStyle name="Normal 223" xfId="715"/>
    <cellStyle name="Normal 224" xfId="716"/>
    <cellStyle name="Normal 225" xfId="717"/>
    <cellStyle name="Normal 226" xfId="718"/>
    <cellStyle name="Normal 227" xfId="719"/>
    <cellStyle name="Normal 228" xfId="720"/>
    <cellStyle name="Normal 229" xfId="721"/>
    <cellStyle name="Normal 23" xfId="116"/>
    <cellStyle name="Normal 23 2" xfId="722"/>
    <cellStyle name="Normal 230" xfId="723"/>
    <cellStyle name="Normal 231" xfId="724"/>
    <cellStyle name="Normal 232" xfId="725"/>
    <cellStyle name="Normal 233" xfId="726"/>
    <cellStyle name="Normal 234" xfId="727"/>
    <cellStyle name="Normal 235" xfId="728"/>
    <cellStyle name="Normal 236" xfId="729"/>
    <cellStyle name="Normal 237" xfId="730"/>
    <cellStyle name="Normal 238" xfId="731"/>
    <cellStyle name="Normal 239" xfId="732"/>
    <cellStyle name="Normal 24" xfId="117"/>
    <cellStyle name="Normal 24 2" xfId="733"/>
    <cellStyle name="Normal 24 3" xfId="734"/>
    <cellStyle name="Normal 240" xfId="735"/>
    <cellStyle name="Normal 240 2" xfId="736"/>
    <cellStyle name="Normal 241" xfId="737"/>
    <cellStyle name="Normal 241 2" xfId="738"/>
    <cellStyle name="Normal 241 3" xfId="739"/>
    <cellStyle name="Normal 242" xfId="740"/>
    <cellStyle name="Normal 243" xfId="741"/>
    <cellStyle name="Normal 243 2" xfId="742"/>
    <cellStyle name="Normal 244" xfId="743"/>
    <cellStyle name="Normal 245" xfId="744"/>
    <cellStyle name="Normal 246" xfId="745"/>
    <cellStyle name="Normal 247" xfId="746"/>
    <cellStyle name="Normal 248" xfId="747"/>
    <cellStyle name="Normal 249" xfId="748"/>
    <cellStyle name="Normal 25" xfId="187"/>
    <cellStyle name="Normal 250" xfId="749"/>
    <cellStyle name="Normal 251" xfId="750"/>
    <cellStyle name="Normal 252" xfId="751"/>
    <cellStyle name="Normal 253" xfId="752"/>
    <cellStyle name="Normal 254" xfId="753"/>
    <cellStyle name="Normal 255" xfId="754"/>
    <cellStyle name="Normal 256" xfId="755"/>
    <cellStyle name="Normal 257" xfId="756"/>
    <cellStyle name="Normal 258" xfId="757"/>
    <cellStyle name="Normal 259" xfId="758"/>
    <cellStyle name="Normal 26" xfId="214"/>
    <cellStyle name="Normal 26 2" xfId="759"/>
    <cellStyle name="Normal 260" xfId="760"/>
    <cellStyle name="Normal 261" xfId="761"/>
    <cellStyle name="Normal 262" xfId="762"/>
    <cellStyle name="Normal 263" xfId="763"/>
    <cellStyle name="Normal 264" xfId="764"/>
    <cellStyle name="Normal 265" xfId="765"/>
    <cellStyle name="Normal 266" xfId="766"/>
    <cellStyle name="Normal 267" xfId="767"/>
    <cellStyle name="Normal 268" xfId="768"/>
    <cellStyle name="Normal 269" xfId="769"/>
    <cellStyle name="Normal 27" xfId="215"/>
    <cellStyle name="Normal 270" xfId="770"/>
    <cellStyle name="Normal 270 2" xfId="771"/>
    <cellStyle name="Normal 271" xfId="1080"/>
    <cellStyle name="Normal 272" xfId="1082"/>
    <cellStyle name="Normal 28" xfId="772"/>
    <cellStyle name="Normal 29" xfId="773"/>
    <cellStyle name="Normal 3" xfId="7"/>
    <cellStyle name="Normal 3 2" xfId="13"/>
    <cellStyle name="Normal 3 2 2" xfId="205"/>
    <cellStyle name="Normal 3 2 2 2" xfId="774"/>
    <cellStyle name="Normal 3 2 3" xfId="775"/>
    <cellStyle name="Normal 3 2 4" xfId="776"/>
    <cellStyle name="Normal 3 2 5" xfId="777"/>
    <cellStyle name="Normal 3 2 6" xfId="778"/>
    <cellStyle name="Normal 3 3" xfId="206"/>
    <cellStyle name="Normal 3 3 2" xfId="779"/>
    <cellStyle name="Normal 3 4" xfId="780"/>
    <cellStyle name="Normal 3 5" xfId="781"/>
    <cellStyle name="Normal 3 5 2" xfId="782"/>
    <cellStyle name="Normal 3 6" xfId="783"/>
    <cellStyle name="Normal 3 7" xfId="784"/>
    <cellStyle name="Normal 3 8" xfId="785"/>
    <cellStyle name="Normal 30" xfId="786"/>
    <cellStyle name="Normal 31" xfId="787"/>
    <cellStyle name="Normal 32" xfId="788"/>
    <cellStyle name="Normal 33" xfId="789"/>
    <cellStyle name="Normal 34" xfId="790"/>
    <cellStyle name="Normal 35" xfId="791"/>
    <cellStyle name="Normal 36" xfId="792"/>
    <cellStyle name="Normal 37" xfId="793"/>
    <cellStyle name="Normal 38" xfId="794"/>
    <cellStyle name="Normal 39" xfId="795"/>
    <cellStyle name="Normal 4" xfId="14"/>
    <cellStyle name="Normal 4 2" xfId="207"/>
    <cellStyle name="Normal 4 3" xfId="796"/>
    <cellStyle name="Normal 4 3 2" xfId="797"/>
    <cellStyle name="Normal 4 3 3" xfId="798"/>
    <cellStyle name="Normal 4 3 4" xfId="799"/>
    <cellStyle name="Normal 4 4" xfId="800"/>
    <cellStyle name="Normal 4 5" xfId="801"/>
    <cellStyle name="Normal 4 6" xfId="802"/>
    <cellStyle name="Normal 4 7" xfId="803"/>
    <cellStyle name="Normal 40" xfId="804"/>
    <cellStyle name="Normal 41" xfId="805"/>
    <cellStyle name="Normal 42" xfId="806"/>
    <cellStyle name="Normal 43" xfId="807"/>
    <cellStyle name="Normal 44" xfId="808"/>
    <cellStyle name="Normal 45" xfId="809"/>
    <cellStyle name="Normal 46" xfId="810"/>
    <cellStyle name="Normal 47" xfId="811"/>
    <cellStyle name="Normal 48" xfId="812"/>
    <cellStyle name="Normal 49" xfId="813"/>
    <cellStyle name="Normal 5" xfId="15"/>
    <cellStyle name="Normal 5 2" xfId="814"/>
    <cellStyle name="Normal 5 2 2" xfId="815"/>
    <cellStyle name="Normal 5 2 3" xfId="816"/>
    <cellStyle name="Normal 5 3" xfId="817"/>
    <cellStyle name="Normal 50" xfId="818"/>
    <cellStyle name="Normal 51" xfId="819"/>
    <cellStyle name="Normal 52" xfId="820"/>
    <cellStyle name="Normal 53" xfId="821"/>
    <cellStyle name="Normal 54" xfId="822"/>
    <cellStyle name="Normal 55" xfId="823"/>
    <cellStyle name="Normal 56" xfId="824"/>
    <cellStyle name="Normal 57" xfId="825"/>
    <cellStyle name="Normal 58" xfId="826"/>
    <cellStyle name="Normal 59" xfId="827"/>
    <cellStyle name="Normal 6" xfId="16"/>
    <cellStyle name="Normal 6 2" xfId="208"/>
    <cellStyle name="Normal 6 2 2" xfId="828"/>
    <cellStyle name="Normal 6 3" xfId="829"/>
    <cellStyle name="Normal 6 4" xfId="830"/>
    <cellStyle name="Normal 6 4 2" xfId="831"/>
    <cellStyle name="Normal 6 4 2 2" xfId="832"/>
    <cellStyle name="Normal 6 5" xfId="833"/>
    <cellStyle name="Normal 60" xfId="834"/>
    <cellStyle name="Normal 61" xfId="835"/>
    <cellStyle name="Normal 62" xfId="836"/>
    <cellStyle name="Normal 63" xfId="837"/>
    <cellStyle name="Normal 64" xfId="838"/>
    <cellStyle name="Normal 65" xfId="839"/>
    <cellStyle name="Normal 66" xfId="840"/>
    <cellStyle name="Normal 67" xfId="841"/>
    <cellStyle name="Normal 68" xfId="842"/>
    <cellStyle name="Normal 69" xfId="843"/>
    <cellStyle name="Normal 7" xfId="17"/>
    <cellStyle name="Normal 7 2" xfId="844"/>
    <cellStyle name="Normal 70" xfId="845"/>
    <cellStyle name="Normal 71" xfId="846"/>
    <cellStyle name="Normal 72" xfId="847"/>
    <cellStyle name="Normal 73" xfId="848"/>
    <cellStyle name="Normal 74" xfId="849"/>
    <cellStyle name="Normal 75" xfId="850"/>
    <cellStyle name="Normal 76" xfId="851"/>
    <cellStyle name="Normal 77" xfId="852"/>
    <cellStyle name="Normal 78" xfId="853"/>
    <cellStyle name="Normal 79" xfId="854"/>
    <cellStyle name="Normal 8" xfId="18"/>
    <cellStyle name="Normal 8 2" xfId="855"/>
    <cellStyle name="Normal 8 3" xfId="856"/>
    <cellStyle name="Normal 80" xfId="857"/>
    <cellStyle name="Normal 81" xfId="858"/>
    <cellStyle name="Normal 82" xfId="859"/>
    <cellStyle name="Normal 83" xfId="860"/>
    <cellStyle name="Normal 84" xfId="861"/>
    <cellStyle name="Normal 85" xfId="862"/>
    <cellStyle name="Normal 86" xfId="863"/>
    <cellStyle name="Normal 87" xfId="864"/>
    <cellStyle name="Normal 88" xfId="865"/>
    <cellStyle name="Normal 89" xfId="866"/>
    <cellStyle name="Normal 9" xfId="118"/>
    <cellStyle name="Normal 9 2" xfId="867"/>
    <cellStyle name="Normal 90" xfId="868"/>
    <cellStyle name="Normal 91" xfId="869"/>
    <cellStyle name="Normal 92" xfId="870"/>
    <cellStyle name="Normal 93" xfId="871"/>
    <cellStyle name="Normal 94" xfId="872"/>
    <cellStyle name="Normal 95" xfId="873"/>
    <cellStyle name="Normal 96" xfId="874"/>
    <cellStyle name="Normal 97" xfId="875"/>
    <cellStyle name="Normal 98" xfId="876"/>
    <cellStyle name="Normal 99" xfId="877"/>
    <cellStyle name="Normal(0)" xfId="878"/>
    <cellStyle name="Normal_Bill Comp Settlement with New DSM" xfId="213"/>
    <cellStyle name="Normal_Blocking 03-01" xfId="5"/>
    <cellStyle name="Normal_Blocking 09-00" xfId="4"/>
    <cellStyle name="Normal_Blocking 09-00 2" xfId="217"/>
    <cellStyle name="Note 2" xfId="879"/>
    <cellStyle name="Note 3" xfId="880"/>
    <cellStyle name="Note 4" xfId="881"/>
    <cellStyle name="Note 5" xfId="882"/>
    <cellStyle name="Note 6" xfId="883"/>
    <cellStyle name="Number" xfId="884"/>
    <cellStyle name="Number 10" xfId="885"/>
    <cellStyle name="Number 11" xfId="886"/>
    <cellStyle name="Number 12" xfId="887"/>
    <cellStyle name="Number 13" xfId="888"/>
    <cellStyle name="Number 14" xfId="889"/>
    <cellStyle name="Number 2" xfId="890"/>
    <cellStyle name="Number 3" xfId="891"/>
    <cellStyle name="Number 4" xfId="892"/>
    <cellStyle name="Number 5" xfId="893"/>
    <cellStyle name="Number 6" xfId="894"/>
    <cellStyle name="Number 7" xfId="895"/>
    <cellStyle name="Number 8" xfId="896"/>
    <cellStyle name="Number 9" xfId="897"/>
    <cellStyle name="Output 2" xfId="898"/>
    <cellStyle name="Output 3" xfId="899"/>
    <cellStyle name="Output 4" xfId="900"/>
    <cellStyle name="Output 5" xfId="901"/>
    <cellStyle name="Output 6" xfId="902"/>
    <cellStyle name="Output Amounts" xfId="903"/>
    <cellStyle name="Output Line Items" xfId="904"/>
    <cellStyle name="Password" xfId="119"/>
    <cellStyle name="Percen - Style1" xfId="905"/>
    <cellStyle name="Percen - Style2" xfId="906"/>
    <cellStyle name="Percent" xfId="3" builtinId="5"/>
    <cellStyle name="Percent [2]" xfId="209"/>
    <cellStyle name="Percent [2] 2" xfId="907"/>
    <cellStyle name="Percent [2] 3" xfId="908"/>
    <cellStyle name="Percent 10" xfId="909"/>
    <cellStyle name="Percent 11" xfId="910"/>
    <cellStyle name="Percent 12" xfId="911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2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3"/>
    <cellStyle name="Percent 3 3" xfId="914"/>
    <cellStyle name="Percent 3 4" xfId="915"/>
    <cellStyle name="Percent 3 5" xfId="916"/>
    <cellStyle name="Percent 3 6" xfId="917"/>
    <cellStyle name="Percent 3 7" xfId="918"/>
    <cellStyle name="Percent 3 8" xfId="919"/>
    <cellStyle name="Percent 3 9" xfId="920"/>
    <cellStyle name="Percent 4" xfId="22"/>
    <cellStyle name="Percent 4 2" xfId="921"/>
    <cellStyle name="Percent 4 2 2" xfId="922"/>
    <cellStyle name="Percent 4 3" xfId="923"/>
    <cellStyle name="Percent 5" xfId="23"/>
    <cellStyle name="Percent 6" xfId="24"/>
    <cellStyle name="Percent 6 2" xfId="924"/>
    <cellStyle name="Percent 6 2 2" xfId="925"/>
    <cellStyle name="Percent 7" xfId="185"/>
    <cellStyle name="Percent 7 2" xfId="926"/>
    <cellStyle name="Percent 8" xfId="188"/>
    <cellStyle name="Percent 9" xfId="216"/>
    <cellStyle name="Percent(0)" xfId="927"/>
    <cellStyle name="Reset  - Style7" xfId="928"/>
    <cellStyle name="SAPBEXaggData" xfId="143"/>
    <cellStyle name="SAPBEXaggDataEmph" xfId="144"/>
    <cellStyle name="SAPBEXaggItem" xfId="145"/>
    <cellStyle name="SAPBEXaggItem 2" xfId="929"/>
    <cellStyle name="SAPBEXaggItem 3" xfId="930"/>
    <cellStyle name="SAPBEXaggItem 4" xfId="931"/>
    <cellStyle name="SAPBEXaggItem 5" xfId="932"/>
    <cellStyle name="SAPBEXaggItem 6" xfId="933"/>
    <cellStyle name="SAPBEXaggItem_Copy of xSAPtemp5457" xfId="934"/>
    <cellStyle name="SAPBEXaggItemX" xfId="146"/>
    <cellStyle name="SAPBEXchaText" xfId="147"/>
    <cellStyle name="SAPBEXchaText 2" xfId="935"/>
    <cellStyle name="SAPBEXchaText 3" xfId="936"/>
    <cellStyle name="SAPBEXchaText 4" xfId="937"/>
    <cellStyle name="SAPBEXchaText 5" xfId="938"/>
    <cellStyle name="SAPBEXchaText 6" xfId="939"/>
    <cellStyle name="SAPBEXchaText_Copy of xSAPtemp5457" xfId="940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1"/>
    <cellStyle name="SAPBEXfilterItem" xfId="158"/>
    <cellStyle name="SAPBEXfilterItem 2" xfId="942"/>
    <cellStyle name="SAPBEXfilterItem 3" xfId="943"/>
    <cellStyle name="SAPBEXfilterItem 4" xfId="944"/>
    <cellStyle name="SAPBEXfilterItem 5" xfId="945"/>
    <cellStyle name="SAPBEXfilterItem 6" xfId="946"/>
    <cellStyle name="SAPBEXfilterItem_Copy of xSAPtemp5457" xfId="947"/>
    <cellStyle name="SAPBEXfilterText" xfId="159"/>
    <cellStyle name="SAPBEXfilterText 2" xfId="948"/>
    <cellStyle name="SAPBEXfilterText 3" xfId="949"/>
    <cellStyle name="SAPBEXfilterText 4" xfId="950"/>
    <cellStyle name="SAPBEXfilterText 5" xfId="951"/>
    <cellStyle name="SAPBEXformats" xfId="160"/>
    <cellStyle name="SAPBEXheaderItem" xfId="161"/>
    <cellStyle name="SAPBEXheaderItem 2" xfId="952"/>
    <cellStyle name="SAPBEXheaderItem 3" xfId="953"/>
    <cellStyle name="SAPBEXheaderItem 4" xfId="954"/>
    <cellStyle name="SAPBEXheaderItem 5" xfId="955"/>
    <cellStyle name="SAPBEXheaderItem 6" xfId="956"/>
    <cellStyle name="SAPBEXheaderItem 7" xfId="957"/>
    <cellStyle name="SAPBEXheaderItem_Copy of xSAPtemp5457" xfId="958"/>
    <cellStyle name="SAPBEXheaderText" xfId="162"/>
    <cellStyle name="SAPBEXheaderText 2" xfId="959"/>
    <cellStyle name="SAPBEXheaderText 3" xfId="960"/>
    <cellStyle name="SAPBEXheaderText 4" xfId="961"/>
    <cellStyle name="SAPBEXheaderText 5" xfId="962"/>
    <cellStyle name="SAPBEXheaderText 6" xfId="963"/>
    <cellStyle name="SAPBEXheaderText 7" xfId="964"/>
    <cellStyle name="SAPBEXheaderText_Copy of xSAPtemp5457" xfId="965"/>
    <cellStyle name="SAPBEXHLevel0" xfId="163"/>
    <cellStyle name="SAPBEXHLevel0 2" xfId="966"/>
    <cellStyle name="SAPBEXHLevel0 3" xfId="967"/>
    <cellStyle name="SAPBEXHLevel0 4" xfId="968"/>
    <cellStyle name="SAPBEXHLevel0 5" xfId="969"/>
    <cellStyle name="SAPBEXHLevel0 6" xfId="970"/>
    <cellStyle name="SAPBEXHLevel0X" xfId="164"/>
    <cellStyle name="SAPBEXHLevel0X 2" xfId="971"/>
    <cellStyle name="SAPBEXHLevel0X 3" xfId="972"/>
    <cellStyle name="SAPBEXHLevel0X 4" xfId="973"/>
    <cellStyle name="SAPBEXHLevel0X 5" xfId="974"/>
    <cellStyle name="SAPBEXHLevel0X 6" xfId="975"/>
    <cellStyle name="SAPBEXHLevel1" xfId="165"/>
    <cellStyle name="SAPBEXHLevel1 2" xfId="976"/>
    <cellStyle name="SAPBEXHLevel1 3" xfId="977"/>
    <cellStyle name="SAPBEXHLevel1 4" xfId="978"/>
    <cellStyle name="SAPBEXHLevel1 5" xfId="979"/>
    <cellStyle name="SAPBEXHLevel1 6" xfId="980"/>
    <cellStyle name="SAPBEXHLevel1X" xfId="166"/>
    <cellStyle name="SAPBEXHLevel1X 2" xfId="981"/>
    <cellStyle name="SAPBEXHLevel1X 3" xfId="982"/>
    <cellStyle name="SAPBEXHLevel1X 4" xfId="983"/>
    <cellStyle name="SAPBEXHLevel1X 5" xfId="984"/>
    <cellStyle name="SAPBEXHLevel1X 6" xfId="985"/>
    <cellStyle name="SAPBEXHLevel2" xfId="167"/>
    <cellStyle name="SAPBEXHLevel2 2" xfId="986"/>
    <cellStyle name="SAPBEXHLevel2 3" xfId="987"/>
    <cellStyle name="SAPBEXHLevel2 4" xfId="988"/>
    <cellStyle name="SAPBEXHLevel2 5" xfId="989"/>
    <cellStyle name="SAPBEXHLevel2 6" xfId="990"/>
    <cellStyle name="SAPBEXHLevel2X" xfId="168"/>
    <cellStyle name="SAPBEXHLevel2X 2" xfId="991"/>
    <cellStyle name="SAPBEXHLevel2X 3" xfId="992"/>
    <cellStyle name="SAPBEXHLevel2X 4" xfId="993"/>
    <cellStyle name="SAPBEXHLevel2X 5" xfId="994"/>
    <cellStyle name="SAPBEXHLevel2X 6" xfId="995"/>
    <cellStyle name="SAPBEXHLevel3" xfId="169"/>
    <cellStyle name="SAPBEXHLevel3 2" xfId="996"/>
    <cellStyle name="SAPBEXHLevel3 3" xfId="997"/>
    <cellStyle name="SAPBEXHLevel3 4" xfId="998"/>
    <cellStyle name="SAPBEXHLevel3 5" xfId="999"/>
    <cellStyle name="SAPBEXHLevel3 6" xfId="1000"/>
    <cellStyle name="SAPBEXHLevel3X" xfId="170"/>
    <cellStyle name="SAPBEXHLevel3X 2" xfId="1001"/>
    <cellStyle name="SAPBEXHLevel3X 3" xfId="1002"/>
    <cellStyle name="SAPBEXHLevel3X 4" xfId="1003"/>
    <cellStyle name="SAPBEXHLevel3X 5" xfId="1004"/>
    <cellStyle name="SAPBEXHLevel3X 6" xfId="1005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6"/>
    <cellStyle name="SAPBEXstdData 3" xfId="1007"/>
    <cellStyle name="SAPBEXstdData 4" xfId="1008"/>
    <cellStyle name="SAPBEXstdData 5" xfId="1009"/>
    <cellStyle name="SAPBEXstdData 6" xfId="1010"/>
    <cellStyle name="SAPBEXstdData_Copy of xSAPtemp5457" xfId="1011"/>
    <cellStyle name="SAPBEXstdDataEmph" xfId="176"/>
    <cellStyle name="SAPBEXstdItem" xfId="177"/>
    <cellStyle name="SAPBEXstdItem 2" xfId="1012"/>
    <cellStyle name="SAPBEXstdItem 3" xfId="1013"/>
    <cellStyle name="SAPBEXstdItem 4" xfId="1014"/>
    <cellStyle name="SAPBEXstdItem 5" xfId="1015"/>
    <cellStyle name="SAPBEXstdItem 6" xfId="1016"/>
    <cellStyle name="SAPBEXstdItem_Copy of xSAPtemp5457" xfId="1017"/>
    <cellStyle name="SAPBEXstdItemX" xfId="178"/>
    <cellStyle name="SAPBEXstdItemX 2" xfId="1018"/>
    <cellStyle name="SAPBEXstdItemX 3" xfId="1019"/>
    <cellStyle name="SAPBEXstdItemX 4" xfId="1020"/>
    <cellStyle name="SAPBEXstdItemX 5" xfId="1021"/>
    <cellStyle name="SAPBEXstdItemX 6" xfId="1022"/>
    <cellStyle name="SAPBEXstdItemX_Copy of xSAPtemp5457" xfId="1023"/>
    <cellStyle name="SAPBEXtitle" xfId="179"/>
    <cellStyle name="SAPBEXtitle 2" xfId="211"/>
    <cellStyle name="SAPBEXtitle 3" xfId="1024"/>
    <cellStyle name="SAPBEXtitle 4" xfId="1025"/>
    <cellStyle name="SAPBEXtitle 5" xfId="1026"/>
    <cellStyle name="SAPBEXtitle 6" xfId="1027"/>
    <cellStyle name="SAPBEXtitle 7" xfId="1028"/>
    <cellStyle name="SAPBEXtitle_Copy of xSAPtemp5457" xfId="1029"/>
    <cellStyle name="SAPBEXundefined" xfId="180"/>
    <cellStyle name="Shade" xfId="1030"/>
    <cellStyle name="Sheet Title" xfId="1031"/>
    <cellStyle name="Special" xfId="1032"/>
    <cellStyle name="Special 2" xfId="1033"/>
    <cellStyle name="Special 3" xfId="1034"/>
    <cellStyle name="STYL1 - Style1" xfId="1035"/>
    <cellStyle name="Style 1" xfId="1036"/>
    <cellStyle name="Style 21" xfId="1037"/>
    <cellStyle name="Style 22" xfId="1038"/>
    <cellStyle name="Style 24" xfId="1039"/>
    <cellStyle name="Style 27" xfId="1040"/>
    <cellStyle name="Style 35" xfId="1041"/>
    <cellStyle name="Style 35 2" xfId="1042"/>
    <cellStyle name="Style 36" xfId="1043"/>
    <cellStyle name="Style 36 2" xfId="1044"/>
    <cellStyle name="Table  - Style6" xfId="1045"/>
    <cellStyle name="Text" xfId="1046"/>
    <cellStyle name="Title  - Style1" xfId="1047"/>
    <cellStyle name="Title 2" xfId="1048"/>
    <cellStyle name="Title 3" xfId="1049"/>
    <cellStyle name="Title 4" xfId="1050"/>
    <cellStyle name="Title 5" xfId="1051"/>
    <cellStyle name="Title 6" xfId="1052"/>
    <cellStyle name="Titles" xfId="212"/>
    <cellStyle name="Titles 2" xfId="1053"/>
    <cellStyle name="Total 2" xfId="1054"/>
    <cellStyle name="Total 2 2" xfId="1055"/>
    <cellStyle name="Total 3" xfId="1056"/>
    <cellStyle name="Total 4" xfId="1057"/>
    <cellStyle name="Total 5" xfId="1058"/>
    <cellStyle name="Total2 - Style2" xfId="1059"/>
    <cellStyle name="TotCol - Style5" xfId="1060"/>
    <cellStyle name="TotRow - Style4" xfId="1061"/>
    <cellStyle name="TRANSMISSION RELIABILITY PORTION OF PROJECT" xfId="25"/>
    <cellStyle name="Tusental (0)_pldt" xfId="1062"/>
    <cellStyle name="Tusental_pldt" xfId="1063"/>
    <cellStyle name="Underl - Style4" xfId="1064"/>
    <cellStyle name="UNLocked" xfId="1065"/>
    <cellStyle name="Unprot" xfId="181"/>
    <cellStyle name="Unprot 2" xfId="1066"/>
    <cellStyle name="Unprot 3" xfId="1067"/>
    <cellStyle name="Unprot 4" xfId="1068"/>
    <cellStyle name="Unprot$" xfId="182"/>
    <cellStyle name="Unprot$ 2" xfId="1069"/>
    <cellStyle name="Unprot$ 3" xfId="1070"/>
    <cellStyle name="Unprot$ 4" xfId="1071"/>
    <cellStyle name="Unprot_Book4 (11) (2)" xfId="1072"/>
    <cellStyle name="Unprotect" xfId="183"/>
    <cellStyle name="Valuta (0)_pldt" xfId="1073"/>
    <cellStyle name="Valuta_pldt" xfId="1074"/>
    <cellStyle name="Warning Text 2" xfId="1075"/>
    <cellStyle name="Warning Text 3" xfId="1076"/>
    <cellStyle name="Warning Text 4" xfId="1077"/>
    <cellStyle name="Warning Text 5" xfId="1078"/>
    <cellStyle name="Warning Text 6" xfId="107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80" zoomScaleNormal="70" zoomScaleSheetLayoutView="80" workbookViewId="0"/>
  </sheetViews>
  <sheetFormatPr defaultColWidth="9" defaultRowHeight="15.75"/>
  <cols>
    <col min="1" max="1" width="4.625" style="143" customWidth="1"/>
    <col min="2" max="2" width="1.625" style="143" customWidth="1"/>
    <col min="3" max="3" width="35.625" style="143" customWidth="1"/>
    <col min="4" max="4" width="1.5" style="145" customWidth="1"/>
    <col min="5" max="5" width="7.5" style="143" bestFit="1" customWidth="1"/>
    <col min="6" max="6" width="2.125" style="145" customWidth="1"/>
    <col min="7" max="7" width="15.25" style="145" customWidth="1"/>
    <col min="8" max="8" width="1.75" style="145" customWidth="1"/>
    <col min="9" max="9" width="11.375" style="145" customWidth="1"/>
    <col min="10" max="10" width="2.75" style="143" customWidth="1"/>
    <col min="11" max="11" width="11.375" style="145" bestFit="1" customWidth="1"/>
    <col min="12" max="12" width="2.375" style="145" customWidth="1"/>
    <col min="13" max="13" width="6.5" style="145" bestFit="1" customWidth="1"/>
    <col min="14" max="16384" width="9" style="143"/>
  </cols>
  <sheetData>
    <row r="1" spans="1:13">
      <c r="A1" s="88" t="s">
        <v>312</v>
      </c>
      <c r="B1" s="88"/>
      <c r="C1" s="88"/>
      <c r="D1" s="141"/>
      <c r="E1" s="88"/>
      <c r="F1" s="141"/>
      <c r="G1" s="142"/>
      <c r="H1" s="141"/>
      <c r="I1" s="141"/>
      <c r="J1" s="144"/>
      <c r="K1" s="142"/>
      <c r="L1" s="142"/>
      <c r="M1" s="141"/>
    </row>
    <row r="2" spans="1:13" s="55" customFormat="1">
      <c r="A2" s="88" t="s">
        <v>239</v>
      </c>
      <c r="B2" s="88"/>
      <c r="C2" s="88"/>
      <c r="D2" s="141"/>
      <c r="E2" s="88"/>
      <c r="F2" s="141"/>
      <c r="G2" s="142"/>
      <c r="H2" s="141"/>
      <c r="I2" s="141"/>
      <c r="J2" s="144"/>
      <c r="K2" s="142"/>
      <c r="L2" s="142"/>
      <c r="M2" s="141"/>
    </row>
    <row r="3" spans="1:13" s="55" customFormat="1">
      <c r="A3" s="88" t="s">
        <v>292</v>
      </c>
      <c r="B3" s="88"/>
      <c r="C3" s="88"/>
      <c r="D3" s="141"/>
      <c r="E3" s="88"/>
      <c r="F3" s="141"/>
      <c r="G3" s="142"/>
      <c r="H3" s="141"/>
      <c r="I3" s="141"/>
      <c r="J3" s="144"/>
      <c r="K3" s="142"/>
      <c r="L3" s="142"/>
      <c r="M3" s="141"/>
    </row>
    <row r="4" spans="1:13" s="55" customFormat="1">
      <c r="A4" s="88" t="s">
        <v>240</v>
      </c>
      <c r="B4" s="88"/>
      <c r="C4" s="88"/>
      <c r="D4" s="141"/>
      <c r="E4" s="88"/>
      <c r="F4" s="141"/>
      <c r="G4" s="142"/>
      <c r="H4" s="141"/>
      <c r="I4" s="141"/>
      <c r="J4" s="144"/>
      <c r="K4" s="142"/>
      <c r="L4" s="142"/>
      <c r="M4" s="141"/>
    </row>
    <row r="5" spans="1:13" s="55" customFormat="1">
      <c r="A5" s="88" t="s">
        <v>357</v>
      </c>
      <c r="B5" s="88"/>
      <c r="C5" s="88"/>
      <c r="D5" s="141"/>
      <c r="E5" s="88"/>
      <c r="F5" s="141"/>
      <c r="G5" s="142"/>
      <c r="H5" s="141"/>
      <c r="I5" s="141"/>
      <c r="J5" s="144"/>
      <c r="K5" s="142"/>
      <c r="L5" s="142"/>
      <c r="M5" s="141"/>
    </row>
    <row r="6" spans="1:13">
      <c r="A6" s="88" t="s">
        <v>358</v>
      </c>
      <c r="B6" s="88"/>
      <c r="C6" s="88"/>
      <c r="D6" s="141"/>
      <c r="E6" s="88"/>
      <c r="F6" s="141"/>
      <c r="G6" s="142"/>
      <c r="H6" s="141"/>
      <c r="I6" s="141"/>
      <c r="J6" s="144"/>
      <c r="K6" s="142"/>
      <c r="L6" s="142"/>
      <c r="M6" s="141"/>
    </row>
    <row r="7" spans="1:13">
      <c r="A7" s="88"/>
      <c r="B7" s="88"/>
      <c r="C7" s="88"/>
      <c r="D7" s="141"/>
      <c r="E7" s="88"/>
      <c r="F7" s="141"/>
      <c r="G7" s="142"/>
      <c r="H7" s="141"/>
      <c r="I7" s="85"/>
      <c r="K7" s="179"/>
      <c r="L7" s="179"/>
      <c r="M7" s="85"/>
    </row>
    <row r="8" spans="1:13">
      <c r="A8" s="88"/>
      <c r="B8" s="88"/>
      <c r="C8" s="88"/>
      <c r="D8" s="141"/>
      <c r="E8" s="88"/>
      <c r="F8" s="141"/>
      <c r="G8" s="141"/>
      <c r="H8" s="178"/>
      <c r="I8" s="85"/>
      <c r="K8" s="85"/>
      <c r="L8" s="85"/>
      <c r="M8" s="85"/>
    </row>
    <row r="9" spans="1:13">
      <c r="D9" s="84"/>
      <c r="E9" s="146"/>
      <c r="F9" s="84"/>
      <c r="G9" s="83" t="s">
        <v>309</v>
      </c>
      <c r="H9" s="84"/>
      <c r="I9" s="85"/>
      <c r="K9" s="85"/>
      <c r="L9" s="85"/>
      <c r="M9" s="85"/>
    </row>
    <row r="10" spans="1:13" s="87" customFormat="1" ht="18.75">
      <c r="A10" s="87" t="s">
        <v>241</v>
      </c>
      <c r="D10" s="84"/>
      <c r="E10" s="146" t="s">
        <v>242</v>
      </c>
      <c r="F10" s="84"/>
      <c r="G10" s="84" t="s">
        <v>293</v>
      </c>
      <c r="H10" s="83"/>
      <c r="I10" s="497" t="s">
        <v>625</v>
      </c>
      <c r="K10" s="496" t="s">
        <v>626</v>
      </c>
      <c r="L10" s="497"/>
      <c r="M10" s="497"/>
    </row>
    <row r="11" spans="1:13" s="87" customFormat="1">
      <c r="A11" s="387" t="s">
        <v>244</v>
      </c>
      <c r="C11" s="147" t="s">
        <v>245</v>
      </c>
      <c r="E11" s="147" t="s">
        <v>244</v>
      </c>
      <c r="G11" s="86" t="s">
        <v>247</v>
      </c>
      <c r="I11" s="67" t="s">
        <v>377</v>
      </c>
      <c r="K11" s="182" t="s">
        <v>247</v>
      </c>
      <c r="L11" s="373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8"/>
      <c r="F13" s="148"/>
      <c r="G13" s="148"/>
      <c r="H13" s="148"/>
      <c r="I13" s="148"/>
      <c r="K13" s="84"/>
      <c r="L13" s="84"/>
      <c r="M13" s="148"/>
    </row>
    <row r="14" spans="1:13" ht="18.75" customHeight="1">
      <c r="C14" s="87" t="s">
        <v>248</v>
      </c>
    </row>
    <row r="15" spans="1:13">
      <c r="A15" s="143">
        <v>1</v>
      </c>
      <c r="C15" s="143" t="s">
        <v>248</v>
      </c>
      <c r="E15" s="149" t="s">
        <v>249</v>
      </c>
      <c r="G15" s="59">
        <f>('Ex B p2 - Billing Determinants'!G29+'Ex B p2 - Billing Determinants'!G49)/1000</f>
        <v>684504.94400000002</v>
      </c>
      <c r="H15" s="60"/>
      <c r="I15" s="68"/>
      <c r="J15" s="381"/>
      <c r="K15" s="328">
        <f>K18*$G15/SUM($G15:$G16)</f>
        <v>-8372.0739907318184</v>
      </c>
      <c r="L15" s="328"/>
      <c r="M15" s="68">
        <f>K15/$G15</f>
        <v>-1.2230845173752052E-2</v>
      </c>
    </row>
    <row r="16" spans="1:13">
      <c r="A16" s="143">
        <f>MAX(A$14:A15)+1</f>
        <v>2</v>
      </c>
      <c r="C16" s="143" t="s">
        <v>250</v>
      </c>
      <c r="E16" s="150">
        <v>2</v>
      </c>
      <c r="G16" s="59">
        <f>'Ex B p2 - Billing Determinants'!G71/1000</f>
        <v>351.48899999999998</v>
      </c>
      <c r="H16" s="60"/>
      <c r="I16" s="183"/>
      <c r="J16" s="381"/>
      <c r="K16" s="59">
        <f>K18-K15</f>
        <v>-4.2990075392754079</v>
      </c>
      <c r="L16" s="59"/>
      <c r="M16" s="183">
        <f>K16/$G16</f>
        <v>-1.2230845173747708E-2</v>
      </c>
    </row>
    <row r="17" spans="1:13">
      <c r="A17" s="143">
        <f>MAX(A$14:A16)+1</f>
        <v>3</v>
      </c>
      <c r="C17" s="151" t="s">
        <v>251</v>
      </c>
      <c r="E17" s="152" t="s">
        <v>252</v>
      </c>
      <c r="G17" s="61">
        <f>'Ex B p2 - Billing Determinants'!G504/1000</f>
        <v>33.04027</v>
      </c>
      <c r="H17" s="60"/>
      <c r="I17" s="184"/>
      <c r="J17" s="381"/>
      <c r="K17" s="61"/>
      <c r="L17" s="61"/>
      <c r="M17" s="184"/>
    </row>
    <row r="18" spans="1:13">
      <c r="A18" s="143">
        <f>MAX(A$14:A17)+1</f>
        <v>4</v>
      </c>
      <c r="C18" s="87" t="s">
        <v>253</v>
      </c>
      <c r="G18" s="59">
        <f>SUM(G15:G17)</f>
        <v>684889.47326999996</v>
      </c>
      <c r="H18" s="60"/>
      <c r="I18" s="183">
        <f>'COS Factor'!F48</f>
        <v>0.40570289086832639</v>
      </c>
      <c r="J18" s="381"/>
      <c r="K18" s="59">
        <f>($K$51-$K$31-$K$33-$K$34-$K$35-$K$36)*I18*$K$53</f>
        <v>-8376.3729982710938</v>
      </c>
      <c r="L18" s="59"/>
      <c r="M18" s="183">
        <f>K18/$G18</f>
        <v>-1.2230255136318799E-2</v>
      </c>
    </row>
    <row r="19" spans="1:13" ht="24.75" customHeight="1">
      <c r="C19" s="87" t="s">
        <v>254</v>
      </c>
      <c r="G19" s="59"/>
      <c r="H19" s="60"/>
      <c r="I19" s="183"/>
      <c r="J19" s="381"/>
      <c r="K19" s="59"/>
      <c r="L19" s="153"/>
      <c r="M19" s="183"/>
    </row>
    <row r="20" spans="1:13">
      <c r="A20" s="143">
        <f>MAX(A$14:A19)+1</f>
        <v>5</v>
      </c>
      <c r="C20" s="143" t="s">
        <v>255</v>
      </c>
      <c r="E20" s="154">
        <v>6</v>
      </c>
      <c r="G20" s="59">
        <f>'Ex B p2 - Billing Determinants'!G86/1000</f>
        <v>494681.46600000001</v>
      </c>
      <c r="H20" s="60"/>
      <c r="I20" s="183"/>
      <c r="J20" s="381"/>
      <c r="K20" s="59">
        <f>K$23*$G20/$G$23</f>
        <v>-5132.8623798766848</v>
      </c>
      <c r="L20" s="328"/>
      <c r="M20" s="183">
        <f t="shared" ref="M20:M36" si="0">K20/$G20</f>
        <v>-1.0376095998463553E-2</v>
      </c>
    </row>
    <row r="21" spans="1:13">
      <c r="A21" s="143">
        <f>MAX(A$14:A20)+1</f>
        <v>6</v>
      </c>
      <c r="C21" s="143" t="s">
        <v>256</v>
      </c>
      <c r="E21" s="150" t="s">
        <v>257</v>
      </c>
      <c r="G21" s="59">
        <f>'Ex B p2 - Billing Determinants'!G113/1000</f>
        <v>34227.404000000002</v>
      </c>
      <c r="H21" s="60"/>
      <c r="I21" s="183"/>
      <c r="J21" s="381"/>
      <c r="K21" s="59">
        <f>K$23*$G21/$G$23</f>
        <v>-355.14682968219552</v>
      </c>
      <c r="L21" s="59"/>
      <c r="M21" s="183">
        <f t="shared" si="0"/>
        <v>-1.0376095998463555E-2</v>
      </c>
    </row>
    <row r="22" spans="1:13">
      <c r="A22" s="143">
        <f>MAX(A$14:A21)+1</f>
        <v>7</v>
      </c>
      <c r="C22" s="143" t="s">
        <v>258</v>
      </c>
      <c r="E22" s="150" t="s">
        <v>259</v>
      </c>
      <c r="G22" s="61">
        <f>'Ex B p2 - Billing Determinants'!G101/1000</f>
        <v>345.71800000000002</v>
      </c>
      <c r="H22" s="60"/>
      <c r="I22" s="184"/>
      <c r="J22" s="381"/>
      <c r="K22" s="61">
        <f>K23-K20-K21</f>
        <v>-3.587203156397095</v>
      </c>
      <c r="L22" s="61"/>
      <c r="M22" s="184">
        <f t="shared" si="0"/>
        <v>-1.0376095998464341E-2</v>
      </c>
    </row>
    <row r="23" spans="1:13">
      <c r="A23" s="143">
        <f>MAX(A$14:A22)+1</f>
        <v>8</v>
      </c>
      <c r="C23" s="155" t="s">
        <v>260</v>
      </c>
      <c r="G23" s="59">
        <f>SUM(G20:G22)</f>
        <v>529254.58799999999</v>
      </c>
      <c r="H23" s="60"/>
      <c r="I23" s="183">
        <f>'COS Factor'!G48</f>
        <v>0.26598105654805188</v>
      </c>
      <c r="J23" s="381"/>
      <c r="K23" s="59">
        <f>($K$51-$K$31-$K$33-$K$34-$K$35-$K$36)*I23*$K$53</f>
        <v>-5491.5964127152774</v>
      </c>
      <c r="L23" s="59"/>
      <c r="M23" s="183">
        <f t="shared" si="0"/>
        <v>-1.0376095998463555E-2</v>
      </c>
    </row>
    <row r="24" spans="1:13" ht="23.1" customHeight="1">
      <c r="A24" s="143">
        <f>MAX(A$14:A23)+1</f>
        <v>9</v>
      </c>
      <c r="C24" s="151" t="s">
        <v>261</v>
      </c>
      <c r="E24" s="143">
        <v>8</v>
      </c>
      <c r="F24" s="58"/>
      <c r="G24" s="59">
        <f>'Ex B p2 - Billing Determinants'!G165/1000</f>
        <v>167313.40900000001</v>
      </c>
      <c r="H24" s="60"/>
      <c r="I24" s="183">
        <f>'COS Factor'!H48</f>
        <v>7.5877958586585054E-2</v>
      </c>
      <c r="J24" s="381"/>
      <c r="K24" s="59">
        <f>($K$51-$K$31-$K$33-$K$34-$K$35-$K$36)*I24*$K$53</f>
        <v>-1566.6195577464737</v>
      </c>
      <c r="L24" s="59"/>
      <c r="M24" s="183">
        <f t="shared" si="0"/>
        <v>-9.3633831688079081E-3</v>
      </c>
    </row>
    <row r="25" spans="1:13" ht="23.1" customHeight="1">
      <c r="A25" s="143">
        <f>MAX(A$14:A24)+1</f>
        <v>10</v>
      </c>
      <c r="C25" s="143" t="s">
        <v>262</v>
      </c>
      <c r="E25" s="143">
        <v>9</v>
      </c>
      <c r="G25" s="59">
        <f>'Ex B p2 - Billing Determinants'!G176/1000</f>
        <v>284876.45199999999</v>
      </c>
      <c r="H25" s="60"/>
      <c r="I25" s="183"/>
      <c r="J25" s="381"/>
      <c r="K25" s="59">
        <f>K27*$G25/$G$27</f>
        <v>-2740.8718276391905</v>
      </c>
      <c r="L25" s="59"/>
      <c r="M25" s="183">
        <f t="shared" si="0"/>
        <v>-9.6212649673100767E-3</v>
      </c>
    </row>
    <row r="26" spans="1:13">
      <c r="A26" s="143">
        <f>MAX(A$14:A25)+1</f>
        <v>11</v>
      </c>
      <c r="C26" s="143" t="s">
        <v>263</v>
      </c>
      <c r="E26" s="150" t="s">
        <v>264</v>
      </c>
      <c r="G26" s="61">
        <f>'Ex B p2 - Billing Determinants'!G184/1000</f>
        <v>3292.5839999999998</v>
      </c>
      <c r="H26" s="60"/>
      <c r="I26" s="184"/>
      <c r="J26" s="381"/>
      <c r="K26" s="61">
        <f>K27-K25</f>
        <v>-31.678823091125196</v>
      </c>
      <c r="L26" s="61"/>
      <c r="M26" s="184">
        <f t="shared" si="0"/>
        <v>-9.6212649673099292E-3</v>
      </c>
    </row>
    <row r="27" spans="1:13">
      <c r="A27" s="143">
        <f>MAX(A$14:A26)+1</f>
        <v>12</v>
      </c>
      <c r="C27" s="155" t="s">
        <v>265</v>
      </c>
      <c r="G27" s="59">
        <f>SUM(G25:G26)</f>
        <v>288169.03599999996</v>
      </c>
      <c r="H27" s="60"/>
      <c r="I27" s="183">
        <f>'COS Factor'!J48</f>
        <v>0.13428626140601868</v>
      </c>
      <c r="J27" s="381"/>
      <c r="K27" s="59">
        <f>($K$51-$K$31-$K$33-$K$34-$K$35-$K$36)*I27*$K$53</f>
        <v>-2772.5506507303157</v>
      </c>
      <c r="L27" s="59"/>
      <c r="M27" s="183">
        <f t="shared" si="0"/>
        <v>-9.6212649673100767E-3</v>
      </c>
    </row>
    <row r="28" spans="1:13" ht="23.1" customHeight="1">
      <c r="A28" s="143">
        <f>MAX(A$14:A27)+1</f>
        <v>13</v>
      </c>
      <c r="C28" s="143" t="s">
        <v>266</v>
      </c>
      <c r="E28" s="150">
        <v>10</v>
      </c>
      <c r="G28" s="59">
        <f>'Ex B p2 - Billing Determinants'!G200/1000</f>
        <v>13209.986000000001</v>
      </c>
      <c r="H28" s="60"/>
      <c r="I28" s="183"/>
      <c r="J28" s="381"/>
      <c r="K28" s="59">
        <f>K30*$G28/$G$30</f>
        <v>-183.69309518299769</v>
      </c>
      <c r="L28" s="59"/>
      <c r="M28" s="183">
        <f t="shared" si="0"/>
        <v>-1.3905623759404262E-2</v>
      </c>
    </row>
    <row r="29" spans="1:13">
      <c r="A29" s="143">
        <f>MAX(A$14:A28)+1</f>
        <v>14</v>
      </c>
      <c r="C29" s="143" t="s">
        <v>267</v>
      </c>
      <c r="E29" s="150" t="s">
        <v>268</v>
      </c>
      <c r="G29" s="61">
        <f>'Ex B p2 - Billing Determinants'!G216/1000</f>
        <v>1285.6210000000001</v>
      </c>
      <c r="H29" s="60"/>
      <c r="I29" s="184"/>
      <c r="J29" s="381"/>
      <c r="K29" s="61">
        <f>K30-K28</f>
        <v>-17.877361923189056</v>
      </c>
      <c r="L29" s="61"/>
      <c r="M29" s="184">
        <f t="shared" si="0"/>
        <v>-1.3905623759404254E-2</v>
      </c>
    </row>
    <row r="30" spans="1:13">
      <c r="A30" s="143">
        <f>MAX(A$14:A29)+1</f>
        <v>15</v>
      </c>
      <c r="C30" s="155" t="s">
        <v>269</v>
      </c>
      <c r="G30" s="59">
        <f>SUM(G28:G29)</f>
        <v>14495.607</v>
      </c>
      <c r="H30" s="60"/>
      <c r="I30" s="183">
        <f>'COS Factor'!K48</f>
        <v>9.7629030104687421E-3</v>
      </c>
      <c r="J30" s="381"/>
      <c r="K30" s="59">
        <f>($K$51-$K$31-$K$33-$K$34-$K$35-$K$36)*I30*$K$53</f>
        <v>-201.57045710618675</v>
      </c>
      <c r="L30" s="59"/>
      <c r="M30" s="183">
        <f t="shared" si="0"/>
        <v>-1.3905623759404262E-2</v>
      </c>
    </row>
    <row r="31" spans="1:13" ht="23.1" customHeight="1">
      <c r="A31" s="143">
        <f>MAX(A$14:A30)+1</f>
        <v>16</v>
      </c>
      <c r="C31" s="143" t="s">
        <v>270</v>
      </c>
      <c r="E31" s="143">
        <v>21</v>
      </c>
      <c r="G31" s="59">
        <f>'Ex B p2 - Billing Determinants'!G383/1000</f>
        <v>475.92599999999999</v>
      </c>
      <c r="H31" s="60"/>
      <c r="I31" s="183"/>
      <c r="J31" s="381"/>
      <c r="K31" s="59">
        <f>G31*$K$52</f>
        <v>-4.910740409674232</v>
      </c>
      <c r="L31" s="59"/>
      <c r="M31" s="183">
        <f t="shared" si="0"/>
        <v>-1.0318285636158209E-2</v>
      </c>
    </row>
    <row r="32" spans="1:13">
      <c r="A32" s="143">
        <f>MAX(A$14:A31)+1</f>
        <v>17</v>
      </c>
      <c r="C32" s="143" t="s">
        <v>271</v>
      </c>
      <c r="E32" s="154">
        <v>23</v>
      </c>
      <c r="G32" s="59">
        <f>'Ex B p2 - Billing Determinants'!G396/1000</f>
        <v>139102.851</v>
      </c>
      <c r="H32" s="60"/>
      <c r="I32" s="183">
        <f>'COS Factor'!N48</f>
        <v>7.0219518088221328E-2</v>
      </c>
      <c r="J32" s="381"/>
      <c r="K32" s="59">
        <f>($K$51-$K$31-$K$33-$K$34-$K$35-$K$36)*I32*$K$53</f>
        <v>-1449.7921718203511</v>
      </c>
      <c r="L32" s="59"/>
      <c r="M32" s="183">
        <f t="shared" si="0"/>
        <v>-1.0422447573129549E-2</v>
      </c>
    </row>
    <row r="33" spans="1:14">
      <c r="A33" s="143">
        <f>MAX(A$14:A32)+1</f>
        <v>18</v>
      </c>
      <c r="C33" s="143" t="s">
        <v>272</v>
      </c>
      <c r="E33" s="143">
        <v>31</v>
      </c>
      <c r="G33" s="59">
        <f>'Ex B p2 - Billing Determinants'!G457/1000</f>
        <v>4575.5919999999996</v>
      </c>
      <c r="H33" s="60"/>
      <c r="I33" s="183"/>
      <c r="J33" s="381"/>
      <c r="K33" s="59">
        <f>G33*$K$52</f>
        <v>-47.212265210520407</v>
      </c>
      <c r="L33" s="59"/>
      <c r="M33" s="183">
        <f t="shared" si="0"/>
        <v>-1.0318285636158209E-2</v>
      </c>
    </row>
    <row r="34" spans="1:14">
      <c r="A34" s="143">
        <f>MAX(A$14:A33)+1</f>
        <v>19</v>
      </c>
      <c r="C34" s="151" t="s">
        <v>273</v>
      </c>
      <c r="E34" s="150" t="s">
        <v>252</v>
      </c>
      <c r="G34" s="59">
        <f>'Ex B p2 - Billing Determinants'!G465/1000</f>
        <v>27958.751</v>
      </c>
      <c r="H34" s="60"/>
      <c r="I34" s="183">
        <f>'COS Factor'!O48</f>
        <v>1.5933097212697447E-2</v>
      </c>
      <c r="J34" s="381"/>
      <c r="K34" s="393">
        <v>0</v>
      </c>
      <c r="L34" s="59"/>
      <c r="M34" s="183">
        <f t="shared" si="0"/>
        <v>0</v>
      </c>
    </row>
    <row r="35" spans="1:14">
      <c r="A35" s="143">
        <f>MAX(A$14:A34)+1</f>
        <v>20</v>
      </c>
      <c r="C35" s="151" t="s">
        <v>274</v>
      </c>
      <c r="E35" s="150" t="s">
        <v>252</v>
      </c>
      <c r="G35" s="59">
        <f>'Ex B p2 - Billing Determinants'!G470/1000</f>
        <v>35062.89</v>
      </c>
      <c r="H35" s="60"/>
      <c r="I35" s="183">
        <f>'COS Factor'!P48</f>
        <v>1.7545300628103312E-2</v>
      </c>
      <c r="J35" s="381"/>
      <c r="K35" s="393">
        <v>0</v>
      </c>
      <c r="L35" s="59"/>
      <c r="M35" s="183">
        <f t="shared" si="0"/>
        <v>0</v>
      </c>
    </row>
    <row r="36" spans="1:14">
      <c r="A36" s="143">
        <f>MAX(A$14:A35)+1</f>
        <v>21</v>
      </c>
      <c r="C36" s="151" t="s">
        <v>275</v>
      </c>
      <c r="E36" s="150" t="s">
        <v>252</v>
      </c>
      <c r="G36" s="59">
        <f>'Ex B p2 - Billing Determinants'!G492/1000</f>
        <v>30035.48</v>
      </c>
      <c r="H36" s="60"/>
      <c r="I36" s="183"/>
      <c r="J36" s="381"/>
      <c r="K36" s="393">
        <v>0</v>
      </c>
      <c r="L36" s="59"/>
      <c r="M36" s="183">
        <f t="shared" si="0"/>
        <v>0</v>
      </c>
    </row>
    <row r="37" spans="1:14">
      <c r="A37" s="143">
        <f>MAX(A$14:A36)+1</f>
        <v>22</v>
      </c>
      <c r="C37" s="151" t="s">
        <v>251</v>
      </c>
      <c r="E37" s="152" t="s">
        <v>252</v>
      </c>
      <c r="G37" s="61">
        <f>('Ex B p2 - Billing Determinants'!G505+'Ex B p2 - Billing Determinants'!G506+'Ex B p2 - Billing Determinants'!G507+'Ex B p2 - Billing Determinants'!G509)/1000</f>
        <v>2927.6937100000005</v>
      </c>
      <c r="H37" s="60"/>
      <c r="I37" s="184"/>
      <c r="J37" s="381"/>
      <c r="K37" s="61"/>
      <c r="L37" s="61"/>
      <c r="M37" s="184"/>
    </row>
    <row r="38" spans="1:14">
      <c r="A38" s="143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183"/>
      <c r="J38" s="381"/>
      <c r="K38" s="59">
        <f>SUM(K20:K22,K24:K26,K28:K29,K31:K37)</f>
        <v>-11534.252255738798</v>
      </c>
      <c r="L38" s="59"/>
      <c r="M38" s="183">
        <f>K38/$G38</f>
        <v>-9.306530965994991E-3</v>
      </c>
    </row>
    <row r="39" spans="1:14" ht="28.5" customHeight="1">
      <c r="C39" s="87" t="s">
        <v>277</v>
      </c>
      <c r="G39" s="59"/>
      <c r="H39" s="60"/>
      <c r="I39" s="183"/>
      <c r="J39" s="381"/>
      <c r="K39" s="59"/>
      <c r="L39" s="59"/>
      <c r="M39" s="183"/>
    </row>
    <row r="40" spans="1:14">
      <c r="A40" s="143">
        <f>MAX(A$14:A39)+1</f>
        <v>24</v>
      </c>
      <c r="C40" s="143" t="s">
        <v>278</v>
      </c>
      <c r="E40" s="143">
        <v>7</v>
      </c>
      <c r="G40" s="59">
        <f>'Ex B p2 - Billing Determinants'!G153/1000</f>
        <v>2999.06</v>
      </c>
      <c r="H40" s="60"/>
      <c r="I40" s="183"/>
      <c r="J40" s="381"/>
      <c r="K40" s="59">
        <f>($K$51-$K$31-$K$33-$K$34-$K$35-$K$36)*$I$45*$K$53*G40/SUM($G$40:$G$42)</f>
        <v>-20.115995168549624</v>
      </c>
      <c r="L40" s="59"/>
      <c r="M40" s="183">
        <f t="shared" ref="M40:M45" si="1">K40/$G40</f>
        <v>-6.7074333853106051E-3</v>
      </c>
      <c r="N40" s="59"/>
    </row>
    <row r="41" spans="1:14">
      <c r="A41" s="143">
        <f>MAX(A$14:A40)+1</f>
        <v>25</v>
      </c>
      <c r="C41" s="143" t="s">
        <v>279</v>
      </c>
      <c r="E41" s="143">
        <v>11</v>
      </c>
      <c r="G41" s="59">
        <f>'Ex B p2 - Billing Determinants'!G268/1000</f>
        <v>4979.3900000000003</v>
      </c>
      <c r="H41" s="60"/>
      <c r="I41" s="183"/>
      <c r="J41" s="381"/>
      <c r="K41" s="59">
        <f>($K$51-$K$31-$K$33-$K$34-$K$35-$K$36)*$I$45*$K$53*G41/SUM($G$40:$G$42)</f>
        <v>-33.398926724481775</v>
      </c>
      <c r="L41" s="59"/>
      <c r="M41" s="183">
        <f t="shared" si="1"/>
        <v>-6.7074333853106051E-3</v>
      </c>
    </row>
    <row r="42" spans="1:14">
      <c r="A42" s="143">
        <f>MAX(A$14:A41)+1</f>
        <v>26</v>
      </c>
      <c r="C42" s="143" t="s">
        <v>280</v>
      </c>
      <c r="E42" s="143">
        <v>12</v>
      </c>
      <c r="G42" s="59">
        <f>'Ex B p2 - Billing Determinants'!G351/1000</f>
        <v>4144.8670000000002</v>
      </c>
      <c r="H42" s="60"/>
      <c r="I42" s="183"/>
      <c r="J42" s="381"/>
      <c r="K42" s="59">
        <f>($K$51-$K$31-$K$33-$K$34-$K$35-$K$36)*$I$45*$K$53*G42/SUM($G$40:$G$42)</f>
        <v>-27.801419293472215</v>
      </c>
      <c r="L42" s="59"/>
      <c r="M42" s="183">
        <f t="shared" si="1"/>
        <v>-6.7074333853106051E-3</v>
      </c>
    </row>
    <row r="43" spans="1:14">
      <c r="A43" s="156">
        <f>MAX(A$14:A42)+1</f>
        <v>27</v>
      </c>
      <c r="B43" s="156"/>
      <c r="C43" s="156" t="s">
        <v>281</v>
      </c>
      <c r="D43" s="157"/>
      <c r="E43" s="156">
        <v>15</v>
      </c>
      <c r="F43" s="157"/>
      <c r="G43" s="62">
        <f>'Ex B p2 - Billing Determinants'!G360/1000</f>
        <v>1234.6020000000001</v>
      </c>
      <c r="H43" s="63"/>
      <c r="I43" s="498">
        <f>'COS Factor'!M48</f>
        <v>4.3143758805784326E-4</v>
      </c>
      <c r="J43" s="381"/>
      <c r="K43" s="59">
        <f>($K$51-$K$31-$K$33-$K$34-$K$35-$K$36)*I43*$K$53</f>
        <v>-8.9077062165175338</v>
      </c>
      <c r="L43" s="62"/>
      <c r="M43" s="185">
        <f t="shared" si="1"/>
        <v>-7.2150427558982837E-3</v>
      </c>
    </row>
    <row r="44" spans="1:14">
      <c r="A44" s="143">
        <f>MAX(A$14:A43)+1</f>
        <v>28</v>
      </c>
      <c r="C44" s="143" t="s">
        <v>282</v>
      </c>
      <c r="E44" s="143">
        <v>15</v>
      </c>
      <c r="G44" s="61">
        <f>'Ex B p2 - Billing Determinants'!G366/1000</f>
        <v>682.02800000000002</v>
      </c>
      <c r="H44" s="60"/>
      <c r="I44" s="499">
        <f>'COS Factor'!L48</f>
        <v>3.2108446322549693E-4</v>
      </c>
      <c r="J44" s="381"/>
      <c r="K44" s="61">
        <f>($K$51-$K$31-$K$33-$K$34-$K$35-$K$36)*I44*$K$53</f>
        <v>-6.6292927372788268</v>
      </c>
      <c r="L44" s="61"/>
      <c r="M44" s="184">
        <f t="shared" si="1"/>
        <v>-9.7199715221058768E-3</v>
      </c>
    </row>
    <row r="45" spans="1:14">
      <c r="A45" s="143">
        <f>MAX(A$14:A44)+1</f>
        <v>29</v>
      </c>
      <c r="C45" s="155" t="s">
        <v>283</v>
      </c>
      <c r="D45" s="64"/>
      <c r="F45" s="64"/>
      <c r="G45" s="59">
        <f>SUM(G40:G44)</f>
        <v>14039.947000000002</v>
      </c>
      <c r="H45" s="59"/>
      <c r="I45" s="183">
        <f>'COS Factor'!I48</f>
        <v>3.9384916002437997E-3</v>
      </c>
      <c r="J45" s="381"/>
      <c r="K45" s="59">
        <f>SUM(K40:K44)</f>
        <v>-96.853340140299991</v>
      </c>
      <c r="L45" s="59"/>
      <c r="M45" s="183">
        <f t="shared" si="1"/>
        <v>-6.8984120908932188E-3</v>
      </c>
    </row>
    <row r="46" spans="1:14" ht="23.1" customHeight="1">
      <c r="A46" s="143">
        <f>MAX(A$14:A45)+1</f>
        <v>30</v>
      </c>
      <c r="C46" s="151" t="s">
        <v>284</v>
      </c>
      <c r="E46" s="150" t="s">
        <v>252</v>
      </c>
      <c r="G46" s="59">
        <f>'Ex B p2 - Billing Determinants'!G501/1000</f>
        <v>0.58299999999999996</v>
      </c>
      <c r="H46" s="60"/>
      <c r="I46" s="183"/>
      <c r="J46" s="381"/>
      <c r="K46" s="59"/>
      <c r="L46" s="59"/>
      <c r="M46" s="183"/>
    </row>
    <row r="47" spans="1:14">
      <c r="A47" s="143">
        <f>MAX(A$14:A46)+1</f>
        <v>31</v>
      </c>
      <c r="C47" s="151" t="s">
        <v>251</v>
      </c>
      <c r="D47" s="65"/>
      <c r="E47" s="152" t="s">
        <v>252</v>
      </c>
      <c r="F47" s="65"/>
      <c r="G47" s="61">
        <f>'Ex B p2 - Billing Determinants'!G508/1000</f>
        <v>4.6616400000000002</v>
      </c>
      <c r="H47" s="60"/>
      <c r="I47" s="184"/>
      <c r="J47" s="381"/>
      <c r="K47" s="61"/>
      <c r="L47" s="61"/>
      <c r="M47" s="184"/>
    </row>
    <row r="48" spans="1:14">
      <c r="A48" s="143">
        <f>MAX(A$14:A47)+1</f>
        <v>32</v>
      </c>
      <c r="C48" s="87" t="s">
        <v>285</v>
      </c>
      <c r="E48" s="156"/>
      <c r="G48" s="61">
        <f>SUM(G45:G47)</f>
        <v>14045.191640000003</v>
      </c>
      <c r="H48" s="60"/>
      <c r="I48" s="184"/>
      <c r="J48" s="381"/>
      <c r="K48" s="61">
        <f>SUM(K45:K47)</f>
        <v>-96.853340140299991</v>
      </c>
      <c r="L48" s="61"/>
      <c r="M48" s="184">
        <f>K48/$G48</f>
        <v>-6.8958361425604563E-3</v>
      </c>
    </row>
    <row r="49" spans="1:13" ht="27.75" customHeight="1" thickBot="1">
      <c r="A49" s="143">
        <f>MAX(A$14:A48)+1</f>
        <v>33</v>
      </c>
      <c r="C49" s="87" t="s">
        <v>286</v>
      </c>
      <c r="E49" s="156"/>
      <c r="G49" s="66">
        <f>G18+G38+G48</f>
        <v>1938306.48862</v>
      </c>
      <c r="H49" s="60"/>
      <c r="I49" s="186">
        <f>SUM(I18:I45)</f>
        <v>1</v>
      </c>
      <c r="J49" s="382"/>
      <c r="K49" s="180">
        <f>K18+K38+K48</f>
        <v>-20007.478594150194</v>
      </c>
      <c r="L49" s="180"/>
      <c r="M49" s="186">
        <f>K49/$G49</f>
        <v>-1.032214394968814E-2</v>
      </c>
    </row>
    <row r="50" spans="1:13" ht="9.75" customHeight="1" thickTop="1">
      <c r="C50" s="87"/>
      <c r="E50" s="156"/>
      <c r="G50" s="62"/>
      <c r="H50" s="60"/>
      <c r="I50" s="185"/>
      <c r="J50" s="181"/>
      <c r="K50" s="335"/>
      <c r="L50" s="335"/>
      <c r="M50" s="185"/>
    </row>
    <row r="51" spans="1:13" ht="16.5">
      <c r="A51" s="377" t="s">
        <v>630</v>
      </c>
      <c r="H51" s="195"/>
      <c r="I51" s="500" t="s">
        <v>623</v>
      </c>
      <c r="J51" s="380"/>
      <c r="K51" s="372">
        <v>-20000</v>
      </c>
    </row>
    <row r="52" spans="1:13">
      <c r="C52" s="377"/>
      <c r="H52" s="195"/>
      <c r="I52" s="500" t="s">
        <v>287</v>
      </c>
      <c r="J52" s="374"/>
      <c r="K52" s="391">
        <f>K51/G49</f>
        <v>-1.0318285636158209E-2</v>
      </c>
    </row>
    <row r="53" spans="1:13">
      <c r="H53" s="195"/>
      <c r="I53" s="500" t="s">
        <v>26</v>
      </c>
      <c r="J53" s="179"/>
      <c r="K53" s="501">
        <v>1.0350259161679045</v>
      </c>
      <c r="L53" s="374"/>
      <c r="M53" s="392">
        <f>K49-K51</f>
        <v>-7.4785941501941124</v>
      </c>
    </row>
    <row r="54" spans="1:13" s="145" customFormat="1">
      <c r="A54" s="143"/>
      <c r="B54" s="143"/>
      <c r="C54" s="143"/>
      <c r="E54" s="143"/>
    </row>
    <row r="55" spans="1:13">
      <c r="E55" s="388"/>
      <c r="F55" s="195"/>
      <c r="G55" s="195"/>
      <c r="H55" s="195"/>
    </row>
    <row r="56" spans="1:13">
      <c r="E56" s="388"/>
      <c r="F56" s="195"/>
      <c r="L56" s="372"/>
    </row>
    <row r="57" spans="1:13">
      <c r="E57" s="388"/>
      <c r="F57" s="195"/>
      <c r="L57" s="375"/>
    </row>
    <row r="58" spans="1:13">
      <c r="E58" s="388"/>
      <c r="F58" s="195"/>
      <c r="L58" s="376"/>
    </row>
    <row r="59" spans="1:13">
      <c r="E59" s="388"/>
      <c r="F59" s="195"/>
      <c r="G59" s="378"/>
      <c r="H59" s="195"/>
      <c r="J59" s="379"/>
      <c r="K59" s="389"/>
    </row>
    <row r="60" spans="1:13">
      <c r="E60" s="388"/>
      <c r="F60" s="195"/>
      <c r="G60" s="378"/>
      <c r="H60" s="195"/>
      <c r="J60" s="374"/>
      <c r="K60" s="376"/>
    </row>
    <row r="61" spans="1:13">
      <c r="E61" s="156"/>
      <c r="F61" s="157"/>
      <c r="G61" s="157"/>
      <c r="H61" s="157"/>
      <c r="J61" s="179"/>
      <c r="K61" s="157"/>
    </row>
    <row r="62" spans="1:13">
      <c r="E62" s="156"/>
      <c r="F62" s="157"/>
      <c r="G62" s="157"/>
      <c r="H62" s="157"/>
      <c r="J62" s="366"/>
      <c r="K62" s="372"/>
    </row>
    <row r="63" spans="1:13">
      <c r="E63" s="156"/>
      <c r="F63" s="157"/>
      <c r="G63" s="157"/>
      <c r="H63" s="157"/>
      <c r="J63" s="367"/>
      <c r="K63" s="372"/>
    </row>
  </sheetData>
  <printOptions horizontalCentered="1"/>
  <pageMargins left="0.25" right="0.25" top="1" bottom="0.5" header="0.25" footer="0.25"/>
  <pageSetup scale="7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S514"/>
  <sheetViews>
    <sheetView tabSelected="1" view="pageBreakPreview" zoomScale="70" zoomScaleNormal="70" zoomScaleSheetLayoutView="70" workbookViewId="0"/>
  </sheetViews>
  <sheetFormatPr defaultColWidth="9" defaultRowHeight="15.75"/>
  <cols>
    <col min="1" max="1" width="33.25" style="167" customWidth="1"/>
    <col min="2" max="2" width="4.125" style="167" bestFit="1" customWidth="1"/>
    <col min="3" max="3" width="18.5" style="167" bestFit="1" customWidth="1"/>
    <col min="4" max="4" width="1" style="166" customWidth="1"/>
    <col min="5" max="5" width="11" style="167" bestFit="1" customWidth="1"/>
    <col min="6" max="6" width="2.25" style="166" customWidth="1"/>
    <col min="7" max="7" width="14" style="167" bestFit="1" customWidth="1"/>
    <col min="8" max="8" width="1" style="5" customWidth="1"/>
    <col min="9" max="9" width="8.125" style="91" customWidth="1"/>
    <col min="10" max="10" width="2.125" style="5" customWidth="1"/>
    <col min="11" max="11" width="13.125" style="92" bestFit="1" customWidth="1"/>
    <col min="12" max="12" width="2.25" style="158" customWidth="1"/>
    <col min="13" max="13" width="19.75" style="158" bestFit="1" customWidth="1"/>
    <col min="14" max="14" width="13.625" style="158" bestFit="1" customWidth="1"/>
    <col min="15" max="15" width="10.5" style="158" bestFit="1" customWidth="1"/>
    <col min="16" max="16" width="12.375" style="158" bestFit="1" customWidth="1"/>
    <col min="17" max="16384" width="9" style="158"/>
  </cols>
  <sheetData>
    <row r="1" spans="1:15" ht="18.75">
      <c r="A1" s="343" t="s">
        <v>359</v>
      </c>
      <c r="B1" s="336"/>
      <c r="C1" s="164"/>
      <c r="D1" s="165"/>
      <c r="E1" s="164"/>
      <c r="F1" s="165"/>
      <c r="G1" s="187"/>
      <c r="H1" s="1"/>
      <c r="I1" s="89"/>
      <c r="J1" s="1"/>
      <c r="K1" s="90"/>
    </row>
    <row r="2" spans="1:15" ht="18.75">
      <c r="A2" s="343" t="s">
        <v>0</v>
      </c>
      <c r="B2" s="336"/>
      <c r="C2" s="164"/>
      <c r="D2" s="165"/>
      <c r="E2" s="164"/>
      <c r="F2" s="165"/>
      <c r="G2" s="187"/>
      <c r="H2" s="1"/>
      <c r="I2" s="89"/>
      <c r="J2" s="1"/>
      <c r="K2" s="90"/>
    </row>
    <row r="3" spans="1:15" ht="18.75">
      <c r="A3" s="343" t="s">
        <v>356</v>
      </c>
      <c r="B3" s="336"/>
      <c r="C3" s="164"/>
      <c r="D3" s="165"/>
      <c r="E3" s="164"/>
      <c r="F3" s="165"/>
      <c r="G3" s="187"/>
      <c r="H3" s="1"/>
      <c r="I3" s="89"/>
      <c r="J3" s="1"/>
      <c r="K3" s="90"/>
    </row>
    <row r="4" spans="1:15" ht="18.75">
      <c r="A4" s="343" t="s">
        <v>357</v>
      </c>
      <c r="B4" s="336"/>
      <c r="C4" s="164"/>
      <c r="D4" s="165"/>
      <c r="E4" s="164"/>
      <c r="F4" s="165"/>
      <c r="G4" s="187"/>
      <c r="H4" s="1"/>
      <c r="I4" s="89"/>
      <c r="J4" s="1"/>
      <c r="K4" s="90"/>
    </row>
    <row r="5" spans="1:15" ht="18.75">
      <c r="A5" s="343" t="s">
        <v>358</v>
      </c>
      <c r="B5" s="336"/>
      <c r="C5" s="164"/>
      <c r="D5" s="165"/>
      <c r="E5" s="164"/>
      <c r="F5" s="165"/>
      <c r="G5" s="187"/>
      <c r="H5" s="1"/>
      <c r="I5" s="89"/>
      <c r="J5" s="1"/>
      <c r="K5" s="90"/>
    </row>
    <row r="6" spans="1:15">
      <c r="A6" s="159"/>
      <c r="B6" s="337"/>
      <c r="C6" s="4"/>
    </row>
    <row r="7" spans="1:15" ht="32.25" customHeight="1">
      <c r="A7" s="159"/>
      <c r="B7" s="337"/>
      <c r="C7" s="6"/>
      <c r="F7" s="188"/>
      <c r="G7" s="169"/>
      <c r="J7" s="93"/>
      <c r="K7" s="94"/>
    </row>
    <row r="8" spans="1:15">
      <c r="A8" s="159"/>
      <c r="B8" s="337"/>
      <c r="C8" s="7"/>
      <c r="E8" s="340" t="s">
        <v>360</v>
      </c>
      <c r="F8" s="340"/>
      <c r="G8" s="168"/>
      <c r="I8" s="96" t="s">
        <v>626</v>
      </c>
      <c r="J8" s="95"/>
      <c r="K8" s="97"/>
    </row>
    <row r="9" spans="1:15">
      <c r="A9" s="159"/>
      <c r="B9" s="337"/>
      <c r="C9" s="9" t="s">
        <v>1</v>
      </c>
      <c r="E9" s="169" t="s">
        <v>309</v>
      </c>
      <c r="F9" s="188"/>
      <c r="G9" s="169" t="s">
        <v>2</v>
      </c>
      <c r="I9" s="98"/>
      <c r="J9" s="93"/>
      <c r="K9" s="169" t="s">
        <v>2</v>
      </c>
    </row>
    <row r="10" spans="1:15">
      <c r="A10" s="159"/>
      <c r="B10" s="337"/>
      <c r="C10" s="10" t="s">
        <v>3</v>
      </c>
      <c r="E10" s="344" t="s">
        <v>4</v>
      </c>
      <c r="F10" s="188"/>
      <c r="G10" s="170" t="s">
        <v>5</v>
      </c>
      <c r="I10" s="99" t="s">
        <v>4</v>
      </c>
      <c r="J10" s="93"/>
      <c r="K10" s="170" t="s">
        <v>5</v>
      </c>
    </row>
    <row r="11" spans="1:15">
      <c r="A11" s="341" t="s">
        <v>6</v>
      </c>
      <c r="B11" s="337"/>
      <c r="C11" s="345"/>
      <c r="K11" s="167"/>
    </row>
    <row r="12" spans="1:15">
      <c r="A12" s="342" t="s">
        <v>294</v>
      </c>
      <c r="B12" s="337"/>
      <c r="C12" s="13">
        <v>8511800.0101599023</v>
      </c>
      <c r="E12" s="14"/>
      <c r="F12" s="100"/>
      <c r="G12" s="15"/>
      <c r="I12" s="31"/>
      <c r="J12" s="100"/>
      <c r="K12" s="15"/>
      <c r="M12" s="139" t="s">
        <v>288</v>
      </c>
      <c r="N12" s="140">
        <v>8</v>
      </c>
      <c r="O12" s="12"/>
    </row>
    <row r="13" spans="1:15">
      <c r="A13" s="342" t="s">
        <v>8</v>
      </c>
      <c r="B13" s="337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I13" s="31"/>
      <c r="J13" s="100"/>
      <c r="K13" s="15"/>
      <c r="M13" s="8"/>
      <c r="N13" s="2"/>
      <c r="O13" s="12" t="s">
        <v>291</v>
      </c>
    </row>
    <row r="14" spans="1:15">
      <c r="A14" s="342" t="s">
        <v>9</v>
      </c>
      <c r="B14" s="337"/>
      <c r="C14" s="16">
        <v>14094</v>
      </c>
      <c r="E14" s="14">
        <v>12</v>
      </c>
      <c r="F14" s="100"/>
      <c r="G14" s="15">
        <f t="shared" si="0"/>
        <v>169128</v>
      </c>
      <c r="I14" s="31"/>
      <c r="J14" s="100"/>
      <c r="K14" s="15"/>
      <c r="O14" s="138"/>
    </row>
    <row r="15" spans="1:15">
      <c r="A15" s="342" t="s">
        <v>363</v>
      </c>
      <c r="B15" s="337"/>
      <c r="C15" s="16">
        <v>23932</v>
      </c>
      <c r="E15" s="14"/>
      <c r="F15" s="100"/>
      <c r="G15" s="15"/>
      <c r="I15" s="31"/>
      <c r="J15" s="100"/>
      <c r="K15" s="15"/>
      <c r="M15" s="69" t="s">
        <v>12</v>
      </c>
      <c r="N15" s="77"/>
      <c r="O15" s="138"/>
    </row>
    <row r="16" spans="1:15">
      <c r="A16" s="342" t="s">
        <v>10</v>
      </c>
      <c r="B16" s="337"/>
      <c r="C16" s="13">
        <v>1274636742</v>
      </c>
      <c r="E16" s="101">
        <v>8.8498000000000001</v>
      </c>
      <c r="F16" s="102" t="s">
        <v>11</v>
      </c>
      <c r="G16" s="15">
        <f>ROUND(E16*$C16/100,0)</f>
        <v>112802802</v>
      </c>
      <c r="I16" s="103">
        <f>$N$20</f>
        <v>-1.326956E-2</v>
      </c>
      <c r="J16" s="102"/>
      <c r="K16" s="15">
        <f>$G16*I16</f>
        <v>-1496843.54930712</v>
      </c>
      <c r="M16" s="71" t="s">
        <v>14</v>
      </c>
      <c r="N16" s="18">
        <f>K29+K49+K71</f>
        <v>-8376370.1005547196</v>
      </c>
      <c r="O16" s="138">
        <f>G16*I16-K16</f>
        <v>0</v>
      </c>
    </row>
    <row r="17" spans="1:15">
      <c r="A17" s="342" t="s">
        <v>13</v>
      </c>
      <c r="B17" s="337"/>
      <c r="C17" s="13">
        <v>1040456011</v>
      </c>
      <c r="E17" s="101">
        <v>11.542899999999999</v>
      </c>
      <c r="F17" s="102" t="s">
        <v>11</v>
      </c>
      <c r="G17" s="15">
        <f>ROUND(E17*$C17/100,0)</f>
        <v>120098797</v>
      </c>
      <c r="I17" s="103">
        <f t="shared" ref="I17:I18" si="1">$N$20</f>
        <v>-1.326956E-2</v>
      </c>
      <c r="J17" s="102"/>
      <c r="K17" s="15">
        <f t="shared" ref="K17:K18" si="2">$G17*I17</f>
        <v>-1593658.1927193201</v>
      </c>
      <c r="M17" s="71" t="s">
        <v>16</v>
      </c>
      <c r="N17" s="18">
        <f>'Ex B p1 - Rate Spread'!K18*1000</f>
        <v>-8376372.9982710937</v>
      </c>
      <c r="O17" s="138">
        <f>G17*I17-K17</f>
        <v>0</v>
      </c>
    </row>
    <row r="18" spans="1:15">
      <c r="A18" s="342" t="s">
        <v>15</v>
      </c>
      <c r="B18" s="337"/>
      <c r="C18" s="13">
        <v>358873906</v>
      </c>
      <c r="E18" s="101">
        <v>14.450799999999999</v>
      </c>
      <c r="F18" s="102" t="s">
        <v>11</v>
      </c>
      <c r="G18" s="15">
        <f>ROUND(E18*$C18/100,0)</f>
        <v>51860150</v>
      </c>
      <c r="I18" s="103">
        <f t="shared" si="1"/>
        <v>-1.326956E-2</v>
      </c>
      <c r="J18" s="102"/>
      <c r="K18" s="15">
        <f t="shared" si="2"/>
        <v>-688161.372034</v>
      </c>
      <c r="M18" s="72" t="s">
        <v>18</v>
      </c>
      <c r="N18" s="19">
        <f>N17-N16</f>
        <v>-2.8977163741365075</v>
      </c>
      <c r="O18" s="138">
        <f>G18*I18-K18</f>
        <v>0</v>
      </c>
    </row>
    <row r="19" spans="1:15">
      <c r="A19" s="342" t="s">
        <v>17</v>
      </c>
      <c r="B19" s="337"/>
      <c r="C19" s="13"/>
      <c r="E19" s="104"/>
      <c r="F19" s="102"/>
      <c r="G19" s="15"/>
      <c r="J19" s="102"/>
      <c r="K19" s="15"/>
      <c r="M19" s="73"/>
      <c r="N19" s="74"/>
      <c r="O19" s="138"/>
    </row>
    <row r="20" spans="1:15">
      <c r="A20" s="346" t="s">
        <v>295</v>
      </c>
      <c r="B20" s="347"/>
      <c r="C20" s="13">
        <v>1613094234</v>
      </c>
      <c r="D20" s="171"/>
      <c r="E20" s="104">
        <v>8.8498000000000001</v>
      </c>
      <c r="F20" s="102" t="s">
        <v>11</v>
      </c>
      <c r="G20" s="190">
        <f t="shared" ref="G20:G21" si="3">ROUND(E20*$C20/100,0)</f>
        <v>142755614</v>
      </c>
      <c r="I20" s="103">
        <f t="shared" ref="I20:I21" si="4">$N$20</f>
        <v>-1.326956E-2</v>
      </c>
      <c r="J20" s="102"/>
      <c r="K20" s="190">
        <f t="shared" ref="K20:K21" si="5">$G20*I20</f>
        <v>-1894304.1853098399</v>
      </c>
      <c r="M20" s="75" t="s">
        <v>21</v>
      </c>
      <c r="N20" s="76">
        <f>ROUND(N17/SUM(G16:G21,G36:G41,G58:G63),$N$12)</f>
        <v>-1.326956E-2</v>
      </c>
      <c r="O20" s="138">
        <f>G20*I20-K20</f>
        <v>0</v>
      </c>
    </row>
    <row r="21" spans="1:15">
      <c r="A21" s="346" t="s">
        <v>296</v>
      </c>
      <c r="B21" s="347"/>
      <c r="C21" s="13">
        <v>1704644903</v>
      </c>
      <c r="D21" s="171"/>
      <c r="E21" s="104">
        <v>10.7072</v>
      </c>
      <c r="F21" s="102" t="s">
        <v>11</v>
      </c>
      <c r="G21" s="190">
        <f t="shared" si="3"/>
        <v>182519739</v>
      </c>
      <c r="I21" s="103">
        <f t="shared" si="4"/>
        <v>-1.326956E-2</v>
      </c>
      <c r="J21" s="102"/>
      <c r="K21" s="190">
        <f t="shared" si="5"/>
        <v>-2421956.6278448398</v>
      </c>
    </row>
    <row r="22" spans="1:15">
      <c r="A22" s="342" t="s">
        <v>19</v>
      </c>
      <c r="B22" s="337"/>
      <c r="C22" s="16">
        <v>98763</v>
      </c>
      <c r="E22" s="14">
        <v>8</v>
      </c>
      <c r="F22" s="100"/>
      <c r="G22" s="15">
        <f>ROUND(E22*$C22,0)</f>
        <v>790104</v>
      </c>
      <c r="I22" s="106"/>
      <c r="J22" s="20"/>
      <c r="K22" s="15"/>
    </row>
    <row r="23" spans="1:15">
      <c r="A23" s="342" t="s">
        <v>20</v>
      </c>
      <c r="B23" s="337"/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102"/>
      <c r="K23" s="15"/>
    </row>
    <row r="24" spans="1:15">
      <c r="A24" s="342" t="s">
        <v>22</v>
      </c>
      <c r="B24" s="337"/>
      <c r="C24" s="13">
        <v>0</v>
      </c>
      <c r="E24" s="14">
        <v>96</v>
      </c>
      <c r="F24" s="20"/>
      <c r="G24" s="21">
        <f>ROUND(E24*$C24,0)</f>
        <v>0</v>
      </c>
      <c r="I24" s="31"/>
      <c r="J24" s="102"/>
      <c r="K24" s="21"/>
    </row>
    <row r="25" spans="1:15">
      <c r="A25" s="348" t="s">
        <v>23</v>
      </c>
      <c r="B25" s="337"/>
      <c r="C25" s="16">
        <v>501472</v>
      </c>
      <c r="E25" s="104"/>
      <c r="F25" s="102"/>
      <c r="G25" s="21"/>
      <c r="I25" s="31"/>
      <c r="J25" s="102"/>
      <c r="K25" s="21"/>
    </row>
    <row r="26" spans="1:15">
      <c r="A26" s="348" t="s">
        <v>297</v>
      </c>
      <c r="B26" s="338"/>
      <c r="C26" s="13">
        <v>223485</v>
      </c>
      <c r="E26" s="104"/>
      <c r="F26" s="102"/>
      <c r="G26" s="15"/>
      <c r="I26" s="31"/>
      <c r="J26" s="102"/>
      <c r="K26" s="15"/>
    </row>
    <row r="27" spans="1:15">
      <c r="A27" s="348" t="s">
        <v>298</v>
      </c>
      <c r="B27" s="338"/>
      <c r="C27" s="13">
        <v>277987</v>
      </c>
      <c r="E27" s="104"/>
      <c r="F27" s="102"/>
      <c r="G27" s="15"/>
      <c r="I27" s="31"/>
      <c r="J27" s="102"/>
      <c r="K27" s="15"/>
    </row>
    <row r="28" spans="1:15">
      <c r="A28" s="342" t="s">
        <v>24</v>
      </c>
      <c r="B28" s="337"/>
      <c r="C28" s="23">
        <v>0</v>
      </c>
      <c r="G28" s="24">
        <v>0</v>
      </c>
      <c r="K28" s="24"/>
    </row>
    <row r="29" spans="1:15" s="160" customFormat="1" ht="16.5" thickBot="1">
      <c r="A29" s="342" t="s">
        <v>25</v>
      </c>
      <c r="B29" s="337"/>
      <c r="C29" s="25">
        <v>5992207268.7140274</v>
      </c>
      <c r="D29" s="166"/>
      <c r="E29" s="172"/>
      <c r="F29" s="166"/>
      <c r="G29" s="26">
        <f>SUM(G13:G28)</f>
        <v>661391652</v>
      </c>
      <c r="H29" s="5"/>
      <c r="I29" s="107"/>
      <c r="J29" s="5"/>
      <c r="K29" s="26">
        <f>SUM(K13:K28)</f>
        <v>-8094923.9272151198</v>
      </c>
    </row>
    <row r="30" spans="1:15" ht="16.5" thickTop="1">
      <c r="A30" s="159"/>
      <c r="B30" s="337"/>
      <c r="C30" s="27"/>
      <c r="G30" s="92"/>
      <c r="I30" s="108"/>
      <c r="J30" s="109"/>
    </row>
    <row r="31" spans="1:15">
      <c r="A31" s="341" t="s">
        <v>361</v>
      </c>
      <c r="B31" s="337"/>
      <c r="C31" s="4"/>
      <c r="G31" s="92"/>
    </row>
    <row r="32" spans="1:15">
      <c r="A32" s="342" t="s">
        <v>294</v>
      </c>
      <c r="B32" s="337"/>
      <c r="C32" s="16">
        <v>370465</v>
      </c>
      <c r="E32" s="14"/>
      <c r="F32" s="100"/>
      <c r="G32" s="15"/>
      <c r="K32" s="15"/>
    </row>
    <row r="33" spans="1:15">
      <c r="A33" s="342" t="s">
        <v>8</v>
      </c>
      <c r="B33" s="337"/>
      <c r="C33" s="16">
        <v>369457</v>
      </c>
      <c r="E33" s="14">
        <v>6</v>
      </c>
      <c r="F33" s="100"/>
      <c r="G33" s="15">
        <f t="shared" ref="G33:G34" si="6">ROUND(E33*$C33,0)</f>
        <v>2216742</v>
      </c>
      <c r="I33" s="31"/>
      <c r="J33" s="100"/>
      <c r="K33" s="15"/>
    </row>
    <row r="34" spans="1:15">
      <c r="A34" s="342" t="s">
        <v>9</v>
      </c>
      <c r="B34" s="337"/>
      <c r="C34" s="16">
        <v>257</v>
      </c>
      <c r="E34" s="14">
        <v>12</v>
      </c>
      <c r="F34" s="100"/>
      <c r="G34" s="15">
        <f t="shared" si="6"/>
        <v>3084</v>
      </c>
      <c r="I34" s="31"/>
      <c r="J34" s="100"/>
      <c r="K34" s="15"/>
    </row>
    <row r="35" spans="1:15">
      <c r="A35" s="342" t="s">
        <v>363</v>
      </c>
      <c r="B35" s="337"/>
      <c r="C35" s="16">
        <v>0</v>
      </c>
      <c r="E35" s="14"/>
      <c r="F35" s="100"/>
      <c r="G35" s="15"/>
      <c r="I35" s="31"/>
      <c r="J35" s="100"/>
      <c r="K35" s="15"/>
    </row>
    <row r="36" spans="1:15">
      <c r="A36" s="342" t="s">
        <v>10</v>
      </c>
      <c r="B36" s="337"/>
      <c r="C36" s="13">
        <v>47435117</v>
      </c>
      <c r="E36" s="104">
        <v>8.8498000000000001</v>
      </c>
      <c r="F36" s="102" t="s">
        <v>11</v>
      </c>
      <c r="G36" s="15">
        <f>ROUND(E36*$C36/100,0)</f>
        <v>4197913</v>
      </c>
      <c r="I36" s="103">
        <f t="shared" ref="I36:I38" si="7">$N$20</f>
        <v>-1.326956E-2</v>
      </c>
      <c r="J36" s="102"/>
      <c r="K36" s="15">
        <f t="shared" ref="K36:K38" si="8">$G36*I36</f>
        <v>-55704.458428279999</v>
      </c>
      <c r="O36" s="138">
        <f>G36*I36-K36</f>
        <v>0</v>
      </c>
    </row>
    <row r="37" spans="1:15">
      <c r="A37" s="342" t="s">
        <v>13</v>
      </c>
      <c r="B37" s="337"/>
      <c r="C37" s="13">
        <v>31907309</v>
      </c>
      <c r="E37" s="104">
        <v>11.542899999999999</v>
      </c>
      <c r="F37" s="102" t="s">
        <v>11</v>
      </c>
      <c r="G37" s="15">
        <f>ROUND(E37*$C37/100,0)</f>
        <v>3683029</v>
      </c>
      <c r="I37" s="103">
        <f t="shared" si="7"/>
        <v>-1.326956E-2</v>
      </c>
      <c r="J37" s="102"/>
      <c r="K37" s="15">
        <f t="shared" si="8"/>
        <v>-48872.174297240002</v>
      </c>
      <c r="O37" s="138">
        <f>G37*I37-K37</f>
        <v>0</v>
      </c>
    </row>
    <row r="38" spans="1:15">
      <c r="A38" s="342" t="s">
        <v>15</v>
      </c>
      <c r="B38" s="337"/>
      <c r="C38" s="13">
        <v>10205740</v>
      </c>
      <c r="E38" s="104">
        <v>14.450799999999999</v>
      </c>
      <c r="F38" s="102" t="s">
        <v>11</v>
      </c>
      <c r="G38" s="15">
        <f>ROUND(E38*$C38/100,0)</f>
        <v>1474811</v>
      </c>
      <c r="I38" s="103">
        <f t="shared" si="7"/>
        <v>-1.326956E-2</v>
      </c>
      <c r="J38" s="102"/>
      <c r="K38" s="15">
        <f t="shared" si="8"/>
        <v>-19570.093053159999</v>
      </c>
      <c r="O38" s="138">
        <f>G38*I38-K38</f>
        <v>0</v>
      </c>
    </row>
    <row r="39" spans="1:15">
      <c r="A39" s="342" t="s">
        <v>17</v>
      </c>
      <c r="B39" s="337"/>
      <c r="C39" s="13"/>
      <c r="E39" s="104"/>
      <c r="F39" s="102"/>
      <c r="G39" s="15"/>
      <c r="J39" s="102"/>
      <c r="K39" s="15"/>
      <c r="O39" s="138"/>
    </row>
    <row r="40" spans="1:15" s="161" customFormat="1">
      <c r="A40" s="346" t="s">
        <v>295</v>
      </c>
      <c r="B40" s="347"/>
      <c r="C40" s="13">
        <v>64598419</v>
      </c>
      <c r="D40" s="171"/>
      <c r="E40" s="104">
        <v>8.8498000000000001</v>
      </c>
      <c r="F40" s="102" t="s">
        <v>11</v>
      </c>
      <c r="G40" s="190">
        <f t="shared" ref="G40:G41" si="9">ROUND(E40*$C40/100,0)</f>
        <v>5716831</v>
      </c>
      <c r="H40" s="5"/>
      <c r="I40" s="103">
        <f t="shared" ref="I40:I41" si="10">$N$20</f>
        <v>-1.326956E-2</v>
      </c>
      <c r="J40" s="102"/>
      <c r="K40" s="190">
        <f t="shared" ref="K40:K41" si="11">$G40*I40</f>
        <v>-75859.831964359997</v>
      </c>
      <c r="O40" s="138">
        <f>G40*I40-K40</f>
        <v>0</v>
      </c>
    </row>
    <row r="41" spans="1:15" s="161" customFormat="1">
      <c r="A41" s="346" t="s">
        <v>296</v>
      </c>
      <c r="B41" s="347"/>
      <c r="C41" s="13">
        <v>54308077</v>
      </c>
      <c r="D41" s="171"/>
      <c r="E41" s="104">
        <v>10.7072</v>
      </c>
      <c r="F41" s="102" t="s">
        <v>11</v>
      </c>
      <c r="G41" s="190">
        <f t="shared" si="9"/>
        <v>5814874</v>
      </c>
      <c r="H41" s="5"/>
      <c r="I41" s="103">
        <f t="shared" si="10"/>
        <v>-1.326956E-2</v>
      </c>
      <c r="J41" s="102"/>
      <c r="K41" s="190">
        <f t="shared" si="11"/>
        <v>-77160.819435440004</v>
      </c>
      <c r="O41" s="138">
        <f>G41*I41-K41</f>
        <v>0</v>
      </c>
    </row>
    <row r="42" spans="1:15">
      <c r="A42" s="342" t="s">
        <v>19</v>
      </c>
      <c r="B42" s="337"/>
      <c r="C42" s="16">
        <v>751</v>
      </c>
      <c r="E42" s="14">
        <v>8</v>
      </c>
      <c r="F42" s="100"/>
      <c r="G42" s="15">
        <f>ROUND(E42*$C42,0)</f>
        <v>6008</v>
      </c>
      <c r="I42" s="31"/>
      <c r="J42" s="100"/>
      <c r="K42" s="15"/>
    </row>
    <row r="43" spans="1:15">
      <c r="A43" s="342" t="s">
        <v>20</v>
      </c>
      <c r="B43" s="337"/>
      <c r="C43" s="16">
        <v>0</v>
      </c>
      <c r="E43" s="14">
        <v>16</v>
      </c>
      <c r="F43" s="100"/>
      <c r="G43" s="15">
        <f>ROUND(E43*$C43,0)</f>
        <v>0</v>
      </c>
      <c r="I43" s="31"/>
      <c r="J43" s="100"/>
      <c r="K43" s="15"/>
    </row>
    <row r="44" spans="1:15">
      <c r="A44" s="342" t="s">
        <v>22</v>
      </c>
      <c r="B44" s="337"/>
      <c r="C44" s="16">
        <v>0</v>
      </c>
      <c r="E44" s="14">
        <v>96</v>
      </c>
      <c r="F44" s="100"/>
      <c r="G44" s="21">
        <f>ROUND(E44*$C44,0)</f>
        <v>0</v>
      </c>
      <c r="I44" s="111"/>
      <c r="J44" s="102"/>
      <c r="K44" s="21"/>
    </row>
    <row r="45" spans="1:15">
      <c r="A45" s="348" t="s">
        <v>23</v>
      </c>
      <c r="B45" s="338"/>
      <c r="C45" s="16">
        <v>4249</v>
      </c>
      <c r="E45" s="110"/>
      <c r="F45" s="102"/>
      <c r="G45" s="21"/>
      <c r="I45" s="111"/>
      <c r="J45" s="102"/>
      <c r="K45" s="21"/>
    </row>
    <row r="46" spans="1:15" s="160" customFormat="1">
      <c r="A46" s="348" t="s">
        <v>297</v>
      </c>
      <c r="B46" s="338"/>
      <c r="C46" s="13">
        <v>2043</v>
      </c>
      <c r="D46" s="166"/>
      <c r="E46" s="110"/>
      <c r="F46" s="102"/>
      <c r="G46" s="15"/>
      <c r="H46" s="5"/>
      <c r="I46" s="111"/>
      <c r="J46" s="102"/>
      <c r="K46" s="15"/>
    </row>
    <row r="47" spans="1:15" s="160" customFormat="1">
      <c r="A47" s="348" t="s">
        <v>298</v>
      </c>
      <c r="B47" s="337"/>
      <c r="C47" s="13">
        <v>2206</v>
      </c>
      <c r="D47" s="166"/>
      <c r="E47" s="110"/>
      <c r="F47" s="102"/>
      <c r="G47" s="15"/>
      <c r="H47" s="5"/>
      <c r="I47" s="111"/>
      <c r="J47" s="102"/>
      <c r="K47" s="15"/>
    </row>
    <row r="48" spans="1:15">
      <c r="A48" s="342" t="s">
        <v>24</v>
      </c>
      <c r="B48" s="337"/>
      <c r="C48" s="23">
        <v>0</v>
      </c>
      <c r="G48" s="24">
        <v>0</v>
      </c>
      <c r="I48" s="111"/>
      <c r="J48" s="102"/>
      <c r="K48" s="24"/>
    </row>
    <row r="49" spans="1:15" ht="16.5" thickBot="1">
      <c r="A49" s="342" t="s">
        <v>25</v>
      </c>
      <c r="B49" s="337"/>
      <c r="C49" s="25">
        <v>208458910.71085531</v>
      </c>
      <c r="E49" s="172"/>
      <c r="G49" s="26">
        <f>SUM(G33:G48)</f>
        <v>23113292</v>
      </c>
      <c r="I49" s="107"/>
      <c r="K49" s="26">
        <f>SUM(K33:K48)</f>
        <v>-277167.37717848003</v>
      </c>
    </row>
    <row r="50" spans="1:15" ht="16.5" thickTop="1">
      <c r="A50" s="159"/>
      <c r="B50" s="337"/>
      <c r="C50" s="4"/>
      <c r="G50" s="92"/>
      <c r="I50" s="108"/>
      <c r="J50" s="109"/>
    </row>
    <row r="51" spans="1:15">
      <c r="A51" s="341" t="s">
        <v>362</v>
      </c>
      <c r="B51" s="337"/>
      <c r="C51" s="4"/>
      <c r="G51" s="92"/>
    </row>
    <row r="52" spans="1:15">
      <c r="A52" s="342" t="s">
        <v>294</v>
      </c>
      <c r="B52" s="337"/>
      <c r="C52" s="16">
        <v>5364</v>
      </c>
      <c r="E52" s="14"/>
      <c r="F52" s="100"/>
      <c r="G52" s="15"/>
      <c r="K52" s="15"/>
    </row>
    <row r="53" spans="1:15">
      <c r="A53" s="342" t="s">
        <v>8</v>
      </c>
      <c r="B53" s="337"/>
      <c r="C53" s="16">
        <v>5243</v>
      </c>
      <c r="E53" s="14">
        <v>6</v>
      </c>
      <c r="F53" s="100"/>
      <c r="G53" s="15">
        <f t="shared" ref="G53:G54" si="12">ROUND(E53*$C53,0)</f>
        <v>31458</v>
      </c>
      <c r="K53" s="15"/>
    </row>
    <row r="54" spans="1:15">
      <c r="A54" s="342" t="s">
        <v>9</v>
      </c>
      <c r="B54" s="337"/>
      <c r="C54" s="16">
        <v>0</v>
      </c>
      <c r="E54" s="14">
        <v>12</v>
      </c>
      <c r="F54" s="100"/>
      <c r="G54" s="15">
        <f t="shared" si="12"/>
        <v>0</v>
      </c>
      <c r="I54" s="31"/>
      <c r="J54" s="100"/>
      <c r="K54" s="15"/>
    </row>
    <row r="55" spans="1:15">
      <c r="A55" s="342" t="s">
        <v>363</v>
      </c>
      <c r="B55" s="337"/>
      <c r="C55" s="16">
        <v>1185</v>
      </c>
      <c r="E55" s="14"/>
      <c r="F55" s="100"/>
      <c r="G55" s="15"/>
      <c r="I55" s="31"/>
      <c r="J55" s="100"/>
      <c r="K55" s="15"/>
    </row>
    <row r="56" spans="1:15">
      <c r="A56" s="342" t="s">
        <v>27</v>
      </c>
      <c r="B56" s="337"/>
      <c r="C56" s="16">
        <v>280149</v>
      </c>
      <c r="E56" s="112">
        <v>4.3559999999999999</v>
      </c>
      <c r="F56" s="102" t="s">
        <v>11</v>
      </c>
      <c r="G56" s="15">
        <f t="shared" ref="G56:G60" si="13">ROUND(E56*$C56/100,0)</f>
        <v>12203</v>
      </c>
      <c r="I56" s="31"/>
      <c r="J56" s="100"/>
      <c r="K56" s="15"/>
    </row>
    <row r="57" spans="1:15">
      <c r="A57" s="342" t="s">
        <v>28</v>
      </c>
      <c r="B57" s="337"/>
      <c r="C57" s="16">
        <v>954590</v>
      </c>
      <c r="E57" s="112">
        <v>-1.6334</v>
      </c>
      <c r="F57" s="102" t="s">
        <v>11</v>
      </c>
      <c r="G57" s="15">
        <f t="shared" si="13"/>
        <v>-15592</v>
      </c>
      <c r="I57" s="31"/>
      <c r="J57" s="100"/>
      <c r="K57" s="15"/>
    </row>
    <row r="58" spans="1:15">
      <c r="A58" s="342" t="s">
        <v>10</v>
      </c>
      <c r="B58" s="337"/>
      <c r="C58" s="16">
        <v>675062</v>
      </c>
      <c r="E58" s="104">
        <v>8.8498000000000001</v>
      </c>
      <c r="F58" s="102" t="s">
        <v>11</v>
      </c>
      <c r="G58" s="15">
        <f t="shared" si="13"/>
        <v>59742</v>
      </c>
      <c r="I58" s="103">
        <f t="shared" ref="I58:I60" si="14">$N$20</f>
        <v>-1.326956E-2</v>
      </c>
      <c r="J58" s="102"/>
      <c r="K58" s="15">
        <f t="shared" ref="K58:K60" si="15">$G58*I58</f>
        <v>-792.75005351999994</v>
      </c>
      <c r="O58" s="138">
        <f>G58*I58-K58</f>
        <v>0</v>
      </c>
    </row>
    <row r="59" spans="1:15">
      <c r="A59" s="342" t="s">
        <v>13</v>
      </c>
      <c r="B59" s="337"/>
      <c r="C59" s="16">
        <v>474415</v>
      </c>
      <c r="E59" s="104">
        <v>11.542899999999999</v>
      </c>
      <c r="F59" s="102" t="s">
        <v>11</v>
      </c>
      <c r="G59" s="15">
        <f t="shared" si="13"/>
        <v>54761</v>
      </c>
      <c r="I59" s="103">
        <f t="shared" si="14"/>
        <v>-1.326956E-2</v>
      </c>
      <c r="J59" s="102"/>
      <c r="K59" s="15">
        <f t="shared" si="15"/>
        <v>-726.65437515999997</v>
      </c>
      <c r="O59" s="138">
        <f>G59*I59-K59</f>
        <v>0</v>
      </c>
    </row>
    <row r="60" spans="1:15">
      <c r="A60" s="342" t="s">
        <v>15</v>
      </c>
      <c r="B60" s="337"/>
      <c r="C60" s="16">
        <v>185128</v>
      </c>
      <c r="E60" s="104">
        <v>14.450799999999999</v>
      </c>
      <c r="F60" s="102" t="s">
        <v>11</v>
      </c>
      <c r="G60" s="15">
        <f t="shared" si="13"/>
        <v>26752</v>
      </c>
      <c r="I60" s="103">
        <f t="shared" si="14"/>
        <v>-1.326956E-2</v>
      </c>
      <c r="J60" s="102"/>
      <c r="K60" s="15">
        <f t="shared" si="15"/>
        <v>-354.98726912000001</v>
      </c>
      <c r="O60" s="138">
        <f>G60*I60-K60</f>
        <v>0</v>
      </c>
    </row>
    <row r="61" spans="1:15">
      <c r="A61" s="342" t="s">
        <v>17</v>
      </c>
      <c r="B61" s="337"/>
      <c r="C61" s="16"/>
      <c r="E61" s="104"/>
      <c r="F61" s="102"/>
      <c r="G61" s="15"/>
      <c r="J61" s="102"/>
      <c r="K61" s="15"/>
      <c r="O61" s="138"/>
    </row>
    <row r="62" spans="1:15">
      <c r="A62" s="346" t="s">
        <v>295</v>
      </c>
      <c r="B62" s="347"/>
      <c r="C62" s="16">
        <v>912816</v>
      </c>
      <c r="D62" s="171"/>
      <c r="E62" s="104">
        <v>8.8498000000000001</v>
      </c>
      <c r="F62" s="102" t="s">
        <v>11</v>
      </c>
      <c r="G62" s="190">
        <f t="shared" ref="G62:G63" si="16">ROUND(E62*$C62/100,0)</f>
        <v>80782</v>
      </c>
      <c r="I62" s="103">
        <f t="shared" ref="I62:I63" si="17">$N$20</f>
        <v>-1.326956E-2</v>
      </c>
      <c r="J62" s="102"/>
      <c r="K62" s="190">
        <f t="shared" ref="K62:K63" si="18">$G62*I62</f>
        <v>-1071.9415959200001</v>
      </c>
      <c r="O62" s="138">
        <f>G62*I62-K62</f>
        <v>0</v>
      </c>
    </row>
    <row r="63" spans="1:15">
      <c r="A63" s="346" t="s">
        <v>296</v>
      </c>
      <c r="B63" s="347"/>
      <c r="C63" s="16">
        <v>937823</v>
      </c>
      <c r="D63" s="171"/>
      <c r="E63" s="104">
        <v>10.7072</v>
      </c>
      <c r="F63" s="102" t="s">
        <v>11</v>
      </c>
      <c r="G63" s="190">
        <f t="shared" si="16"/>
        <v>100415</v>
      </c>
      <c r="I63" s="103">
        <f t="shared" si="17"/>
        <v>-1.326956E-2</v>
      </c>
      <c r="J63" s="102"/>
      <c r="K63" s="190">
        <f t="shared" si="18"/>
        <v>-1332.4628674000001</v>
      </c>
      <c r="O63" s="138">
        <f>G63*I63-K63</f>
        <v>0</v>
      </c>
    </row>
    <row r="64" spans="1:15">
      <c r="A64" s="342" t="s">
        <v>19</v>
      </c>
      <c r="B64" s="337"/>
      <c r="C64" s="16">
        <v>121</v>
      </c>
      <c r="E64" s="14">
        <v>8</v>
      </c>
      <c r="F64" s="100"/>
      <c r="G64" s="15">
        <f>ROUND(E64*$C64,0)</f>
        <v>968</v>
      </c>
      <c r="I64" s="31"/>
      <c r="J64" s="100"/>
      <c r="K64" s="15"/>
    </row>
    <row r="65" spans="1:15" s="160" customFormat="1">
      <c r="A65" s="342" t="s">
        <v>20</v>
      </c>
      <c r="B65" s="337"/>
      <c r="C65" s="16">
        <v>0</v>
      </c>
      <c r="D65" s="166"/>
      <c r="E65" s="14">
        <v>16</v>
      </c>
      <c r="F65" s="100"/>
      <c r="G65" s="15">
        <f>ROUND(E65*$C65,0)</f>
        <v>0</v>
      </c>
      <c r="H65" s="5"/>
      <c r="I65" s="31"/>
      <c r="J65" s="100"/>
      <c r="K65" s="15"/>
    </row>
    <row r="66" spans="1:15" s="160" customFormat="1">
      <c r="A66" s="342" t="s">
        <v>22</v>
      </c>
      <c r="B66" s="337"/>
      <c r="C66" s="16">
        <v>0</v>
      </c>
      <c r="D66" s="166"/>
      <c r="E66" s="14">
        <v>96</v>
      </c>
      <c r="F66" s="100"/>
      <c r="G66" s="15">
        <f>ROUND(E66*$C66,0)</f>
        <v>0</v>
      </c>
      <c r="H66" s="5"/>
      <c r="I66" s="31"/>
      <c r="J66" s="100"/>
      <c r="K66" s="15"/>
    </row>
    <row r="67" spans="1:15" s="160" customFormat="1">
      <c r="A67" s="348" t="s">
        <v>23</v>
      </c>
      <c r="B67" s="338"/>
      <c r="C67" s="16">
        <v>428</v>
      </c>
      <c r="D67" s="166"/>
      <c r="E67" s="110"/>
      <c r="F67" s="102"/>
      <c r="G67" s="21"/>
      <c r="H67" s="5"/>
      <c r="I67" s="111"/>
      <c r="J67" s="102"/>
      <c r="K67" s="21"/>
    </row>
    <row r="68" spans="1:15">
      <c r="A68" s="348" t="s">
        <v>297</v>
      </c>
      <c r="B68" s="338"/>
      <c r="C68" s="16">
        <v>118</v>
      </c>
      <c r="E68" s="110"/>
      <c r="F68" s="102"/>
      <c r="G68" s="15"/>
      <c r="I68" s="111"/>
      <c r="J68" s="102"/>
      <c r="K68" s="15"/>
    </row>
    <row r="69" spans="1:15">
      <c r="A69" s="348" t="s">
        <v>298</v>
      </c>
      <c r="B69" s="337"/>
      <c r="C69" s="16">
        <v>310</v>
      </c>
      <c r="E69" s="110"/>
      <c r="F69" s="102"/>
      <c r="G69" s="15"/>
      <c r="I69" s="111"/>
      <c r="J69" s="102"/>
      <c r="K69" s="15"/>
    </row>
    <row r="70" spans="1:15">
      <c r="A70" s="342" t="s">
        <v>24</v>
      </c>
      <c r="B70" s="337"/>
      <c r="C70" s="23">
        <v>0</v>
      </c>
      <c r="G70" s="24">
        <v>0</v>
      </c>
      <c r="I70" s="111"/>
      <c r="J70" s="102"/>
      <c r="K70" s="24"/>
    </row>
    <row r="71" spans="1:15" ht="16.5" thickBot="1">
      <c r="A71" s="342" t="s">
        <v>25</v>
      </c>
      <c r="B71" s="337"/>
      <c r="C71" s="25">
        <v>3185670.6103628851</v>
      </c>
      <c r="E71" s="173"/>
      <c r="G71" s="28">
        <f>SUM(G53:G70)</f>
        <v>351489</v>
      </c>
      <c r="I71" s="173"/>
      <c r="J71" s="102"/>
      <c r="K71" s="28">
        <f>SUM(K53:K70)</f>
        <v>-4278.7961611200008</v>
      </c>
    </row>
    <row r="72" spans="1:15" ht="16.5" thickTop="1">
      <c r="C72" s="4"/>
      <c r="G72" s="92"/>
      <c r="I72" s="103"/>
    </row>
    <row r="73" spans="1:15">
      <c r="A73" s="341" t="s">
        <v>42</v>
      </c>
      <c r="B73" s="337"/>
      <c r="C73" s="4"/>
      <c r="G73" s="92"/>
      <c r="I73" s="103"/>
    </row>
    <row r="74" spans="1:15">
      <c r="A74" s="342" t="s">
        <v>7</v>
      </c>
      <c r="B74" s="337"/>
      <c r="C74" s="4">
        <v>156864.35241617297</v>
      </c>
      <c r="E74" s="14">
        <v>54</v>
      </c>
      <c r="F74" s="100"/>
      <c r="G74" s="15">
        <f>ROUND(E74*$C74,0)</f>
        <v>8470675</v>
      </c>
      <c r="I74" s="31"/>
      <c r="J74" s="109"/>
      <c r="K74" s="15"/>
      <c r="M74" s="79" t="s">
        <v>310</v>
      </c>
      <c r="N74" s="80"/>
      <c r="O74" s="138"/>
    </row>
    <row r="75" spans="1:15">
      <c r="A75" s="342" t="s">
        <v>38</v>
      </c>
      <c r="B75" s="337"/>
      <c r="C75" s="4">
        <v>7568683</v>
      </c>
      <c r="E75" s="14"/>
      <c r="F75" s="100"/>
      <c r="G75" s="15"/>
      <c r="I75" s="31"/>
      <c r="J75" s="100"/>
      <c r="K75" s="15"/>
      <c r="M75" s="70" t="s">
        <v>14</v>
      </c>
      <c r="N75" s="17">
        <f>K86+K101</f>
        <v>-5136450.8582976293</v>
      </c>
      <c r="O75" s="138"/>
    </row>
    <row r="76" spans="1:15">
      <c r="A76" s="342" t="s">
        <v>39</v>
      </c>
      <c r="B76" s="337"/>
      <c r="C76" s="4">
        <v>9009450</v>
      </c>
      <c r="E76" s="14"/>
      <c r="F76" s="100"/>
      <c r="G76" s="15"/>
      <c r="I76" s="31"/>
      <c r="J76" s="100"/>
      <c r="K76" s="15"/>
      <c r="M76" s="71" t="s">
        <v>16</v>
      </c>
      <c r="N76" s="18">
        <f>('Ex B p1 - Rate Spread'!K20+'Ex B p1 - Rate Spread'!K22)*1000</f>
        <v>-5136449.5830330811</v>
      </c>
      <c r="O76" s="138"/>
    </row>
    <row r="77" spans="1:15">
      <c r="A77" s="342" t="s">
        <v>32</v>
      </c>
      <c r="B77" s="337"/>
      <c r="C77" s="4">
        <v>679134</v>
      </c>
      <c r="E77" s="14">
        <v>-0.96</v>
      </c>
      <c r="F77" s="100"/>
      <c r="G77" s="15">
        <f>ROUND(E77*$C77,0)</f>
        <v>-651969</v>
      </c>
      <c r="I77" s="31"/>
      <c r="J77" s="100"/>
      <c r="K77" s="15"/>
      <c r="M77" s="72" t="s">
        <v>18</v>
      </c>
      <c r="N77" s="19">
        <f>N76-N75</f>
        <v>1.275264548137784</v>
      </c>
      <c r="O77" s="138"/>
    </row>
    <row r="78" spans="1:15">
      <c r="A78" s="346" t="s">
        <v>87</v>
      </c>
      <c r="B78" s="347"/>
      <c r="C78" s="349">
        <v>16578133</v>
      </c>
      <c r="D78" s="171"/>
      <c r="E78" s="350">
        <v>4.04</v>
      </c>
      <c r="F78" s="351"/>
      <c r="G78" s="15">
        <f t="shared" ref="G78:G80" si="19">ROUND(E78*$C78,0)</f>
        <v>66975657</v>
      </c>
      <c r="I78" s="31"/>
      <c r="J78" s="100"/>
      <c r="K78" s="15"/>
      <c r="M78" s="75" t="s">
        <v>21</v>
      </c>
      <c r="N78" s="76">
        <f>ROUND(N76/SUM(G79:G80,G82:G83,G94:G95,G97:G98),$N$12)+N81</f>
        <v>-1.2224789999999999E-2</v>
      </c>
      <c r="O78" s="138"/>
    </row>
    <row r="79" spans="1:15">
      <c r="A79" s="346" t="s">
        <v>38</v>
      </c>
      <c r="B79" s="347"/>
      <c r="C79" s="349">
        <v>7568683</v>
      </c>
      <c r="D79" s="171"/>
      <c r="E79" s="350">
        <v>14.62</v>
      </c>
      <c r="F79" s="351"/>
      <c r="G79" s="15">
        <f t="shared" si="19"/>
        <v>110654145</v>
      </c>
      <c r="I79" s="31">
        <f>$N$78</f>
        <v>-1.2224789999999999E-2</v>
      </c>
      <c r="J79" s="100"/>
      <c r="K79" s="15">
        <f t="shared" ref="K79:K80" si="20">$G79*I79</f>
        <v>-1352723.6852545498</v>
      </c>
      <c r="M79" s="32" t="s">
        <v>45</v>
      </c>
      <c r="N79" s="33">
        <f>'Ex B p3 - Table A'!S49</f>
        <v>-20007.476836535898</v>
      </c>
      <c r="O79" s="138">
        <f>G79*I79-K79</f>
        <v>0</v>
      </c>
    </row>
    <row r="80" spans="1:15">
      <c r="A80" s="346" t="s">
        <v>39</v>
      </c>
      <c r="B80" s="347"/>
      <c r="C80" s="349">
        <v>9009450</v>
      </c>
      <c r="D80" s="171"/>
      <c r="E80" s="350">
        <v>10.91</v>
      </c>
      <c r="F80" s="351"/>
      <c r="G80" s="15">
        <f t="shared" si="19"/>
        <v>98293100</v>
      </c>
      <c r="I80" s="31">
        <f>$N$78</f>
        <v>-1.2224789999999999E-2</v>
      </c>
      <c r="J80" s="100"/>
      <c r="K80" s="15">
        <f t="shared" si="20"/>
        <v>-1201612.5059489999</v>
      </c>
      <c r="M80" s="32" t="s">
        <v>46</v>
      </c>
      <c r="N80" s="33">
        <f>'Ex B p1 - Rate Spread'!K49</f>
        <v>-20007.478594150194</v>
      </c>
      <c r="O80" s="138">
        <f>G80*I80-K80</f>
        <v>0</v>
      </c>
    </row>
    <row r="81" spans="1:15">
      <c r="A81" s="342" t="s">
        <v>29</v>
      </c>
      <c r="B81" s="337"/>
      <c r="C81" s="4">
        <v>5783806261.2344303</v>
      </c>
      <c r="E81" s="112"/>
      <c r="F81" s="102"/>
      <c r="G81" s="15"/>
      <c r="I81" s="31"/>
      <c r="J81" s="100"/>
      <c r="K81" s="15"/>
      <c r="M81" s="34" t="s">
        <v>26</v>
      </c>
      <c r="N81" s="35">
        <v>0</v>
      </c>
      <c r="O81" s="138"/>
    </row>
    <row r="82" spans="1:15">
      <c r="A82" s="342" t="s">
        <v>43</v>
      </c>
      <c r="B82" s="337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I82" s="31">
        <f>$N$78</f>
        <v>-1.2224789999999999E-2</v>
      </c>
      <c r="J82" s="100"/>
      <c r="K82" s="15">
        <f t="shared" ref="K82:K83" si="21">$G82*I82</f>
        <v>-1199530.3308170398</v>
      </c>
      <c r="O82" s="138">
        <f>G82*I82-K82</f>
        <v>0</v>
      </c>
    </row>
    <row r="83" spans="1:15">
      <c r="A83" s="342" t="s">
        <v>44</v>
      </c>
      <c r="B83" s="337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I83" s="31">
        <f>$N$78</f>
        <v>-1.2224789999999999E-2</v>
      </c>
      <c r="J83" s="100"/>
      <c r="K83" s="15">
        <f t="shared" si="21"/>
        <v>-1379165.1358627798</v>
      </c>
      <c r="O83" s="138">
        <f>G83*I83-K83</f>
        <v>0</v>
      </c>
    </row>
    <row r="84" spans="1:15">
      <c r="A84" s="342" t="s">
        <v>37</v>
      </c>
      <c r="B84" s="337"/>
      <c r="C84" s="4">
        <v>0</v>
      </c>
      <c r="E84" s="14">
        <v>648</v>
      </c>
      <c r="F84" s="100"/>
      <c r="G84" s="15">
        <f>ROUND(E84*$C84,0)</f>
        <v>0</v>
      </c>
      <c r="I84" s="31"/>
      <c r="J84" s="100"/>
      <c r="K84" s="15"/>
      <c r="O84" s="138"/>
    </row>
    <row r="85" spans="1:15">
      <c r="A85" s="342" t="s">
        <v>24</v>
      </c>
      <c r="B85" s="337"/>
      <c r="C85" s="23">
        <v>0</v>
      </c>
      <c r="G85" s="24">
        <v>0</v>
      </c>
      <c r="K85" s="24"/>
    </row>
    <row r="86" spans="1:15" ht="16.5" thickBot="1">
      <c r="A86" s="342" t="s">
        <v>25</v>
      </c>
      <c r="B86" s="337"/>
      <c r="C86" s="29">
        <v>5783806261.2344303</v>
      </c>
      <c r="E86" s="173"/>
      <c r="G86" s="28">
        <f>SUM(G74:G85)</f>
        <v>494681466</v>
      </c>
      <c r="I86" s="113"/>
      <c r="K86" s="28">
        <f>SUM(K74:K85)</f>
        <v>-5133031.6578833694</v>
      </c>
    </row>
    <row r="87" spans="1:15" ht="16.5" thickTop="1">
      <c r="A87" s="159"/>
      <c r="B87" s="337"/>
      <c r="G87" s="92"/>
      <c r="I87" s="108"/>
      <c r="J87" s="109"/>
    </row>
    <row r="88" spans="1:15">
      <c r="A88" s="341" t="s">
        <v>299</v>
      </c>
      <c r="B88" s="337"/>
      <c r="C88" s="4"/>
      <c r="D88" s="20"/>
      <c r="G88" s="92"/>
      <c r="I88" s="106"/>
      <c r="J88" s="115"/>
    </row>
    <row r="89" spans="1:15">
      <c r="A89" s="342" t="s">
        <v>7</v>
      </c>
      <c r="B89" s="337"/>
      <c r="C89" s="4">
        <v>438</v>
      </c>
      <c r="E89" s="14">
        <v>54</v>
      </c>
      <c r="F89" s="100"/>
      <c r="G89" s="15">
        <f>ROUND(E89*$C89,0)</f>
        <v>23652</v>
      </c>
      <c r="K89" s="15"/>
    </row>
    <row r="90" spans="1:15">
      <c r="A90" s="342" t="s">
        <v>47</v>
      </c>
      <c r="B90" s="337"/>
      <c r="C90" s="4">
        <v>6224</v>
      </c>
      <c r="E90" s="14"/>
      <c r="F90" s="100"/>
      <c r="G90" s="15"/>
      <c r="I90" s="31"/>
      <c r="J90" s="100"/>
      <c r="K90" s="15"/>
    </row>
    <row r="91" spans="1:15">
      <c r="A91" s="342" t="s">
        <v>48</v>
      </c>
      <c r="B91" s="337"/>
      <c r="C91" s="4">
        <v>4264</v>
      </c>
      <c r="E91" s="14"/>
      <c r="F91" s="100"/>
      <c r="G91" s="15"/>
      <c r="I91" s="31"/>
      <c r="J91" s="100"/>
      <c r="K91" s="15"/>
    </row>
    <row r="92" spans="1:15">
      <c r="A92" s="342" t="s">
        <v>32</v>
      </c>
      <c r="B92" s="337"/>
      <c r="C92" s="4">
        <v>0</v>
      </c>
      <c r="E92" s="14">
        <v>-0.96</v>
      </c>
      <c r="F92" s="100"/>
      <c r="G92" s="15">
        <f>ROUND(E92*$C92,0)</f>
        <v>0</v>
      </c>
      <c r="I92" s="31"/>
      <c r="J92" s="100"/>
      <c r="K92" s="15"/>
    </row>
    <row r="93" spans="1:15">
      <c r="A93" s="346" t="s">
        <v>87</v>
      </c>
      <c r="B93" s="347"/>
      <c r="C93" s="349">
        <v>10488</v>
      </c>
      <c r="D93" s="171"/>
      <c r="E93" s="350">
        <v>4.04</v>
      </c>
      <c r="F93" s="351"/>
      <c r="G93" s="15">
        <f t="shared" ref="G93:G95" si="22">ROUND(E93*$C93,0)</f>
        <v>42372</v>
      </c>
      <c r="I93" s="31"/>
      <c r="J93" s="100"/>
      <c r="K93" s="15"/>
    </row>
    <row r="94" spans="1:15">
      <c r="A94" s="346" t="s">
        <v>47</v>
      </c>
      <c r="B94" s="347"/>
      <c r="C94" s="349">
        <v>6224</v>
      </c>
      <c r="D94" s="171"/>
      <c r="E94" s="350">
        <v>14.62</v>
      </c>
      <c r="F94" s="351"/>
      <c r="G94" s="15">
        <f t="shared" si="22"/>
        <v>90995</v>
      </c>
      <c r="I94" s="31">
        <f>$N$78</f>
        <v>-1.2224789999999999E-2</v>
      </c>
      <c r="J94" s="100"/>
      <c r="K94" s="15">
        <f t="shared" ref="K94:K95" si="23">$G94*I94</f>
        <v>-1112.39476605</v>
      </c>
      <c r="O94" s="138">
        <f>G94*I94-K94</f>
        <v>0</v>
      </c>
    </row>
    <row r="95" spans="1:15">
      <c r="A95" s="346" t="s">
        <v>48</v>
      </c>
      <c r="B95" s="347"/>
      <c r="C95" s="349">
        <v>4264</v>
      </c>
      <c r="D95" s="171"/>
      <c r="E95" s="350">
        <v>10.91</v>
      </c>
      <c r="F95" s="351"/>
      <c r="G95" s="15">
        <f t="shared" si="22"/>
        <v>46520</v>
      </c>
      <c r="I95" s="31">
        <f>$N$78</f>
        <v>-1.2224789999999999E-2</v>
      </c>
      <c r="J95" s="100"/>
      <c r="K95" s="15">
        <f t="shared" si="23"/>
        <v>-568.69723079999994</v>
      </c>
      <c r="O95" s="138">
        <f>G95*I95-K95</f>
        <v>0</v>
      </c>
    </row>
    <row r="96" spans="1:15">
      <c r="A96" s="342" t="s">
        <v>29</v>
      </c>
      <c r="B96" s="337"/>
      <c r="C96" s="4">
        <v>3907497</v>
      </c>
      <c r="E96" s="30"/>
      <c r="F96" s="102"/>
      <c r="G96" s="15"/>
      <c r="I96" s="31"/>
      <c r="J96" s="102"/>
      <c r="K96" s="15"/>
    </row>
    <row r="97" spans="1:15">
      <c r="A97" s="342" t="s">
        <v>40</v>
      </c>
      <c r="B97" s="337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I97" s="31">
        <f>$N$78</f>
        <v>-1.2224789999999999E-2</v>
      </c>
      <c r="J97" s="100"/>
      <c r="K97" s="15">
        <f t="shared" ref="K97:K98" si="24">$G97*I97</f>
        <v>-758.85383924999996</v>
      </c>
      <c r="O97" s="138">
        <f>G97*I97-K97</f>
        <v>0</v>
      </c>
    </row>
    <row r="98" spans="1:15">
      <c r="A98" s="342" t="s">
        <v>41</v>
      </c>
      <c r="B98" s="337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I98" s="31">
        <f>$N$78</f>
        <v>-1.2224789999999999E-2</v>
      </c>
      <c r="J98" s="100"/>
      <c r="K98" s="15">
        <f t="shared" si="24"/>
        <v>-979.25457815999994</v>
      </c>
      <c r="O98" s="138">
        <f>G98*I98-K98</f>
        <v>0</v>
      </c>
    </row>
    <row r="99" spans="1:15">
      <c r="A99" s="342" t="s">
        <v>37</v>
      </c>
      <c r="B99" s="337"/>
      <c r="C99" s="4">
        <v>0</v>
      </c>
      <c r="D99" s="20"/>
      <c r="E99" s="14">
        <v>648</v>
      </c>
      <c r="F99" s="100"/>
      <c r="G99" s="15">
        <f>ROUND(E99*$C99,0)</f>
        <v>0</v>
      </c>
      <c r="I99" s="31"/>
      <c r="J99" s="100"/>
      <c r="K99" s="15"/>
    </row>
    <row r="100" spans="1:15">
      <c r="A100" s="342" t="s">
        <v>24</v>
      </c>
      <c r="B100" s="337"/>
      <c r="C100" s="23">
        <v>0</v>
      </c>
      <c r="G100" s="24">
        <v>0</v>
      </c>
      <c r="K100" s="24"/>
    </row>
    <row r="101" spans="1:15" ht="16.5" thickBot="1">
      <c r="A101" s="342" t="s">
        <v>25</v>
      </c>
      <c r="B101" s="337"/>
      <c r="C101" s="29">
        <v>3907497</v>
      </c>
      <c r="E101" s="173"/>
      <c r="G101" s="28">
        <f>SUM(G89:G100)</f>
        <v>345718</v>
      </c>
      <c r="I101" s="113"/>
      <c r="K101" s="28">
        <f>SUM(K89:K100)</f>
        <v>-3419.2004142599999</v>
      </c>
    </row>
    <row r="102" spans="1:15" ht="16.5" thickTop="1">
      <c r="C102" s="4"/>
      <c r="G102" s="92"/>
    </row>
    <row r="103" spans="1:15">
      <c r="A103" s="341" t="s">
        <v>49</v>
      </c>
      <c r="B103" s="337"/>
      <c r="C103" s="4"/>
      <c r="E103" s="30"/>
      <c r="F103" s="115"/>
      <c r="G103" s="92"/>
      <c r="I103" s="31"/>
    </row>
    <row r="104" spans="1:15">
      <c r="A104" s="342" t="s">
        <v>7</v>
      </c>
      <c r="B104" s="337"/>
      <c r="C104" s="4">
        <v>27307</v>
      </c>
      <c r="E104" s="14">
        <v>54</v>
      </c>
      <c r="F104" s="100"/>
      <c r="G104" s="15">
        <f>ROUND(E104*$C104,0)</f>
        <v>1474578</v>
      </c>
      <c r="I104" s="31"/>
      <c r="J104" s="100"/>
      <c r="K104" s="15"/>
      <c r="M104" s="70" t="s">
        <v>14</v>
      </c>
      <c r="N104" s="17">
        <f>K113</f>
        <v>-355146.81849415001</v>
      </c>
      <c r="O104" s="138"/>
    </row>
    <row r="105" spans="1:15">
      <c r="A105" s="342" t="s">
        <v>50</v>
      </c>
      <c r="B105" s="337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I105" s="31"/>
      <c r="J105" s="100"/>
      <c r="K105" s="15"/>
      <c r="M105" s="71" t="s">
        <v>16</v>
      </c>
      <c r="N105" s="18">
        <f>'Ex B p1 - Rate Spread'!K21*1000</f>
        <v>-355146.8296821955</v>
      </c>
      <c r="O105" s="138"/>
    </row>
    <row r="106" spans="1:15">
      <c r="A106" s="342" t="s">
        <v>51</v>
      </c>
      <c r="B106" s="337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I106" s="31"/>
      <c r="J106" s="100"/>
      <c r="K106" s="15"/>
      <c r="M106" s="72" t="s">
        <v>18</v>
      </c>
      <c r="N106" s="19">
        <f>N105-N104</f>
        <v>-1.1188045493327081E-2</v>
      </c>
      <c r="O106" s="138"/>
    </row>
    <row r="107" spans="1:15">
      <c r="A107" s="342" t="s">
        <v>32</v>
      </c>
      <c r="B107" s="337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I107" s="31"/>
      <c r="J107" s="100"/>
      <c r="K107" s="15"/>
      <c r="M107" s="75" t="s">
        <v>21</v>
      </c>
      <c r="N107" s="76">
        <f>ROUND(N105/SUM(G108:G111),$N$12)</f>
        <v>-1.6919449999999999E-2</v>
      </c>
      <c r="O107" s="138"/>
    </row>
    <row r="108" spans="1:15">
      <c r="A108" s="342" t="s">
        <v>27</v>
      </c>
      <c r="B108" s="337"/>
      <c r="C108" s="4">
        <v>62251233</v>
      </c>
      <c r="D108" s="20"/>
      <c r="E108" s="112">
        <v>11.926600000000001</v>
      </c>
      <c r="F108" s="102" t="s">
        <v>11</v>
      </c>
      <c r="G108" s="15">
        <f>ROUND(E108*$C108/100,0)</f>
        <v>7424456</v>
      </c>
      <c r="I108" s="31">
        <f>$N$107</f>
        <v>-1.6919449999999999E-2</v>
      </c>
      <c r="J108" s="102"/>
      <c r="K108" s="15">
        <f t="shared" ref="K108:K111" si="25">$G108*I108</f>
        <v>-125617.71206919999</v>
      </c>
      <c r="O108" s="138">
        <f>G108*I108-K108</f>
        <v>0</v>
      </c>
    </row>
    <row r="109" spans="1:15">
      <c r="A109" s="342" t="s">
        <v>28</v>
      </c>
      <c r="B109" s="337"/>
      <c r="C109" s="4">
        <v>59556790.452555798</v>
      </c>
      <c r="D109" s="20"/>
      <c r="E109" s="112">
        <v>3.5908000000000002</v>
      </c>
      <c r="F109" s="102" t="s">
        <v>11</v>
      </c>
      <c r="G109" s="15">
        <f>ROUND(E109*$C109/100,0)</f>
        <v>2138565</v>
      </c>
      <c r="I109" s="31">
        <f>$N$107</f>
        <v>-1.6919449999999999E-2</v>
      </c>
      <c r="J109" s="102"/>
      <c r="K109" s="15">
        <f t="shared" si="25"/>
        <v>-36183.343589249998</v>
      </c>
      <c r="O109" s="138">
        <f>G109*I109-K109</f>
        <v>0</v>
      </c>
    </row>
    <row r="110" spans="1:15">
      <c r="A110" s="342" t="s">
        <v>52</v>
      </c>
      <c r="B110" s="337"/>
      <c r="C110" s="4">
        <v>90625426</v>
      </c>
      <c r="D110" s="20"/>
      <c r="E110" s="112">
        <v>9.9693000000000005</v>
      </c>
      <c r="F110" s="102" t="s">
        <v>11</v>
      </c>
      <c r="G110" s="15">
        <f>ROUND(E110*$C110/100,0)</f>
        <v>9034721</v>
      </c>
      <c r="I110" s="31">
        <f>$N$107</f>
        <v>-1.6919449999999999E-2</v>
      </c>
      <c r="J110" s="102"/>
      <c r="K110" s="15">
        <f t="shared" si="25"/>
        <v>-152862.51022344999</v>
      </c>
      <c r="O110" s="138">
        <f>G110*I110-K110</f>
        <v>0</v>
      </c>
    </row>
    <row r="111" spans="1:15">
      <c r="A111" s="342" t="s">
        <v>53</v>
      </c>
      <c r="B111" s="337"/>
      <c r="C111" s="4">
        <v>79597650.39760986</v>
      </c>
      <c r="D111" s="20"/>
      <c r="E111" s="112">
        <v>3.0059999999999998</v>
      </c>
      <c r="F111" s="102" t="s">
        <v>11</v>
      </c>
      <c r="G111" s="15">
        <f>ROUND(E111*$C111/100,0)</f>
        <v>2392705</v>
      </c>
      <c r="I111" s="31">
        <f>$N$107</f>
        <v>-1.6919449999999999E-2</v>
      </c>
      <c r="J111" s="102"/>
      <c r="K111" s="15">
        <f t="shared" si="25"/>
        <v>-40483.252612249998</v>
      </c>
      <c r="O111" s="138">
        <f>G111*I111-K111</f>
        <v>0</v>
      </c>
    </row>
    <row r="112" spans="1:15">
      <c r="A112" s="342" t="s">
        <v>24</v>
      </c>
      <c r="B112" s="337"/>
      <c r="C112" s="23">
        <v>0</v>
      </c>
      <c r="G112" s="24">
        <v>0</v>
      </c>
      <c r="K112" s="24"/>
    </row>
    <row r="113" spans="1:15" ht="16.5" thickBot="1">
      <c r="A113" s="342" t="s">
        <v>25</v>
      </c>
      <c r="B113" s="337"/>
      <c r="C113" s="29">
        <v>292031099.85016567</v>
      </c>
      <c r="E113" s="173"/>
      <c r="G113" s="28">
        <f>SUM(G104:G112)</f>
        <v>34227404</v>
      </c>
      <c r="I113" s="113"/>
      <c r="K113" s="28">
        <f>SUM(K104:K112)</f>
        <v>-355146.81849415001</v>
      </c>
    </row>
    <row r="114" spans="1:15" ht="16.5" thickTop="1">
      <c r="A114" s="159"/>
      <c r="B114" s="337"/>
      <c r="C114" s="4"/>
      <c r="G114" s="92"/>
      <c r="I114" s="108"/>
      <c r="J114" s="109"/>
    </row>
    <row r="115" spans="1:15">
      <c r="A115" s="341" t="s">
        <v>364</v>
      </c>
      <c r="B115" s="337"/>
      <c r="C115" s="4"/>
      <c r="G115" s="92"/>
    </row>
    <row r="116" spans="1:15">
      <c r="A116" s="346" t="s">
        <v>54</v>
      </c>
      <c r="B116" s="337"/>
      <c r="C116" s="4"/>
      <c r="G116" s="15"/>
      <c r="K116" s="15"/>
    </row>
    <row r="117" spans="1:15">
      <c r="A117" s="342" t="s">
        <v>55</v>
      </c>
      <c r="B117" s="337">
        <v>29</v>
      </c>
      <c r="C117" s="4">
        <v>24</v>
      </c>
      <c r="E117" s="14">
        <v>5.68</v>
      </c>
      <c r="F117" s="100"/>
      <c r="G117" s="15">
        <f>ROUND(E117*$C117,0)</f>
        <v>136</v>
      </c>
      <c r="I117" s="31">
        <f>$N$121</f>
        <v>-6.7074300000000003E-3</v>
      </c>
      <c r="J117" s="100"/>
      <c r="K117" s="15">
        <f t="shared" ref="K117:K120" si="26">$G117*I117</f>
        <v>-0.91221048000000005</v>
      </c>
      <c r="M117" s="81" t="s">
        <v>289</v>
      </c>
      <c r="N117" s="77"/>
      <c r="O117" s="138">
        <f>G117*I117-K117</f>
        <v>0</v>
      </c>
    </row>
    <row r="118" spans="1:15">
      <c r="A118" s="342" t="s">
        <v>56</v>
      </c>
      <c r="B118" s="337">
        <v>1</v>
      </c>
      <c r="C118" s="4">
        <v>45001</v>
      </c>
      <c r="E118" s="14">
        <v>16.38</v>
      </c>
      <c r="F118" s="100"/>
      <c r="G118" s="15">
        <f>ROUND(E118*$C118,0)</f>
        <v>737116</v>
      </c>
      <c r="I118" s="31">
        <f>$N$121</f>
        <v>-6.7074300000000003E-3</v>
      </c>
      <c r="J118" s="100"/>
      <c r="K118" s="15">
        <f t="shared" si="26"/>
        <v>-4944.1539718800004</v>
      </c>
      <c r="M118" s="71" t="s">
        <v>14</v>
      </c>
      <c r="N118" s="18">
        <f>K153+K268+K351</f>
        <v>-81316.300145310001</v>
      </c>
      <c r="O118" s="138">
        <f>G118*I118-K118</f>
        <v>0</v>
      </c>
    </row>
    <row r="119" spans="1:15">
      <c r="A119" s="342" t="s">
        <v>57</v>
      </c>
      <c r="B119" s="337">
        <v>28</v>
      </c>
      <c r="C119" s="4">
        <v>0</v>
      </c>
      <c r="E119" s="14">
        <v>8.0500000000000007</v>
      </c>
      <c r="F119" s="100"/>
      <c r="G119" s="15">
        <f>ROUND(E119*$C119,0)</f>
        <v>0</v>
      </c>
      <c r="I119" s="31">
        <f>$N$121</f>
        <v>-6.7074300000000003E-3</v>
      </c>
      <c r="J119" s="100"/>
      <c r="K119" s="15">
        <f t="shared" si="26"/>
        <v>0</v>
      </c>
      <c r="M119" s="71" t="s">
        <v>16</v>
      </c>
      <c r="N119" s="18">
        <f>SUM('Ex B p1 - Rate Spread'!K40:K42)*1000</f>
        <v>-81316.341186503618</v>
      </c>
      <c r="O119" s="138">
        <f>G119*I119-K119</f>
        <v>0</v>
      </c>
    </row>
    <row r="120" spans="1:15">
      <c r="A120" s="342" t="s">
        <v>58</v>
      </c>
      <c r="B120" s="337">
        <v>2</v>
      </c>
      <c r="C120" s="4">
        <v>10830</v>
      </c>
      <c r="E120" s="14">
        <v>26.78</v>
      </c>
      <c r="F120" s="100"/>
      <c r="G120" s="15">
        <f>ROUND(E120*$C120,0)</f>
        <v>290027</v>
      </c>
      <c r="I120" s="31">
        <f>$N$121</f>
        <v>-6.7074300000000003E-3</v>
      </c>
      <c r="J120" s="100"/>
      <c r="K120" s="15">
        <f t="shared" si="26"/>
        <v>-1945.3358006100002</v>
      </c>
      <c r="M120" s="72" t="s">
        <v>18</v>
      </c>
      <c r="N120" s="19">
        <f>N119-N118</f>
        <v>-4.1041193617274985E-2</v>
      </c>
      <c r="O120" s="138">
        <f>G120*I120-K120</f>
        <v>0</v>
      </c>
    </row>
    <row r="121" spans="1:15">
      <c r="A121" s="346" t="s">
        <v>59</v>
      </c>
      <c r="B121" s="337"/>
      <c r="C121" s="4"/>
      <c r="G121" s="15"/>
      <c r="I121" s="31"/>
      <c r="J121" s="100"/>
      <c r="K121" s="15"/>
      <c r="M121" s="75" t="s">
        <v>21</v>
      </c>
      <c r="N121" s="76">
        <f>ROUND(N119/SUM(G149,G264,G348),$N$12)</f>
        <v>-6.7074300000000003E-3</v>
      </c>
      <c r="O121" s="138"/>
    </row>
    <row r="122" spans="1:15">
      <c r="A122" s="342" t="s">
        <v>60</v>
      </c>
      <c r="B122" s="337">
        <v>3</v>
      </c>
      <c r="C122" s="4">
        <v>3563</v>
      </c>
      <c r="E122" s="14">
        <v>14.6</v>
      </c>
      <c r="F122" s="100"/>
      <c r="G122" s="15">
        <f t="shared" ref="G122:G132" si="27">ROUND(E122*$C122,0)</f>
        <v>52020</v>
      </c>
      <c r="I122" s="31">
        <f t="shared" ref="I122:I132" si="28">$N$121</f>
        <v>-6.7074300000000003E-3</v>
      </c>
      <c r="J122" s="100"/>
      <c r="K122" s="15">
        <f t="shared" ref="K122:K132" si="29">$G122*I122</f>
        <v>-348.92050860000001</v>
      </c>
      <c r="O122" s="138">
        <f t="shared" ref="O122:O132" si="30">G122*I122-K122</f>
        <v>0</v>
      </c>
    </row>
    <row r="123" spans="1:15">
      <c r="A123" s="342" t="s">
        <v>61</v>
      </c>
      <c r="B123" s="337">
        <v>4</v>
      </c>
      <c r="C123" s="4">
        <v>1746</v>
      </c>
      <c r="E123" s="14">
        <v>12.23</v>
      </c>
      <c r="F123" s="100"/>
      <c r="G123" s="15">
        <f t="shared" si="27"/>
        <v>21354</v>
      </c>
      <c r="I123" s="31">
        <f t="shared" si="28"/>
        <v>-6.7074300000000003E-3</v>
      </c>
      <c r="J123" s="100"/>
      <c r="K123" s="15">
        <f t="shared" si="29"/>
        <v>-143.23046022</v>
      </c>
      <c r="O123" s="138">
        <f t="shared" si="30"/>
        <v>0</v>
      </c>
    </row>
    <row r="124" spans="1:15">
      <c r="A124" s="342" t="s">
        <v>62</v>
      </c>
      <c r="B124" s="337">
        <v>5</v>
      </c>
      <c r="C124" s="4">
        <v>23403</v>
      </c>
      <c r="E124" s="14">
        <v>15.47</v>
      </c>
      <c r="F124" s="100"/>
      <c r="G124" s="15">
        <f t="shared" si="27"/>
        <v>362044</v>
      </c>
      <c r="I124" s="31">
        <f t="shared" si="28"/>
        <v>-6.7074300000000003E-3</v>
      </c>
      <c r="J124" s="100"/>
      <c r="K124" s="15">
        <f t="shared" si="29"/>
        <v>-2428.3847869199999</v>
      </c>
      <c r="O124" s="138">
        <f t="shared" si="30"/>
        <v>0</v>
      </c>
    </row>
    <row r="125" spans="1:15">
      <c r="A125" s="342" t="s">
        <v>63</v>
      </c>
      <c r="B125" s="337">
        <v>6</v>
      </c>
      <c r="C125" s="4">
        <v>23123</v>
      </c>
      <c r="E125" s="14">
        <v>13.31</v>
      </c>
      <c r="F125" s="100"/>
      <c r="G125" s="15">
        <f t="shared" si="27"/>
        <v>307767</v>
      </c>
      <c r="I125" s="31">
        <f t="shared" si="28"/>
        <v>-6.7074300000000003E-3</v>
      </c>
      <c r="J125" s="100"/>
      <c r="K125" s="15">
        <f t="shared" si="29"/>
        <v>-2064.3256088100002</v>
      </c>
      <c r="O125" s="138">
        <f t="shared" si="30"/>
        <v>0</v>
      </c>
    </row>
    <row r="126" spans="1:15">
      <c r="A126" s="342" t="s">
        <v>64</v>
      </c>
      <c r="B126" s="337">
        <v>7</v>
      </c>
      <c r="C126" s="4">
        <v>2646</v>
      </c>
      <c r="E126" s="14">
        <v>19.46</v>
      </c>
      <c r="F126" s="100"/>
      <c r="G126" s="15">
        <f t="shared" si="27"/>
        <v>51491</v>
      </c>
      <c r="I126" s="31">
        <f t="shared" si="28"/>
        <v>-6.7074300000000003E-3</v>
      </c>
      <c r="J126" s="100"/>
      <c r="K126" s="15">
        <f t="shared" si="29"/>
        <v>-345.37227813000004</v>
      </c>
      <c r="O126" s="138">
        <f t="shared" si="30"/>
        <v>0</v>
      </c>
    </row>
    <row r="127" spans="1:15">
      <c r="A127" s="342" t="s">
        <v>65</v>
      </c>
      <c r="B127" s="337">
        <v>8</v>
      </c>
      <c r="C127" s="4">
        <v>2564</v>
      </c>
      <c r="E127" s="14">
        <v>17.13</v>
      </c>
      <c r="F127" s="100"/>
      <c r="G127" s="15">
        <f t="shared" si="27"/>
        <v>43921</v>
      </c>
      <c r="I127" s="31">
        <f t="shared" si="28"/>
        <v>-6.7074300000000003E-3</v>
      </c>
      <c r="J127" s="100"/>
      <c r="K127" s="15">
        <f t="shared" si="29"/>
        <v>-294.59703303000003</v>
      </c>
      <c r="O127" s="138">
        <f t="shared" si="30"/>
        <v>0</v>
      </c>
    </row>
    <row r="128" spans="1:15">
      <c r="A128" s="342" t="s">
        <v>66</v>
      </c>
      <c r="B128" s="337">
        <v>9</v>
      </c>
      <c r="C128" s="4">
        <v>114</v>
      </c>
      <c r="E128" s="14">
        <v>21.07</v>
      </c>
      <c r="F128" s="100"/>
      <c r="G128" s="15">
        <f t="shared" si="27"/>
        <v>2402</v>
      </c>
      <c r="I128" s="31">
        <f t="shared" si="28"/>
        <v>-6.7074300000000003E-3</v>
      </c>
      <c r="J128" s="100"/>
      <c r="K128" s="15">
        <f t="shared" si="29"/>
        <v>-16.111246860000001</v>
      </c>
      <c r="O128" s="138">
        <f t="shared" si="30"/>
        <v>0</v>
      </c>
    </row>
    <row r="129" spans="1:15">
      <c r="A129" s="342" t="s">
        <v>67</v>
      </c>
      <c r="B129" s="337">
        <v>10</v>
      </c>
      <c r="C129" s="4">
        <v>3134</v>
      </c>
      <c r="E129" s="14">
        <v>23.51</v>
      </c>
      <c r="F129" s="100"/>
      <c r="G129" s="15">
        <f t="shared" si="27"/>
        <v>73680</v>
      </c>
      <c r="I129" s="31">
        <f t="shared" si="28"/>
        <v>-6.7074300000000003E-3</v>
      </c>
      <c r="J129" s="100"/>
      <c r="K129" s="15">
        <f t="shared" si="29"/>
        <v>-494.20344240000003</v>
      </c>
      <c r="O129" s="138">
        <f t="shared" si="30"/>
        <v>0</v>
      </c>
    </row>
    <row r="130" spans="1:15">
      <c r="A130" s="342" t="s">
        <v>68</v>
      </c>
      <c r="B130" s="337">
        <v>11</v>
      </c>
      <c r="C130" s="4">
        <v>4178</v>
      </c>
      <c r="E130" s="14">
        <v>21.23</v>
      </c>
      <c r="F130" s="100"/>
      <c r="G130" s="15">
        <f t="shared" si="27"/>
        <v>88699</v>
      </c>
      <c r="I130" s="31">
        <f t="shared" si="28"/>
        <v>-6.7074300000000003E-3</v>
      </c>
      <c r="J130" s="100"/>
      <c r="K130" s="15">
        <f t="shared" si="29"/>
        <v>-594.94233357000007</v>
      </c>
      <c r="O130" s="138">
        <f t="shared" si="30"/>
        <v>0</v>
      </c>
    </row>
    <row r="131" spans="1:15">
      <c r="A131" s="342" t="s">
        <v>69</v>
      </c>
      <c r="B131" s="337">
        <v>12</v>
      </c>
      <c r="C131" s="4">
        <v>1248</v>
      </c>
      <c r="E131" s="14">
        <v>28.3</v>
      </c>
      <c r="F131" s="100"/>
      <c r="G131" s="15">
        <f t="shared" si="27"/>
        <v>35318</v>
      </c>
      <c r="I131" s="31">
        <f t="shared" si="28"/>
        <v>-6.7074300000000003E-3</v>
      </c>
      <c r="J131" s="100"/>
      <c r="K131" s="15">
        <f t="shared" si="29"/>
        <v>-236.89301274000002</v>
      </c>
      <c r="O131" s="138">
        <f t="shared" si="30"/>
        <v>0</v>
      </c>
    </row>
    <row r="132" spans="1:15">
      <c r="A132" s="342" t="s">
        <v>70</v>
      </c>
      <c r="B132" s="337">
        <v>13</v>
      </c>
      <c r="C132" s="4">
        <v>2456</v>
      </c>
      <c r="E132" s="14">
        <v>25.99</v>
      </c>
      <c r="F132" s="100"/>
      <c r="G132" s="15">
        <f t="shared" si="27"/>
        <v>63831</v>
      </c>
      <c r="H132" s="20"/>
      <c r="I132" s="31">
        <f t="shared" si="28"/>
        <v>-6.7074300000000003E-3</v>
      </c>
      <c r="J132" s="100"/>
      <c r="K132" s="15">
        <f t="shared" si="29"/>
        <v>-428.14196433000001</v>
      </c>
      <c r="O132" s="138">
        <f t="shared" si="30"/>
        <v>0</v>
      </c>
    </row>
    <row r="133" spans="1:15">
      <c r="A133" s="346" t="s">
        <v>71</v>
      </c>
      <c r="B133" s="337"/>
      <c r="C133" s="4"/>
      <c r="G133" s="15"/>
      <c r="K133" s="15"/>
      <c r="O133" s="138"/>
    </row>
    <row r="134" spans="1:15">
      <c r="A134" s="342" t="s">
        <v>64</v>
      </c>
      <c r="B134" s="337">
        <v>14</v>
      </c>
      <c r="C134" s="4">
        <v>4670</v>
      </c>
      <c r="E134" s="14">
        <v>19.46</v>
      </c>
      <c r="F134" s="100"/>
      <c r="G134" s="15">
        <f t="shared" ref="G134:G139" si="31">ROUND(E134*$C134,0)</f>
        <v>90878</v>
      </c>
      <c r="I134" s="31">
        <f t="shared" ref="I134:I139" si="32">$N$121</f>
        <v>-6.7074300000000003E-3</v>
      </c>
      <c r="J134" s="100"/>
      <c r="K134" s="15">
        <f t="shared" ref="K134:K139" si="33">$G134*I134</f>
        <v>-609.55782354000007</v>
      </c>
      <c r="O134" s="138">
        <f t="shared" ref="O134:O139" si="34">G134*I134-K134</f>
        <v>0</v>
      </c>
    </row>
    <row r="135" spans="1:15">
      <c r="A135" s="342" t="s">
        <v>65</v>
      </c>
      <c r="B135" s="337">
        <v>15</v>
      </c>
      <c r="C135" s="4">
        <v>4976</v>
      </c>
      <c r="E135" s="14">
        <v>17.13</v>
      </c>
      <c r="F135" s="100"/>
      <c r="G135" s="15">
        <f t="shared" si="31"/>
        <v>85239</v>
      </c>
      <c r="I135" s="31">
        <f t="shared" si="32"/>
        <v>-6.7074300000000003E-3</v>
      </c>
      <c r="J135" s="100"/>
      <c r="K135" s="15">
        <f t="shared" si="33"/>
        <v>-571.73462576999998</v>
      </c>
      <c r="O135" s="138">
        <f t="shared" si="34"/>
        <v>0</v>
      </c>
    </row>
    <row r="136" spans="1:15">
      <c r="A136" s="342" t="s">
        <v>67</v>
      </c>
      <c r="B136" s="337">
        <v>16</v>
      </c>
      <c r="C136" s="4">
        <v>1102</v>
      </c>
      <c r="E136" s="14">
        <v>23.51</v>
      </c>
      <c r="F136" s="100"/>
      <c r="G136" s="15">
        <f t="shared" si="31"/>
        <v>25908</v>
      </c>
      <c r="I136" s="31">
        <f t="shared" si="32"/>
        <v>-6.7074300000000003E-3</v>
      </c>
      <c r="J136" s="100"/>
      <c r="K136" s="15">
        <f t="shared" si="33"/>
        <v>-173.77609644</v>
      </c>
      <c r="O136" s="138">
        <f t="shared" si="34"/>
        <v>0</v>
      </c>
    </row>
    <row r="137" spans="1:15">
      <c r="A137" s="342" t="s">
        <v>68</v>
      </c>
      <c r="B137" s="337">
        <v>17</v>
      </c>
      <c r="C137" s="4">
        <v>1570</v>
      </c>
      <c r="E137" s="14">
        <v>21.23</v>
      </c>
      <c r="F137" s="100"/>
      <c r="G137" s="15">
        <f t="shared" si="31"/>
        <v>33331</v>
      </c>
      <c r="I137" s="31">
        <f t="shared" si="32"/>
        <v>-6.7074300000000003E-3</v>
      </c>
      <c r="J137" s="100"/>
      <c r="K137" s="15">
        <f t="shared" si="33"/>
        <v>-223.56534933</v>
      </c>
      <c r="O137" s="138">
        <f t="shared" si="34"/>
        <v>0</v>
      </c>
    </row>
    <row r="138" spans="1:15">
      <c r="A138" s="342" t="s">
        <v>69</v>
      </c>
      <c r="B138" s="337">
        <v>18</v>
      </c>
      <c r="C138" s="4">
        <v>9734</v>
      </c>
      <c r="E138" s="14">
        <v>28.3</v>
      </c>
      <c r="F138" s="100"/>
      <c r="G138" s="15">
        <f t="shared" si="31"/>
        <v>275472</v>
      </c>
      <c r="I138" s="31">
        <f t="shared" si="32"/>
        <v>-6.7074300000000003E-3</v>
      </c>
      <c r="J138" s="100"/>
      <c r="K138" s="15">
        <f t="shared" si="33"/>
        <v>-1847.7091569600002</v>
      </c>
      <c r="O138" s="138">
        <f t="shared" si="34"/>
        <v>0</v>
      </c>
    </row>
    <row r="139" spans="1:15">
      <c r="A139" s="342" t="s">
        <v>70</v>
      </c>
      <c r="B139" s="337">
        <v>19</v>
      </c>
      <c r="C139" s="4">
        <v>11772</v>
      </c>
      <c r="E139" s="14">
        <v>25.99</v>
      </c>
      <c r="F139" s="100"/>
      <c r="G139" s="15">
        <f t="shared" si="31"/>
        <v>305954</v>
      </c>
      <c r="I139" s="31">
        <f t="shared" si="32"/>
        <v>-6.7074300000000003E-3</v>
      </c>
      <c r="J139" s="100"/>
      <c r="K139" s="15">
        <f t="shared" si="33"/>
        <v>-2052.16503822</v>
      </c>
      <c r="O139" s="138">
        <f t="shared" si="34"/>
        <v>0</v>
      </c>
    </row>
    <row r="140" spans="1:15">
      <c r="A140" s="346" t="s">
        <v>72</v>
      </c>
      <c r="B140" s="337"/>
      <c r="C140" s="4"/>
      <c r="G140" s="92"/>
      <c r="H140" s="20"/>
      <c r="O140" s="138"/>
    </row>
    <row r="141" spans="1:15">
      <c r="A141" s="342" t="s">
        <v>73</v>
      </c>
      <c r="B141" s="337">
        <v>20</v>
      </c>
      <c r="C141" s="4">
        <v>0</v>
      </c>
      <c r="E141" s="14">
        <v>29.4</v>
      </c>
      <c r="F141" s="100"/>
      <c r="G141" s="15">
        <f t="shared" ref="G141:G148" si="35">ROUND(E141*$C141,0)</f>
        <v>0</v>
      </c>
      <c r="I141" s="31">
        <f t="shared" ref="I141:I148" si="36">$N$121</f>
        <v>-6.7074300000000003E-3</v>
      </c>
      <c r="J141" s="100"/>
      <c r="K141" s="15">
        <f t="shared" ref="K141:K148" si="37">$G141*I141</f>
        <v>0</v>
      </c>
      <c r="O141" s="138">
        <f t="shared" ref="O141:O148" si="38">G141*I141-K141</f>
        <v>0</v>
      </c>
    </row>
    <row r="142" spans="1:15">
      <c r="A142" s="342" t="s">
        <v>74</v>
      </c>
      <c r="B142" s="337">
        <v>21</v>
      </c>
      <c r="C142" s="4">
        <v>265</v>
      </c>
      <c r="E142" s="14">
        <v>21.79</v>
      </c>
      <c r="F142" s="100"/>
      <c r="G142" s="15">
        <f t="shared" si="35"/>
        <v>5774</v>
      </c>
      <c r="I142" s="31">
        <f t="shared" si="36"/>
        <v>-6.7074300000000003E-3</v>
      </c>
      <c r="J142" s="100"/>
      <c r="K142" s="15">
        <f t="shared" si="37"/>
        <v>-38.72870082</v>
      </c>
      <c r="O142" s="138">
        <f t="shared" si="38"/>
        <v>0</v>
      </c>
    </row>
    <row r="143" spans="1:15">
      <c r="A143" s="342" t="s">
        <v>75</v>
      </c>
      <c r="B143" s="337">
        <v>22</v>
      </c>
      <c r="C143" s="4">
        <v>110</v>
      </c>
      <c r="E143" s="14">
        <v>34.340000000000003</v>
      </c>
      <c r="F143" s="100"/>
      <c r="G143" s="15">
        <f t="shared" si="35"/>
        <v>3777</v>
      </c>
      <c r="I143" s="31">
        <f t="shared" si="36"/>
        <v>-6.7074300000000003E-3</v>
      </c>
      <c r="J143" s="100"/>
      <c r="K143" s="15">
        <f t="shared" si="37"/>
        <v>-25.333963110000003</v>
      </c>
      <c r="O143" s="138">
        <f t="shared" si="38"/>
        <v>0</v>
      </c>
    </row>
    <row r="144" spans="1:15">
      <c r="A144" s="342" t="s">
        <v>76</v>
      </c>
      <c r="B144" s="337">
        <v>23</v>
      </c>
      <c r="C144" s="4">
        <v>97</v>
      </c>
      <c r="E144" s="14">
        <v>27.43</v>
      </c>
      <c r="F144" s="100"/>
      <c r="G144" s="15">
        <f t="shared" si="35"/>
        <v>2661</v>
      </c>
      <c r="I144" s="31">
        <f t="shared" si="36"/>
        <v>-6.7074300000000003E-3</v>
      </c>
      <c r="J144" s="100"/>
      <c r="K144" s="15">
        <f t="shared" si="37"/>
        <v>-17.848471230000001</v>
      </c>
      <c r="O144" s="138">
        <f t="shared" si="38"/>
        <v>0</v>
      </c>
    </row>
    <row r="145" spans="1:15" s="162" customFormat="1">
      <c r="A145" s="342" t="s">
        <v>77</v>
      </c>
      <c r="B145" s="337">
        <v>24</v>
      </c>
      <c r="C145" s="4">
        <v>469</v>
      </c>
      <c r="D145" s="166"/>
      <c r="E145" s="14">
        <v>36.69</v>
      </c>
      <c r="F145" s="100"/>
      <c r="G145" s="15">
        <f t="shared" si="35"/>
        <v>17208</v>
      </c>
      <c r="H145" s="5"/>
      <c r="I145" s="31">
        <f t="shared" si="36"/>
        <v>-6.7074300000000003E-3</v>
      </c>
      <c r="J145" s="100"/>
      <c r="K145" s="15">
        <f t="shared" si="37"/>
        <v>-115.42145544</v>
      </c>
      <c r="O145" s="138">
        <f t="shared" si="38"/>
        <v>0</v>
      </c>
    </row>
    <row r="146" spans="1:15">
      <c r="A146" s="342" t="s">
        <v>78</v>
      </c>
      <c r="B146" s="337">
        <v>25</v>
      </c>
      <c r="C146" s="4">
        <v>630</v>
      </c>
      <c r="E146" s="14">
        <v>29.72</v>
      </c>
      <c r="F146" s="100"/>
      <c r="G146" s="15">
        <f t="shared" si="35"/>
        <v>18724</v>
      </c>
      <c r="I146" s="31">
        <f t="shared" si="36"/>
        <v>-6.7074300000000003E-3</v>
      </c>
      <c r="J146" s="100"/>
      <c r="K146" s="15">
        <f t="shared" si="37"/>
        <v>-125.58991932000001</v>
      </c>
      <c r="O146" s="138">
        <f t="shared" si="38"/>
        <v>0</v>
      </c>
    </row>
    <row r="147" spans="1:15">
      <c r="A147" s="342" t="s">
        <v>79</v>
      </c>
      <c r="B147" s="337">
        <v>26</v>
      </c>
      <c r="C147" s="4">
        <v>24</v>
      </c>
      <c r="E147" s="14">
        <v>57.58</v>
      </c>
      <c r="F147" s="100"/>
      <c r="G147" s="15">
        <f t="shared" si="35"/>
        <v>1382</v>
      </c>
      <c r="I147" s="31">
        <f t="shared" si="36"/>
        <v>-6.7074300000000003E-3</v>
      </c>
      <c r="J147" s="100"/>
      <c r="K147" s="15">
        <f t="shared" si="37"/>
        <v>-9.2696682600000013</v>
      </c>
      <c r="O147" s="138">
        <f t="shared" si="38"/>
        <v>0</v>
      </c>
    </row>
    <row r="148" spans="1:15">
      <c r="A148" s="342" t="s">
        <v>80</v>
      </c>
      <c r="B148" s="337">
        <v>27</v>
      </c>
      <c r="C148" s="4">
        <v>60</v>
      </c>
      <c r="E148" s="14">
        <v>49.1</v>
      </c>
      <c r="F148" s="100"/>
      <c r="G148" s="37">
        <f t="shared" si="35"/>
        <v>2946</v>
      </c>
      <c r="I148" s="31">
        <f t="shared" si="36"/>
        <v>-6.7074300000000003E-3</v>
      </c>
      <c r="J148" s="100"/>
      <c r="K148" s="37">
        <f t="shared" si="37"/>
        <v>-19.76008878</v>
      </c>
      <c r="O148" s="138">
        <f t="shared" si="38"/>
        <v>0</v>
      </c>
    </row>
    <row r="149" spans="1:15">
      <c r="A149" s="342" t="s">
        <v>81</v>
      </c>
      <c r="B149" s="339"/>
      <c r="C149" s="4">
        <v>159509</v>
      </c>
      <c r="G149" s="15">
        <f>SUM(G117:G148)</f>
        <v>2999060</v>
      </c>
      <c r="K149" s="15">
        <f>SUM(K117:K148)</f>
        <v>-20115.985015799997</v>
      </c>
    </row>
    <row r="150" spans="1:15">
      <c r="A150" s="342" t="s">
        <v>82</v>
      </c>
      <c r="B150" s="337"/>
      <c r="C150" s="13">
        <v>12440930.563737754</v>
      </c>
      <c r="G150" s="15"/>
      <c r="K150" s="15"/>
    </row>
    <row r="151" spans="1:15">
      <c r="A151" s="342" t="s">
        <v>83</v>
      </c>
      <c r="B151" s="337"/>
      <c r="C151" s="36">
        <v>0</v>
      </c>
      <c r="E151" s="174"/>
      <c r="G151" s="37">
        <v>0</v>
      </c>
      <c r="I151" s="116"/>
      <c r="K151" s="37"/>
    </row>
    <row r="152" spans="1:15">
      <c r="A152" s="342" t="s">
        <v>84</v>
      </c>
      <c r="B152" s="337"/>
      <c r="C152" s="4">
        <v>8046</v>
      </c>
      <c r="G152" s="92"/>
    </row>
    <row r="153" spans="1:15" ht="16.5" thickBot="1">
      <c r="A153" s="342" t="s">
        <v>85</v>
      </c>
      <c r="B153" s="337"/>
      <c r="C153" s="38">
        <v>12440930.563737754</v>
      </c>
      <c r="E153" s="172"/>
      <c r="G153" s="26">
        <f>G151+G149</f>
        <v>2999060</v>
      </c>
      <c r="H153" s="20"/>
      <c r="I153" s="107"/>
      <c r="K153" s="26">
        <f>K151+K149</f>
        <v>-20115.985015799997</v>
      </c>
    </row>
    <row r="154" spans="1:15" ht="16.5" thickTop="1">
      <c r="A154" s="159"/>
      <c r="B154" s="337"/>
      <c r="D154" s="20"/>
      <c r="G154" s="92"/>
    </row>
    <row r="155" spans="1:15">
      <c r="A155" s="341" t="s">
        <v>86</v>
      </c>
      <c r="B155" s="337"/>
      <c r="C155" s="4"/>
      <c r="G155" s="92"/>
      <c r="I155" s="108"/>
      <c r="J155" s="109"/>
    </row>
    <row r="156" spans="1:15">
      <c r="A156" s="342" t="s">
        <v>7</v>
      </c>
      <c r="B156" s="337"/>
      <c r="C156" s="4">
        <v>3282</v>
      </c>
      <c r="E156" s="14">
        <v>70</v>
      </c>
      <c r="F156" s="100"/>
      <c r="G156" s="15">
        <f>ROUND(E156*$C156,0)</f>
        <v>229740</v>
      </c>
      <c r="K156" s="15"/>
      <c r="M156" s="78" t="s">
        <v>290</v>
      </c>
      <c r="N156" s="11"/>
      <c r="O156" s="138"/>
    </row>
    <row r="157" spans="1:15">
      <c r="A157" s="342" t="s">
        <v>87</v>
      </c>
      <c r="B157" s="337"/>
      <c r="C157" s="4">
        <v>5010201</v>
      </c>
      <c r="E157" s="14">
        <v>4.76</v>
      </c>
      <c r="F157" s="100"/>
      <c r="G157" s="15">
        <f>ROUND(E157*$C157,0)</f>
        <v>23848557</v>
      </c>
      <c r="K157" s="15"/>
      <c r="M157" s="70" t="s">
        <v>14</v>
      </c>
      <c r="N157" s="17">
        <f>K165+SUM(K441:K447)</f>
        <v>-1574686.6494889001</v>
      </c>
      <c r="O157" s="138"/>
    </row>
    <row r="158" spans="1:15">
      <c r="A158" s="342" t="s">
        <v>88</v>
      </c>
      <c r="B158" s="337"/>
      <c r="C158" s="4">
        <v>2097818</v>
      </c>
      <c r="E158" s="14">
        <v>15.56</v>
      </c>
      <c r="F158" s="100"/>
      <c r="G158" s="15">
        <f>ROUND(E158*$C158,0)</f>
        <v>32642048</v>
      </c>
      <c r="I158" s="31">
        <f>$N$160</f>
        <v>-1.0770460000000001E-2</v>
      </c>
      <c r="J158" s="100"/>
      <c r="K158" s="15">
        <f t="shared" ref="K158:K159" si="39">$G158*I158</f>
        <v>-351569.87230208004</v>
      </c>
      <c r="M158" s="71" t="s">
        <v>16</v>
      </c>
      <c r="N158" s="18">
        <f>('Ex B p1 - Rate Spread'!K24+'Ex B p1 - Rate Spread'!K33*SUM('Ex B p2 - Billing Determinants'!G442:G443,'Ex B p2 - Billing Determinants'!G445:G447)/SUM('Ex B p2 - Billing Determinants'!G442:G443,'Ex B p2 - Billing Determinants'!G445:G447,'Ex B p2 - Billing Determinants'!G450:G454))*1000</f>
        <v>-1574686.4393863897</v>
      </c>
      <c r="O158" s="138">
        <f>G158*I158-K158</f>
        <v>0</v>
      </c>
    </row>
    <row r="159" spans="1:15">
      <c r="A159" s="342" t="s">
        <v>89</v>
      </c>
      <c r="B159" s="337"/>
      <c r="C159" s="4">
        <v>2761958</v>
      </c>
      <c r="E159" s="14">
        <v>11.19</v>
      </c>
      <c r="F159" s="100"/>
      <c r="G159" s="15">
        <f>ROUND(E159*$C159,0)</f>
        <v>30906310</v>
      </c>
      <c r="I159" s="31">
        <f>$N$160</f>
        <v>-1.0770460000000001E-2</v>
      </c>
      <c r="J159" s="100"/>
      <c r="K159" s="15">
        <f t="shared" si="39"/>
        <v>-332875.17560260004</v>
      </c>
      <c r="M159" s="72" t="s">
        <v>18</v>
      </c>
      <c r="N159" s="19">
        <f>N158-N157</f>
        <v>0.21010251040570438</v>
      </c>
      <c r="O159" s="138">
        <f>G159*I159-K159</f>
        <v>0</v>
      </c>
    </row>
    <row r="160" spans="1:15">
      <c r="A160" s="342" t="s">
        <v>32</v>
      </c>
      <c r="B160" s="337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20"/>
      <c r="I160" s="31"/>
      <c r="J160" s="100"/>
      <c r="K160" s="15"/>
      <c r="M160" s="75" t="s">
        <v>21</v>
      </c>
      <c r="N160" s="76">
        <f>ROUND(N158/SUM(G158:G159,G161:G163,G442:G443,G445:G447),$N$12)</f>
        <v>-1.0770460000000001E-2</v>
      </c>
      <c r="O160" s="138"/>
    </row>
    <row r="161" spans="1:15">
      <c r="A161" s="342" t="s">
        <v>27</v>
      </c>
      <c r="B161" s="337"/>
      <c r="C161" s="4">
        <v>260094535</v>
      </c>
      <c r="E161" s="117">
        <v>5.0473999999999997</v>
      </c>
      <c r="F161" s="102" t="s">
        <v>11</v>
      </c>
      <c r="G161" s="15">
        <f>ROUND(E161*$C161/100,0)</f>
        <v>13128012</v>
      </c>
      <c r="H161" s="20"/>
      <c r="I161" s="31">
        <f>$N$160</f>
        <v>-1.0770460000000001E-2</v>
      </c>
      <c r="J161" s="100"/>
      <c r="K161" s="15">
        <f t="shared" ref="K161:K163" si="40">$G161*I161</f>
        <v>-141394.72812552002</v>
      </c>
      <c r="O161" s="138">
        <f>G161*I161-K161</f>
        <v>0</v>
      </c>
    </row>
    <row r="162" spans="1:15">
      <c r="A162" s="342" t="s">
        <v>52</v>
      </c>
      <c r="B162" s="337"/>
      <c r="C162" s="4">
        <v>625992212</v>
      </c>
      <c r="E162" s="117">
        <v>3.9510999999999998</v>
      </c>
      <c r="F162" s="102" t="s">
        <v>11</v>
      </c>
      <c r="G162" s="15">
        <f>ROUND(E162*$C162/100,0)</f>
        <v>24733578</v>
      </c>
      <c r="H162" s="20"/>
      <c r="I162" s="31">
        <f>$N$160</f>
        <v>-1.0770460000000001E-2</v>
      </c>
      <c r="J162" s="100"/>
      <c r="K162" s="15">
        <f t="shared" si="40"/>
        <v>-266392.01250588003</v>
      </c>
      <c r="O162" s="138">
        <f>G162*I162-K162</f>
        <v>0</v>
      </c>
    </row>
    <row r="163" spans="1:15">
      <c r="A163" s="342" t="s">
        <v>90</v>
      </c>
      <c r="B163" s="337"/>
      <c r="C163" s="4">
        <v>1300960578.5884075</v>
      </c>
      <c r="E163" s="117">
        <v>3.4001999999999999</v>
      </c>
      <c r="F163" s="102" t="s">
        <v>11</v>
      </c>
      <c r="G163" s="15">
        <f>ROUND(E163*$C163/100,0)</f>
        <v>44235262</v>
      </c>
      <c r="H163" s="20"/>
      <c r="I163" s="31">
        <f>$N$160</f>
        <v>-1.0770460000000001E-2</v>
      </c>
      <c r="J163" s="100"/>
      <c r="K163" s="15">
        <f t="shared" si="40"/>
        <v>-476434.11996052001</v>
      </c>
      <c r="O163" s="138">
        <f>G163*I163-K163</f>
        <v>0</v>
      </c>
    </row>
    <row r="164" spans="1:15">
      <c r="A164" s="342" t="s">
        <v>24</v>
      </c>
      <c r="B164" s="337"/>
      <c r="C164" s="23">
        <v>0</v>
      </c>
      <c r="G164" s="24">
        <v>0</v>
      </c>
      <c r="H164" s="20"/>
      <c r="K164" s="24"/>
    </row>
    <row r="165" spans="1:15" ht="16.5" thickBot="1">
      <c r="A165" s="342" t="s">
        <v>25</v>
      </c>
      <c r="B165" s="337"/>
      <c r="C165" s="29">
        <v>2187047325.5884075</v>
      </c>
      <c r="E165" s="173"/>
      <c r="G165" s="28">
        <f>SUM(G156:G164)</f>
        <v>167313409</v>
      </c>
      <c r="H165" s="20"/>
      <c r="I165" s="113"/>
      <c r="K165" s="28">
        <f>SUM(K156:K164)</f>
        <v>-1568665.9084966001</v>
      </c>
    </row>
    <row r="166" spans="1:15" ht="16.5" thickTop="1">
      <c r="A166" s="159"/>
      <c r="B166" s="337"/>
      <c r="G166" s="92"/>
      <c r="H166" s="20"/>
      <c r="I166" s="108"/>
      <c r="J166" s="109"/>
    </row>
    <row r="167" spans="1:15">
      <c r="A167" s="341" t="s">
        <v>91</v>
      </c>
      <c r="B167" s="337"/>
      <c r="C167" s="4"/>
      <c r="G167" s="92"/>
    </row>
    <row r="168" spans="1:15">
      <c r="A168" s="342" t="s">
        <v>7</v>
      </c>
      <c r="B168" s="337"/>
      <c r="C168" s="4">
        <v>1791</v>
      </c>
      <c r="E168" s="14">
        <v>259</v>
      </c>
      <c r="F168" s="100"/>
      <c r="G168" s="15">
        <f>ROUND(E168*$C168,0)</f>
        <v>463869</v>
      </c>
      <c r="K168" s="15"/>
      <c r="M168" s="11" t="s">
        <v>311</v>
      </c>
      <c r="N168" s="12"/>
      <c r="O168" s="138"/>
    </row>
    <row r="169" spans="1:15">
      <c r="A169" s="342" t="s">
        <v>87</v>
      </c>
      <c r="B169" s="337"/>
      <c r="C169" s="4">
        <v>9053509</v>
      </c>
      <c r="E169" s="14">
        <v>2.2200000000000002</v>
      </c>
      <c r="F169" s="100"/>
      <c r="G169" s="15">
        <f>ROUND(E169*$C169,0)</f>
        <v>20098790</v>
      </c>
      <c r="I169" s="31"/>
      <c r="J169" s="100"/>
      <c r="K169" s="15"/>
      <c r="M169" s="70" t="s">
        <v>14</v>
      </c>
      <c r="N169" s="17">
        <f>K176+SUM(K450:K454)</f>
        <v>-2780017.4303814601</v>
      </c>
      <c r="O169" s="138"/>
    </row>
    <row r="170" spans="1:15">
      <c r="A170" s="342" t="s">
        <v>88</v>
      </c>
      <c r="B170" s="337"/>
      <c r="C170" s="4">
        <v>3715246</v>
      </c>
      <c r="E170" s="14">
        <v>13.96</v>
      </c>
      <c r="F170" s="100"/>
      <c r="G170" s="15">
        <f>ROUND(E170*$C170,0)</f>
        <v>51864834</v>
      </c>
      <c r="I170" s="31">
        <f>$N$172</f>
        <v>-1.041102E-2</v>
      </c>
      <c r="J170" s="100"/>
      <c r="K170" s="15">
        <f t="shared" ref="K170:K174" si="41">$G170*I170</f>
        <v>-539965.82407067996</v>
      </c>
      <c r="M170" s="71" t="s">
        <v>16</v>
      </c>
      <c r="N170" s="18">
        <f>('Ex B p1 - Rate Spread'!K25+'Ex B p1 - Rate Spread'!K33*SUM('Ex B p2 - Billing Determinants'!G450:G454)/SUM('Ex B p2 - Billing Determinants'!G442:G443,'Ex B p2 - Billing Determinants'!G445:G447,'Ex B p2 - Billing Determinants'!G450:G454))*1000</f>
        <v>-2780017.211209795</v>
      </c>
      <c r="O170" s="138">
        <f>G170*I170-K170</f>
        <v>0</v>
      </c>
    </row>
    <row r="171" spans="1:15">
      <c r="A171" s="342" t="s">
        <v>89</v>
      </c>
      <c r="B171" s="337"/>
      <c r="C171" s="4">
        <v>5150021</v>
      </c>
      <c r="E171" s="14">
        <v>9.4700000000000006</v>
      </c>
      <c r="F171" s="100"/>
      <c r="G171" s="15">
        <f>ROUND(E171*$C171,0)</f>
        <v>48770699</v>
      </c>
      <c r="I171" s="31">
        <f>$N$172</f>
        <v>-1.041102E-2</v>
      </c>
      <c r="J171" s="100"/>
      <c r="K171" s="15">
        <f t="shared" si="41"/>
        <v>-507752.72270297998</v>
      </c>
      <c r="M171" s="72" t="s">
        <v>18</v>
      </c>
      <c r="N171" s="19">
        <f>N170-N169</f>
        <v>0.21917166514322162</v>
      </c>
      <c r="O171" s="138">
        <f>G171*I171-K171</f>
        <v>0</v>
      </c>
    </row>
    <row r="172" spans="1:15">
      <c r="A172" s="342" t="s">
        <v>92</v>
      </c>
      <c r="B172" s="337"/>
      <c r="C172" s="4">
        <v>507349132</v>
      </c>
      <c r="E172" s="118">
        <v>4.6531000000000002</v>
      </c>
      <c r="F172" s="102" t="s">
        <v>11</v>
      </c>
      <c r="G172" s="15">
        <f>ROUND(E172*$C172/100,0)</f>
        <v>23607462</v>
      </c>
      <c r="I172" s="31">
        <f>$N$172</f>
        <v>-1.041102E-2</v>
      </c>
      <c r="J172" s="100"/>
      <c r="K172" s="15">
        <f t="shared" si="41"/>
        <v>-245777.75903124001</v>
      </c>
      <c r="M172" s="75" t="s">
        <v>21</v>
      </c>
      <c r="N172" s="82">
        <f>ROUND(N170/SUM(G170:G174,G450:G454),$N$12)+N175</f>
        <v>-1.041102E-2</v>
      </c>
      <c r="O172" s="138">
        <f>G172*I172-K172</f>
        <v>0</v>
      </c>
    </row>
    <row r="173" spans="1:15">
      <c r="A173" s="342" t="s">
        <v>93</v>
      </c>
      <c r="B173" s="337"/>
      <c r="C173" s="4">
        <v>1382941034</v>
      </c>
      <c r="E173" s="118">
        <v>3.4988999999999999</v>
      </c>
      <c r="F173" s="102" t="s">
        <v>11</v>
      </c>
      <c r="G173" s="15">
        <f>ROUND(E173*$C173/100,0)</f>
        <v>48387724</v>
      </c>
      <c r="I173" s="31">
        <f>$N$172</f>
        <v>-1.041102E-2</v>
      </c>
      <c r="J173" s="100"/>
      <c r="K173" s="15">
        <f t="shared" si="41"/>
        <v>-503765.56231847999</v>
      </c>
      <c r="M173" s="32" t="s">
        <v>45</v>
      </c>
      <c r="N173" s="33">
        <f>'Ex B p3 - Table A'!S49</f>
        <v>-20007.476836535898</v>
      </c>
      <c r="O173" s="138">
        <f>G173*I173-K173</f>
        <v>0</v>
      </c>
    </row>
    <row r="174" spans="1:15">
      <c r="A174" s="342" t="s">
        <v>90</v>
      </c>
      <c r="B174" s="337"/>
      <c r="C174" s="4">
        <v>3137145374.7653074</v>
      </c>
      <c r="E174" s="352">
        <v>2.9224999999999999</v>
      </c>
      <c r="F174" s="102" t="s">
        <v>11</v>
      </c>
      <c r="G174" s="15">
        <f>ROUND(E174*$C174/100,0)</f>
        <v>91683074</v>
      </c>
      <c r="I174" s="31">
        <f>$N$172</f>
        <v>-1.041102E-2</v>
      </c>
      <c r="J174" s="100"/>
      <c r="K174" s="15">
        <f t="shared" si="41"/>
        <v>-954514.31707548001</v>
      </c>
      <c r="M174" s="32" t="s">
        <v>46</v>
      </c>
      <c r="N174" s="33">
        <f>'Ex B p1 - Rate Spread'!K49</f>
        <v>-20007.478594150194</v>
      </c>
      <c r="O174" s="138">
        <f>G174*I174-K174</f>
        <v>0</v>
      </c>
    </row>
    <row r="175" spans="1:15">
      <c r="A175" s="342" t="s">
        <v>24</v>
      </c>
      <c r="B175" s="337"/>
      <c r="C175" s="23">
        <v>0</v>
      </c>
      <c r="G175" s="24">
        <v>0</v>
      </c>
      <c r="K175" s="24"/>
      <c r="M175" s="34" t="s">
        <v>26</v>
      </c>
      <c r="N175" s="39">
        <v>0</v>
      </c>
      <c r="O175" s="138"/>
    </row>
    <row r="176" spans="1:15" ht="16.5" thickBot="1">
      <c r="A176" s="342" t="s">
        <v>25</v>
      </c>
      <c r="B176" s="337"/>
      <c r="C176" s="29">
        <v>5027435540.7653065</v>
      </c>
      <c r="E176" s="173"/>
      <c r="G176" s="28">
        <f>SUM(G168:G175)</f>
        <v>284876452</v>
      </c>
      <c r="I176" s="113"/>
      <c r="K176" s="28">
        <f>SUM(K168:K175)</f>
        <v>-2751776.1851988602</v>
      </c>
      <c r="O176" s="138"/>
    </row>
    <row r="177" spans="1:15" ht="16.5" thickTop="1">
      <c r="A177" s="159"/>
      <c r="B177" s="337"/>
      <c r="C177" s="4"/>
      <c r="G177" s="92"/>
    </row>
    <row r="178" spans="1:15">
      <c r="A178" s="341" t="s">
        <v>300</v>
      </c>
      <c r="B178" s="337"/>
      <c r="C178" s="4"/>
      <c r="E178" s="30"/>
      <c r="F178" s="115"/>
      <c r="G178" s="92"/>
      <c r="I178" s="108"/>
      <c r="J178" s="109"/>
    </row>
    <row r="179" spans="1:15">
      <c r="A179" s="342" t="s">
        <v>7</v>
      </c>
      <c r="B179" s="337"/>
      <c r="C179" s="4">
        <v>108</v>
      </c>
      <c r="E179" s="14">
        <v>259</v>
      </c>
      <c r="F179" s="100"/>
      <c r="G179" s="15">
        <f>ROUND(E179*$C179,0)</f>
        <v>27972</v>
      </c>
      <c r="K179" s="15"/>
      <c r="M179" s="70" t="s">
        <v>14</v>
      </c>
      <c r="N179" s="17">
        <f>K184</f>
        <v>-31678.814266000001</v>
      </c>
      <c r="O179" s="138"/>
    </row>
    <row r="180" spans="1:15">
      <c r="A180" s="342" t="s">
        <v>94</v>
      </c>
      <c r="B180" s="337"/>
      <c r="C180" s="4">
        <v>235118</v>
      </c>
      <c r="E180" s="14">
        <v>2.2200000000000002</v>
      </c>
      <c r="F180" s="100"/>
      <c r="G180" s="15">
        <f>ROUND(E180*$C180,0)</f>
        <v>521962</v>
      </c>
      <c r="I180" s="106"/>
      <c r="J180" s="115"/>
      <c r="K180" s="15"/>
      <c r="M180" s="71" t="s">
        <v>16</v>
      </c>
      <c r="N180" s="18">
        <f>'Ex B p1 - Rate Spread'!K26*1000</f>
        <v>-31678.823091125196</v>
      </c>
      <c r="O180" s="138"/>
    </row>
    <row r="181" spans="1:15">
      <c r="A181" s="342" t="s">
        <v>95</v>
      </c>
      <c r="B181" s="337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I181" s="31">
        <f>$N$182</f>
        <v>-1.155044E-2</v>
      </c>
      <c r="J181" s="102"/>
      <c r="K181" s="15">
        <f t="shared" ref="K181:K182" si="42">$G181*I181</f>
        <v>-23654.63119448</v>
      </c>
      <c r="M181" s="72" t="s">
        <v>18</v>
      </c>
      <c r="N181" s="19">
        <f>N180-N179</f>
        <v>-8.8251251945621334E-3</v>
      </c>
      <c r="O181" s="138">
        <f>G181*I181-K181</f>
        <v>0</v>
      </c>
    </row>
    <row r="182" spans="1:15">
      <c r="A182" s="342" t="s">
        <v>90</v>
      </c>
      <c r="B182" s="337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I182" s="31">
        <f>$N$182</f>
        <v>-1.155044E-2</v>
      </c>
      <c r="J182" s="102"/>
      <c r="K182" s="15">
        <f t="shared" si="42"/>
        <v>-8024.1830715200003</v>
      </c>
      <c r="M182" s="75" t="s">
        <v>21</v>
      </c>
      <c r="N182" s="76">
        <f>ROUND(N180/SUM(G181:G182),$N$12)</f>
        <v>-1.155044E-2</v>
      </c>
      <c r="O182" s="138">
        <f>G182*I182-K182</f>
        <v>0</v>
      </c>
    </row>
    <row r="183" spans="1:15">
      <c r="A183" s="342" t="s">
        <v>24</v>
      </c>
      <c r="B183" s="337"/>
      <c r="C183" s="23">
        <v>0</v>
      </c>
      <c r="G183" s="24">
        <v>0</v>
      </c>
      <c r="K183" s="24"/>
      <c r="O183" s="138"/>
    </row>
    <row r="184" spans="1:15" ht="16.5" thickBot="1">
      <c r="A184" s="342" t="s">
        <v>25</v>
      </c>
      <c r="B184" s="337"/>
      <c r="C184" s="29">
        <v>42590781.425473027</v>
      </c>
      <c r="E184" s="173"/>
      <c r="G184" s="28">
        <f>SUM(G179:G183)</f>
        <v>3292584</v>
      </c>
      <c r="I184" s="113"/>
      <c r="K184" s="28">
        <f>SUM(K179:K183)</f>
        <v>-31678.814266000001</v>
      </c>
    </row>
    <row r="185" spans="1:15" ht="16.5" thickTop="1">
      <c r="A185" s="159"/>
      <c r="B185" s="337"/>
      <c r="C185" s="4"/>
      <c r="G185" s="92"/>
    </row>
    <row r="186" spans="1:15">
      <c r="A186" s="341" t="s">
        <v>96</v>
      </c>
      <c r="B186" s="337"/>
      <c r="G186" s="92"/>
    </row>
    <row r="187" spans="1:15">
      <c r="A187" s="342" t="s">
        <v>97</v>
      </c>
      <c r="B187" s="337"/>
      <c r="C187" s="4">
        <v>6</v>
      </c>
      <c r="E187" s="105">
        <v>125</v>
      </c>
      <c r="F187" s="20"/>
      <c r="G187" s="15">
        <f>ROUND(E187*$C187,0)</f>
        <v>750</v>
      </c>
      <c r="I187" s="106"/>
      <c r="J187" s="20"/>
      <c r="K187" s="15"/>
      <c r="M187" s="70" t="s">
        <v>14</v>
      </c>
      <c r="N187" s="17">
        <f>K200+K216</f>
        <v>-201570.44545915999</v>
      </c>
      <c r="O187" s="138"/>
    </row>
    <row r="188" spans="1:15">
      <c r="A188" s="342" t="s">
        <v>98</v>
      </c>
      <c r="B188" s="337"/>
      <c r="C188" s="4">
        <v>2778.3333333333335</v>
      </c>
      <c r="E188" s="105">
        <v>38</v>
      </c>
      <c r="F188" s="20"/>
      <c r="G188" s="15">
        <f>ROUND(E188*$C188,0)</f>
        <v>105577</v>
      </c>
      <c r="I188" s="106"/>
      <c r="J188" s="20"/>
      <c r="K188" s="15"/>
      <c r="M188" s="71" t="s">
        <v>16</v>
      </c>
      <c r="N188" s="18">
        <f>'Ex B p1 - Rate Spread'!K30*1000</f>
        <v>-201570.45710618675</v>
      </c>
      <c r="O188" s="138"/>
    </row>
    <row r="189" spans="1:15">
      <c r="A189" s="342" t="s">
        <v>99</v>
      </c>
      <c r="B189" s="337"/>
      <c r="C189" s="4">
        <v>12565</v>
      </c>
      <c r="E189" s="105">
        <v>14</v>
      </c>
      <c r="F189" s="20"/>
      <c r="G189" s="15">
        <f>ROUND(E189*$C189,0)</f>
        <v>175910</v>
      </c>
      <c r="I189" s="106"/>
      <c r="J189" s="20"/>
      <c r="K189" s="15"/>
      <c r="M189" s="72" t="s">
        <v>18</v>
      </c>
      <c r="N189" s="19">
        <f>N188-N187</f>
        <v>-1.1647026753053069E-2</v>
      </c>
      <c r="O189" s="138"/>
    </row>
    <row r="190" spans="1:15">
      <c r="A190" s="342" t="s">
        <v>100</v>
      </c>
      <c r="B190" s="337"/>
      <c r="C190" s="4">
        <v>323633</v>
      </c>
      <c r="E190" s="105">
        <v>7.33</v>
      </c>
      <c r="F190" s="20"/>
      <c r="G190" s="15">
        <f>ROUND(E190*$C190,0)</f>
        <v>2372230</v>
      </c>
      <c r="I190" s="106">
        <f>$N$190</f>
        <v>-1.427614E-2</v>
      </c>
      <c r="J190" s="20"/>
      <c r="K190" s="15">
        <f t="shared" ref="K190" si="43">$G190*I190</f>
        <v>-33866.287592200002</v>
      </c>
      <c r="M190" s="75" t="s">
        <v>21</v>
      </c>
      <c r="N190" s="76">
        <f>ROUND(N188/SUM(G190,G192:G193,G197,G206,G208:G209,G213),$N$12)</f>
        <v>-1.427614E-2</v>
      </c>
      <c r="O190" s="138">
        <f>G190*I190-K190</f>
        <v>0</v>
      </c>
    </row>
    <row r="191" spans="1:15">
      <c r="A191" s="342" t="s">
        <v>32</v>
      </c>
      <c r="B191" s="337"/>
      <c r="C191" s="4">
        <v>10067</v>
      </c>
      <c r="E191" s="105">
        <v>-2.0499999999999998</v>
      </c>
      <c r="F191" s="20"/>
      <c r="G191" s="15">
        <f>ROUND(E191*$C191,0)</f>
        <v>-20637</v>
      </c>
      <c r="I191" s="106"/>
      <c r="J191" s="20"/>
      <c r="K191" s="15"/>
      <c r="O191" s="138">
        <f>G191*I191-K191</f>
        <v>0</v>
      </c>
    </row>
    <row r="192" spans="1:15">
      <c r="A192" s="342" t="s">
        <v>101</v>
      </c>
      <c r="B192" s="337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I192" s="106">
        <f>$N$190</f>
        <v>-1.427614E-2</v>
      </c>
      <c r="J192" s="102"/>
      <c r="K192" s="15">
        <f t="shared" ref="K192:K193" si="44">$G192*I192</f>
        <v>-74099.448101599992</v>
      </c>
      <c r="O192" s="138"/>
    </row>
    <row r="193" spans="1:15">
      <c r="A193" s="342" t="s">
        <v>102</v>
      </c>
      <c r="B193" s="337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I193" s="106">
        <f>$N$190</f>
        <v>-1.427614E-2</v>
      </c>
      <c r="J193" s="102"/>
      <c r="K193" s="24">
        <f t="shared" si="44"/>
        <v>-39909.320549639997</v>
      </c>
      <c r="O193" s="138"/>
    </row>
    <row r="194" spans="1:15">
      <c r="A194" s="342" t="s">
        <v>103</v>
      </c>
      <c r="B194" s="337"/>
      <c r="C194" s="40">
        <v>122960614</v>
      </c>
      <c r="E194" s="175"/>
      <c r="G194" s="24">
        <f>SUM(G187:G193)</f>
        <v>10619796</v>
      </c>
      <c r="I194" s="126"/>
      <c r="K194" s="24">
        <f>SUM(K187:K193)</f>
        <v>-147875.05624343999</v>
      </c>
    </row>
    <row r="195" spans="1:15">
      <c r="A195" s="342" t="s">
        <v>104</v>
      </c>
      <c r="B195" s="337"/>
      <c r="C195" s="4"/>
      <c r="G195" s="92"/>
      <c r="I195" s="126"/>
    </row>
    <row r="196" spans="1:15">
      <c r="A196" s="342" t="s">
        <v>365</v>
      </c>
      <c r="B196" s="337"/>
      <c r="C196" s="16">
        <v>5886</v>
      </c>
      <c r="E196" s="20">
        <v>14</v>
      </c>
      <c r="F196" s="20"/>
      <c r="G196" s="21">
        <f>ROUND(E196*$C196,0)</f>
        <v>82404</v>
      </c>
      <c r="I196" s="121"/>
      <c r="J196" s="20"/>
      <c r="K196" s="21"/>
    </row>
    <row r="197" spans="1:15">
      <c r="A197" s="342" t="s">
        <v>105</v>
      </c>
      <c r="B197" s="337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I197" s="106">
        <f>$N$190</f>
        <v>-1.427614E-2</v>
      </c>
      <c r="J197" s="102"/>
      <c r="K197" s="24">
        <f t="shared" ref="K197" si="45">$G197*I197</f>
        <v>-35801.504026039998</v>
      </c>
      <c r="O197" s="138">
        <f>G197*I197-K197</f>
        <v>0</v>
      </c>
    </row>
    <row r="198" spans="1:15">
      <c r="A198" s="342" t="s">
        <v>106</v>
      </c>
      <c r="B198" s="337"/>
      <c r="C198" s="23">
        <v>50172778</v>
      </c>
      <c r="E198" s="175"/>
      <c r="G198" s="24">
        <f>G196+G197</f>
        <v>2590190</v>
      </c>
      <c r="I198" s="126"/>
      <c r="K198" s="24">
        <f>K196+K197</f>
        <v>-35801.504026039998</v>
      </c>
    </row>
    <row r="199" spans="1:15">
      <c r="A199" s="342" t="s">
        <v>24</v>
      </c>
      <c r="B199" s="337"/>
      <c r="C199" s="23">
        <v>0</v>
      </c>
      <c r="G199" s="24">
        <v>0</v>
      </c>
      <c r="I199" s="126"/>
      <c r="K199" s="24"/>
    </row>
    <row r="200" spans="1:15" ht="16.5" thickBot="1">
      <c r="A200" s="342" t="s">
        <v>107</v>
      </c>
      <c r="B200" s="337"/>
      <c r="C200" s="29">
        <v>173133392</v>
      </c>
      <c r="E200" s="173"/>
      <c r="G200" s="28">
        <f>G198+G194+G199</f>
        <v>13209986</v>
      </c>
      <c r="I200" s="113"/>
      <c r="K200" s="28">
        <f>K198+K194+K199</f>
        <v>-183676.56026947999</v>
      </c>
    </row>
    <row r="201" spans="1:15" ht="16.5" thickTop="1">
      <c r="A201" s="159"/>
      <c r="B201" s="337"/>
      <c r="C201" s="4"/>
      <c r="G201" s="92"/>
      <c r="I201" s="108"/>
      <c r="J201" s="109"/>
    </row>
    <row r="202" spans="1:15">
      <c r="A202" s="341" t="s">
        <v>108</v>
      </c>
      <c r="B202" s="337"/>
      <c r="C202" s="4"/>
      <c r="G202" s="92"/>
    </row>
    <row r="203" spans="1:15">
      <c r="A203" s="342" t="s">
        <v>97</v>
      </c>
      <c r="B203" s="337"/>
      <c r="C203" s="4">
        <v>5</v>
      </c>
      <c r="E203" s="105">
        <v>125</v>
      </c>
      <c r="F203" s="20"/>
      <c r="G203" s="15">
        <f>ROUND(E203*$C203,0)</f>
        <v>625</v>
      </c>
      <c r="K203" s="15"/>
    </row>
    <row r="204" spans="1:15">
      <c r="A204" s="342" t="s">
        <v>98</v>
      </c>
      <c r="B204" s="337"/>
      <c r="C204" s="4">
        <v>256</v>
      </c>
      <c r="E204" s="105">
        <v>38</v>
      </c>
      <c r="F204" s="20"/>
      <c r="G204" s="15">
        <f>ROUND(E204*$C204,0)</f>
        <v>9728</v>
      </c>
      <c r="I204" s="106"/>
      <c r="J204" s="20"/>
      <c r="K204" s="15"/>
    </row>
    <row r="205" spans="1:15">
      <c r="A205" s="342" t="s">
        <v>109</v>
      </c>
      <c r="B205" s="337"/>
      <c r="C205" s="16">
        <v>1143</v>
      </c>
      <c r="E205" s="105">
        <v>14</v>
      </c>
      <c r="F205" s="20"/>
      <c r="G205" s="15">
        <f>ROUND(E205*$C205,0)</f>
        <v>16002</v>
      </c>
      <c r="I205" s="106"/>
      <c r="J205" s="20"/>
      <c r="K205" s="15"/>
    </row>
    <row r="206" spans="1:15">
      <c r="A206" s="342" t="s">
        <v>100</v>
      </c>
      <c r="B206" s="337"/>
      <c r="C206" s="16">
        <v>37541</v>
      </c>
      <c r="E206" s="105">
        <v>7.33</v>
      </c>
      <c r="F206" s="20"/>
      <c r="G206" s="15">
        <f>ROUND(E206*$C206,0)</f>
        <v>275176</v>
      </c>
      <c r="I206" s="106">
        <f>$N$190</f>
        <v>-1.427614E-2</v>
      </c>
      <c r="J206" s="20"/>
      <c r="K206" s="15">
        <f t="shared" ref="K206" si="46">$G206*I206</f>
        <v>-3928.4511006399998</v>
      </c>
      <c r="O206" s="138">
        <f>G206*I206-K206</f>
        <v>0</v>
      </c>
    </row>
    <row r="207" spans="1:15">
      <c r="A207" s="342" t="s">
        <v>110</v>
      </c>
      <c r="B207" s="337"/>
      <c r="C207" s="16">
        <v>1037</v>
      </c>
      <c r="E207" s="105">
        <v>-2.0499999999999998</v>
      </c>
      <c r="F207" s="20"/>
      <c r="G207" s="15">
        <f>ROUND(E207*$C207,0)</f>
        <v>-2126</v>
      </c>
      <c r="I207" s="106"/>
      <c r="J207" s="20"/>
      <c r="K207" s="15"/>
      <c r="O207" s="138"/>
    </row>
    <row r="208" spans="1:15">
      <c r="A208" s="342" t="s">
        <v>95</v>
      </c>
      <c r="B208" s="337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I208" s="106">
        <f>$N$190</f>
        <v>-1.427614E-2</v>
      </c>
      <c r="J208" s="102"/>
      <c r="K208" s="15">
        <f t="shared" ref="K208:K209" si="47">$G208*I208</f>
        <v>-4656.0488518800003</v>
      </c>
      <c r="O208" s="138">
        <f>G208*I208-K208</f>
        <v>0</v>
      </c>
    </row>
    <row r="209" spans="1:15">
      <c r="A209" s="342" t="s">
        <v>90</v>
      </c>
      <c r="B209" s="337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I209" s="106">
        <f>$N$190</f>
        <v>-1.427614E-2</v>
      </c>
      <c r="J209" s="102"/>
      <c r="K209" s="24">
        <f t="shared" si="47"/>
        <v>-5085.0183066</v>
      </c>
      <c r="O209" s="138">
        <f>G209*I209-K209</f>
        <v>0</v>
      </c>
    </row>
    <row r="210" spans="1:15">
      <c r="A210" s="342" t="s">
        <v>103</v>
      </c>
      <c r="B210" s="337"/>
      <c r="C210" s="23">
        <v>10836514</v>
      </c>
      <c r="E210" s="175"/>
      <c r="G210" s="24">
        <f>SUM(G203:G209)</f>
        <v>981737</v>
      </c>
      <c r="I210" s="126"/>
      <c r="K210" s="24">
        <f>SUM(K203:K209)</f>
        <v>-13669.518259119999</v>
      </c>
    </row>
    <row r="211" spans="1:15">
      <c r="A211" s="342" t="s">
        <v>104</v>
      </c>
      <c r="B211" s="337"/>
      <c r="C211" s="4"/>
      <c r="G211" s="92"/>
      <c r="I211" s="126"/>
    </row>
    <row r="212" spans="1:15">
      <c r="A212" s="342" t="s">
        <v>365</v>
      </c>
      <c r="B212" s="337"/>
      <c r="C212" s="16">
        <v>570</v>
      </c>
      <c r="E212" s="20">
        <v>14</v>
      </c>
      <c r="F212" s="20"/>
      <c r="G212" s="21">
        <f>ROUND(E212*$C212,0)</f>
        <v>7980</v>
      </c>
      <c r="I212" s="121"/>
      <c r="J212" s="20"/>
      <c r="K212" s="21"/>
    </row>
    <row r="213" spans="1:15">
      <c r="A213" s="342" t="s">
        <v>105</v>
      </c>
      <c r="B213" s="337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I213" s="106">
        <f>$N$190</f>
        <v>-1.427614E-2</v>
      </c>
      <c r="J213" s="102"/>
      <c r="K213" s="24">
        <f t="shared" ref="K213" si="48">$G213*I213</f>
        <v>-4224.3669305599997</v>
      </c>
      <c r="O213" s="138">
        <f>G213*I213-K213</f>
        <v>0</v>
      </c>
    </row>
    <row r="214" spans="1:15">
      <c r="A214" s="342" t="s">
        <v>106</v>
      </c>
      <c r="B214" s="337"/>
      <c r="C214" s="23">
        <v>5920094</v>
      </c>
      <c r="E214" s="175"/>
      <c r="G214" s="24">
        <f>G212+G213</f>
        <v>303884</v>
      </c>
      <c r="I214" s="126"/>
      <c r="K214" s="24">
        <f>K212+K213</f>
        <v>-4224.3669305599997</v>
      </c>
    </row>
    <row r="215" spans="1:15">
      <c r="A215" s="342" t="s">
        <v>24</v>
      </c>
      <c r="B215" s="337"/>
      <c r="C215" s="23">
        <v>0</v>
      </c>
      <c r="G215" s="24">
        <v>0</v>
      </c>
      <c r="I215" s="126"/>
      <c r="K215" s="24"/>
    </row>
    <row r="216" spans="1:15" ht="16.5" thickBot="1">
      <c r="A216" s="342" t="s">
        <v>111</v>
      </c>
      <c r="B216" s="337"/>
      <c r="C216" s="29">
        <v>16756608</v>
      </c>
      <c r="E216" s="173"/>
      <c r="G216" s="28">
        <f>G214+G210+G215</f>
        <v>1285621</v>
      </c>
      <c r="I216" s="113"/>
      <c r="K216" s="28">
        <f>K214+K210+K215</f>
        <v>-17893.885189679997</v>
      </c>
    </row>
    <row r="217" spans="1:15" ht="16.5" thickTop="1">
      <c r="A217" s="159"/>
      <c r="B217" s="337"/>
      <c r="C217" s="4"/>
      <c r="G217" s="92"/>
    </row>
    <row r="218" spans="1:15">
      <c r="A218" s="341" t="s">
        <v>112</v>
      </c>
      <c r="B218" s="159"/>
      <c r="C218" s="4"/>
      <c r="G218" s="92"/>
      <c r="I218" s="108"/>
      <c r="J218" s="109"/>
    </row>
    <row r="219" spans="1:15">
      <c r="A219" s="346" t="s">
        <v>301</v>
      </c>
      <c r="B219" s="159"/>
      <c r="C219" s="16"/>
      <c r="E219" s="100"/>
      <c r="F219" s="100"/>
      <c r="G219" s="21"/>
      <c r="K219" s="21"/>
    </row>
    <row r="220" spans="1:15">
      <c r="A220" s="342" t="s">
        <v>114</v>
      </c>
      <c r="B220" s="159"/>
      <c r="C220" s="4">
        <v>34757</v>
      </c>
      <c r="E220" s="14">
        <v>11.8</v>
      </c>
      <c r="F220" s="100"/>
      <c r="G220" s="15">
        <f t="shared" ref="G220:G234" si="49">ROUND(C220*E220,0)</f>
        <v>410133</v>
      </c>
      <c r="I220" s="31">
        <f t="shared" ref="I220:I234" si="50">$N$121</f>
        <v>-6.7074300000000003E-3</v>
      </c>
      <c r="J220" s="100"/>
      <c r="K220" s="15">
        <f t="shared" ref="K220:K234" si="51">$G220*I220</f>
        <v>-2750.9383881900003</v>
      </c>
      <c r="O220" s="138">
        <f t="shared" ref="O220:O234" si="52">G220*I220-K220</f>
        <v>0</v>
      </c>
    </row>
    <row r="221" spans="1:15" s="163" customFormat="1">
      <c r="A221" s="342" t="s">
        <v>115</v>
      </c>
      <c r="B221" s="159"/>
      <c r="C221" s="4">
        <v>218738</v>
      </c>
      <c r="D221" s="166"/>
      <c r="E221" s="14">
        <v>12.78</v>
      </c>
      <c r="F221" s="100"/>
      <c r="G221" s="15">
        <f t="shared" si="49"/>
        <v>2795472</v>
      </c>
      <c r="H221" s="5"/>
      <c r="I221" s="31">
        <f t="shared" si="50"/>
        <v>-6.7074300000000003E-3</v>
      </c>
      <c r="J221" s="100"/>
      <c r="K221" s="15">
        <f t="shared" si="51"/>
        <v>-18750.432756960003</v>
      </c>
      <c r="O221" s="138">
        <f t="shared" si="52"/>
        <v>0</v>
      </c>
    </row>
    <row r="222" spans="1:15" s="163" customFormat="1">
      <c r="A222" s="342" t="s">
        <v>116</v>
      </c>
      <c r="B222" s="159"/>
      <c r="C222" s="4">
        <v>132</v>
      </c>
      <c r="D222" s="166"/>
      <c r="E222" s="14">
        <v>11.5</v>
      </c>
      <c r="F222" s="100"/>
      <c r="G222" s="15">
        <f t="shared" si="49"/>
        <v>1518</v>
      </c>
      <c r="H222" s="5"/>
      <c r="I222" s="31">
        <f t="shared" si="50"/>
        <v>-6.7074300000000003E-3</v>
      </c>
      <c r="J222" s="100"/>
      <c r="K222" s="15">
        <f t="shared" si="51"/>
        <v>-10.18187874</v>
      </c>
      <c r="O222" s="138">
        <f t="shared" si="52"/>
        <v>0</v>
      </c>
    </row>
    <row r="223" spans="1:15" s="163" customFormat="1">
      <c r="A223" s="342" t="s">
        <v>117</v>
      </c>
      <c r="B223" s="159"/>
      <c r="C223" s="4">
        <v>409</v>
      </c>
      <c r="D223" s="166"/>
      <c r="E223" s="14">
        <v>46.54</v>
      </c>
      <c r="F223" s="100"/>
      <c r="G223" s="15">
        <f t="shared" si="49"/>
        <v>19035</v>
      </c>
      <c r="H223" s="5"/>
      <c r="I223" s="31">
        <f t="shared" si="50"/>
        <v>-6.7074300000000003E-3</v>
      </c>
      <c r="J223" s="100"/>
      <c r="K223" s="15">
        <f t="shared" si="51"/>
        <v>-127.67593005000001</v>
      </c>
      <c r="O223" s="138">
        <f t="shared" si="52"/>
        <v>0</v>
      </c>
    </row>
    <row r="224" spans="1:15" s="163" customFormat="1">
      <c r="A224" s="342" t="s">
        <v>118</v>
      </c>
      <c r="B224" s="159"/>
      <c r="C224" s="4">
        <v>60</v>
      </c>
      <c r="D224" s="166"/>
      <c r="E224" s="14">
        <v>38.049999999999997</v>
      </c>
      <c r="F224" s="100"/>
      <c r="G224" s="15">
        <f t="shared" si="49"/>
        <v>2283</v>
      </c>
      <c r="H224" s="5"/>
      <c r="I224" s="31">
        <f t="shared" si="50"/>
        <v>-6.7074300000000003E-3</v>
      </c>
      <c r="J224" s="100"/>
      <c r="K224" s="15">
        <f t="shared" si="51"/>
        <v>-15.313062690000001</v>
      </c>
      <c r="O224" s="138">
        <f t="shared" si="52"/>
        <v>0</v>
      </c>
    </row>
    <row r="225" spans="1:15" s="163" customFormat="1">
      <c r="A225" s="342" t="s">
        <v>119</v>
      </c>
      <c r="B225" s="159"/>
      <c r="C225" s="4">
        <v>21158</v>
      </c>
      <c r="D225" s="166"/>
      <c r="E225" s="14">
        <v>16.940000000000001</v>
      </c>
      <c r="F225" s="100"/>
      <c r="G225" s="15">
        <f t="shared" si="49"/>
        <v>358417</v>
      </c>
      <c r="H225" s="5"/>
      <c r="I225" s="31">
        <f t="shared" si="50"/>
        <v>-6.7074300000000003E-3</v>
      </c>
      <c r="J225" s="100"/>
      <c r="K225" s="15">
        <f t="shared" si="51"/>
        <v>-2404.0569383100001</v>
      </c>
      <c r="O225" s="138">
        <f t="shared" si="52"/>
        <v>0</v>
      </c>
    </row>
    <row r="226" spans="1:15" s="163" customFormat="1">
      <c r="A226" s="342" t="s">
        <v>120</v>
      </c>
      <c r="B226" s="159"/>
      <c r="C226" s="4">
        <v>96</v>
      </c>
      <c r="D226" s="166"/>
      <c r="E226" s="14">
        <v>15.25</v>
      </c>
      <c r="F226" s="100"/>
      <c r="G226" s="15">
        <f t="shared" si="49"/>
        <v>1464</v>
      </c>
      <c r="H226" s="5"/>
      <c r="I226" s="31">
        <f t="shared" si="50"/>
        <v>-6.7074300000000003E-3</v>
      </c>
      <c r="J226" s="100"/>
      <c r="K226" s="15">
        <f t="shared" si="51"/>
        <v>-9.8196775200000008</v>
      </c>
      <c r="O226" s="138">
        <f t="shared" si="52"/>
        <v>0</v>
      </c>
    </row>
    <row r="227" spans="1:15" s="163" customFormat="1">
      <c r="A227" s="342" t="s">
        <v>121</v>
      </c>
      <c r="B227" s="159"/>
      <c r="C227" s="4">
        <v>2421</v>
      </c>
      <c r="D227" s="166"/>
      <c r="E227" s="14">
        <v>47.83</v>
      </c>
      <c r="F227" s="100"/>
      <c r="G227" s="15">
        <f t="shared" si="49"/>
        <v>115796</v>
      </c>
      <c r="H227" s="5"/>
      <c r="I227" s="31">
        <f t="shared" si="50"/>
        <v>-6.7074300000000003E-3</v>
      </c>
      <c r="J227" s="100"/>
      <c r="K227" s="15">
        <f t="shared" si="51"/>
        <v>-776.69356428000003</v>
      </c>
      <c r="O227" s="138">
        <f t="shared" si="52"/>
        <v>0</v>
      </c>
    </row>
    <row r="228" spans="1:15" s="163" customFormat="1">
      <c r="A228" s="342" t="s">
        <v>122</v>
      </c>
      <c r="B228" s="159"/>
      <c r="C228" s="4">
        <v>886</v>
      </c>
      <c r="D228" s="166"/>
      <c r="E228" s="14">
        <v>39.340000000000003</v>
      </c>
      <c r="F228" s="100"/>
      <c r="G228" s="15">
        <f t="shared" si="49"/>
        <v>34855</v>
      </c>
      <c r="H228" s="5"/>
      <c r="I228" s="31">
        <f t="shared" si="50"/>
        <v>-6.7074300000000003E-3</v>
      </c>
      <c r="J228" s="100"/>
      <c r="K228" s="15">
        <f t="shared" si="51"/>
        <v>-233.78747265000001</v>
      </c>
      <c r="O228" s="138">
        <f t="shared" si="52"/>
        <v>0</v>
      </c>
    </row>
    <row r="229" spans="1:15" s="163" customFormat="1">
      <c r="A229" s="342" t="s">
        <v>123</v>
      </c>
      <c r="B229" s="159"/>
      <c r="C229" s="4">
        <v>26178</v>
      </c>
      <c r="D229" s="166"/>
      <c r="E229" s="14">
        <v>21.14</v>
      </c>
      <c r="F229" s="100"/>
      <c r="G229" s="15">
        <f t="shared" si="49"/>
        <v>553403</v>
      </c>
      <c r="H229" s="5"/>
      <c r="I229" s="31">
        <f t="shared" si="50"/>
        <v>-6.7074300000000003E-3</v>
      </c>
      <c r="J229" s="100"/>
      <c r="K229" s="15">
        <f t="shared" si="51"/>
        <v>-3711.9118842900002</v>
      </c>
      <c r="O229" s="138">
        <f t="shared" si="52"/>
        <v>0</v>
      </c>
    </row>
    <row r="230" spans="1:15" s="163" customFormat="1">
      <c r="A230" s="342" t="s">
        <v>124</v>
      </c>
      <c r="B230" s="159"/>
      <c r="C230" s="4">
        <v>12</v>
      </c>
      <c r="D230" s="166"/>
      <c r="E230" s="14">
        <v>19.03</v>
      </c>
      <c r="F230" s="100"/>
      <c r="G230" s="15">
        <f t="shared" si="49"/>
        <v>228</v>
      </c>
      <c r="H230" s="5"/>
      <c r="I230" s="31">
        <f t="shared" si="50"/>
        <v>-6.7074300000000003E-3</v>
      </c>
      <c r="J230" s="100"/>
      <c r="K230" s="15">
        <f t="shared" si="51"/>
        <v>-1.5292940400000001</v>
      </c>
      <c r="O230" s="138">
        <f t="shared" si="52"/>
        <v>0</v>
      </c>
    </row>
    <row r="231" spans="1:15" s="163" customFormat="1">
      <c r="A231" s="342" t="s">
        <v>125</v>
      </c>
      <c r="B231" s="159"/>
      <c r="C231" s="4">
        <v>1253</v>
      </c>
      <c r="D231" s="166"/>
      <c r="E231" s="14">
        <v>51.48</v>
      </c>
      <c r="F231" s="100"/>
      <c r="G231" s="15">
        <f t="shared" si="49"/>
        <v>64504</v>
      </c>
      <c r="H231" s="5"/>
      <c r="I231" s="31">
        <f t="shared" si="50"/>
        <v>-6.7074300000000003E-3</v>
      </c>
      <c r="J231" s="100"/>
      <c r="K231" s="15">
        <f t="shared" si="51"/>
        <v>-432.65606472000002</v>
      </c>
      <c r="O231" s="138">
        <f t="shared" si="52"/>
        <v>0</v>
      </c>
    </row>
    <row r="232" spans="1:15" s="163" customFormat="1">
      <c r="A232" s="342" t="s">
        <v>126</v>
      </c>
      <c r="B232" s="159"/>
      <c r="C232" s="4">
        <v>0</v>
      </c>
      <c r="D232" s="166"/>
      <c r="E232" s="14">
        <v>43.01</v>
      </c>
      <c r="F232" s="100"/>
      <c r="G232" s="15">
        <f t="shared" si="49"/>
        <v>0</v>
      </c>
      <c r="H232" s="5"/>
      <c r="I232" s="31">
        <f t="shared" si="50"/>
        <v>-6.7074300000000003E-3</v>
      </c>
      <c r="J232" s="100"/>
      <c r="K232" s="15">
        <f t="shared" si="51"/>
        <v>0</v>
      </c>
      <c r="O232" s="138">
        <f t="shared" si="52"/>
        <v>0</v>
      </c>
    </row>
    <row r="233" spans="1:15" s="163" customFormat="1">
      <c r="A233" s="342" t="s">
        <v>127</v>
      </c>
      <c r="B233" s="159"/>
      <c r="C233" s="4">
        <v>11406</v>
      </c>
      <c r="D233" s="166"/>
      <c r="E233" s="14">
        <v>26.02</v>
      </c>
      <c r="F233" s="100"/>
      <c r="G233" s="15">
        <f t="shared" si="49"/>
        <v>296784</v>
      </c>
      <c r="H233" s="5"/>
      <c r="I233" s="31">
        <f t="shared" si="50"/>
        <v>-6.7074300000000003E-3</v>
      </c>
      <c r="J233" s="100"/>
      <c r="K233" s="15">
        <f t="shared" si="51"/>
        <v>-1990.6579051200001</v>
      </c>
      <c r="O233" s="138">
        <f t="shared" si="52"/>
        <v>0</v>
      </c>
    </row>
    <row r="234" spans="1:15" s="163" customFormat="1">
      <c r="A234" s="342" t="s">
        <v>128</v>
      </c>
      <c r="B234" s="159"/>
      <c r="C234" s="4">
        <v>0</v>
      </c>
      <c r="D234" s="166"/>
      <c r="E234" s="14">
        <v>51.54</v>
      </c>
      <c r="F234" s="100"/>
      <c r="G234" s="15">
        <f t="shared" si="49"/>
        <v>0</v>
      </c>
      <c r="H234" s="5"/>
      <c r="I234" s="31">
        <f t="shared" si="50"/>
        <v>-6.7074300000000003E-3</v>
      </c>
      <c r="J234" s="100"/>
      <c r="K234" s="15">
        <f t="shared" si="51"/>
        <v>0</v>
      </c>
      <c r="O234" s="138">
        <f t="shared" si="52"/>
        <v>0</v>
      </c>
    </row>
    <row r="235" spans="1:15" s="163" customFormat="1">
      <c r="A235" s="346" t="s">
        <v>302</v>
      </c>
      <c r="B235" s="159"/>
      <c r="C235" s="4"/>
      <c r="D235" s="166"/>
      <c r="E235" s="105"/>
      <c r="F235" s="20"/>
      <c r="G235" s="15"/>
      <c r="H235" s="5"/>
      <c r="I235" s="106"/>
      <c r="J235" s="20"/>
      <c r="K235" s="15"/>
      <c r="O235" s="138"/>
    </row>
    <row r="236" spans="1:15" s="159" customFormat="1">
      <c r="A236" s="342" t="s">
        <v>130</v>
      </c>
      <c r="C236" s="4">
        <v>36</v>
      </c>
      <c r="D236" s="166"/>
      <c r="E236" s="14">
        <v>48.74</v>
      </c>
      <c r="F236" s="100"/>
      <c r="G236" s="15">
        <f t="shared" ref="G236:G246" si="53">ROUND(C236*E236,0)</f>
        <v>1755</v>
      </c>
      <c r="H236" s="5"/>
      <c r="I236" s="31">
        <f t="shared" ref="I236:I246" si="54">$N$121</f>
        <v>-6.7074300000000003E-3</v>
      </c>
      <c r="J236" s="100"/>
      <c r="K236" s="15">
        <f t="shared" ref="K236:K246" si="55">$G236*I236</f>
        <v>-11.771539650000001</v>
      </c>
      <c r="O236" s="138">
        <f t="shared" ref="O236:O246" si="56">G236*I236-K236</f>
        <v>0</v>
      </c>
    </row>
    <row r="237" spans="1:15" s="163" customFormat="1">
      <c r="A237" s="342" t="s">
        <v>131</v>
      </c>
      <c r="B237" s="159"/>
      <c r="C237" s="4">
        <v>602</v>
      </c>
      <c r="D237" s="166"/>
      <c r="E237" s="14">
        <v>40.270000000000003</v>
      </c>
      <c r="F237" s="100"/>
      <c r="G237" s="15">
        <f t="shared" si="53"/>
        <v>24243</v>
      </c>
      <c r="H237" s="5"/>
      <c r="I237" s="31">
        <f t="shared" si="54"/>
        <v>-6.7074300000000003E-3</v>
      </c>
      <c r="J237" s="100"/>
      <c r="K237" s="15">
        <f t="shared" si="55"/>
        <v>-162.60822549</v>
      </c>
      <c r="O237" s="138">
        <f t="shared" si="56"/>
        <v>0</v>
      </c>
    </row>
    <row r="238" spans="1:15" s="163" customFormat="1">
      <c r="A238" s="342" t="s">
        <v>132</v>
      </c>
      <c r="B238" s="159"/>
      <c r="C238" s="4">
        <v>127</v>
      </c>
      <c r="D238" s="166"/>
      <c r="E238" s="14">
        <v>20.13</v>
      </c>
      <c r="F238" s="100"/>
      <c r="G238" s="15">
        <f t="shared" si="53"/>
        <v>2557</v>
      </c>
      <c r="H238" s="5"/>
      <c r="I238" s="31">
        <f t="shared" si="54"/>
        <v>-6.7074300000000003E-3</v>
      </c>
      <c r="J238" s="100"/>
      <c r="K238" s="15">
        <f t="shared" si="55"/>
        <v>-17.150898510000001</v>
      </c>
      <c r="O238" s="138">
        <f t="shared" si="56"/>
        <v>0</v>
      </c>
    </row>
    <row r="239" spans="1:15" s="163" customFormat="1">
      <c r="A239" s="342" t="s">
        <v>133</v>
      </c>
      <c r="B239" s="159"/>
      <c r="C239" s="4">
        <v>0</v>
      </c>
      <c r="D239" s="166"/>
      <c r="E239" s="14">
        <v>50.65</v>
      </c>
      <c r="F239" s="100"/>
      <c r="G239" s="15">
        <f t="shared" si="53"/>
        <v>0</v>
      </c>
      <c r="H239" s="5"/>
      <c r="I239" s="31">
        <f t="shared" si="54"/>
        <v>-6.7074300000000003E-3</v>
      </c>
      <c r="J239" s="100"/>
      <c r="K239" s="15">
        <f t="shared" si="55"/>
        <v>0</v>
      </c>
      <c r="O239" s="138">
        <f t="shared" si="56"/>
        <v>0</v>
      </c>
    </row>
    <row r="240" spans="1:15" s="163" customFormat="1">
      <c r="A240" s="342" t="s">
        <v>134</v>
      </c>
      <c r="B240" s="159"/>
      <c r="C240" s="4">
        <v>1598</v>
      </c>
      <c r="D240" s="166"/>
      <c r="E240" s="14">
        <v>42.17</v>
      </c>
      <c r="F240" s="100"/>
      <c r="G240" s="15">
        <f t="shared" si="53"/>
        <v>67388</v>
      </c>
      <c r="H240" s="5"/>
      <c r="I240" s="31">
        <f t="shared" si="54"/>
        <v>-6.7074300000000003E-3</v>
      </c>
      <c r="J240" s="100"/>
      <c r="K240" s="15">
        <f t="shared" si="55"/>
        <v>-452.00029284000004</v>
      </c>
      <c r="O240" s="138">
        <f t="shared" si="56"/>
        <v>0</v>
      </c>
    </row>
    <row r="241" spans="1:15" s="159" customFormat="1">
      <c r="A241" s="342" t="s">
        <v>135</v>
      </c>
      <c r="C241" s="4">
        <v>386</v>
      </c>
      <c r="D241" s="166"/>
      <c r="E241" s="14">
        <v>22.13</v>
      </c>
      <c r="F241" s="100"/>
      <c r="G241" s="15">
        <f t="shared" si="53"/>
        <v>8542</v>
      </c>
      <c r="H241" s="5"/>
      <c r="I241" s="31">
        <f t="shared" si="54"/>
        <v>-6.7074300000000003E-3</v>
      </c>
      <c r="J241" s="100"/>
      <c r="K241" s="15">
        <f t="shared" si="55"/>
        <v>-57.294867060000001</v>
      </c>
      <c r="O241" s="138">
        <f t="shared" si="56"/>
        <v>0</v>
      </c>
    </row>
    <row r="242" spans="1:15" s="163" customFormat="1">
      <c r="A242" s="342" t="s">
        <v>136</v>
      </c>
      <c r="B242" s="159"/>
      <c r="C242" s="4">
        <v>41</v>
      </c>
      <c r="D242" s="166"/>
      <c r="E242" s="14">
        <v>53.69</v>
      </c>
      <c r="F242" s="100"/>
      <c r="G242" s="15">
        <f t="shared" si="53"/>
        <v>2201</v>
      </c>
      <c r="H242" s="5"/>
      <c r="I242" s="31">
        <f t="shared" si="54"/>
        <v>-6.7074300000000003E-3</v>
      </c>
      <c r="J242" s="100"/>
      <c r="K242" s="15">
        <f t="shared" si="55"/>
        <v>-14.763053430000001</v>
      </c>
      <c r="O242" s="138">
        <f t="shared" si="56"/>
        <v>0</v>
      </c>
    </row>
    <row r="243" spans="1:15" s="163" customFormat="1">
      <c r="A243" s="342" t="s">
        <v>137</v>
      </c>
      <c r="B243" s="159"/>
      <c r="C243" s="4">
        <v>365</v>
      </c>
      <c r="D243" s="166"/>
      <c r="E243" s="14">
        <v>45.2</v>
      </c>
      <c r="F243" s="100"/>
      <c r="G243" s="15">
        <f t="shared" si="53"/>
        <v>16498</v>
      </c>
      <c r="H243" s="5"/>
      <c r="I243" s="31">
        <f t="shared" si="54"/>
        <v>-6.7074300000000003E-3</v>
      </c>
      <c r="J243" s="100"/>
      <c r="K243" s="15">
        <f t="shared" si="55"/>
        <v>-110.65918014</v>
      </c>
      <c r="O243" s="138">
        <f t="shared" si="56"/>
        <v>0</v>
      </c>
    </row>
    <row r="244" spans="1:15" s="159" customFormat="1">
      <c r="A244" s="342" t="s">
        <v>138</v>
      </c>
      <c r="C244" s="4">
        <v>61</v>
      </c>
      <c r="D244" s="166"/>
      <c r="E244" s="100">
        <v>25.78</v>
      </c>
      <c r="F244" s="100"/>
      <c r="G244" s="15">
        <f t="shared" si="53"/>
        <v>1573</v>
      </c>
      <c r="H244" s="5"/>
      <c r="I244" s="31">
        <f t="shared" si="54"/>
        <v>-6.7074300000000003E-3</v>
      </c>
      <c r="J244" s="100"/>
      <c r="K244" s="15">
        <f t="shared" si="55"/>
        <v>-10.55078739</v>
      </c>
      <c r="O244" s="138">
        <f t="shared" si="56"/>
        <v>0</v>
      </c>
    </row>
    <row r="245" spans="1:15" s="163" customFormat="1">
      <c r="A245" s="342" t="s">
        <v>139</v>
      </c>
      <c r="B245" s="159"/>
      <c r="C245" s="4">
        <v>0</v>
      </c>
      <c r="D245" s="166"/>
      <c r="E245" s="100">
        <v>55.33</v>
      </c>
      <c r="F245" s="100"/>
      <c r="G245" s="15">
        <f t="shared" si="53"/>
        <v>0</v>
      </c>
      <c r="H245" s="5"/>
      <c r="I245" s="31">
        <f t="shared" si="54"/>
        <v>-6.7074300000000003E-3</v>
      </c>
      <c r="J245" s="100"/>
      <c r="K245" s="15">
        <f t="shared" si="55"/>
        <v>0</v>
      </c>
      <c r="O245" s="138">
        <f t="shared" si="56"/>
        <v>0</v>
      </c>
    </row>
    <row r="246" spans="1:15" s="163" customFormat="1">
      <c r="A246" s="342" t="s">
        <v>140</v>
      </c>
      <c r="B246" s="159"/>
      <c r="C246" s="4">
        <v>0</v>
      </c>
      <c r="D246" s="166"/>
      <c r="E246" s="100">
        <v>46.86</v>
      </c>
      <c r="F246" s="100"/>
      <c r="G246" s="15">
        <f t="shared" si="53"/>
        <v>0</v>
      </c>
      <c r="H246" s="5"/>
      <c r="I246" s="31">
        <f t="shared" si="54"/>
        <v>-6.7074300000000003E-3</v>
      </c>
      <c r="J246" s="100"/>
      <c r="K246" s="15">
        <f t="shared" si="55"/>
        <v>0</v>
      </c>
      <c r="O246" s="138">
        <f t="shared" si="56"/>
        <v>0</v>
      </c>
    </row>
    <row r="247" spans="1:15" s="159" customFormat="1">
      <c r="A247" s="346" t="s">
        <v>303</v>
      </c>
      <c r="C247" s="16"/>
      <c r="D247" s="166"/>
      <c r="E247" s="100"/>
      <c r="F247" s="100"/>
      <c r="G247" s="21"/>
      <c r="H247" s="5"/>
      <c r="I247" s="111"/>
      <c r="J247" s="100"/>
      <c r="K247" s="21"/>
      <c r="O247" s="138"/>
    </row>
    <row r="248" spans="1:15" s="163" customFormat="1">
      <c r="A248" s="342" t="s">
        <v>141</v>
      </c>
      <c r="B248" s="159"/>
      <c r="C248" s="4">
        <v>3279</v>
      </c>
      <c r="D248" s="166"/>
      <c r="E248" s="14">
        <v>11.09</v>
      </c>
      <c r="F248" s="100"/>
      <c r="G248" s="15">
        <f>ROUND(C248*E248,0)</f>
        <v>36364</v>
      </c>
      <c r="H248" s="5"/>
      <c r="I248" s="31">
        <f>$N$121</f>
        <v>-6.7074300000000003E-3</v>
      </c>
      <c r="J248" s="100"/>
      <c r="K248" s="15">
        <f t="shared" ref="K248:K252" si="57">$G248*I248</f>
        <v>-243.90898452000002</v>
      </c>
      <c r="O248" s="138">
        <f>G248*I248-K248</f>
        <v>0</v>
      </c>
    </row>
    <row r="249" spans="1:15" s="163" customFormat="1">
      <c r="A249" s="342" t="s">
        <v>56</v>
      </c>
      <c r="B249" s="159"/>
      <c r="C249" s="4">
        <v>9152</v>
      </c>
      <c r="D249" s="166"/>
      <c r="E249" s="14">
        <v>13.83</v>
      </c>
      <c r="F249" s="100"/>
      <c r="G249" s="15">
        <f>ROUND(C249*E249,0)</f>
        <v>126572</v>
      </c>
      <c r="H249" s="5"/>
      <c r="I249" s="31">
        <f>$N$121</f>
        <v>-6.7074300000000003E-3</v>
      </c>
      <c r="J249" s="100"/>
      <c r="K249" s="15">
        <f t="shared" si="57"/>
        <v>-848.97282996000001</v>
      </c>
      <c r="O249" s="138">
        <f>G249*I249-K249</f>
        <v>0</v>
      </c>
    </row>
    <row r="250" spans="1:15" s="163" customFormat="1">
      <c r="A250" s="342" t="s">
        <v>142</v>
      </c>
      <c r="B250" s="159"/>
      <c r="C250" s="4">
        <v>186</v>
      </c>
      <c r="D250" s="166"/>
      <c r="E250" s="14">
        <v>19.399999999999999</v>
      </c>
      <c r="F250" s="100"/>
      <c r="G250" s="15">
        <f>ROUND(C250*E250,0)</f>
        <v>3608</v>
      </c>
      <c r="H250" s="5"/>
      <c r="I250" s="31">
        <f>$N$121</f>
        <v>-6.7074300000000003E-3</v>
      </c>
      <c r="J250" s="100"/>
      <c r="K250" s="15">
        <f t="shared" si="57"/>
        <v>-24.200407440000003</v>
      </c>
      <c r="O250" s="138">
        <f>G250*I250-K250</f>
        <v>0</v>
      </c>
    </row>
    <row r="251" spans="1:15" s="163" customFormat="1">
      <c r="A251" s="342" t="s">
        <v>143</v>
      </c>
      <c r="B251" s="159"/>
      <c r="C251" s="4">
        <v>0</v>
      </c>
      <c r="D251" s="166"/>
      <c r="E251" s="14">
        <v>17.46</v>
      </c>
      <c r="F251" s="100"/>
      <c r="G251" s="15">
        <f>ROUND(C251*E251,0)</f>
        <v>0</v>
      </c>
      <c r="H251" s="5"/>
      <c r="I251" s="31">
        <f>$N$121</f>
        <v>-6.7074300000000003E-3</v>
      </c>
      <c r="J251" s="100"/>
      <c r="K251" s="15">
        <f t="shared" si="57"/>
        <v>0</v>
      </c>
      <c r="O251" s="138">
        <f>G251*I251-K251</f>
        <v>0</v>
      </c>
    </row>
    <row r="252" spans="1:15" s="163" customFormat="1">
      <c r="A252" s="342" t="s">
        <v>58</v>
      </c>
      <c r="B252" s="159"/>
      <c r="C252" s="4">
        <v>996</v>
      </c>
      <c r="D252" s="166"/>
      <c r="E252" s="14">
        <v>24.43</v>
      </c>
      <c r="F252" s="100"/>
      <c r="G252" s="15">
        <f>ROUND(C252*E252,0)</f>
        <v>24332</v>
      </c>
      <c r="H252" s="5"/>
      <c r="I252" s="31">
        <f>$N$121</f>
        <v>-6.7074300000000003E-3</v>
      </c>
      <c r="J252" s="100"/>
      <c r="K252" s="15">
        <f t="shared" si="57"/>
        <v>-163.20518676</v>
      </c>
      <c r="O252" s="138">
        <f>G252*I252-K252</f>
        <v>0</v>
      </c>
    </row>
    <row r="253" spans="1:15" s="163" customFormat="1">
      <c r="A253" s="346" t="s">
        <v>304</v>
      </c>
      <c r="B253" s="159"/>
      <c r="C253" s="4"/>
      <c r="D253" s="166"/>
      <c r="E253" s="167"/>
      <c r="F253" s="166"/>
      <c r="G253" s="15"/>
      <c r="H253" s="5"/>
      <c r="I253" s="91"/>
      <c r="J253" s="5"/>
      <c r="K253" s="15"/>
      <c r="O253" s="138"/>
    </row>
    <row r="254" spans="1:15" s="163" customFormat="1">
      <c r="A254" s="342" t="s">
        <v>144</v>
      </c>
      <c r="B254" s="159"/>
      <c r="C254" s="4">
        <v>0</v>
      </c>
      <c r="D254" s="166"/>
      <c r="E254" s="14">
        <v>11.99</v>
      </c>
      <c r="F254" s="100"/>
      <c r="G254" s="15">
        <f t="shared" ref="G254:G259" si="58">ROUND(C254*E254,0)</f>
        <v>0</v>
      </c>
      <c r="H254" s="5"/>
      <c r="I254" s="31">
        <f t="shared" ref="I254:I259" si="59">$N$121</f>
        <v>-6.7074300000000003E-3</v>
      </c>
      <c r="J254" s="100"/>
      <c r="K254" s="15">
        <f t="shared" ref="K254:K259" si="60">$G254*I254</f>
        <v>0</v>
      </c>
      <c r="O254" s="138">
        <f t="shared" ref="O254:O263" si="61">G254*I254-K254</f>
        <v>0</v>
      </c>
    </row>
    <row r="255" spans="1:15" s="163" customFormat="1">
      <c r="A255" s="342" t="s">
        <v>145</v>
      </c>
      <c r="B255" s="159"/>
      <c r="C255" s="4">
        <v>145</v>
      </c>
      <c r="D255" s="166"/>
      <c r="E255" s="14">
        <v>4.24</v>
      </c>
      <c r="F255" s="100"/>
      <c r="G255" s="15">
        <f t="shared" si="58"/>
        <v>615</v>
      </c>
      <c r="H255" s="5"/>
      <c r="I255" s="31">
        <f t="shared" si="59"/>
        <v>-6.7074300000000003E-3</v>
      </c>
      <c r="J255" s="100"/>
      <c r="K255" s="15">
        <f t="shared" si="60"/>
        <v>-4.1250694499999998</v>
      </c>
      <c r="O255" s="138">
        <f t="shared" si="61"/>
        <v>0</v>
      </c>
    </row>
    <row r="256" spans="1:15" s="163" customFormat="1">
      <c r="A256" s="342" t="s">
        <v>146</v>
      </c>
      <c r="B256" s="159"/>
      <c r="C256" s="4">
        <v>32</v>
      </c>
      <c r="D256" s="166"/>
      <c r="E256" s="14">
        <v>17.11</v>
      </c>
      <c r="F256" s="100"/>
      <c r="G256" s="15">
        <f t="shared" si="58"/>
        <v>548</v>
      </c>
      <c r="H256" s="5"/>
      <c r="I256" s="31">
        <f t="shared" si="59"/>
        <v>-6.7074300000000003E-3</v>
      </c>
      <c r="J256" s="100"/>
      <c r="K256" s="15">
        <f t="shared" si="60"/>
        <v>-3.67567164</v>
      </c>
      <c r="O256" s="138">
        <f t="shared" si="61"/>
        <v>0</v>
      </c>
    </row>
    <row r="257" spans="1:15" s="163" customFormat="1">
      <c r="A257" s="342" t="s">
        <v>141</v>
      </c>
      <c r="B257" s="159"/>
      <c r="C257" s="4">
        <v>162</v>
      </c>
      <c r="D257" s="166"/>
      <c r="E257" s="14">
        <v>20.43</v>
      </c>
      <c r="F257" s="100"/>
      <c r="G257" s="15">
        <f t="shared" si="58"/>
        <v>3310</v>
      </c>
      <c r="H257" s="5"/>
      <c r="I257" s="31">
        <f t="shared" si="59"/>
        <v>-6.7074300000000003E-3</v>
      </c>
      <c r="J257" s="100"/>
      <c r="K257" s="15">
        <f t="shared" si="60"/>
        <v>-22.201593300000003</v>
      </c>
      <c r="O257" s="138">
        <f t="shared" si="61"/>
        <v>0</v>
      </c>
    </row>
    <row r="258" spans="1:15" s="163" customFormat="1">
      <c r="A258" s="342" t="s">
        <v>147</v>
      </c>
      <c r="B258" s="159"/>
      <c r="C258" s="4">
        <v>161</v>
      </c>
      <c r="D258" s="166"/>
      <c r="E258" s="14">
        <v>23.82</v>
      </c>
      <c r="F258" s="100"/>
      <c r="G258" s="15">
        <f t="shared" si="58"/>
        <v>3835</v>
      </c>
      <c r="H258" s="5"/>
      <c r="I258" s="31">
        <f t="shared" si="59"/>
        <v>-6.7074300000000003E-3</v>
      </c>
      <c r="J258" s="100"/>
      <c r="K258" s="15">
        <f t="shared" si="60"/>
        <v>-25.72299405</v>
      </c>
      <c r="O258" s="138">
        <f t="shared" si="61"/>
        <v>0</v>
      </c>
    </row>
    <row r="259" spans="1:15" s="163" customFormat="1">
      <c r="A259" s="342" t="s">
        <v>142</v>
      </c>
      <c r="B259" s="159"/>
      <c r="C259" s="4">
        <v>24</v>
      </c>
      <c r="D259" s="166"/>
      <c r="E259" s="14">
        <v>31.47</v>
      </c>
      <c r="F259" s="100"/>
      <c r="G259" s="15">
        <f t="shared" si="58"/>
        <v>755</v>
      </c>
      <c r="H259" s="5"/>
      <c r="I259" s="31">
        <f t="shared" si="59"/>
        <v>-6.7074300000000003E-3</v>
      </c>
      <c r="J259" s="100"/>
      <c r="K259" s="15">
        <f t="shared" si="60"/>
        <v>-5.0641096500000007</v>
      </c>
      <c r="O259" s="138">
        <f t="shared" si="61"/>
        <v>0</v>
      </c>
    </row>
    <row r="260" spans="1:15" s="163" customFormat="1">
      <c r="A260" s="346" t="s">
        <v>305</v>
      </c>
      <c r="B260" s="159"/>
      <c r="C260" s="16"/>
      <c r="D260" s="166"/>
      <c r="E260" s="100"/>
      <c r="F260" s="100"/>
      <c r="G260" s="21"/>
      <c r="H260" s="5"/>
      <c r="I260" s="111"/>
      <c r="J260" s="100"/>
      <c r="K260" s="21"/>
      <c r="O260" s="138">
        <f t="shared" si="61"/>
        <v>0</v>
      </c>
    </row>
    <row r="261" spans="1:15" s="163" customFormat="1">
      <c r="A261" s="342" t="s">
        <v>148</v>
      </c>
      <c r="B261" s="159"/>
      <c r="C261" s="4">
        <v>12</v>
      </c>
      <c r="D261" s="166"/>
      <c r="E261" s="14">
        <v>27.85</v>
      </c>
      <c r="F261" s="100"/>
      <c r="G261" s="15">
        <f>ROUND(C261*E261,0)</f>
        <v>334</v>
      </c>
      <c r="H261" s="5"/>
      <c r="I261" s="31">
        <f>$N$121</f>
        <v>-6.7074300000000003E-3</v>
      </c>
      <c r="J261" s="100"/>
      <c r="K261" s="15">
        <f t="shared" ref="K261" si="62">$G261*I261</f>
        <v>-2.2402816200000002</v>
      </c>
      <c r="O261" s="138">
        <f t="shared" si="61"/>
        <v>0</v>
      </c>
    </row>
    <row r="262" spans="1:15" s="163" customFormat="1">
      <c r="A262" s="346" t="s">
        <v>149</v>
      </c>
      <c r="B262" s="159"/>
      <c r="C262" s="4"/>
      <c r="D262" s="166"/>
      <c r="E262" s="14"/>
      <c r="F262" s="100"/>
      <c r="G262" s="15"/>
      <c r="H262" s="5"/>
      <c r="I262" s="31"/>
      <c r="J262" s="100"/>
      <c r="K262" s="15"/>
      <c r="O262" s="138">
        <f t="shared" si="61"/>
        <v>0</v>
      </c>
    </row>
    <row r="263" spans="1:15" s="163" customFormat="1">
      <c r="A263" s="342" t="s">
        <v>150</v>
      </c>
      <c r="B263" s="159"/>
      <c r="C263" s="4">
        <v>12</v>
      </c>
      <c r="D263" s="166"/>
      <c r="E263" s="14">
        <v>39.04</v>
      </c>
      <c r="F263" s="100"/>
      <c r="G263" s="37">
        <f>ROUND(C263*E263,0)</f>
        <v>468</v>
      </c>
      <c r="H263" s="5"/>
      <c r="I263" s="31">
        <f>$N$121</f>
        <v>-6.7074300000000003E-3</v>
      </c>
      <c r="J263" s="100"/>
      <c r="K263" s="37">
        <f t="shared" ref="K263" si="63">$G263*I263</f>
        <v>-3.1390772400000002</v>
      </c>
      <c r="O263" s="138">
        <f t="shared" si="61"/>
        <v>0</v>
      </c>
    </row>
    <row r="264" spans="1:15" s="163" customFormat="1">
      <c r="A264" s="342" t="s">
        <v>151</v>
      </c>
      <c r="B264" s="159"/>
      <c r="C264" s="23">
        <v>334883</v>
      </c>
      <c r="D264" s="166"/>
      <c r="E264" s="175"/>
      <c r="F264" s="166"/>
      <c r="G264" s="24">
        <f>SUM(G220:G263)</f>
        <v>4979390</v>
      </c>
      <c r="H264" s="5"/>
      <c r="I264" s="120"/>
      <c r="J264" s="5"/>
      <c r="K264" s="24">
        <f>SUM(K220:K263)</f>
        <v>-33398.909867699993</v>
      </c>
    </row>
    <row r="265" spans="1:15" s="163" customFormat="1" ht="16.5" thickBot="1">
      <c r="A265" s="342" t="s">
        <v>82</v>
      </c>
      <c r="B265" s="159"/>
      <c r="C265" s="43">
        <v>16496197.391013095</v>
      </c>
      <c r="D265" s="166"/>
      <c r="E265" s="173"/>
      <c r="F265" s="166"/>
      <c r="G265" s="383"/>
      <c r="H265" s="5"/>
      <c r="I265" s="113"/>
      <c r="J265" s="5"/>
      <c r="K265" s="383"/>
    </row>
    <row r="266" spans="1:15" s="163" customFormat="1" ht="16.5" thickTop="1">
      <c r="A266" s="342" t="s">
        <v>84</v>
      </c>
      <c r="B266" s="159"/>
      <c r="C266" s="13">
        <v>809.41666666666663</v>
      </c>
      <c r="D266" s="166"/>
      <c r="E266" s="167"/>
      <c r="F266" s="166"/>
      <c r="G266" s="92"/>
      <c r="H266" s="5"/>
      <c r="I266" s="91"/>
      <c r="J266" s="5"/>
      <c r="K266" s="92"/>
    </row>
    <row r="267" spans="1:15" s="163" customFormat="1">
      <c r="A267" s="342" t="s">
        <v>83</v>
      </c>
      <c r="B267" s="159"/>
      <c r="C267" s="45">
        <v>0</v>
      </c>
      <c r="D267" s="166"/>
      <c r="E267" s="175"/>
      <c r="F267" s="166"/>
      <c r="G267" s="24">
        <v>0</v>
      </c>
      <c r="H267" s="5"/>
      <c r="I267" s="120"/>
      <c r="J267" s="5"/>
      <c r="K267" s="24"/>
    </row>
    <row r="268" spans="1:15" s="163" customFormat="1" ht="16.5" thickBot="1">
      <c r="A268" s="342" t="s">
        <v>152</v>
      </c>
      <c r="B268" s="159"/>
      <c r="C268" s="43">
        <v>16496197.391013095</v>
      </c>
      <c r="D268" s="166"/>
      <c r="E268" s="46"/>
      <c r="F268" s="122"/>
      <c r="G268" s="384">
        <f>G267+G264</f>
        <v>4979390</v>
      </c>
      <c r="H268" s="5"/>
      <c r="I268" s="123"/>
      <c r="J268" s="122"/>
      <c r="K268" s="384">
        <f>K267+K264</f>
        <v>-33398.909867699993</v>
      </c>
    </row>
    <row r="269" spans="1:15" s="163" customFormat="1" ht="16.5" thickTop="1">
      <c r="A269" s="167"/>
      <c r="B269" s="167"/>
      <c r="C269" s="4"/>
      <c r="D269" s="166"/>
      <c r="E269" s="167"/>
      <c r="F269" s="166"/>
      <c r="G269" s="92"/>
      <c r="H269" s="5"/>
      <c r="I269" s="192"/>
      <c r="J269" s="192"/>
      <c r="K269" s="92"/>
    </row>
    <row r="270" spans="1:15" s="163" customFormat="1">
      <c r="A270" s="341" t="s">
        <v>153</v>
      </c>
      <c r="B270" s="159"/>
      <c r="C270" s="4"/>
      <c r="D270" s="166"/>
      <c r="E270" s="167"/>
      <c r="F270" s="166"/>
      <c r="G270" s="92"/>
      <c r="H270" s="5"/>
      <c r="I270" s="192"/>
      <c r="J270" s="192"/>
      <c r="K270" s="92"/>
    </row>
    <row r="271" spans="1:15" s="163" customFormat="1">
      <c r="A271" s="353" t="s">
        <v>154</v>
      </c>
      <c r="B271" s="159"/>
      <c r="C271" s="4"/>
      <c r="D271" s="166"/>
      <c r="E271" s="167"/>
      <c r="F271" s="166"/>
      <c r="G271" s="15"/>
      <c r="H271" s="5"/>
      <c r="I271" s="108"/>
      <c r="J271" s="109"/>
      <c r="K271" s="15"/>
    </row>
    <row r="272" spans="1:15" s="163" customFormat="1">
      <c r="A272" s="346" t="s">
        <v>155</v>
      </c>
      <c r="B272" s="159"/>
      <c r="C272" s="4"/>
      <c r="D272" s="166"/>
      <c r="E272" s="167"/>
      <c r="F272" s="166"/>
      <c r="G272" s="15"/>
      <c r="H272" s="5"/>
      <c r="I272" s="91"/>
      <c r="J272" s="5"/>
      <c r="K272" s="15"/>
    </row>
    <row r="273" spans="1:15" s="163" customFormat="1">
      <c r="A273" s="342" t="s">
        <v>156</v>
      </c>
      <c r="B273" s="159"/>
      <c r="C273" s="4">
        <v>103438</v>
      </c>
      <c r="D273" s="166"/>
      <c r="E273" s="14">
        <v>1.83</v>
      </c>
      <c r="F273" s="100"/>
      <c r="G273" s="15">
        <f>ROUND(C273*E273,0)</f>
        <v>189292</v>
      </c>
      <c r="H273" s="5"/>
      <c r="I273" s="31">
        <f>$N$121</f>
        <v>-6.7074300000000003E-3</v>
      </c>
      <c r="J273" s="100"/>
      <c r="K273" s="15">
        <f t="shared" ref="K273:K277" si="64">$G273*I273</f>
        <v>-1269.6628395600001</v>
      </c>
      <c r="O273" s="138">
        <f>G273*I273-K273</f>
        <v>0</v>
      </c>
    </row>
    <row r="274" spans="1:15" s="163" customFormat="1">
      <c r="A274" s="342" t="s">
        <v>157</v>
      </c>
      <c r="B274" s="159"/>
      <c r="C274" s="4">
        <v>159006</v>
      </c>
      <c r="D274" s="166"/>
      <c r="E274" s="14">
        <v>2.5</v>
      </c>
      <c r="F274" s="100"/>
      <c r="G274" s="15">
        <f>ROUND(C274*E274,0)</f>
        <v>397515</v>
      </c>
      <c r="H274" s="5"/>
      <c r="I274" s="31">
        <f>$N$121</f>
        <v>-6.7074300000000003E-3</v>
      </c>
      <c r="J274" s="100"/>
      <c r="K274" s="15">
        <f t="shared" si="64"/>
        <v>-2666.3040364500002</v>
      </c>
      <c r="O274" s="138">
        <f>G274*I274-K274</f>
        <v>0</v>
      </c>
    </row>
    <row r="275" spans="1:15" s="163" customFormat="1">
      <c r="A275" s="342" t="s">
        <v>158</v>
      </c>
      <c r="B275" s="159"/>
      <c r="C275" s="4">
        <v>134332</v>
      </c>
      <c r="D275" s="166"/>
      <c r="E275" s="14">
        <v>3.66</v>
      </c>
      <c r="F275" s="100"/>
      <c r="G275" s="15">
        <f>ROUND(C275*E275,0)</f>
        <v>491655</v>
      </c>
      <c r="H275" s="5"/>
      <c r="I275" s="31">
        <f>$N$121</f>
        <v>-6.7074300000000003E-3</v>
      </c>
      <c r="J275" s="100"/>
      <c r="K275" s="15">
        <f t="shared" si="64"/>
        <v>-3297.74149665</v>
      </c>
      <c r="O275" s="138">
        <f>G275*I275-K275</f>
        <v>0</v>
      </c>
    </row>
    <row r="276" spans="1:15" s="163" customFormat="1">
      <c r="A276" s="342" t="s">
        <v>159</v>
      </c>
      <c r="B276" s="159"/>
      <c r="C276" s="4">
        <v>48293</v>
      </c>
      <c r="D276" s="166"/>
      <c r="E276" s="14">
        <v>6.52</v>
      </c>
      <c r="F276" s="100"/>
      <c r="G276" s="15">
        <f>ROUND(C276*E276,0)</f>
        <v>314870</v>
      </c>
      <c r="H276" s="5"/>
      <c r="I276" s="31">
        <f>$N$121</f>
        <v>-6.7074300000000003E-3</v>
      </c>
      <c r="J276" s="100"/>
      <c r="K276" s="15">
        <f t="shared" si="64"/>
        <v>-2111.9684841000003</v>
      </c>
      <c r="O276" s="138">
        <f>G276*I276-K276</f>
        <v>0</v>
      </c>
    </row>
    <row r="277" spans="1:15" s="163" customFormat="1">
      <c r="A277" s="342" t="s">
        <v>160</v>
      </c>
      <c r="B277" s="159"/>
      <c r="C277" s="4">
        <v>65553</v>
      </c>
      <c r="D277" s="166"/>
      <c r="E277" s="14">
        <v>10.02</v>
      </c>
      <c r="F277" s="100"/>
      <c r="G277" s="15">
        <f>ROUND(C277*E277,0)</f>
        <v>656841</v>
      </c>
      <c r="H277" s="5"/>
      <c r="I277" s="31">
        <f>$N$121</f>
        <v>-6.7074300000000003E-3</v>
      </c>
      <c r="J277" s="100"/>
      <c r="K277" s="15">
        <f t="shared" si="64"/>
        <v>-4405.7150286300002</v>
      </c>
      <c r="O277" s="138">
        <f>G277*I277-K277</f>
        <v>0</v>
      </c>
    </row>
    <row r="278" spans="1:15" s="163" customFormat="1">
      <c r="A278" s="346" t="s">
        <v>129</v>
      </c>
      <c r="B278" s="159"/>
      <c r="C278" s="4"/>
      <c r="D278" s="166"/>
      <c r="E278" s="105"/>
      <c r="F278" s="20"/>
      <c r="G278" s="15"/>
      <c r="H278" s="5"/>
      <c r="I278" s="106"/>
      <c r="J278" s="20"/>
      <c r="K278" s="15"/>
      <c r="O278" s="138"/>
    </row>
    <row r="279" spans="1:15" s="163" customFormat="1">
      <c r="A279" s="342" t="s">
        <v>161</v>
      </c>
      <c r="B279" s="159"/>
      <c r="C279" s="4">
        <v>6583</v>
      </c>
      <c r="D279" s="166"/>
      <c r="E279" s="14">
        <v>2.5499999999999998</v>
      </c>
      <c r="F279" s="100"/>
      <c r="G279" s="15">
        <f>ROUND(C279*E279,0)</f>
        <v>16787</v>
      </c>
      <c r="H279" s="5"/>
      <c r="I279" s="31">
        <f>$N$121</f>
        <v>-6.7074300000000003E-3</v>
      </c>
      <c r="J279" s="100"/>
      <c r="K279" s="15">
        <f t="shared" ref="K279:K283" si="65">$G279*I279</f>
        <v>-112.59762741</v>
      </c>
      <c r="O279" s="138">
        <f>G279*I279-K279</f>
        <v>0</v>
      </c>
    </row>
    <row r="280" spans="1:15" s="163" customFormat="1">
      <c r="A280" s="342" t="s">
        <v>162</v>
      </c>
      <c r="B280" s="159"/>
      <c r="C280" s="4">
        <v>18818</v>
      </c>
      <c r="D280" s="166"/>
      <c r="E280" s="14">
        <v>4.46</v>
      </c>
      <c r="F280" s="100"/>
      <c r="G280" s="15">
        <f>ROUND(C280*E280,0)</f>
        <v>83928</v>
      </c>
      <c r="H280" s="5"/>
      <c r="I280" s="31">
        <f>$N$121</f>
        <v>-6.7074300000000003E-3</v>
      </c>
      <c r="J280" s="100"/>
      <c r="K280" s="15">
        <f t="shared" si="65"/>
        <v>-562.94118504000005</v>
      </c>
      <c r="O280" s="138">
        <f>G280*I280-K280</f>
        <v>0</v>
      </c>
    </row>
    <row r="281" spans="1:15" s="163" customFormat="1">
      <c r="A281" s="342" t="s">
        <v>163</v>
      </c>
      <c r="B281" s="159"/>
      <c r="C281" s="4">
        <v>28281</v>
      </c>
      <c r="D281" s="166"/>
      <c r="E281" s="14">
        <v>6.17</v>
      </c>
      <c r="F281" s="100"/>
      <c r="G281" s="15">
        <f>ROUND(C281*E281,0)</f>
        <v>174494</v>
      </c>
      <c r="H281" s="5"/>
      <c r="I281" s="31">
        <f>$N$121</f>
        <v>-6.7074300000000003E-3</v>
      </c>
      <c r="J281" s="100"/>
      <c r="K281" s="15">
        <f t="shared" si="65"/>
        <v>-1170.40629042</v>
      </c>
      <c r="O281" s="138">
        <f>G281*I281-K281</f>
        <v>0</v>
      </c>
    </row>
    <row r="282" spans="1:15" s="163" customFormat="1">
      <c r="A282" s="342" t="s">
        <v>164</v>
      </c>
      <c r="B282" s="159"/>
      <c r="C282" s="4">
        <v>27914</v>
      </c>
      <c r="D282" s="166"/>
      <c r="E282" s="100">
        <v>9.77</v>
      </c>
      <c r="F282" s="100"/>
      <c r="G282" s="15">
        <f>ROUND(C282*E282,0)</f>
        <v>272720</v>
      </c>
      <c r="H282" s="5"/>
      <c r="I282" s="31">
        <f>$N$121</f>
        <v>-6.7074300000000003E-3</v>
      </c>
      <c r="J282" s="100"/>
      <c r="K282" s="15">
        <f t="shared" si="65"/>
        <v>-1829.2503096</v>
      </c>
      <c r="O282" s="138">
        <f>G282*I282-K282</f>
        <v>0</v>
      </c>
    </row>
    <row r="283" spans="1:15" s="163" customFormat="1">
      <c r="A283" s="346" t="s">
        <v>165</v>
      </c>
      <c r="B283" s="159"/>
      <c r="C283" s="48">
        <v>10059553</v>
      </c>
      <c r="D283" s="166"/>
      <c r="E283" s="364">
        <v>6.5278999999999998</v>
      </c>
      <c r="F283" s="102" t="s">
        <v>11</v>
      </c>
      <c r="G283" s="37">
        <f>ROUND(C283*E283/100,0)</f>
        <v>656678</v>
      </c>
      <c r="H283" s="5"/>
      <c r="I283" s="31">
        <f>$N$121</f>
        <v>-6.7074300000000003E-3</v>
      </c>
      <c r="J283" s="100"/>
      <c r="K283" s="37">
        <f t="shared" si="65"/>
        <v>-4404.6217175400006</v>
      </c>
      <c r="O283" s="138">
        <f>G283*I283-K283</f>
        <v>0</v>
      </c>
    </row>
    <row r="284" spans="1:15" s="163" customFormat="1">
      <c r="A284" s="346" t="s">
        <v>166</v>
      </c>
      <c r="B284" s="159"/>
      <c r="C284" s="16">
        <v>49653569.797972836</v>
      </c>
      <c r="D284" s="166"/>
      <c r="E284" s="166"/>
      <c r="F284" s="166"/>
      <c r="G284" s="21">
        <f>SUM(G273:G283)</f>
        <v>3254780</v>
      </c>
      <c r="H284" s="5"/>
      <c r="I284" s="125"/>
      <c r="J284" s="100"/>
      <c r="K284" s="21">
        <f>SUM(K273:K283)</f>
        <v>-21831.209015400003</v>
      </c>
    </row>
    <row r="285" spans="1:15" s="163" customFormat="1">
      <c r="A285" s="346" t="s">
        <v>83</v>
      </c>
      <c r="B285" s="159"/>
      <c r="C285" s="16"/>
      <c r="D285" s="166"/>
      <c r="E285" s="124"/>
      <c r="F285" s="102"/>
      <c r="G285" s="21"/>
      <c r="H285" s="5"/>
      <c r="I285" s="125"/>
      <c r="J285" s="100"/>
      <c r="K285" s="21"/>
    </row>
    <row r="286" spans="1:15" s="163" customFormat="1">
      <c r="A286" s="346" t="s">
        <v>152</v>
      </c>
      <c r="B286" s="159"/>
      <c r="C286" s="48">
        <v>49653569.797972836</v>
      </c>
      <c r="D286" s="166"/>
      <c r="E286" s="364"/>
      <c r="F286" s="102"/>
      <c r="G286" s="37">
        <f>SUM(G284:G285)</f>
        <v>3254780</v>
      </c>
      <c r="H286" s="5"/>
      <c r="I286" s="125"/>
      <c r="J286" s="100"/>
      <c r="K286" s="37">
        <f>SUM(K284:K285)</f>
        <v>-21831.209015400003</v>
      </c>
    </row>
    <row r="287" spans="1:15" s="163" customFormat="1">
      <c r="A287" s="346" t="s">
        <v>306</v>
      </c>
      <c r="B287" s="159"/>
      <c r="C287" s="16">
        <v>519</v>
      </c>
      <c r="D287" s="166"/>
      <c r="E287" s="166"/>
      <c r="F287" s="166"/>
      <c r="G287" s="21"/>
      <c r="H287" s="5"/>
      <c r="I287" s="91"/>
      <c r="J287" s="5"/>
      <c r="K287" s="21"/>
    </row>
    <row r="288" spans="1:15" s="163" customFormat="1">
      <c r="A288" s="354" t="s">
        <v>167</v>
      </c>
      <c r="B288" s="159"/>
      <c r="C288" s="4"/>
      <c r="D288" s="166"/>
      <c r="E288" s="167"/>
      <c r="F288" s="166"/>
      <c r="G288" s="92"/>
      <c r="H288" s="5"/>
      <c r="I288" s="91"/>
      <c r="J288" s="5"/>
      <c r="K288" s="92"/>
    </row>
    <row r="289" spans="1:15" s="163" customFormat="1">
      <c r="A289" s="346" t="s">
        <v>168</v>
      </c>
      <c r="B289" s="159"/>
      <c r="C289" s="4"/>
      <c r="D289" s="166"/>
      <c r="E289" s="167"/>
      <c r="F289" s="166"/>
      <c r="G289" s="15"/>
      <c r="H289" s="5"/>
      <c r="I289" s="192"/>
      <c r="J289" s="192"/>
      <c r="K289" s="15"/>
    </row>
    <row r="290" spans="1:15" s="163" customFormat="1">
      <c r="A290" s="342" t="s">
        <v>169</v>
      </c>
      <c r="B290" s="159"/>
      <c r="C290" s="4">
        <v>76</v>
      </c>
      <c r="D290" s="166"/>
      <c r="E290" s="14">
        <v>8.9600000000000009</v>
      </c>
      <c r="F290" s="100"/>
      <c r="G290" s="15">
        <f>ROUND(C290*E290,0)</f>
        <v>681</v>
      </c>
      <c r="H290" s="5"/>
      <c r="I290" s="31">
        <f>$N$121</f>
        <v>-6.7074300000000003E-3</v>
      </c>
      <c r="J290" s="100"/>
      <c r="K290" s="15">
        <f t="shared" ref="K290:K291" si="66">$G290*I290</f>
        <v>-4.56775983</v>
      </c>
      <c r="O290" s="138">
        <f>G290*I290-K290</f>
        <v>0</v>
      </c>
    </row>
    <row r="291" spans="1:15" s="163" customFormat="1">
      <c r="A291" s="342" t="s">
        <v>141</v>
      </c>
      <c r="B291" s="159"/>
      <c r="C291" s="4">
        <v>91</v>
      </c>
      <c r="D291" s="166"/>
      <c r="E291" s="14">
        <v>12.19</v>
      </c>
      <c r="F291" s="100"/>
      <c r="G291" s="15">
        <f>ROUND(C291*E291,0)</f>
        <v>1109</v>
      </c>
      <c r="H291" s="5"/>
      <c r="I291" s="31">
        <f>$N$121</f>
        <v>-6.7074300000000003E-3</v>
      </c>
      <c r="J291" s="100"/>
      <c r="K291" s="15">
        <f t="shared" si="66"/>
        <v>-7.4385398700000005</v>
      </c>
      <c r="O291" s="138">
        <f>G291*I291-K291</f>
        <v>0</v>
      </c>
    </row>
    <row r="292" spans="1:15" s="163" customFormat="1">
      <c r="A292" s="346" t="s">
        <v>170</v>
      </c>
      <c r="B292" s="159"/>
      <c r="C292" s="4"/>
      <c r="D292" s="166"/>
      <c r="E292" s="14"/>
      <c r="F292" s="100"/>
      <c r="G292" s="15"/>
      <c r="H292" s="5"/>
      <c r="I292" s="31"/>
      <c r="J292" s="100"/>
      <c r="K292" s="15"/>
      <c r="O292" s="138">
        <f>G292*I292-K292</f>
        <v>0</v>
      </c>
    </row>
    <row r="293" spans="1:15" s="163" customFormat="1">
      <c r="A293" s="342" t="s">
        <v>141</v>
      </c>
      <c r="B293" s="159"/>
      <c r="C293" s="4">
        <v>47</v>
      </c>
      <c r="D293" s="166"/>
      <c r="E293" s="14">
        <v>4.6399999999999997</v>
      </c>
      <c r="F293" s="100"/>
      <c r="G293" s="15">
        <f>ROUND(C293*E293,0)</f>
        <v>218</v>
      </c>
      <c r="H293" s="5"/>
      <c r="I293" s="31">
        <f>$N$121</f>
        <v>-6.7074300000000003E-3</v>
      </c>
      <c r="J293" s="100"/>
      <c r="K293" s="15">
        <f t="shared" ref="K293" si="67">$G293*I293</f>
        <v>-1.4622197400000001</v>
      </c>
      <c r="O293" s="138"/>
    </row>
    <row r="294" spans="1:15" s="163" customFormat="1">
      <c r="A294" s="342" t="s">
        <v>56</v>
      </c>
      <c r="B294" s="159"/>
      <c r="C294" s="16">
        <v>546</v>
      </c>
      <c r="D294" s="166"/>
      <c r="E294" s="14">
        <v>7</v>
      </c>
      <c r="F294" s="166"/>
      <c r="G294" s="15">
        <f>ROUND(C294*E294,0)</f>
        <v>3822</v>
      </c>
      <c r="H294" s="5"/>
      <c r="I294" s="31">
        <f>$N$121</f>
        <v>-6.7074300000000003E-3</v>
      </c>
      <c r="J294" s="100"/>
      <c r="K294" s="15">
        <f t="shared" ref="K294:K298" si="68">$G294*I294</f>
        <v>-25.635797460000003</v>
      </c>
      <c r="O294" s="138">
        <f>G294*I294-K294</f>
        <v>0</v>
      </c>
    </row>
    <row r="295" spans="1:15" s="163" customFormat="1">
      <c r="A295" s="342" t="s">
        <v>58</v>
      </c>
      <c r="B295" s="159"/>
      <c r="C295" s="4">
        <v>140</v>
      </c>
      <c r="D295" s="166"/>
      <c r="E295" s="14">
        <v>13.33</v>
      </c>
      <c r="F295" s="100"/>
      <c r="G295" s="15">
        <f>ROUND(C295*E295,0)</f>
        <v>1866</v>
      </c>
      <c r="H295" s="5"/>
      <c r="I295" s="31">
        <f>$N$121</f>
        <v>-6.7074300000000003E-3</v>
      </c>
      <c r="J295" s="100"/>
      <c r="K295" s="15">
        <f t="shared" si="68"/>
        <v>-12.516064380000001</v>
      </c>
      <c r="O295" s="138">
        <f>G295*I295-K295</f>
        <v>0</v>
      </c>
    </row>
    <row r="296" spans="1:15" s="163" customFormat="1">
      <c r="A296" s="342" t="s">
        <v>171</v>
      </c>
      <c r="B296" s="159"/>
      <c r="C296" s="4">
        <v>0</v>
      </c>
      <c r="D296" s="166"/>
      <c r="E296" s="14">
        <v>28.38</v>
      </c>
      <c r="F296" s="100"/>
      <c r="G296" s="15">
        <f>ROUND(C296*E296,0)</f>
        <v>0</v>
      </c>
      <c r="H296" s="5"/>
      <c r="I296" s="31">
        <f>$N$121</f>
        <v>-6.7074300000000003E-3</v>
      </c>
      <c r="J296" s="100"/>
      <c r="K296" s="15">
        <f t="shared" si="68"/>
        <v>0</v>
      </c>
      <c r="O296" s="138">
        <f>G296*I296-K296</f>
        <v>0</v>
      </c>
    </row>
    <row r="297" spans="1:15" s="163" customFormat="1">
      <c r="A297" s="346" t="s">
        <v>172</v>
      </c>
      <c r="B297" s="159"/>
      <c r="C297" s="4"/>
      <c r="D297" s="166"/>
      <c r="E297" s="14"/>
      <c r="F297" s="100"/>
      <c r="G297" s="15"/>
      <c r="H297" s="5"/>
      <c r="I297" s="31"/>
      <c r="J297" s="100"/>
      <c r="K297" s="15"/>
      <c r="O297" s="138">
        <f>G297*I297-K297</f>
        <v>0</v>
      </c>
    </row>
    <row r="298" spans="1:15" s="163" customFormat="1">
      <c r="A298" s="342" t="s">
        <v>156</v>
      </c>
      <c r="B298" s="159"/>
      <c r="C298" s="4">
        <v>34609</v>
      </c>
      <c r="D298" s="166"/>
      <c r="E298" s="14">
        <v>4.08</v>
      </c>
      <c r="F298" s="100"/>
      <c r="G298" s="15">
        <f>ROUND(C298*E298,0)</f>
        <v>141205</v>
      </c>
      <c r="H298" s="5"/>
      <c r="I298" s="31">
        <f t="shared" ref="I298:I307" si="69">$N$121</f>
        <v>-6.7074300000000003E-3</v>
      </c>
      <c r="J298" s="100"/>
      <c r="K298" s="15">
        <f t="shared" si="68"/>
        <v>-947.12265315000002</v>
      </c>
      <c r="O298" s="138">
        <f>G298*I298-K298</f>
        <v>0</v>
      </c>
    </row>
    <row r="299" spans="1:15" s="163" customFormat="1">
      <c r="A299" s="342" t="s">
        <v>157</v>
      </c>
      <c r="B299" s="159"/>
      <c r="C299" s="4">
        <v>15632</v>
      </c>
      <c r="D299" s="166"/>
      <c r="E299" s="14">
        <v>5.37</v>
      </c>
      <c r="F299" s="100"/>
      <c r="G299" s="15">
        <f>ROUND(C299*E299,0)</f>
        <v>83944</v>
      </c>
      <c r="H299" s="5"/>
      <c r="I299" s="31">
        <f t="shared" si="69"/>
        <v>-6.7074300000000003E-3</v>
      </c>
      <c r="J299" s="100"/>
      <c r="K299" s="15">
        <f t="shared" ref="K299" si="70">$G299*I299</f>
        <v>-563.04850392000003</v>
      </c>
      <c r="O299" s="138"/>
    </row>
    <row r="300" spans="1:15" s="163" customFormat="1">
      <c r="A300" s="342" t="s">
        <v>173</v>
      </c>
      <c r="B300" s="159"/>
      <c r="C300" s="4">
        <v>8817</v>
      </c>
      <c r="D300" s="166"/>
      <c r="E300" s="14">
        <v>6.96</v>
      </c>
      <c r="F300" s="100"/>
      <c r="G300" s="15">
        <f t="shared" ref="G300:G312" si="71">ROUND(C300*E300,0)</f>
        <v>61366</v>
      </c>
      <c r="H300" s="5"/>
      <c r="I300" s="31">
        <f t="shared" si="69"/>
        <v>-6.7074300000000003E-3</v>
      </c>
      <c r="J300" s="100"/>
      <c r="K300" s="15">
        <f t="shared" ref="K300:K312" si="72">$G300*I300</f>
        <v>-411.60814938000004</v>
      </c>
      <c r="O300" s="138">
        <f t="shared" ref="O300:O315" si="73">G300*I300-K300</f>
        <v>0</v>
      </c>
    </row>
    <row r="301" spans="1:15" s="163" customFormat="1">
      <c r="A301" s="342" t="s">
        <v>158</v>
      </c>
      <c r="B301" s="159"/>
      <c r="C301" s="4">
        <v>2548</v>
      </c>
      <c r="D301" s="166"/>
      <c r="E301" s="14">
        <v>6.52</v>
      </c>
      <c r="F301" s="100"/>
      <c r="G301" s="15">
        <f t="shared" si="71"/>
        <v>16613</v>
      </c>
      <c r="H301" s="5"/>
      <c r="I301" s="31">
        <f t="shared" si="69"/>
        <v>-6.7074300000000003E-3</v>
      </c>
      <c r="J301" s="100"/>
      <c r="K301" s="15">
        <f t="shared" si="72"/>
        <v>-111.43053459000001</v>
      </c>
      <c r="O301" s="138">
        <f t="shared" si="73"/>
        <v>0</v>
      </c>
    </row>
    <row r="302" spans="1:15" s="163" customFormat="1">
      <c r="A302" s="342" t="s">
        <v>174</v>
      </c>
      <c r="B302" s="159"/>
      <c r="C302" s="4">
        <v>799</v>
      </c>
      <c r="D302" s="166"/>
      <c r="E302" s="14">
        <v>8.27</v>
      </c>
      <c r="F302" s="100"/>
      <c r="G302" s="15">
        <f t="shared" si="71"/>
        <v>6608</v>
      </c>
      <c r="H302" s="5"/>
      <c r="I302" s="31">
        <f t="shared" si="69"/>
        <v>-6.7074300000000003E-3</v>
      </c>
      <c r="J302" s="100"/>
      <c r="K302" s="15">
        <f t="shared" si="72"/>
        <v>-44.322697439999999</v>
      </c>
      <c r="O302" s="138">
        <f t="shared" si="73"/>
        <v>0</v>
      </c>
    </row>
    <row r="303" spans="1:15" s="163" customFormat="1">
      <c r="A303" s="342" t="s">
        <v>175</v>
      </c>
      <c r="B303" s="159"/>
      <c r="C303" s="4">
        <v>0</v>
      </c>
      <c r="D303" s="166"/>
      <c r="E303" s="14">
        <v>8.26</v>
      </c>
      <c r="F303" s="100"/>
      <c r="G303" s="15">
        <f t="shared" si="71"/>
        <v>0</v>
      </c>
      <c r="H303" s="5"/>
      <c r="I303" s="31">
        <f t="shared" si="69"/>
        <v>-6.7074300000000003E-3</v>
      </c>
      <c r="J303" s="100"/>
      <c r="K303" s="15">
        <f t="shared" si="72"/>
        <v>0</v>
      </c>
      <c r="O303" s="138">
        <f t="shared" si="73"/>
        <v>0</v>
      </c>
    </row>
    <row r="304" spans="1:15" s="163" customFormat="1">
      <c r="A304" s="342" t="s">
        <v>159</v>
      </c>
      <c r="B304" s="159"/>
      <c r="C304" s="4">
        <v>5601</v>
      </c>
      <c r="D304" s="166"/>
      <c r="E304" s="14">
        <v>9.59</v>
      </c>
      <c r="F304" s="100"/>
      <c r="G304" s="15">
        <f t="shared" si="71"/>
        <v>53714</v>
      </c>
      <c r="H304" s="5"/>
      <c r="I304" s="31">
        <f t="shared" si="69"/>
        <v>-6.7074300000000003E-3</v>
      </c>
      <c r="J304" s="100"/>
      <c r="K304" s="15">
        <f t="shared" si="72"/>
        <v>-360.28289502000001</v>
      </c>
      <c r="O304" s="138">
        <f t="shared" si="73"/>
        <v>0</v>
      </c>
    </row>
    <row r="305" spans="1:15" s="163" customFormat="1">
      <c r="A305" s="342" t="s">
        <v>176</v>
      </c>
      <c r="B305" s="159"/>
      <c r="C305" s="4">
        <v>143</v>
      </c>
      <c r="D305" s="166"/>
      <c r="E305" s="14">
        <v>11.93</v>
      </c>
      <c r="F305" s="100"/>
      <c r="G305" s="15">
        <f t="shared" si="71"/>
        <v>1706</v>
      </c>
      <c r="H305" s="5"/>
      <c r="I305" s="31">
        <f t="shared" si="69"/>
        <v>-6.7074300000000003E-3</v>
      </c>
      <c r="J305" s="100"/>
      <c r="K305" s="15">
        <f t="shared" si="72"/>
        <v>-11.442875580000001</v>
      </c>
      <c r="O305" s="138">
        <f t="shared" si="73"/>
        <v>0</v>
      </c>
    </row>
    <row r="306" spans="1:15" s="163" customFormat="1">
      <c r="A306" s="342" t="s">
        <v>160</v>
      </c>
      <c r="B306" s="159"/>
      <c r="C306" s="4">
        <v>10133</v>
      </c>
      <c r="D306" s="166"/>
      <c r="E306" s="14">
        <v>14</v>
      </c>
      <c r="F306" s="100"/>
      <c r="G306" s="15">
        <f t="shared" si="71"/>
        <v>141862</v>
      </c>
      <c r="H306" s="5"/>
      <c r="I306" s="31">
        <f t="shared" si="69"/>
        <v>-6.7074300000000003E-3</v>
      </c>
      <c r="J306" s="100"/>
      <c r="K306" s="15">
        <f t="shared" si="72"/>
        <v>-951.52943465999999</v>
      </c>
      <c r="O306" s="138">
        <f t="shared" si="73"/>
        <v>0</v>
      </c>
    </row>
    <row r="307" spans="1:15" s="163" customFormat="1">
      <c r="A307" s="342" t="s">
        <v>177</v>
      </c>
      <c r="B307" s="159"/>
      <c r="C307" s="4">
        <v>157</v>
      </c>
      <c r="D307" s="166"/>
      <c r="E307" s="14">
        <v>15.56</v>
      </c>
      <c r="F307" s="100"/>
      <c r="G307" s="15">
        <f t="shared" si="71"/>
        <v>2443</v>
      </c>
      <c r="H307" s="5"/>
      <c r="I307" s="31">
        <f t="shared" si="69"/>
        <v>-6.7074300000000003E-3</v>
      </c>
      <c r="J307" s="100"/>
      <c r="K307" s="15">
        <f t="shared" si="72"/>
        <v>-16.386251489999999</v>
      </c>
      <c r="O307" s="138">
        <f t="shared" si="73"/>
        <v>0</v>
      </c>
    </row>
    <row r="308" spans="1:15" s="163" customFormat="1">
      <c r="A308" s="346" t="s">
        <v>129</v>
      </c>
      <c r="B308" s="159"/>
      <c r="C308" s="4"/>
      <c r="D308" s="166"/>
      <c r="E308" s="14"/>
      <c r="F308" s="100"/>
      <c r="G308" s="15"/>
      <c r="H308" s="5"/>
      <c r="I308" s="31"/>
      <c r="J308" s="100"/>
      <c r="K308" s="15"/>
      <c r="O308" s="138">
        <f t="shared" si="73"/>
        <v>0</v>
      </c>
    </row>
    <row r="309" spans="1:15" s="163" customFormat="1">
      <c r="A309" s="342" t="s">
        <v>178</v>
      </c>
      <c r="B309" s="159"/>
      <c r="C309" s="4">
        <v>702</v>
      </c>
      <c r="D309" s="166"/>
      <c r="E309" s="14">
        <v>9.19</v>
      </c>
      <c r="F309" s="100"/>
      <c r="G309" s="15">
        <f t="shared" si="71"/>
        <v>6451</v>
      </c>
      <c r="H309" s="5"/>
      <c r="I309" s="31">
        <f t="shared" ref="I309:I315" si="74">$N$121</f>
        <v>-6.7074300000000003E-3</v>
      </c>
      <c r="J309" s="100"/>
      <c r="K309" s="15">
        <f t="shared" si="72"/>
        <v>-43.269630930000005</v>
      </c>
      <c r="O309" s="138">
        <f t="shared" si="73"/>
        <v>0</v>
      </c>
    </row>
    <row r="310" spans="1:15" s="163" customFormat="1">
      <c r="A310" s="342" t="s">
        <v>162</v>
      </c>
      <c r="B310" s="159"/>
      <c r="C310" s="4">
        <v>1617</v>
      </c>
      <c r="D310" s="166"/>
      <c r="E310" s="14">
        <v>13.57</v>
      </c>
      <c r="F310" s="100"/>
      <c r="G310" s="15">
        <f t="shared" si="71"/>
        <v>21943</v>
      </c>
      <c r="H310" s="5"/>
      <c r="I310" s="31">
        <f t="shared" si="74"/>
        <v>-6.7074300000000003E-3</v>
      </c>
      <c r="J310" s="100"/>
      <c r="K310" s="15">
        <f t="shared" si="72"/>
        <v>-147.18113649</v>
      </c>
      <c r="O310" s="138">
        <f t="shared" si="73"/>
        <v>0</v>
      </c>
    </row>
    <row r="311" spans="1:15" s="163" customFormat="1">
      <c r="A311" s="342" t="s">
        <v>179</v>
      </c>
      <c r="B311" s="159"/>
      <c r="C311" s="4">
        <v>225</v>
      </c>
      <c r="D311" s="166"/>
      <c r="E311" s="14">
        <v>11.09</v>
      </c>
      <c r="F311" s="100"/>
      <c r="G311" s="15">
        <f t="shared" si="71"/>
        <v>2495</v>
      </c>
      <c r="H311" s="5"/>
      <c r="I311" s="31">
        <f t="shared" si="74"/>
        <v>-6.7074300000000003E-3</v>
      </c>
      <c r="J311" s="100"/>
      <c r="K311" s="15">
        <f t="shared" si="72"/>
        <v>-16.735037850000001</v>
      </c>
      <c r="O311" s="138">
        <f t="shared" si="73"/>
        <v>0</v>
      </c>
    </row>
    <row r="312" spans="1:15" s="163" customFormat="1">
      <c r="A312" s="342" t="s">
        <v>163</v>
      </c>
      <c r="B312" s="159"/>
      <c r="C312" s="4">
        <v>518</v>
      </c>
      <c r="D312" s="166"/>
      <c r="E312" s="14">
        <v>13.71</v>
      </c>
      <c r="F312" s="100"/>
      <c r="G312" s="21">
        <f t="shared" si="71"/>
        <v>7102</v>
      </c>
      <c r="H312" s="5"/>
      <c r="I312" s="31">
        <f t="shared" si="74"/>
        <v>-6.7074300000000003E-3</v>
      </c>
      <c r="J312" s="100"/>
      <c r="K312" s="21">
        <f t="shared" si="72"/>
        <v>-47.63616786</v>
      </c>
      <c r="O312" s="138">
        <f t="shared" si="73"/>
        <v>0</v>
      </c>
    </row>
    <row r="313" spans="1:15" s="163" customFormat="1">
      <c r="A313" s="342" t="s">
        <v>180</v>
      </c>
      <c r="B313" s="159"/>
      <c r="C313" s="4">
        <v>6034</v>
      </c>
      <c r="D313" s="166"/>
      <c r="E313" s="14">
        <v>14.13</v>
      </c>
      <c r="F313" s="100"/>
      <c r="G313" s="15">
        <f t="shared" ref="G313:G315" si="75">ROUND(C313*E313,0)</f>
        <v>85260</v>
      </c>
      <c r="H313" s="5"/>
      <c r="I313" s="31">
        <f t="shared" si="74"/>
        <v>-6.7074300000000003E-3</v>
      </c>
      <c r="J313" s="100"/>
      <c r="K313" s="15">
        <f t="shared" ref="K313:K315" si="76">$G313*I313</f>
        <v>-571.87548179999999</v>
      </c>
      <c r="O313" s="138">
        <f t="shared" si="73"/>
        <v>0</v>
      </c>
    </row>
    <row r="314" spans="1:15" s="163" customFormat="1">
      <c r="A314" s="342" t="s">
        <v>164</v>
      </c>
      <c r="B314" s="159"/>
      <c r="C314" s="4">
        <v>544</v>
      </c>
      <c r="D314" s="166"/>
      <c r="E314" s="14">
        <v>14.58</v>
      </c>
      <c r="F314" s="100"/>
      <c r="G314" s="15">
        <f t="shared" si="75"/>
        <v>7932</v>
      </c>
      <c r="H314" s="5"/>
      <c r="I314" s="31">
        <f t="shared" si="74"/>
        <v>-6.7074300000000003E-3</v>
      </c>
      <c r="J314" s="100"/>
      <c r="K314" s="15">
        <f t="shared" si="76"/>
        <v>-53.203334760000004</v>
      </c>
      <c r="O314" s="138">
        <f t="shared" si="73"/>
        <v>0</v>
      </c>
    </row>
    <row r="315" spans="1:15" s="163" customFormat="1">
      <c r="A315" s="342" t="s">
        <v>181</v>
      </c>
      <c r="B315" s="159"/>
      <c r="C315" s="16">
        <v>669</v>
      </c>
      <c r="D315" s="166"/>
      <c r="E315" s="100">
        <v>15.79</v>
      </c>
      <c r="F315" s="100"/>
      <c r="G315" s="21">
        <f t="shared" si="75"/>
        <v>10564</v>
      </c>
      <c r="H315" s="5"/>
      <c r="I315" s="31">
        <f t="shared" si="74"/>
        <v>-6.7074300000000003E-3</v>
      </c>
      <c r="J315" s="100"/>
      <c r="K315" s="21">
        <f t="shared" si="76"/>
        <v>-70.857290520000006</v>
      </c>
      <c r="O315" s="138">
        <f t="shared" si="73"/>
        <v>0</v>
      </c>
    </row>
    <row r="316" spans="1:15" s="163" customFormat="1">
      <c r="A316" s="346" t="s">
        <v>182</v>
      </c>
      <c r="B316" s="159"/>
      <c r="C316" s="4"/>
      <c r="D316" s="166"/>
      <c r="E316" s="14"/>
      <c r="F316" s="100"/>
      <c r="G316" s="15"/>
      <c r="H316" s="5"/>
      <c r="I316" s="31"/>
      <c r="J316" s="100"/>
      <c r="K316" s="15"/>
      <c r="O316" s="138"/>
    </row>
    <row r="317" spans="1:15" s="163" customFormat="1">
      <c r="A317" s="342" t="s">
        <v>183</v>
      </c>
      <c r="B317" s="159"/>
      <c r="C317" s="4">
        <v>0</v>
      </c>
      <c r="D317" s="166"/>
      <c r="E317" s="14">
        <v>3.75</v>
      </c>
      <c r="F317" s="100"/>
      <c r="G317" s="15">
        <f>ROUND(C317*E317,0)</f>
        <v>0</v>
      </c>
      <c r="H317" s="5"/>
      <c r="I317" s="31">
        <f>$N$121</f>
        <v>-6.7074300000000003E-3</v>
      </c>
      <c r="J317" s="100"/>
      <c r="K317" s="15">
        <f t="shared" ref="K317:K318" si="77">$G317*I317</f>
        <v>0</v>
      </c>
      <c r="O317" s="138">
        <f>G317*I317-K317</f>
        <v>0</v>
      </c>
    </row>
    <row r="318" spans="1:15" s="163" customFormat="1">
      <c r="A318" s="342" t="s">
        <v>184</v>
      </c>
      <c r="B318" s="159"/>
      <c r="C318" s="4">
        <v>83</v>
      </c>
      <c r="D318" s="166"/>
      <c r="E318" s="14">
        <v>13.92</v>
      </c>
      <c r="F318" s="100"/>
      <c r="G318" s="21">
        <f>ROUND(C318*E318,0)</f>
        <v>1155</v>
      </c>
      <c r="H318" s="5"/>
      <c r="I318" s="111">
        <f>$N$121</f>
        <v>-6.7074300000000003E-3</v>
      </c>
      <c r="J318" s="100"/>
      <c r="K318" s="21">
        <f t="shared" si="77"/>
        <v>-7.7470816500000002</v>
      </c>
      <c r="O318" s="138">
        <f>G318*I318-K318</f>
        <v>0</v>
      </c>
    </row>
    <row r="319" spans="1:15" s="163" customFormat="1">
      <c r="A319" s="346" t="s">
        <v>166</v>
      </c>
      <c r="B319" s="159"/>
      <c r="C319" s="23">
        <v>5219064.5578195509</v>
      </c>
      <c r="D319" s="166"/>
      <c r="E319" s="175"/>
      <c r="F319" s="166"/>
      <c r="G319" s="37">
        <f>SUM(G290:G318)</f>
        <v>660059</v>
      </c>
      <c r="H319" s="5"/>
      <c r="I319" s="31"/>
      <c r="J319" s="100"/>
      <c r="K319" s="37">
        <f>SUM(K290:K318)</f>
        <v>-4427.2995383699999</v>
      </c>
    </row>
    <row r="320" spans="1:15" s="163" customFormat="1">
      <c r="A320" s="346" t="s">
        <v>83</v>
      </c>
      <c r="B320" s="159"/>
      <c r="C320" s="16"/>
      <c r="D320" s="166"/>
      <c r="E320" s="14"/>
      <c r="F320" s="102"/>
      <c r="G320" s="21"/>
      <c r="H320" s="5"/>
      <c r="I320" s="125"/>
      <c r="J320" s="100"/>
      <c r="K320" s="21"/>
    </row>
    <row r="321" spans="1:15" s="163" customFormat="1">
      <c r="A321" s="346" t="s">
        <v>152</v>
      </c>
      <c r="B321" s="159"/>
      <c r="C321" s="48">
        <v>5219064.5578195509</v>
      </c>
      <c r="D321" s="166"/>
      <c r="E321" s="174"/>
      <c r="F321" s="102"/>
      <c r="G321" s="37">
        <f>SUM(G319:G320)</f>
        <v>660059</v>
      </c>
      <c r="H321" s="5"/>
      <c r="I321" s="125"/>
      <c r="J321" s="100"/>
      <c r="K321" s="37">
        <f>SUM(K319:K320)</f>
        <v>-4427.2995383699999</v>
      </c>
    </row>
    <row r="322" spans="1:15" s="163" customFormat="1">
      <c r="A322" s="346" t="s">
        <v>306</v>
      </c>
      <c r="B322" s="159"/>
      <c r="C322" s="16">
        <v>221</v>
      </c>
      <c r="D322" s="166"/>
      <c r="E322" s="166"/>
      <c r="F322" s="166"/>
      <c r="G322" s="21"/>
      <c r="H322" s="5"/>
      <c r="I322" s="31"/>
      <c r="J322" s="100"/>
      <c r="K322" s="21"/>
    </row>
    <row r="323" spans="1:15" s="163" customFormat="1">
      <c r="A323" s="354" t="s">
        <v>185</v>
      </c>
      <c r="B323" s="159"/>
      <c r="C323" s="4"/>
      <c r="D323" s="166"/>
      <c r="E323" s="14"/>
      <c r="F323" s="100"/>
      <c r="G323" s="92"/>
      <c r="H323" s="5"/>
      <c r="I323" s="192"/>
      <c r="J323" s="192"/>
      <c r="K323" s="92"/>
    </row>
    <row r="324" spans="1:15" s="163" customFormat="1">
      <c r="A324" s="346" t="s">
        <v>168</v>
      </c>
      <c r="B324" s="159"/>
      <c r="C324" s="4"/>
      <c r="D324" s="166"/>
      <c r="E324" s="14"/>
      <c r="F324" s="100"/>
      <c r="G324" s="15"/>
      <c r="H324" s="5"/>
      <c r="I324" s="192"/>
      <c r="J324" s="192"/>
      <c r="K324" s="15"/>
    </row>
    <row r="325" spans="1:15" s="163" customFormat="1">
      <c r="A325" s="342" t="s">
        <v>147</v>
      </c>
      <c r="B325" s="159"/>
      <c r="C325" s="4">
        <v>36</v>
      </c>
      <c r="D325" s="166"/>
      <c r="E325" s="14">
        <v>17.73</v>
      </c>
      <c r="F325" s="100"/>
      <c r="G325" s="15">
        <f>ROUND(C325*E325,0)</f>
        <v>638</v>
      </c>
      <c r="H325" s="5"/>
      <c r="I325" s="31">
        <f>$N$121</f>
        <v>-6.7074300000000003E-3</v>
      </c>
      <c r="J325" s="100"/>
      <c r="K325" s="15">
        <f t="shared" ref="K325:K326" si="78">$G325*I325</f>
        <v>-4.2793403400000001</v>
      </c>
      <c r="O325" s="138">
        <f>G325*I325-K325</f>
        <v>0</v>
      </c>
    </row>
    <row r="326" spans="1:15" s="163" customFormat="1">
      <c r="A326" s="342" t="s">
        <v>142</v>
      </c>
      <c r="B326" s="159"/>
      <c r="C326" s="4">
        <v>12</v>
      </c>
      <c r="D326" s="166"/>
      <c r="E326" s="14">
        <v>23.4</v>
      </c>
      <c r="F326" s="100"/>
      <c r="G326" s="15">
        <f>ROUND(C326*E326,0)</f>
        <v>281</v>
      </c>
      <c r="H326" s="5"/>
      <c r="I326" s="31">
        <f>$N$121</f>
        <v>-6.7074300000000003E-3</v>
      </c>
      <c r="J326" s="100"/>
      <c r="K326" s="15">
        <f t="shared" si="78"/>
        <v>-1.8847878300000001</v>
      </c>
      <c r="O326" s="138">
        <f>G326*I326-K326</f>
        <v>0</v>
      </c>
    </row>
    <row r="327" spans="1:15" s="163" customFormat="1">
      <c r="A327" s="346" t="s">
        <v>170</v>
      </c>
      <c r="B327" s="159"/>
      <c r="C327" s="4"/>
      <c r="D327" s="166"/>
      <c r="E327" s="167"/>
      <c r="F327" s="166"/>
      <c r="G327" s="92"/>
      <c r="H327" s="5"/>
      <c r="I327" s="91"/>
      <c r="J327" s="5"/>
      <c r="K327" s="92"/>
      <c r="O327" s="138"/>
    </row>
    <row r="328" spans="1:15" s="163" customFormat="1">
      <c r="A328" s="342" t="s">
        <v>56</v>
      </c>
      <c r="B328" s="159"/>
      <c r="C328" s="4">
        <v>42</v>
      </c>
      <c r="D328" s="166"/>
      <c r="E328" s="14">
        <v>8.0299999999999994</v>
      </c>
      <c r="F328" s="100"/>
      <c r="G328" s="15">
        <f>ROUND(C328*E328,0)</f>
        <v>337</v>
      </c>
      <c r="H328" s="5"/>
      <c r="I328" s="31">
        <f>$N$121</f>
        <v>-6.7074300000000003E-3</v>
      </c>
      <c r="J328" s="100"/>
      <c r="K328" s="15">
        <f t="shared" ref="K328:K330" si="79">$G328*I328</f>
        <v>-2.26040391</v>
      </c>
      <c r="O328" s="138">
        <f>G328*I328-K328</f>
        <v>0</v>
      </c>
    </row>
    <row r="329" spans="1:15" s="163" customFormat="1">
      <c r="A329" s="342" t="s">
        <v>58</v>
      </c>
      <c r="B329" s="159"/>
      <c r="C329" s="4">
        <v>0</v>
      </c>
      <c r="D329" s="166"/>
      <c r="E329" s="14">
        <v>15.3</v>
      </c>
      <c r="F329" s="100"/>
      <c r="G329" s="15">
        <f>ROUND(C329*E329,0)</f>
        <v>0</v>
      </c>
      <c r="H329" s="5"/>
      <c r="I329" s="31">
        <f>$N$121</f>
        <v>-6.7074300000000003E-3</v>
      </c>
      <c r="J329" s="100"/>
      <c r="K329" s="15">
        <f t="shared" si="79"/>
        <v>0</v>
      </c>
      <c r="O329" s="138">
        <f>G329*I329-K329</f>
        <v>0</v>
      </c>
    </row>
    <row r="330" spans="1:15" s="163" customFormat="1">
      <c r="A330" s="342" t="s">
        <v>171</v>
      </c>
      <c r="B330" s="159"/>
      <c r="C330" s="4">
        <v>96</v>
      </c>
      <c r="D330" s="166"/>
      <c r="E330" s="100">
        <v>32.479999999999997</v>
      </c>
      <c r="F330" s="100"/>
      <c r="G330" s="21">
        <f>ROUND(C330*E330,0)</f>
        <v>3118</v>
      </c>
      <c r="H330" s="5"/>
      <c r="I330" s="31">
        <f>$N$121</f>
        <v>-6.7074300000000003E-3</v>
      </c>
      <c r="J330" s="100"/>
      <c r="K330" s="21">
        <f t="shared" si="79"/>
        <v>-20.91376674</v>
      </c>
      <c r="O330" s="138">
        <f>G330*I330-K330</f>
        <v>0</v>
      </c>
    </row>
    <row r="331" spans="1:15" s="163" customFormat="1" ht="14.25" customHeight="1">
      <c r="A331" s="346" t="s">
        <v>113</v>
      </c>
      <c r="B331" s="159"/>
      <c r="C331" s="4"/>
      <c r="D331" s="166"/>
      <c r="E331" s="105"/>
      <c r="F331" s="20"/>
      <c r="G331" s="15"/>
      <c r="H331" s="5"/>
      <c r="I331" s="106"/>
      <c r="J331" s="20"/>
      <c r="K331" s="15"/>
      <c r="O331" s="138"/>
    </row>
    <row r="332" spans="1:15" s="163" customFormat="1">
      <c r="A332" s="342" t="s">
        <v>156</v>
      </c>
      <c r="B332" s="159"/>
      <c r="C332" s="4">
        <v>4275</v>
      </c>
      <c r="D332" s="166"/>
      <c r="E332" s="14">
        <v>4.68</v>
      </c>
      <c r="F332" s="100"/>
      <c r="G332" s="15">
        <f t="shared" ref="G332:G337" si="80">ROUND(C332*E332,0)</f>
        <v>20007</v>
      </c>
      <c r="H332" s="5"/>
      <c r="I332" s="31">
        <f t="shared" ref="I332:I337" si="81">$N$121</f>
        <v>-6.7074300000000003E-3</v>
      </c>
      <c r="J332" s="100"/>
      <c r="K332" s="15">
        <f t="shared" ref="K332:K337" si="82">$G332*I332</f>
        <v>-134.19555201</v>
      </c>
      <c r="O332" s="138">
        <f t="shared" ref="O332:O337" si="83">G332*I332-K332</f>
        <v>0</v>
      </c>
    </row>
    <row r="333" spans="1:15" s="163" customFormat="1">
      <c r="A333" s="342" t="s">
        <v>157</v>
      </c>
      <c r="B333" s="159"/>
      <c r="C333" s="4">
        <v>14686</v>
      </c>
      <c r="D333" s="166"/>
      <c r="E333" s="14">
        <v>6.16</v>
      </c>
      <c r="F333" s="100"/>
      <c r="G333" s="15">
        <f t="shared" si="80"/>
        <v>90466</v>
      </c>
      <c r="H333" s="5"/>
      <c r="I333" s="31">
        <f t="shared" si="81"/>
        <v>-6.7074300000000003E-3</v>
      </c>
      <c r="J333" s="100"/>
      <c r="K333" s="15">
        <f t="shared" si="82"/>
        <v>-606.79436238000005</v>
      </c>
      <c r="O333" s="138">
        <f t="shared" si="83"/>
        <v>0</v>
      </c>
    </row>
    <row r="334" spans="1:15" s="163" customFormat="1">
      <c r="A334" s="342" t="s">
        <v>158</v>
      </c>
      <c r="B334" s="159"/>
      <c r="C334" s="4">
        <v>1259</v>
      </c>
      <c r="D334" s="166"/>
      <c r="E334" s="14">
        <v>7.47</v>
      </c>
      <c r="F334" s="100"/>
      <c r="G334" s="15">
        <f t="shared" si="80"/>
        <v>9405</v>
      </c>
      <c r="H334" s="5"/>
      <c r="I334" s="31">
        <f t="shared" si="81"/>
        <v>-6.7074300000000003E-3</v>
      </c>
      <c r="J334" s="100"/>
      <c r="K334" s="15">
        <f t="shared" si="82"/>
        <v>-63.083379150000006</v>
      </c>
      <c r="O334" s="138">
        <f t="shared" si="83"/>
        <v>0</v>
      </c>
    </row>
    <row r="335" spans="1:15" s="163" customFormat="1">
      <c r="A335" s="342" t="s">
        <v>66</v>
      </c>
      <c r="B335" s="159"/>
      <c r="C335" s="4">
        <v>0</v>
      </c>
      <c r="D335" s="166"/>
      <c r="E335" s="14">
        <v>9.44</v>
      </c>
      <c r="F335" s="100"/>
      <c r="G335" s="15">
        <f t="shared" si="80"/>
        <v>0</v>
      </c>
      <c r="H335" s="5"/>
      <c r="I335" s="31">
        <f t="shared" si="81"/>
        <v>-6.7074300000000003E-3</v>
      </c>
      <c r="J335" s="100"/>
      <c r="K335" s="15">
        <f t="shared" si="82"/>
        <v>0</v>
      </c>
      <c r="O335" s="138">
        <f t="shared" si="83"/>
        <v>0</v>
      </c>
    </row>
    <row r="336" spans="1:15" s="163" customFormat="1">
      <c r="A336" s="342" t="s">
        <v>159</v>
      </c>
      <c r="B336" s="159"/>
      <c r="C336" s="4">
        <v>2408</v>
      </c>
      <c r="D336" s="166"/>
      <c r="E336" s="14">
        <v>10.99</v>
      </c>
      <c r="F336" s="100"/>
      <c r="G336" s="15">
        <f t="shared" si="80"/>
        <v>26464</v>
      </c>
      <c r="H336" s="5"/>
      <c r="I336" s="31">
        <f t="shared" si="81"/>
        <v>-6.7074300000000003E-3</v>
      </c>
      <c r="J336" s="100"/>
      <c r="K336" s="15">
        <f t="shared" si="82"/>
        <v>-177.50542752000001</v>
      </c>
      <c r="O336" s="138">
        <f t="shared" si="83"/>
        <v>0</v>
      </c>
    </row>
    <row r="337" spans="1:15" s="163" customFormat="1">
      <c r="A337" s="342" t="s">
        <v>160</v>
      </c>
      <c r="B337" s="159"/>
      <c r="C337" s="4">
        <v>1967</v>
      </c>
      <c r="D337" s="166"/>
      <c r="E337" s="14">
        <v>16.02</v>
      </c>
      <c r="F337" s="100"/>
      <c r="G337" s="21">
        <f t="shared" si="80"/>
        <v>31511</v>
      </c>
      <c r="H337" s="5"/>
      <c r="I337" s="31">
        <f t="shared" si="81"/>
        <v>-6.7074300000000003E-3</v>
      </c>
      <c r="J337" s="100"/>
      <c r="K337" s="21">
        <f t="shared" si="82"/>
        <v>-211.35782673</v>
      </c>
      <c r="O337" s="138">
        <f t="shared" si="83"/>
        <v>0</v>
      </c>
    </row>
    <row r="338" spans="1:15" s="163" customFormat="1">
      <c r="A338" s="346" t="s">
        <v>129</v>
      </c>
      <c r="B338" s="159"/>
      <c r="C338" s="4"/>
      <c r="D338" s="166"/>
      <c r="E338" s="167"/>
      <c r="F338" s="166"/>
      <c r="G338" s="92"/>
      <c r="H338" s="5"/>
      <c r="I338" s="91"/>
      <c r="J338" s="5"/>
      <c r="K338" s="92"/>
      <c r="O338" s="138"/>
    </row>
    <row r="339" spans="1:15" s="163" customFormat="1">
      <c r="A339" s="342" t="s">
        <v>162</v>
      </c>
      <c r="B339" s="159"/>
      <c r="C339" s="4">
        <v>1188</v>
      </c>
      <c r="D339" s="166"/>
      <c r="E339" s="14">
        <v>15.58</v>
      </c>
      <c r="F339" s="100"/>
      <c r="G339" s="15">
        <f>ROUND(C339*E339,0)</f>
        <v>18509</v>
      </c>
      <c r="H339" s="5"/>
      <c r="I339" s="31">
        <f>$N$121</f>
        <v>-6.7074300000000003E-3</v>
      </c>
      <c r="J339" s="100"/>
      <c r="K339" s="15">
        <f t="shared" ref="K339:K342" si="84">$G339*I339</f>
        <v>-124.14782187</v>
      </c>
      <c r="O339" s="138">
        <f>G339*I339-K339</f>
        <v>0</v>
      </c>
    </row>
    <row r="340" spans="1:15" s="163" customFormat="1">
      <c r="A340" s="342" t="s">
        <v>163</v>
      </c>
      <c r="B340" s="159"/>
      <c r="C340" s="4">
        <v>724</v>
      </c>
      <c r="D340" s="166"/>
      <c r="E340" s="14">
        <v>15.73</v>
      </c>
      <c r="F340" s="100"/>
      <c r="G340" s="15">
        <f>ROUND(C340*E340,0)</f>
        <v>11389</v>
      </c>
      <c r="H340" s="5"/>
      <c r="I340" s="31">
        <f>$N$121</f>
        <v>-6.7074300000000003E-3</v>
      </c>
      <c r="J340" s="100"/>
      <c r="K340" s="15">
        <f t="shared" si="84"/>
        <v>-76.390920270000009</v>
      </c>
      <c r="O340" s="138">
        <f>G340*I340-K340</f>
        <v>0</v>
      </c>
    </row>
    <row r="341" spans="1:15" s="163" customFormat="1">
      <c r="A341" s="342" t="s">
        <v>164</v>
      </c>
      <c r="B341" s="159"/>
      <c r="C341" s="4">
        <v>881</v>
      </c>
      <c r="D341" s="166"/>
      <c r="E341" s="14">
        <v>16.72</v>
      </c>
      <c r="F341" s="100"/>
      <c r="G341" s="15">
        <f>ROUND(C341*E341,0)</f>
        <v>14730</v>
      </c>
      <c r="H341" s="5"/>
      <c r="I341" s="31">
        <f>$N$121</f>
        <v>-6.7074300000000003E-3</v>
      </c>
      <c r="J341" s="100"/>
      <c r="K341" s="15">
        <f t="shared" si="84"/>
        <v>-98.800443900000005</v>
      </c>
      <c r="O341" s="138">
        <f>G341*I341-K341</f>
        <v>0</v>
      </c>
    </row>
    <row r="342" spans="1:15" s="163" customFormat="1">
      <c r="A342" s="342" t="s">
        <v>186</v>
      </c>
      <c r="B342" s="159"/>
      <c r="C342" s="48">
        <v>96</v>
      </c>
      <c r="D342" s="166"/>
      <c r="E342" s="365">
        <v>33.049999999999997</v>
      </c>
      <c r="F342" s="100"/>
      <c r="G342" s="24">
        <f>ROUND(C342*E342,0)</f>
        <v>3173</v>
      </c>
      <c r="H342" s="5"/>
      <c r="I342" s="31">
        <f>$N$121</f>
        <v>-6.7074300000000003E-3</v>
      </c>
      <c r="J342" s="100"/>
      <c r="K342" s="24">
        <f t="shared" si="84"/>
        <v>-21.282675390000001</v>
      </c>
      <c r="O342" s="138">
        <f>G342*I342-K342</f>
        <v>0</v>
      </c>
    </row>
    <row r="343" spans="1:15" s="163" customFormat="1">
      <c r="A343" s="346" t="s">
        <v>166</v>
      </c>
      <c r="B343" s="159"/>
      <c r="C343" s="16">
        <v>1644139.7735008644</v>
      </c>
      <c r="D343" s="166"/>
      <c r="E343" s="166"/>
      <c r="F343" s="166"/>
      <c r="G343" s="21">
        <f>SUM(G325:G342)</f>
        <v>230028</v>
      </c>
      <c r="H343" s="5"/>
      <c r="I343" s="125"/>
      <c r="J343" s="100"/>
      <c r="K343" s="21">
        <f>SUM(K325:K342)</f>
        <v>-1542.8967080399998</v>
      </c>
    </row>
    <row r="344" spans="1:15" s="163" customFormat="1">
      <c r="A344" s="346" t="s">
        <v>83</v>
      </c>
      <c r="B344" s="159"/>
      <c r="C344" s="16"/>
      <c r="D344" s="166"/>
      <c r="E344" s="100"/>
      <c r="F344" s="102"/>
      <c r="G344" s="21"/>
      <c r="H344" s="5"/>
      <c r="I344" s="125"/>
      <c r="J344" s="100"/>
      <c r="K344" s="21"/>
    </row>
    <row r="345" spans="1:15" s="163" customFormat="1">
      <c r="A345" s="346" t="s">
        <v>152</v>
      </c>
      <c r="B345" s="159"/>
      <c r="C345" s="48">
        <v>1644139.7735008644</v>
      </c>
      <c r="D345" s="166"/>
      <c r="E345" s="365"/>
      <c r="F345" s="102"/>
      <c r="G345" s="37">
        <f>SUM(G343:G344)</f>
        <v>230028</v>
      </c>
      <c r="H345" s="5"/>
      <c r="I345" s="125"/>
      <c r="J345" s="100"/>
      <c r="K345" s="37">
        <f>SUM(K343:K344)</f>
        <v>-1542.8967080399998</v>
      </c>
    </row>
    <row r="346" spans="1:15" s="163" customFormat="1">
      <c r="A346" s="346" t="s">
        <v>306</v>
      </c>
      <c r="B346" s="159"/>
      <c r="C346" s="16">
        <v>99</v>
      </c>
      <c r="D346" s="166"/>
      <c r="E346" s="166"/>
      <c r="F346" s="166"/>
      <c r="G346" s="21"/>
      <c r="H346" s="5"/>
      <c r="I346" s="193"/>
      <c r="J346" s="192"/>
      <c r="K346" s="21"/>
    </row>
    <row r="347" spans="1:15" s="163" customFormat="1">
      <c r="A347" s="342"/>
      <c r="B347" s="159"/>
      <c r="C347" s="48"/>
      <c r="D347" s="166"/>
      <c r="E347" s="100"/>
      <c r="F347" s="100"/>
      <c r="G347" s="24"/>
      <c r="H347" s="5"/>
      <c r="I347" s="111"/>
      <c r="J347" s="100"/>
      <c r="K347" s="24"/>
    </row>
    <row r="348" spans="1:15" s="163" customFormat="1">
      <c r="A348" s="342" t="s">
        <v>187</v>
      </c>
      <c r="B348" s="159"/>
      <c r="C348" s="45">
        <v>56516774.129293256</v>
      </c>
      <c r="D348" s="166"/>
      <c r="E348" s="175"/>
      <c r="F348" s="166"/>
      <c r="G348" s="24">
        <f>G284+G319+G343</f>
        <v>4144867</v>
      </c>
      <c r="H348" s="5"/>
      <c r="I348" s="126"/>
      <c r="J348" s="5"/>
      <c r="K348" s="24">
        <f>K284+K319+K343</f>
        <v>-27801.405261810003</v>
      </c>
    </row>
    <row r="349" spans="1:15" s="163" customFormat="1">
      <c r="A349" s="342" t="s">
        <v>84</v>
      </c>
      <c r="B349" s="159"/>
      <c r="C349" s="13">
        <v>839</v>
      </c>
      <c r="D349" s="166"/>
      <c r="E349" s="167"/>
      <c r="F349" s="166"/>
      <c r="G349" s="92"/>
      <c r="H349" s="5"/>
      <c r="I349" s="126"/>
      <c r="J349" s="5"/>
      <c r="K349" s="92"/>
    </row>
    <row r="350" spans="1:15" s="163" customFormat="1">
      <c r="A350" s="342" t="s">
        <v>83</v>
      </c>
      <c r="B350" s="159"/>
      <c r="C350" s="45"/>
      <c r="D350" s="166"/>
      <c r="E350" s="175"/>
      <c r="F350" s="166"/>
      <c r="G350" s="24">
        <v>0</v>
      </c>
      <c r="H350" s="5"/>
      <c r="I350" s="126"/>
      <c r="J350" s="5"/>
      <c r="K350" s="24"/>
    </row>
    <row r="351" spans="1:15" s="163" customFormat="1" ht="16.5" thickBot="1">
      <c r="A351" s="342" t="s">
        <v>152</v>
      </c>
      <c r="B351" s="159"/>
      <c r="C351" s="43">
        <v>56516774.129293256</v>
      </c>
      <c r="D351" s="166"/>
      <c r="E351" s="46"/>
      <c r="F351" s="122"/>
      <c r="G351" s="384">
        <f>G350+G348</f>
        <v>4144867</v>
      </c>
      <c r="H351" s="5"/>
      <c r="I351" s="123"/>
      <c r="J351" s="122"/>
      <c r="K351" s="384">
        <f>K350+K348</f>
        <v>-27801.405261810003</v>
      </c>
    </row>
    <row r="352" spans="1:15" s="163" customFormat="1" ht="16.5" thickTop="1">
      <c r="A352" s="189"/>
      <c r="B352" s="167"/>
      <c r="C352" s="47"/>
      <c r="D352" s="166"/>
      <c r="E352" s="166"/>
      <c r="F352" s="166"/>
      <c r="G352" s="21"/>
      <c r="H352" s="5"/>
      <c r="I352" s="108"/>
      <c r="J352" s="109"/>
      <c r="K352" s="21"/>
    </row>
    <row r="353" spans="1:15" s="163" customFormat="1">
      <c r="A353" s="354" t="s">
        <v>366</v>
      </c>
      <c r="B353" s="159"/>
      <c r="C353" s="4"/>
      <c r="D353" s="166"/>
      <c r="E353" s="167"/>
      <c r="F353" s="166"/>
      <c r="G353" s="92"/>
      <c r="H353" s="5"/>
      <c r="I353" s="126"/>
      <c r="J353" s="5"/>
      <c r="K353" s="92"/>
    </row>
    <row r="354" spans="1:15" s="163" customFormat="1">
      <c r="A354" s="342" t="s">
        <v>188</v>
      </c>
      <c r="B354" s="159"/>
      <c r="C354" s="4">
        <v>20286</v>
      </c>
      <c r="D354" s="166"/>
      <c r="E354" s="14">
        <v>11</v>
      </c>
      <c r="F354" s="100"/>
      <c r="G354" s="15">
        <f>ROUND(C354*E354,0)</f>
        <v>223146</v>
      </c>
      <c r="H354" s="5"/>
      <c r="I354" s="91"/>
      <c r="J354" s="5"/>
      <c r="K354" s="15"/>
      <c r="M354" s="70" t="s">
        <v>14</v>
      </c>
      <c r="N354" s="17">
        <f>K360</f>
        <v>-8907.7064577000001</v>
      </c>
      <c r="O354" s="138"/>
    </row>
    <row r="355" spans="1:15" s="163" customFormat="1">
      <c r="A355" s="342" t="s">
        <v>189</v>
      </c>
      <c r="B355" s="159"/>
      <c r="C355" s="4">
        <v>497</v>
      </c>
      <c r="D355" s="166"/>
      <c r="E355" s="14">
        <v>72.5</v>
      </c>
      <c r="F355" s="100"/>
      <c r="G355" s="15">
        <f>ROUND(C355*E355,0)</f>
        <v>36033</v>
      </c>
      <c r="H355" s="5"/>
      <c r="I355" s="31"/>
      <c r="J355" s="100"/>
      <c r="K355" s="15"/>
      <c r="M355" s="71" t="s">
        <v>16</v>
      </c>
      <c r="N355" s="18">
        <f>'Ex B p1 - Rate Spread'!K43*1000</f>
        <v>-8907.7062165175339</v>
      </c>
      <c r="O355" s="138"/>
    </row>
    <row r="356" spans="1:15" s="163" customFormat="1">
      <c r="A356" s="342" t="s">
        <v>190</v>
      </c>
      <c r="B356" s="159"/>
      <c r="C356" s="355">
        <v>0</v>
      </c>
      <c r="D356" s="166"/>
      <c r="E356" s="14">
        <v>127.5</v>
      </c>
      <c r="F356" s="100"/>
      <c r="G356" s="15">
        <f>ROUND(C356*E356,0)</f>
        <v>0</v>
      </c>
      <c r="H356" s="5"/>
      <c r="I356" s="31"/>
      <c r="J356" s="100"/>
      <c r="K356" s="15"/>
      <c r="M356" s="72" t="s">
        <v>18</v>
      </c>
      <c r="N356" s="19">
        <f>N355-N354</f>
        <v>2.411824661976425E-4</v>
      </c>
      <c r="O356" s="138"/>
    </row>
    <row r="357" spans="1:15" s="163" customFormat="1">
      <c r="A357" s="342" t="s">
        <v>191</v>
      </c>
      <c r="B357" s="159"/>
      <c r="C357" s="4">
        <v>6182</v>
      </c>
      <c r="D357" s="166"/>
      <c r="E357" s="14">
        <v>6.2</v>
      </c>
      <c r="F357" s="100"/>
      <c r="G357" s="15">
        <f>ROUND(C357*E357,0)</f>
        <v>38328</v>
      </c>
      <c r="H357" s="5"/>
      <c r="I357" s="31"/>
      <c r="J357" s="100"/>
      <c r="K357" s="15"/>
      <c r="M357" s="75" t="s">
        <v>21</v>
      </c>
      <c r="N357" s="76">
        <f>ROUND(N355/SUM(G358),$N$12)</f>
        <v>-9.5056600000000008E-3</v>
      </c>
      <c r="O357" s="138"/>
    </row>
    <row r="358" spans="1:15" s="163" customFormat="1">
      <c r="A358" s="342" t="s">
        <v>192</v>
      </c>
      <c r="B358" s="159"/>
      <c r="C358" s="4">
        <v>17536444.611929484</v>
      </c>
      <c r="D358" s="166"/>
      <c r="E358" s="118">
        <v>5.3437000000000001</v>
      </c>
      <c r="F358" s="102" t="s">
        <v>11</v>
      </c>
      <c r="G358" s="15">
        <f>ROUND(C358*E358/100,0)</f>
        <v>937095</v>
      </c>
      <c r="H358" s="5"/>
      <c r="I358" s="31">
        <f>N357</f>
        <v>-9.5056600000000008E-3</v>
      </c>
      <c r="J358" s="102"/>
      <c r="K358" s="15">
        <f t="shared" ref="K358" si="85">$G358*I358</f>
        <v>-8907.7064577000001</v>
      </c>
      <c r="O358" s="138">
        <f>G358*I358-K358</f>
        <v>0</v>
      </c>
    </row>
    <row r="359" spans="1:15" s="163" customFormat="1">
      <c r="A359" s="342" t="s">
        <v>193</v>
      </c>
      <c r="B359" s="159"/>
      <c r="C359" s="23">
        <v>0</v>
      </c>
      <c r="D359" s="166"/>
      <c r="E359" s="167"/>
      <c r="F359" s="166"/>
      <c r="G359" s="24">
        <v>0</v>
      </c>
      <c r="H359" s="5"/>
      <c r="I359" s="91"/>
      <c r="J359" s="5"/>
      <c r="K359" s="24"/>
      <c r="M359" s="41"/>
      <c r="N359" s="42"/>
      <c r="O359" s="138"/>
    </row>
    <row r="360" spans="1:15" s="163" customFormat="1" ht="16.5" thickBot="1">
      <c r="A360" s="159" t="s">
        <v>152</v>
      </c>
      <c r="B360" s="159"/>
      <c r="C360" s="29">
        <v>17536444.611929484</v>
      </c>
      <c r="D360" s="166"/>
      <c r="E360" s="173"/>
      <c r="F360" s="166"/>
      <c r="G360" s="28">
        <f>SUM(G354:G359)</f>
        <v>1234602</v>
      </c>
      <c r="H360" s="5"/>
      <c r="I360" s="113"/>
      <c r="J360" s="5"/>
      <c r="K360" s="28">
        <f>SUM(K354:K359)</f>
        <v>-8907.7064577000001</v>
      </c>
      <c r="M360" s="41"/>
      <c r="N360" s="42"/>
      <c r="O360" s="138"/>
    </row>
    <row r="361" spans="1:15" s="163" customFormat="1" ht="16.5" thickTop="1">
      <c r="A361" s="342"/>
      <c r="B361" s="159"/>
      <c r="C361" s="47"/>
      <c r="D361" s="166"/>
      <c r="E361" s="166"/>
      <c r="F361" s="166"/>
      <c r="G361" s="92"/>
      <c r="H361" s="5"/>
      <c r="I361" s="108"/>
      <c r="J361" s="109"/>
      <c r="K361" s="92"/>
      <c r="M361" s="41"/>
      <c r="N361" s="42"/>
      <c r="O361" s="138"/>
    </row>
    <row r="362" spans="1:15" s="163" customFormat="1">
      <c r="A362" s="354" t="s">
        <v>367</v>
      </c>
      <c r="B362" s="159"/>
      <c r="C362" s="4"/>
      <c r="D362" s="166"/>
      <c r="E362" s="166"/>
      <c r="F362" s="166"/>
      <c r="G362" s="21"/>
      <c r="H362" s="5"/>
      <c r="I362" s="91"/>
      <c r="J362" s="5"/>
      <c r="K362" s="21"/>
      <c r="M362" s="70" t="s">
        <v>14</v>
      </c>
      <c r="N362" s="17">
        <f>K366</f>
        <v>-6629.2907125000002</v>
      </c>
      <c r="O362" s="138"/>
    </row>
    <row r="363" spans="1:15" s="163" customFormat="1">
      <c r="A363" s="342" t="s">
        <v>194</v>
      </c>
      <c r="B363" s="159"/>
      <c r="C363" s="4">
        <v>29596</v>
      </c>
      <c r="D363" s="166"/>
      <c r="E363" s="14">
        <v>5.5</v>
      </c>
      <c r="F363" s="100"/>
      <c r="G363" s="15">
        <f>ROUND(C363*E363,0)</f>
        <v>162778</v>
      </c>
      <c r="H363" s="5"/>
      <c r="I363" s="126"/>
      <c r="J363" s="5"/>
      <c r="K363" s="15"/>
      <c r="M363" s="71" t="s">
        <v>16</v>
      </c>
      <c r="N363" s="18">
        <f>'Ex B p1 - Rate Spread'!K44*1000</f>
        <v>-6629.2927372788272</v>
      </c>
      <c r="O363" s="138"/>
    </row>
    <row r="364" spans="1:15" s="163" customFormat="1">
      <c r="A364" s="342" t="s">
        <v>192</v>
      </c>
      <c r="B364" s="159"/>
      <c r="C364" s="4">
        <v>6177947.158763391</v>
      </c>
      <c r="D364" s="166"/>
      <c r="E364" s="352">
        <v>8.4048999999999996</v>
      </c>
      <c r="F364" s="102" t="s">
        <v>11</v>
      </c>
      <c r="G364" s="15">
        <f>ROUND(C364*E364/100,0)</f>
        <v>519250</v>
      </c>
      <c r="H364" s="5"/>
      <c r="I364" s="31">
        <f>N365</f>
        <v>-1.276705E-2</v>
      </c>
      <c r="J364" s="102"/>
      <c r="K364" s="15">
        <f t="shared" ref="K364" si="86">$G364*I364</f>
        <v>-6629.2907125000002</v>
      </c>
      <c r="M364" s="72" t="s">
        <v>18</v>
      </c>
      <c r="N364" s="19">
        <f>N363-N362</f>
        <v>-2.024778827035334E-3</v>
      </c>
      <c r="O364" s="138">
        <f>G364*I364-K364</f>
        <v>0</v>
      </c>
    </row>
    <row r="365" spans="1:15" s="163" customFormat="1">
      <c r="A365" s="342" t="s">
        <v>193</v>
      </c>
      <c r="B365" s="159"/>
      <c r="C365" s="48">
        <v>0</v>
      </c>
      <c r="D365" s="166"/>
      <c r="E365" s="167"/>
      <c r="F365" s="166"/>
      <c r="G365" s="24">
        <v>0</v>
      </c>
      <c r="H365" s="5"/>
      <c r="I365" s="91"/>
      <c r="J365" s="5"/>
      <c r="K365" s="24"/>
      <c r="M365" s="75" t="s">
        <v>21</v>
      </c>
      <c r="N365" s="76">
        <f>ROUND(N363/SUM(G364),$N$12)</f>
        <v>-1.276705E-2</v>
      </c>
      <c r="O365" s="138"/>
    </row>
    <row r="366" spans="1:15" s="163" customFormat="1" ht="16.5" thickBot="1">
      <c r="A366" s="159" t="s">
        <v>152</v>
      </c>
      <c r="B366" s="159"/>
      <c r="C366" s="29">
        <v>6177947.158763391</v>
      </c>
      <c r="D366" s="166"/>
      <c r="E366" s="173"/>
      <c r="F366" s="166"/>
      <c r="G366" s="28">
        <f>SUM(G363:G365)</f>
        <v>682028</v>
      </c>
      <c r="H366" s="5"/>
      <c r="I366" s="113"/>
      <c r="J366" s="5"/>
      <c r="K366" s="28">
        <f>SUM(K363:K365)</f>
        <v>-6629.2907125000002</v>
      </c>
      <c r="O366" s="138"/>
    </row>
    <row r="367" spans="1:15" s="163" customFormat="1" ht="16.5" thickTop="1">
      <c r="A367" s="159"/>
      <c r="B367" s="159"/>
      <c r="C367" s="4"/>
      <c r="D367" s="166"/>
      <c r="E367" s="167"/>
      <c r="F367" s="166"/>
      <c r="G367" s="21"/>
      <c r="H367" s="5"/>
      <c r="I367" s="192"/>
      <c r="J367" s="192"/>
      <c r="K367" s="21"/>
    </row>
    <row r="368" spans="1:15" s="163" customFormat="1">
      <c r="A368" s="341" t="s">
        <v>195</v>
      </c>
      <c r="B368" s="337"/>
      <c r="C368" s="4"/>
      <c r="D368" s="166"/>
      <c r="E368" s="167"/>
      <c r="F368" s="166"/>
      <c r="G368" s="92"/>
      <c r="H368" s="5"/>
      <c r="I368" s="192"/>
      <c r="J368" s="192"/>
      <c r="K368" s="92"/>
    </row>
    <row r="369" spans="1:15" s="163" customFormat="1">
      <c r="A369" s="356" t="s">
        <v>196</v>
      </c>
      <c r="B369" s="337"/>
      <c r="C369" s="4"/>
      <c r="D369" s="166"/>
      <c r="E369" s="167"/>
      <c r="F369" s="166"/>
      <c r="G369" s="92"/>
      <c r="H369" s="5"/>
      <c r="I369" s="108"/>
      <c r="J369" s="109"/>
      <c r="K369" s="92"/>
      <c r="M369" s="41"/>
      <c r="N369" s="41"/>
      <c r="O369" s="138"/>
    </row>
    <row r="370" spans="1:15" s="163" customFormat="1">
      <c r="A370" s="342" t="s">
        <v>7</v>
      </c>
      <c r="B370" s="337"/>
      <c r="C370" s="16">
        <v>36</v>
      </c>
      <c r="D370" s="166"/>
      <c r="E370" s="14">
        <v>127</v>
      </c>
      <c r="F370" s="100"/>
      <c r="G370" s="15">
        <f>ROUND(E370*$C370,0)</f>
        <v>4572</v>
      </c>
      <c r="H370" s="5"/>
      <c r="I370" s="108"/>
      <c r="J370" s="109"/>
      <c r="K370" s="15"/>
      <c r="M370" s="41"/>
      <c r="N370" s="2"/>
      <c r="O370" s="138"/>
    </row>
    <row r="371" spans="1:15">
      <c r="A371" s="342" t="s">
        <v>197</v>
      </c>
      <c r="B371" s="337"/>
      <c r="C371" s="16">
        <v>10893</v>
      </c>
      <c r="E371" s="14">
        <v>4.3</v>
      </c>
      <c r="F371" s="100"/>
      <c r="G371" s="15">
        <f>ROUND(E371*$C371,0)</f>
        <v>46840</v>
      </c>
      <c r="K371" s="15"/>
      <c r="M371" s="44"/>
      <c r="N371" s="2"/>
      <c r="O371" s="138"/>
    </row>
    <row r="372" spans="1:15">
      <c r="A372" s="342" t="s">
        <v>198</v>
      </c>
      <c r="B372" s="337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I372" s="128">
        <f>$N$375</f>
        <v>-2.255002E-2</v>
      </c>
      <c r="J372" s="102"/>
      <c r="K372" s="15">
        <f t="shared" ref="K372:K373" si="87">$G372*I372</f>
        <v>-654.1760802</v>
      </c>
      <c r="M372" s="70" t="s">
        <v>14</v>
      </c>
      <c r="N372" s="17">
        <f>K383</f>
        <v>-4910.7404054199997</v>
      </c>
      <c r="O372" s="138">
        <f>G372*I372-K372</f>
        <v>0</v>
      </c>
    </row>
    <row r="373" spans="1:15">
      <c r="A373" s="342" t="s">
        <v>102</v>
      </c>
      <c r="B373" s="337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I373" s="128">
        <f>$N$375</f>
        <v>-2.255002E-2</v>
      </c>
      <c r="J373" s="102"/>
      <c r="K373" s="15">
        <f t="shared" si="87"/>
        <v>0</v>
      </c>
      <c r="M373" s="71" t="s">
        <v>16</v>
      </c>
      <c r="N373" s="18">
        <f>'Ex B p1 - Rate Spread'!K31*1000</f>
        <v>-4910.7404096742321</v>
      </c>
      <c r="O373" s="138">
        <f>G373*I373-K373</f>
        <v>0</v>
      </c>
    </row>
    <row r="374" spans="1:15">
      <c r="A374" s="342" t="s">
        <v>24</v>
      </c>
      <c r="B374" s="337"/>
      <c r="C374" s="23">
        <v>0</v>
      </c>
      <c r="E374" s="127"/>
      <c r="F374" s="124"/>
      <c r="G374" s="24">
        <v>0</v>
      </c>
      <c r="I374" s="128"/>
      <c r="J374" s="124"/>
      <c r="K374" s="24"/>
      <c r="M374" s="72" t="s">
        <v>18</v>
      </c>
      <c r="N374" s="19">
        <f>N373-N372</f>
        <v>-4.2542324081296101E-6</v>
      </c>
      <c r="O374" s="138"/>
    </row>
    <row r="375" spans="1:15">
      <c r="A375" s="342" t="s">
        <v>199</v>
      </c>
      <c r="B375" s="337"/>
      <c r="C375" s="4">
        <v>423833</v>
      </c>
      <c r="E375" s="30"/>
      <c r="F375" s="115"/>
      <c r="G375" s="15">
        <f>SUM(G370:G374)</f>
        <v>80422</v>
      </c>
      <c r="I375" s="106"/>
      <c r="J375" s="115"/>
      <c r="K375" s="15">
        <f>SUM(K370:K374)</f>
        <v>-654.1760802</v>
      </c>
      <c r="M375" s="75" t="s">
        <v>21</v>
      </c>
      <c r="N375" s="76">
        <f>ROUND(N373/SUM(G372:G373,G379:G380),$N$12)</f>
        <v>-2.255002E-2</v>
      </c>
      <c r="O375" s="138"/>
    </row>
    <row r="376" spans="1:15">
      <c r="A376" s="356" t="s">
        <v>200</v>
      </c>
      <c r="B376" s="337"/>
      <c r="C376" s="16"/>
      <c r="E376" s="30"/>
      <c r="F376" s="115"/>
      <c r="G376" s="92"/>
      <c r="I376" s="106"/>
      <c r="J376" s="115"/>
      <c r="O376" s="138"/>
    </row>
    <row r="377" spans="1:15">
      <c r="A377" s="342" t="s">
        <v>7</v>
      </c>
      <c r="B377" s="337"/>
      <c r="C377" s="16">
        <v>24</v>
      </c>
      <c r="E377" s="14">
        <v>127</v>
      </c>
      <c r="F377" s="100"/>
      <c r="G377" s="15">
        <f>ROUND(E377*$C377,0)</f>
        <v>3048</v>
      </c>
      <c r="I377" s="31"/>
      <c r="J377" s="100"/>
      <c r="K377" s="15"/>
      <c r="M377" s="8"/>
      <c r="N377" s="22"/>
      <c r="O377" s="138"/>
    </row>
    <row r="378" spans="1:15">
      <c r="A378" s="342" t="s">
        <v>197</v>
      </c>
      <c r="B378" s="337"/>
      <c r="C378" s="16">
        <v>47371</v>
      </c>
      <c r="E378" s="14">
        <v>4.3</v>
      </c>
      <c r="F378" s="100"/>
      <c r="G378" s="15">
        <f>ROUND(E378*$C378,0)</f>
        <v>203695</v>
      </c>
      <c r="I378" s="31"/>
      <c r="J378" s="100"/>
      <c r="K378" s="15"/>
      <c r="M378" s="8"/>
      <c r="N378" s="2"/>
      <c r="O378" s="138"/>
    </row>
    <row r="379" spans="1:15">
      <c r="A379" s="342" t="s">
        <v>198</v>
      </c>
      <c r="B379" s="337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I379" s="128">
        <f>$N$375</f>
        <v>-2.255002E-2</v>
      </c>
      <c r="J379" s="102"/>
      <c r="K379" s="15">
        <f t="shared" ref="K379:K380" si="88">$G379*I379</f>
        <v>-3231.2374658399999</v>
      </c>
      <c r="M379" s="3"/>
      <c r="N379" s="2"/>
      <c r="O379" s="138">
        <f>G379*I379-K379</f>
        <v>0</v>
      </c>
    </row>
    <row r="380" spans="1:15">
      <c r="A380" s="342" t="s">
        <v>102</v>
      </c>
      <c r="B380" s="337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I380" s="128">
        <f>$N$375</f>
        <v>-2.255002E-2</v>
      </c>
      <c r="J380" s="102"/>
      <c r="K380" s="15">
        <f t="shared" si="88"/>
        <v>-1025.3268593800001</v>
      </c>
      <c r="M380" s="3"/>
      <c r="N380" s="2"/>
      <c r="O380" s="138">
        <f>G380*I380-K380</f>
        <v>0</v>
      </c>
    </row>
    <row r="381" spans="1:15">
      <c r="A381" s="342" t="s">
        <v>24</v>
      </c>
      <c r="B381" s="337"/>
      <c r="C381" s="23">
        <v>0</v>
      </c>
      <c r="E381" s="127"/>
      <c r="F381" s="124"/>
      <c r="G381" s="24">
        <v>0</v>
      </c>
      <c r="I381" s="128"/>
      <c r="J381" s="124"/>
      <c r="K381" s="24"/>
      <c r="M381" s="3"/>
      <c r="N381" s="2"/>
      <c r="O381" s="138"/>
    </row>
    <row r="382" spans="1:15">
      <c r="A382" s="342" t="s">
        <v>199</v>
      </c>
      <c r="B382" s="337"/>
      <c r="C382" s="4">
        <v>3624867.3377015879</v>
      </c>
      <c r="E382" s="30"/>
      <c r="F382" s="115"/>
      <c r="G382" s="15">
        <f>SUM(G377:G381)</f>
        <v>395504</v>
      </c>
      <c r="I382" s="106"/>
      <c r="J382" s="115"/>
      <c r="K382" s="15">
        <f>SUM(K377:K381)</f>
        <v>-4256.5643252199998</v>
      </c>
      <c r="M382" s="3"/>
      <c r="N382" s="2"/>
      <c r="O382" s="138"/>
    </row>
    <row r="383" spans="1:15" ht="16.5" thickBot="1">
      <c r="A383" s="342" t="s">
        <v>25</v>
      </c>
      <c r="B383" s="337"/>
      <c r="C383" s="29">
        <v>4048700.3377015879</v>
      </c>
      <c r="E383" s="173"/>
      <c r="G383" s="28">
        <f>G382+G375</f>
        <v>475926</v>
      </c>
      <c r="I383" s="113"/>
      <c r="K383" s="28">
        <f>K382+K375</f>
        <v>-4910.7404054199997</v>
      </c>
      <c r="M383" s="3"/>
      <c r="N383" s="2"/>
      <c r="O383" s="138"/>
    </row>
    <row r="384" spans="1:15" ht="16.5" thickTop="1">
      <c r="A384" s="159"/>
      <c r="B384" s="337"/>
      <c r="C384" s="4"/>
      <c r="G384" s="92"/>
      <c r="M384" s="3"/>
      <c r="N384" s="49"/>
      <c r="O384" s="138"/>
    </row>
    <row r="385" spans="1:15">
      <c r="A385" s="341" t="s">
        <v>368</v>
      </c>
      <c r="B385" s="337"/>
      <c r="C385" s="357"/>
      <c r="G385" s="92"/>
      <c r="M385" s="3"/>
      <c r="N385" s="50"/>
      <c r="O385" s="138"/>
    </row>
    <row r="386" spans="1:15">
      <c r="A386" s="342" t="s">
        <v>7</v>
      </c>
      <c r="B386" s="337"/>
      <c r="C386" s="4">
        <v>992017.98512850888</v>
      </c>
      <c r="E386" s="14">
        <v>10</v>
      </c>
      <c r="F386" s="100"/>
      <c r="G386" s="15">
        <f>ROUND(E386*$C386,0)</f>
        <v>9920180</v>
      </c>
      <c r="K386" s="15"/>
      <c r="M386" s="70" t="s">
        <v>14</v>
      </c>
      <c r="N386" s="17">
        <f>K396</f>
        <v>-1449791.6818729499</v>
      </c>
      <c r="O386" s="138"/>
    </row>
    <row r="387" spans="1:15">
      <c r="A387" s="342" t="s">
        <v>30</v>
      </c>
      <c r="B387" s="337"/>
      <c r="C387" s="4">
        <v>387746</v>
      </c>
      <c r="E387" s="14">
        <v>8.65</v>
      </c>
      <c r="F387" s="100"/>
      <c r="G387" s="15">
        <f>ROUND(E387*$C387,0)</f>
        <v>3354003</v>
      </c>
      <c r="I387" s="31">
        <f>$N$389</f>
        <v>-1.122251E-2</v>
      </c>
      <c r="J387" s="100"/>
      <c r="K387" s="15">
        <f t="shared" ref="K387:K388" si="89">$G387*I387</f>
        <v>-37640.332207530002</v>
      </c>
      <c r="M387" s="71" t="s">
        <v>16</v>
      </c>
      <c r="N387" s="18">
        <f>'Ex B p1 - Rate Spread'!K32*1000</f>
        <v>-1449792.1718203512</v>
      </c>
      <c r="O387" s="138">
        <f>G387*I387-K387</f>
        <v>0</v>
      </c>
    </row>
    <row r="388" spans="1:15">
      <c r="A388" s="342" t="s">
        <v>31</v>
      </c>
      <c r="B388" s="337"/>
      <c r="C388" s="4">
        <v>347761</v>
      </c>
      <c r="E388" s="14">
        <v>8.7000000000000011</v>
      </c>
      <c r="F388" s="100"/>
      <c r="G388" s="15">
        <f>ROUND(E388*$C388,0)</f>
        <v>3025521</v>
      </c>
      <c r="I388" s="31">
        <f>$N$389</f>
        <v>-1.122251E-2</v>
      </c>
      <c r="J388" s="100"/>
      <c r="K388" s="15">
        <f t="shared" si="89"/>
        <v>-33953.939677709997</v>
      </c>
      <c r="M388" s="72" t="s">
        <v>18</v>
      </c>
      <c r="N388" s="19">
        <f>N387-N386</f>
        <v>-0.48994740121997893</v>
      </c>
      <c r="O388" s="138">
        <f>G388*I388-K388</f>
        <v>0</v>
      </c>
    </row>
    <row r="389" spans="1:15">
      <c r="A389" s="342" t="s">
        <v>32</v>
      </c>
      <c r="B389" s="337"/>
      <c r="C389" s="4">
        <v>7029</v>
      </c>
      <c r="E389" s="14">
        <v>-0.48</v>
      </c>
      <c r="F389" s="100"/>
      <c r="G389" s="15">
        <f>ROUND(E389*$C389,0)</f>
        <v>-3374</v>
      </c>
      <c r="I389" s="31"/>
      <c r="J389" s="100"/>
      <c r="K389" s="15"/>
      <c r="M389" s="75" t="s">
        <v>21</v>
      </c>
      <c r="N389" s="76">
        <f>ROUND(N387/SUM(G387:G388,G390:G393),$N$12)+N392</f>
        <v>-1.122251E-2</v>
      </c>
      <c r="O389" s="138"/>
    </row>
    <row r="390" spans="1:15">
      <c r="A390" s="342" t="s">
        <v>33</v>
      </c>
      <c r="B390" s="337"/>
      <c r="C390" s="4">
        <v>295977608</v>
      </c>
      <c r="E390" s="104">
        <v>11.733599999999999</v>
      </c>
      <c r="F390" s="102" t="s">
        <v>11</v>
      </c>
      <c r="G390" s="15">
        <f>ROUND(E390*$C390/100,0)</f>
        <v>34728829</v>
      </c>
      <c r="I390" s="31">
        <f>$N$389</f>
        <v>-1.122251E-2</v>
      </c>
      <c r="J390" s="100"/>
      <c r="K390" s="15">
        <f t="shared" ref="K390:K393" si="90">$G390*I390</f>
        <v>-389744.63074078999</v>
      </c>
      <c r="M390" s="32" t="s">
        <v>45</v>
      </c>
      <c r="N390" s="33">
        <f>'Ex B p3 - Table A'!S49</f>
        <v>-20007.476836535898</v>
      </c>
      <c r="O390" s="138">
        <f>G390*I390-K390</f>
        <v>0</v>
      </c>
    </row>
    <row r="391" spans="1:15">
      <c r="A391" s="342" t="s">
        <v>34</v>
      </c>
      <c r="B391" s="337"/>
      <c r="C391" s="4">
        <v>309000007.78318173</v>
      </c>
      <c r="E391" s="104">
        <v>6.5782999999999996</v>
      </c>
      <c r="F391" s="102" t="s">
        <v>11</v>
      </c>
      <c r="G391" s="15">
        <f>ROUND(E391*$C391/100,0)</f>
        <v>20326948</v>
      </c>
      <c r="I391" s="31">
        <f>$N$389</f>
        <v>-1.122251E-2</v>
      </c>
      <c r="J391" s="100"/>
      <c r="K391" s="15">
        <f t="shared" si="90"/>
        <v>-228119.37719947999</v>
      </c>
      <c r="M391" s="32" t="s">
        <v>46</v>
      </c>
      <c r="N391" s="33">
        <f>'Ex B p1 - Rate Spread'!K49</f>
        <v>-20007.478594150194</v>
      </c>
      <c r="O391" s="138">
        <f>G391*I391-K391</f>
        <v>0</v>
      </c>
    </row>
    <row r="392" spans="1:15">
      <c r="A392" s="342" t="s">
        <v>35</v>
      </c>
      <c r="B392" s="337"/>
      <c r="C392" s="4">
        <v>424820226</v>
      </c>
      <c r="E392" s="104">
        <v>10.8</v>
      </c>
      <c r="F392" s="102" t="s">
        <v>11</v>
      </c>
      <c r="G392" s="15">
        <f>ROUND(E392*$C392/100,0)</f>
        <v>45880584</v>
      </c>
      <c r="I392" s="31">
        <f>$N$389</f>
        <v>-1.122251E-2</v>
      </c>
      <c r="J392" s="100"/>
      <c r="K392" s="15">
        <f t="shared" si="90"/>
        <v>-514895.31274584</v>
      </c>
      <c r="M392" s="34" t="s">
        <v>26</v>
      </c>
      <c r="N392" s="35">
        <v>0</v>
      </c>
      <c r="O392" s="138">
        <f>G392*I392-K392</f>
        <v>0</v>
      </c>
    </row>
    <row r="393" spans="1:15">
      <c r="A393" s="342" t="s">
        <v>36</v>
      </c>
      <c r="B393" s="337"/>
      <c r="C393" s="4">
        <v>361090368.97025329</v>
      </c>
      <c r="E393" s="104">
        <v>6.0567000000000002</v>
      </c>
      <c r="F393" s="102" t="s">
        <v>11</v>
      </c>
      <c r="G393" s="15">
        <f>ROUND(E393*$C393/100,0)</f>
        <v>21870160</v>
      </c>
      <c r="I393" s="31">
        <f>$N$389</f>
        <v>-1.122251E-2</v>
      </c>
      <c r="J393" s="100"/>
      <c r="K393" s="15">
        <f t="shared" si="90"/>
        <v>-245438.0893016</v>
      </c>
      <c r="O393" s="138">
        <f>G393*I393-K393</f>
        <v>0</v>
      </c>
    </row>
    <row r="394" spans="1:15">
      <c r="A394" s="342" t="s">
        <v>37</v>
      </c>
      <c r="B394" s="337"/>
      <c r="C394" s="4">
        <v>0</v>
      </c>
      <c r="E394" s="14">
        <v>120</v>
      </c>
      <c r="F394" s="100"/>
      <c r="G394" s="15">
        <f>ROUND(E394*$C394,0)</f>
        <v>0</v>
      </c>
      <c r="I394" s="31"/>
      <c r="J394" s="100"/>
      <c r="K394" s="15"/>
    </row>
    <row r="395" spans="1:15">
      <c r="A395" s="342" t="s">
        <v>24</v>
      </c>
      <c r="B395" s="337"/>
      <c r="C395" s="23">
        <v>0</v>
      </c>
      <c r="G395" s="24">
        <v>0</v>
      </c>
      <c r="K395" s="24"/>
    </row>
    <row r="396" spans="1:15" ht="16.5" thickBot="1">
      <c r="A396" s="342" t="s">
        <v>25</v>
      </c>
      <c r="B396" s="337"/>
      <c r="C396" s="29">
        <v>1390888210.7534347</v>
      </c>
      <c r="E396" s="173"/>
      <c r="G396" s="28">
        <f>SUM(G386:G395)</f>
        <v>139102851</v>
      </c>
      <c r="I396" s="113"/>
      <c r="K396" s="28">
        <f>SUM(K386:K395)</f>
        <v>-1449791.6818729499</v>
      </c>
    </row>
    <row r="397" spans="1:15" ht="16.5" thickTop="1">
      <c r="C397" s="4"/>
      <c r="G397" s="92"/>
    </row>
    <row r="398" spans="1:15">
      <c r="A398" s="341" t="s">
        <v>369</v>
      </c>
      <c r="B398" s="337"/>
      <c r="C398" s="4"/>
      <c r="E398" s="30"/>
      <c r="F398" s="115"/>
      <c r="G398" s="92"/>
    </row>
    <row r="399" spans="1:15">
      <c r="A399" s="356" t="s">
        <v>201</v>
      </c>
      <c r="B399" s="337"/>
      <c r="C399" s="4"/>
      <c r="G399" s="92"/>
    </row>
    <row r="400" spans="1:15">
      <c r="A400" s="342" t="s">
        <v>202</v>
      </c>
      <c r="B400" s="342"/>
      <c r="C400" s="4">
        <v>0</v>
      </c>
      <c r="E400" s="14">
        <v>133</v>
      </c>
      <c r="F400" s="100"/>
      <c r="G400" s="15">
        <f>ROUND(E400*$C400,0)</f>
        <v>0</v>
      </c>
      <c r="I400" s="111"/>
      <c r="J400" s="100"/>
      <c r="K400" s="15"/>
    </row>
    <row r="401" spans="1:11">
      <c r="A401" s="342" t="s">
        <v>203</v>
      </c>
      <c r="B401" s="342"/>
      <c r="C401" s="4">
        <v>0</v>
      </c>
      <c r="E401" s="14">
        <v>5.6</v>
      </c>
      <c r="F401" s="100"/>
      <c r="G401" s="15">
        <f>ROUND(E401*$C401,0)</f>
        <v>0</v>
      </c>
      <c r="I401" s="111"/>
      <c r="J401" s="100"/>
      <c r="K401" s="15"/>
    </row>
    <row r="402" spans="1:11">
      <c r="A402" s="342" t="s">
        <v>204</v>
      </c>
      <c r="B402" s="342"/>
      <c r="C402" s="4"/>
      <c r="E402" s="105"/>
      <c r="F402" s="20"/>
      <c r="G402" s="15"/>
      <c r="I402" s="111"/>
      <c r="J402" s="100"/>
      <c r="K402" s="15"/>
    </row>
    <row r="403" spans="1:11">
      <c r="A403" s="342" t="s">
        <v>205</v>
      </c>
      <c r="B403" s="342"/>
      <c r="C403" s="4">
        <v>0</v>
      </c>
      <c r="E403" s="129"/>
      <c r="F403" s="130"/>
      <c r="G403" s="15"/>
      <c r="I403" s="111"/>
      <c r="J403" s="100"/>
      <c r="K403" s="15"/>
    </row>
    <row r="404" spans="1:11">
      <c r="A404" s="342" t="s">
        <v>370</v>
      </c>
      <c r="B404" s="342"/>
      <c r="C404" s="4">
        <v>0</v>
      </c>
      <c r="E404" s="14">
        <v>0.88</v>
      </c>
      <c r="F404" s="130"/>
      <c r="G404" s="15">
        <f>ROUND(E404*$C404,0)</f>
        <v>0</v>
      </c>
      <c r="I404" s="111"/>
      <c r="J404" s="100"/>
      <c r="K404" s="15"/>
    </row>
    <row r="405" spans="1:11">
      <c r="A405" s="342" t="s">
        <v>371</v>
      </c>
      <c r="B405" s="342"/>
      <c r="C405" s="4">
        <v>0</v>
      </c>
      <c r="E405" s="14">
        <v>0.62</v>
      </c>
      <c r="F405" s="130"/>
      <c r="G405" s="15">
        <f>ROUND(E405*$C405,0)</f>
        <v>0</v>
      </c>
      <c r="I405" s="111"/>
      <c r="J405" s="100"/>
      <c r="K405" s="15"/>
    </row>
    <row r="406" spans="1:11">
      <c r="A406" s="342" t="s">
        <v>206</v>
      </c>
      <c r="B406" s="342"/>
      <c r="C406" s="4">
        <v>0</v>
      </c>
      <c r="E406" s="129"/>
      <c r="F406" s="131"/>
      <c r="G406" s="92"/>
      <c r="I406" s="111"/>
      <c r="J406" s="100"/>
    </row>
    <row r="407" spans="1:11">
      <c r="A407" s="342" t="s">
        <v>370</v>
      </c>
      <c r="B407" s="342"/>
      <c r="C407" s="4">
        <v>0</v>
      </c>
      <c r="E407" s="358">
        <v>0.44</v>
      </c>
      <c r="F407" s="131"/>
      <c r="G407" s="15">
        <f>ROUND(E407*$C407,0)</f>
        <v>0</v>
      </c>
      <c r="I407" s="111"/>
      <c r="J407" s="20"/>
      <c r="K407" s="15"/>
    </row>
    <row r="408" spans="1:11">
      <c r="A408" s="342" t="s">
        <v>371</v>
      </c>
      <c r="B408" s="342"/>
      <c r="C408" s="4">
        <v>0</v>
      </c>
      <c r="E408" s="358">
        <v>0.31</v>
      </c>
      <c r="F408" s="131"/>
      <c r="G408" s="15">
        <f>ROUND(E408*$C408,0)</f>
        <v>0</v>
      </c>
      <c r="I408" s="126"/>
      <c r="K408" s="15"/>
    </row>
    <row r="409" spans="1:11">
      <c r="A409" s="342" t="s">
        <v>207</v>
      </c>
      <c r="B409" s="342"/>
      <c r="C409" s="4">
        <v>0</v>
      </c>
      <c r="E409" s="129"/>
      <c r="F409" s="100"/>
      <c r="G409" s="15"/>
      <c r="I409" s="111"/>
      <c r="J409" s="100"/>
      <c r="K409" s="15"/>
    </row>
    <row r="410" spans="1:11">
      <c r="A410" s="342" t="s">
        <v>370</v>
      </c>
      <c r="B410" s="342"/>
      <c r="C410" s="4">
        <v>0</v>
      </c>
      <c r="E410" s="14">
        <v>40.81</v>
      </c>
      <c r="F410" s="100"/>
      <c r="G410" s="15">
        <f>ROUND(E410*$C410,0)</f>
        <v>0</v>
      </c>
      <c r="I410" s="111"/>
      <c r="J410" s="100"/>
      <c r="K410" s="15"/>
    </row>
    <row r="411" spans="1:11">
      <c r="A411" s="342" t="s">
        <v>371</v>
      </c>
      <c r="B411" s="342"/>
      <c r="C411" s="4">
        <v>0</v>
      </c>
      <c r="E411" s="14">
        <v>32.04</v>
      </c>
      <c r="F411" s="100"/>
      <c r="G411" s="15">
        <f>ROUND(E411*$C411,0)</f>
        <v>0</v>
      </c>
      <c r="I411" s="111"/>
      <c r="J411" s="100"/>
      <c r="K411" s="15"/>
    </row>
    <row r="412" spans="1:11">
      <c r="A412" s="356" t="s">
        <v>208</v>
      </c>
      <c r="B412" s="337"/>
      <c r="C412" s="4"/>
      <c r="G412" s="15"/>
      <c r="I412" s="111"/>
      <c r="J412" s="100"/>
      <c r="K412" s="15"/>
    </row>
    <row r="413" spans="1:11">
      <c r="A413" s="342" t="s">
        <v>202</v>
      </c>
      <c r="B413" s="337"/>
      <c r="C413" s="4">
        <v>24</v>
      </c>
      <c r="E413" s="14">
        <v>605</v>
      </c>
      <c r="F413" s="100"/>
      <c r="G413" s="15">
        <f>ROUND(E413*$C413,0)</f>
        <v>14520</v>
      </c>
      <c r="I413" s="125"/>
      <c r="J413" s="100"/>
    </row>
    <row r="414" spans="1:11">
      <c r="A414" s="342" t="s">
        <v>203</v>
      </c>
      <c r="B414" s="337"/>
      <c r="C414" s="4">
        <v>38791</v>
      </c>
      <c r="E414" s="14">
        <v>4.46</v>
      </c>
      <c r="F414" s="100"/>
      <c r="G414" s="15">
        <f>ROUND(E414*$C414,0)</f>
        <v>173008</v>
      </c>
      <c r="I414" s="125"/>
      <c r="J414" s="100"/>
      <c r="K414" s="15"/>
    </row>
    <row r="415" spans="1:11">
      <c r="A415" s="342" t="s">
        <v>204</v>
      </c>
      <c r="B415" s="337"/>
      <c r="C415" s="4"/>
      <c r="E415" s="105"/>
      <c r="F415" s="100"/>
      <c r="G415" s="15"/>
      <c r="I415" s="125"/>
      <c r="J415" s="100"/>
      <c r="K415" s="15"/>
    </row>
    <row r="416" spans="1:11">
      <c r="A416" s="342" t="s">
        <v>205</v>
      </c>
      <c r="B416" s="337"/>
      <c r="C416" s="4">
        <v>195683</v>
      </c>
      <c r="E416" s="129"/>
      <c r="F416" s="130"/>
      <c r="G416" s="15"/>
      <c r="I416" s="111"/>
      <c r="J416" s="100"/>
      <c r="K416" s="15"/>
    </row>
    <row r="417" spans="1:11">
      <c r="A417" s="342" t="s">
        <v>370</v>
      </c>
      <c r="B417" s="337"/>
      <c r="C417" s="4">
        <v>79030</v>
      </c>
      <c r="E417" s="14">
        <v>0.86</v>
      </c>
      <c r="F417" s="130"/>
      <c r="G417" s="15">
        <f>ROUND(E417*$C417,0)</f>
        <v>67966</v>
      </c>
      <c r="I417" s="126"/>
      <c r="K417" s="15"/>
    </row>
    <row r="418" spans="1:11">
      <c r="A418" s="342" t="s">
        <v>371</v>
      </c>
      <c r="B418" s="337"/>
      <c r="C418" s="4">
        <v>116653</v>
      </c>
      <c r="E418" s="14">
        <v>0.6</v>
      </c>
      <c r="F418" s="130"/>
      <c r="G418" s="15">
        <f>ROUND(E418*$C418,0)</f>
        <v>69992</v>
      </c>
      <c r="I418" s="111"/>
      <c r="J418" s="100"/>
      <c r="K418" s="15"/>
    </row>
    <row r="419" spans="1:11">
      <c r="A419" s="342" t="s">
        <v>206</v>
      </c>
      <c r="B419" s="337"/>
      <c r="C419" s="4">
        <v>24254</v>
      </c>
      <c r="E419" s="129"/>
      <c r="F419" s="131"/>
      <c r="G419" s="15"/>
      <c r="I419" s="111"/>
      <c r="J419" s="100"/>
      <c r="K419" s="15"/>
    </row>
    <row r="420" spans="1:11">
      <c r="A420" s="342" t="s">
        <v>370</v>
      </c>
      <c r="B420" s="337"/>
      <c r="C420" s="4">
        <v>24254</v>
      </c>
      <c r="E420" s="358">
        <v>0.43</v>
      </c>
      <c r="F420" s="131"/>
      <c r="G420" s="15">
        <f>ROUND(E420*$C420,0)</f>
        <v>10429</v>
      </c>
      <c r="I420" s="111"/>
      <c r="J420" s="100"/>
      <c r="K420" s="15"/>
    </row>
    <row r="421" spans="1:11">
      <c r="A421" s="342" t="s">
        <v>371</v>
      </c>
      <c r="B421" s="337"/>
      <c r="C421" s="4">
        <v>0</v>
      </c>
      <c r="E421" s="358">
        <v>0.3</v>
      </c>
      <c r="F421" s="131"/>
      <c r="G421" s="15">
        <f>ROUND(E421*$C421,0)</f>
        <v>0</v>
      </c>
      <c r="I421" s="111"/>
      <c r="J421" s="100"/>
      <c r="K421" s="15"/>
    </row>
    <row r="422" spans="1:11">
      <c r="A422" s="342" t="s">
        <v>207</v>
      </c>
      <c r="B422" s="337"/>
      <c r="C422" s="4">
        <v>30</v>
      </c>
      <c r="E422" s="129"/>
      <c r="F422" s="100"/>
      <c r="G422" s="15"/>
      <c r="I422" s="111"/>
      <c r="J422" s="100"/>
      <c r="K422" s="15"/>
    </row>
    <row r="423" spans="1:11">
      <c r="A423" s="342" t="s">
        <v>370</v>
      </c>
      <c r="B423" s="337"/>
      <c r="C423" s="4">
        <v>0</v>
      </c>
      <c r="E423" s="14">
        <v>38.54</v>
      </c>
      <c r="F423" s="100"/>
      <c r="G423" s="15">
        <f>ROUND(E423*$C423,0)</f>
        <v>0</v>
      </c>
      <c r="I423" s="111"/>
      <c r="J423" s="100"/>
      <c r="K423" s="15"/>
    </row>
    <row r="424" spans="1:11">
      <c r="A424" s="342" t="s">
        <v>371</v>
      </c>
      <c r="B424" s="337"/>
      <c r="C424" s="4">
        <v>30</v>
      </c>
      <c r="E424" s="14">
        <v>29.77</v>
      </c>
      <c r="F424" s="100"/>
      <c r="G424" s="15">
        <f>ROUND(E424*$C424,0)</f>
        <v>893</v>
      </c>
      <c r="I424" s="111"/>
      <c r="J424" s="100"/>
    </row>
    <row r="425" spans="1:11">
      <c r="A425" s="356" t="s">
        <v>209</v>
      </c>
      <c r="B425" s="337"/>
      <c r="C425" s="4"/>
      <c r="G425" s="15"/>
      <c r="I425" s="111"/>
      <c r="J425" s="20"/>
      <c r="K425" s="15"/>
    </row>
    <row r="426" spans="1:11">
      <c r="A426" s="342" t="s">
        <v>202</v>
      </c>
      <c r="B426" s="337"/>
      <c r="C426" s="4">
        <v>24</v>
      </c>
      <c r="E426" s="14">
        <v>678</v>
      </c>
      <c r="F426" s="100"/>
      <c r="G426" s="15">
        <f>ROUND(E426*$C426,0)</f>
        <v>16272</v>
      </c>
      <c r="I426" s="126"/>
      <c r="K426" s="15"/>
    </row>
    <row r="427" spans="1:11">
      <c r="A427" s="342" t="s">
        <v>203</v>
      </c>
      <c r="B427" s="337"/>
      <c r="C427" s="4">
        <v>153429</v>
      </c>
      <c r="E427" s="14">
        <v>2.63</v>
      </c>
      <c r="F427" s="100"/>
      <c r="G427" s="15">
        <f>ROUND(E427*$C427,0)</f>
        <v>403518</v>
      </c>
      <c r="I427" s="111"/>
      <c r="J427" s="100"/>
      <c r="K427" s="15"/>
    </row>
    <row r="428" spans="1:11">
      <c r="A428" s="342" t="s">
        <v>204</v>
      </c>
      <c r="B428" s="337"/>
      <c r="C428" s="4"/>
      <c r="E428" s="105"/>
      <c r="F428" s="20"/>
      <c r="G428" s="15"/>
      <c r="I428" s="111"/>
      <c r="J428" s="100"/>
      <c r="K428" s="15"/>
    </row>
    <row r="429" spans="1:11">
      <c r="A429" s="342" t="s">
        <v>205</v>
      </c>
      <c r="B429" s="337"/>
      <c r="C429" s="4">
        <v>391585</v>
      </c>
      <c r="E429" s="129"/>
      <c r="F429" s="130"/>
      <c r="G429" s="15"/>
      <c r="I429" s="111"/>
      <c r="J429" s="100"/>
      <c r="K429" s="15"/>
    </row>
    <row r="430" spans="1:11">
      <c r="A430" s="342" t="s">
        <v>370</v>
      </c>
      <c r="B430" s="337"/>
      <c r="C430" s="4">
        <v>239920</v>
      </c>
      <c r="E430" s="14">
        <v>0.76</v>
      </c>
      <c r="F430" s="130"/>
      <c r="G430" s="15">
        <f>ROUND(E430*$C430,0)</f>
        <v>182339</v>
      </c>
      <c r="I430" s="111"/>
      <c r="J430" s="100"/>
      <c r="K430" s="15"/>
    </row>
    <row r="431" spans="1:11">
      <c r="A431" s="342" t="s">
        <v>371</v>
      </c>
      <c r="B431" s="337"/>
      <c r="C431" s="4">
        <v>151665</v>
      </c>
      <c r="E431" s="14">
        <v>0.51</v>
      </c>
      <c r="F431" s="130"/>
      <c r="G431" s="15">
        <f>ROUND(E431*$C431,0)</f>
        <v>77349</v>
      </c>
      <c r="I431" s="125"/>
      <c r="J431" s="100"/>
    </row>
    <row r="432" spans="1:11">
      <c r="A432" s="342" t="s">
        <v>206</v>
      </c>
      <c r="B432" s="337"/>
      <c r="C432" s="4">
        <v>0</v>
      </c>
      <c r="E432" s="129"/>
      <c r="F432" s="131"/>
      <c r="G432" s="15"/>
      <c r="I432" s="125"/>
      <c r="J432" s="100"/>
      <c r="K432" s="15"/>
    </row>
    <row r="433" spans="1:15">
      <c r="A433" s="342" t="s">
        <v>370</v>
      </c>
      <c r="B433" s="337"/>
      <c r="C433" s="4">
        <v>0</v>
      </c>
      <c r="E433" s="358">
        <v>0.38</v>
      </c>
      <c r="F433" s="131"/>
      <c r="G433" s="15">
        <f>ROUND(E433*$C433,0)</f>
        <v>0</v>
      </c>
      <c r="I433" s="125"/>
      <c r="J433" s="100"/>
      <c r="K433" s="15"/>
    </row>
    <row r="434" spans="1:15">
      <c r="A434" s="342" t="s">
        <v>371</v>
      </c>
      <c r="B434" s="337"/>
      <c r="C434" s="4">
        <v>0</v>
      </c>
      <c r="E434" s="358">
        <v>0.255</v>
      </c>
      <c r="F434" s="131"/>
      <c r="G434" s="15">
        <f>ROUND(E434*$C434,0)</f>
        <v>0</v>
      </c>
      <c r="I434" s="111"/>
      <c r="J434" s="100"/>
      <c r="K434" s="15"/>
    </row>
    <row r="435" spans="1:15">
      <c r="A435" s="342" t="s">
        <v>207</v>
      </c>
      <c r="B435" s="337"/>
      <c r="C435" s="4">
        <v>0</v>
      </c>
      <c r="E435" s="129"/>
      <c r="F435" s="100"/>
      <c r="G435" s="15"/>
      <c r="I435" s="126"/>
      <c r="K435" s="15"/>
    </row>
    <row r="436" spans="1:15">
      <c r="A436" s="342" t="s">
        <v>370</v>
      </c>
      <c r="B436" s="337"/>
      <c r="C436" s="4">
        <v>0</v>
      </c>
      <c r="E436" s="14">
        <v>32.35</v>
      </c>
      <c r="F436" s="100"/>
      <c r="G436" s="15">
        <f>ROUND(E436*$C436,0)</f>
        <v>0</v>
      </c>
      <c r="I436" s="126"/>
      <c r="K436" s="15"/>
    </row>
    <row r="437" spans="1:15">
      <c r="A437" s="342" t="s">
        <v>371</v>
      </c>
      <c r="B437" s="337"/>
      <c r="C437" s="4">
        <v>0</v>
      </c>
      <c r="E437" s="14">
        <v>23.36</v>
      </c>
      <c r="F437" s="100"/>
      <c r="G437" s="37">
        <f>ROUND(E437*$C437,0)</f>
        <v>0</v>
      </c>
      <c r="I437" s="126"/>
      <c r="K437" s="37"/>
    </row>
    <row r="438" spans="1:15">
      <c r="A438" s="342" t="s">
        <v>199</v>
      </c>
      <c r="B438" s="337"/>
      <c r="C438" s="45"/>
      <c r="E438" s="30"/>
      <c r="F438" s="115"/>
      <c r="G438" s="24">
        <f>SUM(G400:G437)</f>
        <v>1016286</v>
      </c>
      <c r="I438" s="177"/>
      <c r="J438" s="122"/>
      <c r="K438" s="24">
        <f>SUM(K400:K437)</f>
        <v>0</v>
      </c>
    </row>
    <row r="439" spans="1:15">
      <c r="A439" s="356" t="s">
        <v>210</v>
      </c>
      <c r="B439" s="337"/>
      <c r="G439" s="92"/>
    </row>
    <row r="440" spans="1:15">
      <c r="A440" s="341" t="s">
        <v>211</v>
      </c>
      <c r="B440" s="337"/>
      <c r="C440" s="4"/>
      <c r="E440" s="105"/>
      <c r="F440" s="20"/>
      <c r="G440" s="15"/>
      <c r="I440" s="108"/>
      <c r="J440" s="109"/>
      <c r="K440" s="15"/>
    </row>
    <row r="441" spans="1:15">
      <c r="A441" s="342" t="s">
        <v>87</v>
      </c>
      <c r="B441" s="337"/>
      <c r="C441" s="4">
        <v>16065</v>
      </c>
      <c r="E441" s="105">
        <v>4.76</v>
      </c>
      <c r="F441" s="20"/>
      <c r="G441" s="15">
        <f>ROUND(E441*$C441,0)</f>
        <v>76469</v>
      </c>
      <c r="I441" s="126"/>
      <c r="K441" s="15"/>
    </row>
    <row r="442" spans="1:15">
      <c r="A442" s="342" t="s">
        <v>88</v>
      </c>
      <c r="B442" s="337"/>
      <c r="C442" s="4">
        <v>0</v>
      </c>
      <c r="E442" s="105">
        <v>15.56</v>
      </c>
      <c r="F442" s="20"/>
      <c r="G442" s="15">
        <f>ROUND(E442*$C442,0)</f>
        <v>0</v>
      </c>
      <c r="I442" s="31">
        <f>$N$160</f>
        <v>-1.0770460000000001E-2</v>
      </c>
      <c r="K442" s="15">
        <f t="shared" ref="K442:K443" si="91">$G442*I442</f>
        <v>0</v>
      </c>
      <c r="O442" s="138">
        <f>G442*I442-K442</f>
        <v>0</v>
      </c>
    </row>
    <row r="443" spans="1:15">
      <c r="A443" s="342" t="s">
        <v>89</v>
      </c>
      <c r="B443" s="337"/>
      <c r="C443" s="4">
        <v>16065</v>
      </c>
      <c r="E443" s="105">
        <v>11.19</v>
      </c>
      <c r="F443" s="20"/>
      <c r="G443" s="15">
        <f>ROUND(E443*$C443,0)</f>
        <v>179767</v>
      </c>
      <c r="I443" s="31">
        <f>$N$160</f>
        <v>-1.0770460000000001E-2</v>
      </c>
      <c r="K443" s="15">
        <f t="shared" si="91"/>
        <v>-1936.1732828200002</v>
      </c>
      <c r="O443" s="138">
        <f>G443*I443-K443</f>
        <v>0</v>
      </c>
    </row>
    <row r="444" spans="1:15">
      <c r="A444" s="342" t="s">
        <v>32</v>
      </c>
      <c r="B444" s="337"/>
      <c r="C444" s="4">
        <v>16065</v>
      </c>
      <c r="E444" s="105">
        <v>-1.1299999999999999</v>
      </c>
      <c r="F444" s="20"/>
      <c r="G444" s="15">
        <f>ROUND(E444*$C444,0)</f>
        <v>-18153</v>
      </c>
      <c r="I444" s="31"/>
      <c r="J444" s="100"/>
      <c r="K444" s="15"/>
      <c r="O444" s="138"/>
    </row>
    <row r="445" spans="1:15">
      <c r="A445" s="342" t="s">
        <v>27</v>
      </c>
      <c r="B445" s="337"/>
      <c r="C445" s="4">
        <v>1044794</v>
      </c>
      <c r="E445" s="30">
        <v>5.0473999999999997</v>
      </c>
      <c r="F445" s="102" t="s">
        <v>11</v>
      </c>
      <c r="G445" s="15">
        <f>ROUND(E445*$C445/100,0)</f>
        <v>52735</v>
      </c>
      <c r="I445" s="31">
        <f>$N$160</f>
        <v>-1.0770460000000001E-2</v>
      </c>
      <c r="K445" s="15">
        <f t="shared" ref="K445:K447" si="92">$G445*I445</f>
        <v>-567.98020810000003</v>
      </c>
      <c r="O445" s="138">
        <f>G445*I445-K445</f>
        <v>0</v>
      </c>
    </row>
    <row r="446" spans="1:15">
      <c r="A446" s="342" t="s">
        <v>52</v>
      </c>
      <c r="B446" s="337"/>
      <c r="C446" s="4">
        <v>3934668</v>
      </c>
      <c r="E446" s="30">
        <v>3.9510999999999998</v>
      </c>
      <c r="F446" s="102" t="s">
        <v>11</v>
      </c>
      <c r="G446" s="15">
        <f>ROUND(E446*$C446/100,0)</f>
        <v>155463</v>
      </c>
      <c r="I446" s="31">
        <f>$N$160</f>
        <v>-1.0770460000000001E-2</v>
      </c>
      <c r="K446" s="15">
        <f t="shared" si="92"/>
        <v>-1674.4080229800002</v>
      </c>
      <c r="O446" s="138">
        <f>G446*I446-K446</f>
        <v>0</v>
      </c>
    </row>
    <row r="447" spans="1:15">
      <c r="A447" s="342" t="s">
        <v>90</v>
      </c>
      <c r="B447" s="337"/>
      <c r="C447" s="4">
        <v>5030284.6792951785</v>
      </c>
      <c r="E447" s="30">
        <v>3.4001999999999999</v>
      </c>
      <c r="F447" s="102" t="s">
        <v>11</v>
      </c>
      <c r="G447" s="15">
        <f>ROUND(E447*$C447/100,0)</f>
        <v>171040</v>
      </c>
      <c r="I447" s="31">
        <f>$N$160</f>
        <v>-1.0770460000000001E-2</v>
      </c>
      <c r="K447" s="15">
        <f t="shared" si="92"/>
        <v>-1842.1794784000001</v>
      </c>
      <c r="O447" s="138">
        <f>G447*I447-K447</f>
        <v>0</v>
      </c>
    </row>
    <row r="448" spans="1:15">
      <c r="A448" s="341" t="s">
        <v>212</v>
      </c>
      <c r="B448" s="337"/>
      <c r="C448" s="4"/>
      <c r="E448" s="105"/>
      <c r="F448" s="20"/>
      <c r="G448" s="15"/>
      <c r="K448" s="15"/>
      <c r="O448" s="138"/>
    </row>
    <row r="449" spans="1:19">
      <c r="A449" s="342" t="s">
        <v>87</v>
      </c>
      <c r="B449" s="337"/>
      <c r="C449" s="4">
        <v>103313</v>
      </c>
      <c r="E449" s="105">
        <v>2.2200000000000002</v>
      </c>
      <c r="F449" s="20"/>
      <c r="G449" s="15">
        <f>ROUND(E449*$C449,0)</f>
        <v>229355</v>
      </c>
      <c r="K449" s="15"/>
      <c r="O449" s="138"/>
    </row>
    <row r="450" spans="1:19">
      <c r="A450" s="342" t="s">
        <v>88</v>
      </c>
      <c r="B450" s="337"/>
      <c r="C450" s="4">
        <v>49491</v>
      </c>
      <c r="E450" s="105">
        <v>13.96</v>
      </c>
      <c r="F450" s="20"/>
      <c r="G450" s="15">
        <f>ROUND(E450*$C450,0)</f>
        <v>690894</v>
      </c>
      <c r="I450" s="31">
        <f>$N$172</f>
        <v>-1.041102E-2</v>
      </c>
      <c r="J450" s="109"/>
      <c r="K450" s="15">
        <f t="shared" ref="K450:K454" si="93">$G450*I450</f>
        <v>-7192.9112518800002</v>
      </c>
      <c r="O450" s="138">
        <f>G450*I450-K450</f>
        <v>0</v>
      </c>
    </row>
    <row r="451" spans="1:19">
      <c r="A451" s="342" t="s">
        <v>89</v>
      </c>
      <c r="B451" s="337"/>
      <c r="C451" s="4">
        <v>50080</v>
      </c>
      <c r="E451" s="105">
        <v>9.4700000000000006</v>
      </c>
      <c r="F451" s="20"/>
      <c r="G451" s="15">
        <f>ROUND(E451*$C451,0)</f>
        <v>474258</v>
      </c>
      <c r="I451" s="31">
        <f>$N$172</f>
        <v>-1.041102E-2</v>
      </c>
      <c r="K451" s="15">
        <f t="shared" si="93"/>
        <v>-4937.5095231599998</v>
      </c>
      <c r="O451" s="138">
        <f>G451*I451-K451</f>
        <v>0</v>
      </c>
    </row>
    <row r="452" spans="1:19">
      <c r="A452" s="342" t="s">
        <v>92</v>
      </c>
      <c r="B452" s="337"/>
      <c r="C452" s="4">
        <v>7647176</v>
      </c>
      <c r="E452" s="119">
        <v>4.6531000000000002</v>
      </c>
      <c r="F452" s="102" t="s">
        <v>11</v>
      </c>
      <c r="G452" s="15">
        <f>ROUND(E452*$C452/100,0)</f>
        <v>355831</v>
      </c>
      <c r="I452" s="31">
        <f>$N$172</f>
        <v>-1.041102E-2</v>
      </c>
      <c r="K452" s="15">
        <f t="shared" si="93"/>
        <v>-3704.56365762</v>
      </c>
      <c r="O452" s="138">
        <f>G452*I452-K452</f>
        <v>0</v>
      </c>
    </row>
    <row r="453" spans="1:19">
      <c r="A453" s="342" t="s">
        <v>93</v>
      </c>
      <c r="B453" s="337"/>
      <c r="C453" s="4">
        <v>10898121</v>
      </c>
      <c r="E453" s="119">
        <v>3.4988999999999999</v>
      </c>
      <c r="F453" s="102" t="s">
        <v>11</v>
      </c>
      <c r="G453" s="15">
        <f>ROUND(E453*$C453/100,0)</f>
        <v>381314</v>
      </c>
      <c r="I453" s="31">
        <f>$N$172</f>
        <v>-1.041102E-2</v>
      </c>
      <c r="J453" s="100"/>
      <c r="K453" s="15">
        <f t="shared" si="93"/>
        <v>-3969.8676802800001</v>
      </c>
      <c r="O453" s="138">
        <f>G453*I453-K453</f>
        <v>0</v>
      </c>
    </row>
    <row r="454" spans="1:19">
      <c r="A454" s="342" t="s">
        <v>90</v>
      </c>
      <c r="B454" s="337"/>
      <c r="C454" s="48">
        <v>27727401.345819965</v>
      </c>
      <c r="E454" s="359">
        <v>2.9224999999999999</v>
      </c>
      <c r="F454" s="102" t="s">
        <v>11</v>
      </c>
      <c r="G454" s="37">
        <f>ROUND(E454*$C454/100,0)</f>
        <v>810333</v>
      </c>
      <c r="I454" s="31">
        <f>$N$172</f>
        <v>-1.041102E-2</v>
      </c>
      <c r="J454" s="102"/>
      <c r="K454" s="37">
        <f t="shared" si="93"/>
        <v>-8436.39306966</v>
      </c>
      <c r="O454" s="138">
        <f>G454*I454-K454</f>
        <v>0</v>
      </c>
    </row>
    <row r="455" spans="1:19">
      <c r="A455" s="342" t="s">
        <v>199</v>
      </c>
      <c r="B455" s="337"/>
      <c r="C455" s="16"/>
      <c r="E455" s="176"/>
      <c r="F455" s="102"/>
      <c r="G455" s="21">
        <f>SUM(G441:G454)</f>
        <v>3559306</v>
      </c>
      <c r="I455" s="126"/>
      <c r="K455" s="21">
        <f>SUM(K441:K454)</f>
        <v>-34261.986174899997</v>
      </c>
    </row>
    <row r="456" spans="1:19">
      <c r="A456" s="159" t="s">
        <v>83</v>
      </c>
      <c r="B456" s="337"/>
      <c r="C456" s="45">
        <v>0</v>
      </c>
      <c r="E456" s="30"/>
      <c r="F456" s="115"/>
      <c r="G456" s="24">
        <v>0</v>
      </c>
      <c r="I456" s="126"/>
      <c r="K456" s="24"/>
    </row>
    <row r="457" spans="1:19" ht="16.5" thickBot="1">
      <c r="A457" s="342" t="s">
        <v>213</v>
      </c>
      <c r="B457" s="337"/>
      <c r="C457" s="29">
        <v>56282445.025115147</v>
      </c>
      <c r="E457" s="173"/>
      <c r="G457" s="28">
        <f>G438+G455+G456</f>
        <v>4575592</v>
      </c>
      <c r="I457" s="109"/>
      <c r="J457" s="109"/>
      <c r="K457" s="28">
        <f>K438+K455+K456</f>
        <v>-34261.986174899997</v>
      </c>
    </row>
    <row r="458" spans="1:19" ht="16.5" thickTop="1">
      <c r="G458" s="92"/>
      <c r="I458" s="109"/>
      <c r="J458" s="109"/>
    </row>
    <row r="459" spans="1:19">
      <c r="A459" s="341" t="s">
        <v>273</v>
      </c>
      <c r="B459" s="337"/>
      <c r="C459" s="4"/>
      <c r="G459" s="92"/>
      <c r="P459" s="331" t="s">
        <v>355</v>
      </c>
    </row>
    <row r="460" spans="1:19">
      <c r="A460" s="189" t="s">
        <v>373</v>
      </c>
      <c r="B460" s="337"/>
      <c r="C460" s="4">
        <v>12</v>
      </c>
      <c r="E460" s="30"/>
      <c r="F460" s="115"/>
      <c r="G460" s="51">
        <f>P460*$G$465/$P$465</f>
        <v>2455.1370887870371</v>
      </c>
      <c r="I460" s="31"/>
      <c r="J460" s="100"/>
      <c r="K460" s="51"/>
      <c r="O460" s="138"/>
      <c r="P460" s="332">
        <v>2617.6799999999989</v>
      </c>
      <c r="R460" s="386"/>
      <c r="S460" s="386"/>
    </row>
    <row r="461" spans="1:19">
      <c r="A461" s="189" t="s">
        <v>7</v>
      </c>
      <c r="B461" s="337"/>
      <c r="C461" s="4"/>
      <c r="E461" s="30"/>
      <c r="F461" s="115"/>
      <c r="G461" s="14">
        <f>P461*$G$465/$P$465</f>
        <v>1757447.7693870724</v>
      </c>
      <c r="I461" s="31"/>
      <c r="J461" s="100"/>
      <c r="K461" s="51"/>
      <c r="M461" s="70" t="s">
        <v>14</v>
      </c>
      <c r="N461" s="17">
        <f>K465</f>
        <v>0</v>
      </c>
      <c r="O461" s="138"/>
      <c r="P461" s="332">
        <v>1873800</v>
      </c>
      <c r="R461" s="386"/>
      <c r="S461" s="386"/>
    </row>
    <row r="462" spans="1:19">
      <c r="A462" s="189" t="s">
        <v>214</v>
      </c>
      <c r="B462" s="337"/>
      <c r="C462" s="4">
        <v>949050</v>
      </c>
      <c r="E462" s="30"/>
      <c r="F462" s="115"/>
      <c r="G462" s="51">
        <f>P462*$G$465/$P$465</f>
        <v>9607156.0419391952</v>
      </c>
      <c r="I462" s="31">
        <f>$N$464</f>
        <v>0</v>
      </c>
      <c r="J462" s="102"/>
      <c r="K462" s="15">
        <f>$G462*I462</f>
        <v>0</v>
      </c>
      <c r="M462" s="71" t="s">
        <v>16</v>
      </c>
      <c r="N462" s="18">
        <f>'Ex B p1 - Rate Spread'!K34*1000</f>
        <v>0</v>
      </c>
      <c r="O462" s="138">
        <f>G462*I462-K462</f>
        <v>0</v>
      </c>
      <c r="P462" s="332">
        <v>10243200.000000002</v>
      </c>
      <c r="R462" s="386"/>
      <c r="S462" s="386"/>
    </row>
    <row r="463" spans="1:19">
      <c r="A463" s="189" t="s">
        <v>215</v>
      </c>
      <c r="B463" s="337"/>
      <c r="C463" s="4">
        <v>237232647</v>
      </c>
      <c r="E463" s="132"/>
      <c r="F463" s="133"/>
      <c r="G463" s="51">
        <f>P463*$G$465/$P$465</f>
        <v>8613813.3233023118</v>
      </c>
      <c r="I463" s="31">
        <f>$N$464</f>
        <v>0</v>
      </c>
      <c r="J463" s="102"/>
      <c r="K463" s="51">
        <f t="shared" ref="K463:K464" si="94">$G463*I463</f>
        <v>0</v>
      </c>
      <c r="M463" s="72" t="s">
        <v>18</v>
      </c>
      <c r="N463" s="19">
        <f>N462-N461</f>
        <v>0</v>
      </c>
      <c r="O463" s="138">
        <f>G463*I463-K463</f>
        <v>0</v>
      </c>
      <c r="P463" s="332">
        <v>9184092.8000000007</v>
      </c>
      <c r="R463" s="386"/>
      <c r="S463" s="386"/>
    </row>
    <row r="464" spans="1:19">
      <c r="A464" s="189" t="s">
        <v>216</v>
      </c>
      <c r="B464" s="337"/>
      <c r="C464" s="23">
        <v>298488523</v>
      </c>
      <c r="G464" s="24">
        <f>P464*$G$465/$P$465</f>
        <v>7977878.7282826342</v>
      </c>
      <c r="I464" s="31">
        <f>$N$464</f>
        <v>0</v>
      </c>
      <c r="J464" s="102"/>
      <c r="K464" s="24">
        <f t="shared" si="94"/>
        <v>0</v>
      </c>
      <c r="M464" s="75" t="s">
        <v>21</v>
      </c>
      <c r="N464" s="76">
        <f>ROUND(N462/SUM(G462:G464),$N$12)</f>
        <v>0</v>
      </c>
      <c r="O464" s="138">
        <f>G464*I464-K464</f>
        <v>0</v>
      </c>
      <c r="P464" s="333">
        <v>8506056.0099999998</v>
      </c>
      <c r="R464" s="386"/>
      <c r="S464" s="386"/>
    </row>
    <row r="465" spans="1:19" ht="16.5" thickBot="1">
      <c r="A465" s="342" t="s">
        <v>25</v>
      </c>
      <c r="B465" s="337"/>
      <c r="C465" s="29">
        <v>535721170</v>
      </c>
      <c r="E465" s="114"/>
      <c r="F465" s="115"/>
      <c r="G465" s="28">
        <v>27958751</v>
      </c>
      <c r="I465" s="128"/>
      <c r="J465" s="124"/>
      <c r="K465" s="28">
        <f>SUM(K462:K464)</f>
        <v>0</v>
      </c>
      <c r="O465" s="138"/>
      <c r="P465" s="334">
        <v>29809766.490000002</v>
      </c>
      <c r="R465" s="386"/>
      <c r="S465" s="386"/>
    </row>
    <row r="466" spans="1:19" ht="16.5" thickTop="1">
      <c r="A466" s="159"/>
      <c r="B466" s="337"/>
      <c r="C466" s="4"/>
      <c r="G466" s="15"/>
      <c r="I466" s="106"/>
      <c r="J466" s="115"/>
      <c r="K466" s="15"/>
    </row>
    <row r="467" spans="1:19">
      <c r="A467" s="360" t="s">
        <v>274</v>
      </c>
      <c r="B467" s="338"/>
      <c r="C467" s="4"/>
      <c r="E467" s="30"/>
      <c r="F467" s="115"/>
      <c r="G467" s="92"/>
      <c r="I467" s="106"/>
      <c r="J467" s="115"/>
      <c r="M467" s="70" t="s">
        <v>14</v>
      </c>
      <c r="N467" s="17">
        <f>K470</f>
        <v>0</v>
      </c>
      <c r="O467" s="138"/>
    </row>
    <row r="468" spans="1:19">
      <c r="A468" s="348" t="s">
        <v>7</v>
      </c>
      <c r="B468" s="338"/>
      <c r="C468" s="4">
        <v>12</v>
      </c>
      <c r="G468" s="92"/>
      <c r="I468" s="31"/>
      <c r="J468" s="100"/>
      <c r="M468" s="71" t="s">
        <v>16</v>
      </c>
      <c r="N468" s="18">
        <f>'Ex B p1 - Rate Spread'!K35*1000</f>
        <v>0</v>
      </c>
      <c r="O468" s="138"/>
    </row>
    <row r="469" spans="1:19">
      <c r="A469" s="348" t="s">
        <v>307</v>
      </c>
      <c r="B469" s="338"/>
      <c r="C469" s="4">
        <v>795798675.78575754</v>
      </c>
      <c r="E469" s="134"/>
      <c r="F469" s="135"/>
      <c r="G469" s="37">
        <v>35062890</v>
      </c>
      <c r="I469" s="91">
        <f>N470</f>
        <v>0</v>
      </c>
      <c r="J469" s="109"/>
      <c r="K469" s="15">
        <f>$G469*I469</f>
        <v>0</v>
      </c>
      <c r="M469" s="72" t="s">
        <v>18</v>
      </c>
      <c r="N469" s="19">
        <f>N468-N467</f>
        <v>0</v>
      </c>
      <c r="O469" s="138">
        <f>G469*I469-K469</f>
        <v>0</v>
      </c>
    </row>
    <row r="470" spans="1:19" ht="16.5" thickBot="1">
      <c r="A470" s="342" t="s">
        <v>25</v>
      </c>
      <c r="B470" s="338"/>
      <c r="C470" s="52">
        <v>795798675.78575754</v>
      </c>
      <c r="E470" s="136"/>
      <c r="F470" s="115"/>
      <c r="G470" s="26">
        <v>35062890</v>
      </c>
      <c r="I470" s="125"/>
      <c r="J470" s="102"/>
      <c r="K470" s="26">
        <f>K469</f>
        <v>0</v>
      </c>
      <c r="M470" s="75" t="s">
        <v>21</v>
      </c>
      <c r="N470" s="76">
        <f>ROUND(N468/G469,$N$12)</f>
        <v>0</v>
      </c>
      <c r="O470" s="138"/>
    </row>
    <row r="471" spans="1:19" ht="16.5" thickTop="1">
      <c r="A471" s="191"/>
      <c r="B471" s="166"/>
      <c r="C471" s="16"/>
      <c r="E471" s="109"/>
      <c r="F471" s="109"/>
      <c r="G471" s="21"/>
      <c r="I471" s="125"/>
      <c r="J471" s="102"/>
      <c r="K471" s="21"/>
      <c r="N471" s="194"/>
    </row>
    <row r="472" spans="1:19">
      <c r="A472" s="341" t="s">
        <v>275</v>
      </c>
      <c r="B472" s="337"/>
      <c r="C472" s="4"/>
      <c r="E472" s="30"/>
      <c r="F472" s="115"/>
      <c r="G472" s="92"/>
      <c r="I472" s="125"/>
      <c r="J472" s="124"/>
    </row>
    <row r="473" spans="1:19">
      <c r="A473" s="342" t="s">
        <v>7</v>
      </c>
      <c r="B473" s="337"/>
      <c r="C473" s="4">
        <v>12</v>
      </c>
      <c r="E473" s="14"/>
      <c r="F473" s="115"/>
      <c r="G473" s="15">
        <v>8136</v>
      </c>
      <c r="I473" s="121"/>
      <c r="J473" s="115"/>
      <c r="K473" s="15"/>
    </row>
    <row r="474" spans="1:19">
      <c r="A474" s="342" t="s">
        <v>308</v>
      </c>
      <c r="B474" s="337"/>
      <c r="C474" s="4">
        <v>422498</v>
      </c>
      <c r="E474" s="14"/>
      <c r="F474" s="115"/>
      <c r="G474" s="15">
        <v>921045</v>
      </c>
      <c r="I474" s="126"/>
      <c r="K474" s="15"/>
    </row>
    <row r="475" spans="1:19">
      <c r="A475" s="342" t="s">
        <v>217</v>
      </c>
      <c r="B475" s="337"/>
      <c r="C475" s="4"/>
      <c r="E475" s="105"/>
      <c r="F475" s="137"/>
      <c r="G475" s="51"/>
      <c r="I475" s="126"/>
      <c r="K475" s="15"/>
    </row>
    <row r="476" spans="1:19">
      <c r="A476" s="342" t="s">
        <v>205</v>
      </c>
      <c r="B476" s="337"/>
      <c r="C476" s="4">
        <v>3435490</v>
      </c>
      <c r="E476" s="129"/>
      <c r="F476" s="130"/>
      <c r="G476" s="15"/>
      <c r="I476" s="126"/>
      <c r="K476" s="15"/>
    </row>
    <row r="477" spans="1:19">
      <c r="A477" s="342" t="s">
        <v>370</v>
      </c>
      <c r="B477" s="337"/>
      <c r="C477" s="4">
        <v>3253488</v>
      </c>
      <c r="E477" s="129"/>
      <c r="F477" s="130"/>
      <c r="G477" s="15">
        <v>1673920</v>
      </c>
      <c r="I477" s="126"/>
      <c r="K477" s="15"/>
    </row>
    <row r="478" spans="1:19">
      <c r="A478" s="342" t="s">
        <v>371</v>
      </c>
      <c r="B478" s="337"/>
      <c r="C478" s="4">
        <v>182002</v>
      </c>
      <c r="E478" s="129"/>
      <c r="F478" s="130"/>
      <c r="G478" s="15">
        <v>93640</v>
      </c>
      <c r="I478" s="126"/>
      <c r="K478" s="15"/>
    </row>
    <row r="479" spans="1:19">
      <c r="A479" s="342" t="s">
        <v>206</v>
      </c>
      <c r="B479" s="337"/>
      <c r="C479" s="4">
        <v>0</v>
      </c>
      <c r="E479" s="129"/>
      <c r="F479" s="130"/>
      <c r="G479" s="15"/>
      <c r="I479" s="126"/>
      <c r="K479" s="15"/>
    </row>
    <row r="480" spans="1:19">
      <c r="A480" s="342" t="s">
        <v>370</v>
      </c>
      <c r="B480" s="337"/>
      <c r="C480" s="4"/>
      <c r="E480" s="129"/>
      <c r="F480" s="130"/>
      <c r="G480" s="15">
        <v>0</v>
      </c>
      <c r="I480" s="126"/>
      <c r="K480" s="15"/>
    </row>
    <row r="481" spans="1:15">
      <c r="A481" s="342" t="s">
        <v>371</v>
      </c>
      <c r="B481" s="337"/>
      <c r="C481" s="4"/>
      <c r="E481" s="129"/>
      <c r="F481" s="130"/>
      <c r="G481" s="15">
        <v>0</v>
      </c>
      <c r="I481" s="109"/>
      <c r="J481" s="109"/>
      <c r="K481" s="51"/>
    </row>
    <row r="482" spans="1:15">
      <c r="A482" s="342" t="s">
        <v>218</v>
      </c>
      <c r="B482" s="337"/>
      <c r="C482" s="4">
        <v>0</v>
      </c>
      <c r="E482" s="129"/>
      <c r="F482" s="130"/>
      <c r="G482" s="15"/>
      <c r="K482" s="15"/>
    </row>
    <row r="483" spans="1:15">
      <c r="A483" s="342" t="s">
        <v>370</v>
      </c>
      <c r="B483" s="337"/>
      <c r="C483" s="4"/>
      <c r="E483" s="129"/>
      <c r="F483" s="130"/>
      <c r="G483" s="15">
        <v>0</v>
      </c>
      <c r="K483" s="15"/>
    </row>
    <row r="484" spans="1:15">
      <c r="A484" s="342" t="s">
        <v>371</v>
      </c>
      <c r="B484" s="337"/>
      <c r="C484" s="4"/>
      <c r="E484" s="129"/>
      <c r="F484" s="130"/>
      <c r="G484" s="15">
        <v>0</v>
      </c>
      <c r="I484" s="31"/>
      <c r="J484" s="100"/>
      <c r="K484" s="15"/>
    </row>
    <row r="485" spans="1:15">
      <c r="A485" s="342" t="s">
        <v>219</v>
      </c>
      <c r="B485" s="337"/>
      <c r="C485" s="4"/>
      <c r="E485" s="118"/>
      <c r="F485" s="137"/>
      <c r="G485" s="51"/>
      <c r="I485" s="31"/>
      <c r="J485" s="100"/>
      <c r="K485" s="51"/>
    </row>
    <row r="486" spans="1:15">
      <c r="A486" s="342" t="s">
        <v>220</v>
      </c>
      <c r="B486" s="337"/>
      <c r="C486" s="4">
        <v>24807</v>
      </c>
      <c r="E486" s="105"/>
      <c r="F486" s="20"/>
      <c r="G486" s="15">
        <v>346306</v>
      </c>
      <c r="I486" s="31"/>
      <c r="J486" s="100"/>
      <c r="K486" s="15">
        <f t="shared" ref="K486:K487" si="95">$G486*I486</f>
        <v>0</v>
      </c>
      <c r="O486" s="138">
        <f>G486*I486-K486</f>
        <v>0</v>
      </c>
    </row>
    <row r="487" spans="1:15">
      <c r="A487" s="342" t="s">
        <v>221</v>
      </c>
      <c r="B487" s="337"/>
      <c r="C487" s="4">
        <v>765402</v>
      </c>
      <c r="E487" s="105"/>
      <c r="F487" s="20"/>
      <c r="G487" s="15">
        <v>7248357</v>
      </c>
      <c r="I487" s="31"/>
      <c r="J487" s="100"/>
      <c r="K487" s="15">
        <f t="shared" si="95"/>
        <v>0</v>
      </c>
      <c r="O487" s="138">
        <f>G487*I487-K487</f>
        <v>0</v>
      </c>
    </row>
    <row r="488" spans="1:15">
      <c r="A488" s="342" t="s">
        <v>222</v>
      </c>
      <c r="B488" s="337"/>
      <c r="C488" s="16"/>
      <c r="E488" s="137"/>
      <c r="F488" s="137"/>
      <c r="G488" s="21"/>
      <c r="I488" s="31"/>
      <c r="J488" s="100"/>
      <c r="K488" s="21"/>
      <c r="O488" s="138"/>
    </row>
    <row r="489" spans="1:15">
      <c r="A489" s="342" t="s">
        <v>223</v>
      </c>
      <c r="B489" s="337"/>
      <c r="C489" s="4">
        <v>22796861</v>
      </c>
      <c r="E489" s="119"/>
      <c r="F489" s="102" t="s">
        <v>11</v>
      </c>
      <c r="G489" s="15">
        <v>1060761</v>
      </c>
      <c r="I489" s="31"/>
      <c r="J489" s="100"/>
      <c r="K489" s="15">
        <f t="shared" ref="K489:K491" si="96">$G489*I489</f>
        <v>0</v>
      </c>
      <c r="O489" s="138">
        <f>G489*I489-K489</f>
        <v>0</v>
      </c>
    </row>
    <row r="490" spans="1:15">
      <c r="A490" s="342" t="s">
        <v>224</v>
      </c>
      <c r="B490" s="337"/>
      <c r="C490" s="4">
        <v>204228863</v>
      </c>
      <c r="E490" s="119"/>
      <c r="F490" s="102" t="s">
        <v>11</v>
      </c>
      <c r="G490" s="15">
        <v>7145764</v>
      </c>
      <c r="I490" s="31"/>
      <c r="J490" s="100"/>
      <c r="K490" s="15">
        <f t="shared" si="96"/>
        <v>0</v>
      </c>
      <c r="O490" s="138">
        <f>G490*I490-K490</f>
        <v>0</v>
      </c>
    </row>
    <row r="491" spans="1:15">
      <c r="A491" s="342" t="s">
        <v>225</v>
      </c>
      <c r="B491" s="337"/>
      <c r="C491" s="48">
        <v>394783609.25</v>
      </c>
      <c r="E491" s="359"/>
      <c r="F491" s="102" t="s">
        <v>11</v>
      </c>
      <c r="G491" s="37">
        <v>11537551</v>
      </c>
      <c r="I491" s="31"/>
      <c r="J491" s="100"/>
      <c r="K491" s="37">
        <f t="shared" si="96"/>
        <v>0</v>
      </c>
      <c r="O491" s="138">
        <f>G491*I491-K491</f>
        <v>0</v>
      </c>
    </row>
    <row r="492" spans="1:15" ht="16.5" thickBot="1">
      <c r="A492" s="342" t="s">
        <v>226</v>
      </c>
      <c r="B492" s="337"/>
      <c r="C492" s="29">
        <v>621809333.25</v>
      </c>
      <c r="E492" s="114"/>
      <c r="F492" s="115"/>
      <c r="G492" s="28">
        <v>30035480</v>
      </c>
      <c r="I492" s="31"/>
      <c r="J492" s="100"/>
      <c r="K492" s="28">
        <f>SUM(K473:K491)</f>
        <v>0</v>
      </c>
    </row>
    <row r="493" spans="1:15" ht="16.5" thickTop="1">
      <c r="C493" s="4"/>
      <c r="E493" s="30"/>
      <c r="F493" s="115"/>
      <c r="G493" s="92"/>
    </row>
    <row r="494" spans="1:15">
      <c r="A494" s="341" t="s">
        <v>372</v>
      </c>
      <c r="B494" s="337"/>
      <c r="C494" s="4"/>
      <c r="G494" s="92"/>
      <c r="I494" s="126"/>
      <c r="K494" s="385"/>
    </row>
    <row r="495" spans="1:15">
      <c r="A495" s="342" t="s">
        <v>227</v>
      </c>
      <c r="B495" s="337"/>
      <c r="C495" s="4">
        <v>60</v>
      </c>
      <c r="E495" s="14">
        <v>2.1800000000000002</v>
      </c>
      <c r="F495" s="100"/>
      <c r="G495" s="15">
        <v>131</v>
      </c>
      <c r="I495" s="108"/>
      <c r="J495" s="109"/>
      <c r="K495" s="15"/>
    </row>
    <row r="496" spans="1:15">
      <c r="A496" s="342" t="s">
        <v>228</v>
      </c>
      <c r="B496" s="337"/>
      <c r="C496" s="16">
        <v>207</v>
      </c>
      <c r="E496" s="131">
        <v>2.1858</v>
      </c>
      <c r="F496" s="102"/>
      <c r="G496" s="21">
        <v>452</v>
      </c>
      <c r="I496" s="108"/>
      <c r="J496" s="109"/>
      <c r="K496" s="15"/>
    </row>
    <row r="497" spans="1:13">
      <c r="A497" s="342" t="s">
        <v>151</v>
      </c>
      <c r="B497" s="337"/>
      <c r="C497" s="48">
        <v>267</v>
      </c>
      <c r="E497" s="359"/>
      <c r="F497" s="102"/>
      <c r="G497" s="37">
        <v>583</v>
      </c>
      <c r="I497" s="108"/>
      <c r="J497" s="109"/>
      <c r="K497" s="15"/>
    </row>
    <row r="498" spans="1:13">
      <c r="A498" s="342" t="s">
        <v>229</v>
      </c>
      <c r="B498" s="337"/>
      <c r="C498" s="47">
        <v>7736.6128294616919</v>
      </c>
      <c r="E498" s="166"/>
      <c r="G498" s="385"/>
      <c r="K498" s="15"/>
    </row>
    <row r="499" spans="1:13">
      <c r="A499" s="342" t="s">
        <v>84</v>
      </c>
      <c r="B499" s="337"/>
      <c r="C499" s="47">
        <v>5</v>
      </c>
      <c r="E499" s="166"/>
      <c r="G499" s="385"/>
      <c r="I499" s="106"/>
      <c r="J499" s="115"/>
      <c r="K499" s="15"/>
    </row>
    <row r="500" spans="1:13">
      <c r="A500" s="342" t="s">
        <v>83</v>
      </c>
      <c r="B500" s="337"/>
      <c r="C500" s="47">
        <v>0</v>
      </c>
      <c r="E500" s="166"/>
      <c r="G500" s="21"/>
      <c r="K500" s="24"/>
    </row>
    <row r="501" spans="1:13" ht="16.5" thickBot="1">
      <c r="A501" s="342" t="s">
        <v>152</v>
      </c>
      <c r="B501" s="337"/>
      <c r="C501" s="43">
        <v>7736.6128294616919</v>
      </c>
      <c r="E501" s="46"/>
      <c r="F501" s="122"/>
      <c r="G501" s="384">
        <v>583</v>
      </c>
      <c r="I501" s="31"/>
      <c r="J501" s="100"/>
      <c r="K501" s="28">
        <f>SUM(K495:K500)</f>
        <v>0</v>
      </c>
    </row>
    <row r="502" spans="1:13" ht="16.5" thickTop="1">
      <c r="A502" s="191"/>
      <c r="B502" s="166"/>
      <c r="C502" s="16"/>
      <c r="E502" s="115"/>
      <c r="F502" s="115"/>
      <c r="G502" s="21"/>
      <c r="I502" s="31"/>
      <c r="J502" s="100"/>
      <c r="K502" s="21"/>
    </row>
    <row r="503" spans="1:13">
      <c r="A503" s="360" t="s">
        <v>230</v>
      </c>
      <c r="B503" s="338"/>
      <c r="E503" s="30"/>
      <c r="F503" s="115"/>
      <c r="G503" s="92"/>
      <c r="I503" s="106"/>
      <c r="J503" s="131"/>
    </row>
    <row r="504" spans="1:13">
      <c r="A504" s="348" t="s">
        <v>231</v>
      </c>
      <c r="B504" s="338"/>
      <c r="C504" s="53"/>
      <c r="E504" s="30"/>
      <c r="F504" s="115"/>
      <c r="G504" s="15">
        <v>33040.269999999997</v>
      </c>
      <c r="I504" s="31"/>
      <c r="J504" s="100"/>
      <c r="K504" s="15"/>
    </row>
    <row r="505" spans="1:13">
      <c r="A505" s="348" t="s">
        <v>232</v>
      </c>
      <c r="B505" s="338"/>
      <c r="C505" s="53"/>
      <c r="E505" s="30"/>
      <c r="F505" s="115"/>
      <c r="G505" s="15">
        <v>2726577.8500000006</v>
      </c>
      <c r="K505" s="15"/>
    </row>
    <row r="506" spans="1:13">
      <c r="A506" s="348" t="s">
        <v>233</v>
      </c>
      <c r="B506" s="338"/>
      <c r="C506" s="53"/>
      <c r="E506" s="30"/>
      <c r="F506" s="115"/>
      <c r="G506" s="15">
        <v>-5447.4699999999866</v>
      </c>
      <c r="I506" s="31"/>
      <c r="J506" s="100"/>
      <c r="K506" s="15"/>
    </row>
    <row r="507" spans="1:13">
      <c r="A507" s="348" t="s">
        <v>234</v>
      </c>
      <c r="B507" s="338"/>
      <c r="C507" s="53"/>
      <c r="E507" s="30"/>
      <c r="F507" s="115"/>
      <c r="G507" s="15">
        <v>206563.33000000002</v>
      </c>
      <c r="I507" s="31"/>
      <c r="J507" s="100"/>
      <c r="K507" s="15"/>
    </row>
    <row r="508" spans="1:13">
      <c r="A508" s="348" t="s">
        <v>235</v>
      </c>
      <c r="B508" s="338"/>
      <c r="C508" s="53"/>
      <c r="E508" s="30"/>
      <c r="F508" s="115"/>
      <c r="G508" s="15">
        <v>4661.6400000000003</v>
      </c>
      <c r="I508" s="106"/>
      <c r="J508" s="20"/>
      <c r="K508" s="15"/>
    </row>
    <row r="509" spans="1:13">
      <c r="A509" s="348" t="s">
        <v>236</v>
      </c>
      <c r="B509" s="338"/>
      <c r="C509" s="53"/>
      <c r="E509" s="30"/>
      <c r="F509" s="115"/>
      <c r="G509" s="15">
        <v>0</v>
      </c>
      <c r="I509" s="31"/>
      <c r="J509" s="130"/>
      <c r="K509" s="15"/>
    </row>
    <row r="510" spans="1:13" ht="16.5" thickBot="1">
      <c r="A510" s="348" t="s">
        <v>237</v>
      </c>
      <c r="B510" s="338"/>
      <c r="C510" s="54"/>
      <c r="E510" s="136"/>
      <c r="F510" s="115"/>
      <c r="G510" s="26">
        <v>2965395.6200000006</v>
      </c>
      <c r="I510" s="106"/>
      <c r="J510" s="131"/>
      <c r="K510" s="26">
        <f>SUM(K504:K509)</f>
        <v>0</v>
      </c>
    </row>
    <row r="511" spans="1:13" ht="16.5" thickTop="1">
      <c r="A511" s="361"/>
      <c r="B511" s="338"/>
      <c r="E511" s="30"/>
      <c r="F511" s="115"/>
      <c r="G511" s="15"/>
      <c r="I511" s="31"/>
      <c r="J511" s="100"/>
      <c r="K511" s="15"/>
    </row>
    <row r="512" spans="1:13" ht="16.5" thickBot="1">
      <c r="A512" s="362" t="s">
        <v>238</v>
      </c>
      <c r="B512" s="363"/>
      <c r="C512" s="54">
        <v>23244284921.518604</v>
      </c>
      <c r="E512" s="172"/>
      <c r="G512" s="26">
        <f>G29+G49+G71+G86+G101+G113+G153+G165+G176+G184+G200+G216+G268+G351+G360+G366+G383+G396+G457+G465+G470+G492+G501+G510</f>
        <v>1938306488.6199999</v>
      </c>
      <c r="I512" s="106"/>
      <c r="J512" s="115"/>
      <c r="K512" s="26">
        <f>K29+K49+K71+K86+K101+K113+K153+K165+K176+K184+K200+K216+K268+K351+K360+K366+K383+K396+K457+K465+K470+K492+K501+K510</f>
        <v>-20007476.836535901</v>
      </c>
      <c r="M512" s="330"/>
    </row>
    <row r="513" spans="1:11" ht="16.5" thickTop="1">
      <c r="A513" s="158"/>
      <c r="B513" s="158"/>
      <c r="C513" s="158"/>
      <c r="D513" s="158"/>
      <c r="E513" s="158"/>
      <c r="F513" s="158"/>
      <c r="G513" s="158"/>
      <c r="I513" s="126"/>
    </row>
    <row r="514" spans="1:11">
      <c r="A514" s="158"/>
      <c r="B514" s="158"/>
      <c r="C514" s="158"/>
      <c r="D514" s="158"/>
      <c r="E514" s="158"/>
      <c r="F514" s="158"/>
      <c r="G514" s="158"/>
      <c r="K514" s="329"/>
    </row>
  </sheetData>
  <printOptions horizontalCentered="1"/>
  <pageMargins left="0.75" right="0.75" top="0.75" bottom="0.75" header="0.25" footer="0.25"/>
  <pageSetup scale="77" fitToHeight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view="pageBreakPreview" topLeftCell="C1" zoomScale="70" zoomScaleNormal="75" zoomScaleSheetLayoutView="70" workbookViewId="0">
      <selection activeCell="M27" sqref="M27"/>
    </sheetView>
  </sheetViews>
  <sheetFormatPr defaultColWidth="9" defaultRowHeight="15.75"/>
  <cols>
    <col min="1" max="1" width="4.625" style="287" customWidth="1"/>
    <col min="2" max="2" width="1.625" style="287" customWidth="1"/>
    <col min="3" max="3" width="39.375" style="287" customWidth="1"/>
    <col min="4" max="4" width="0.75" style="294" customWidth="1"/>
    <col min="5" max="5" width="7.125" style="287" bestFit="1" customWidth="1"/>
    <col min="6" max="6" width="0.75" style="294" customWidth="1"/>
    <col min="7" max="7" width="10.625" style="294" bestFit="1" customWidth="1"/>
    <col min="8" max="8" width="0.75" style="294" customWidth="1"/>
    <col min="9" max="9" width="12" style="294" bestFit="1" customWidth="1"/>
    <col min="10" max="10" width="2.125" style="294" customWidth="1"/>
    <col min="11" max="11" width="11.25" style="294" bestFit="1" customWidth="1"/>
    <col min="12" max="12" width="1.875" style="294" customWidth="1"/>
    <col min="13" max="13" width="8.625" style="294" bestFit="1" customWidth="1"/>
    <col min="14" max="14" width="1.875" style="294" customWidth="1"/>
    <col min="15" max="15" width="11.25" style="294" bestFit="1" customWidth="1"/>
    <col min="16" max="16" width="2.875" style="294" customWidth="1"/>
    <col min="17" max="17" width="11.25" style="294" bestFit="1" customWidth="1"/>
    <col min="18" max="18" width="1.875" style="294" customWidth="1"/>
    <col min="19" max="19" width="8.625" style="294" bestFit="1" customWidth="1"/>
    <col min="20" max="20" width="1.625" style="294" customWidth="1"/>
    <col min="21" max="21" width="11.25" style="294" bestFit="1" customWidth="1"/>
    <col min="22" max="22" width="2.875" style="294" customWidth="1"/>
    <col min="23" max="23" width="6.75" style="294" bestFit="1" customWidth="1"/>
    <col min="24" max="24" width="1" style="294" customWidth="1"/>
    <col min="25" max="25" width="5.375" style="295" bestFit="1" customWidth="1"/>
    <col min="26" max="26" width="2.5" style="294" customWidth="1"/>
    <col min="27" max="27" width="9.375" style="294" bestFit="1" customWidth="1"/>
    <col min="28" max="28" width="1" style="294" customWidth="1"/>
    <col min="29" max="29" width="6" style="295" bestFit="1" customWidth="1"/>
    <col min="30" max="16384" width="9" style="287"/>
  </cols>
  <sheetData>
    <row r="1" spans="1:31">
      <c r="A1" s="283" t="s">
        <v>347</v>
      </c>
      <c r="B1" s="283"/>
      <c r="C1" s="283"/>
      <c r="D1" s="284"/>
      <c r="E1" s="283"/>
      <c r="F1" s="284"/>
      <c r="G1" s="284"/>
      <c r="H1" s="284"/>
      <c r="I1" s="284"/>
      <c r="J1" s="284"/>
      <c r="K1" s="285"/>
      <c r="L1" s="284"/>
      <c r="M1" s="285"/>
      <c r="N1" s="284"/>
      <c r="O1" s="285"/>
      <c r="P1" s="284"/>
      <c r="Q1" s="285"/>
      <c r="R1" s="284"/>
      <c r="S1" s="285"/>
      <c r="T1" s="284"/>
      <c r="U1" s="285"/>
      <c r="V1" s="284"/>
      <c r="W1" s="285"/>
      <c r="X1" s="284"/>
      <c r="Y1" s="286"/>
      <c r="Z1" s="284"/>
      <c r="AA1" s="285"/>
      <c r="AB1" s="284"/>
      <c r="AC1" s="326"/>
    </row>
    <row r="2" spans="1:31" s="55" customFormat="1">
      <c r="A2" s="283" t="s">
        <v>239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9"/>
      <c r="Z2" s="288"/>
      <c r="AA2" s="288"/>
      <c r="AB2" s="288"/>
      <c r="AC2" s="327"/>
    </row>
    <row r="3" spans="1:31" s="55" customFormat="1">
      <c r="A3" s="88" t="s">
        <v>292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9"/>
      <c r="Z3" s="288"/>
      <c r="AA3" s="288"/>
      <c r="AB3" s="288"/>
      <c r="AC3" s="327"/>
    </row>
    <row r="4" spans="1:31" s="55" customFormat="1">
      <c r="A4" s="283" t="s">
        <v>240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9"/>
      <c r="Z4" s="288"/>
      <c r="AA4" s="288"/>
      <c r="AB4" s="288"/>
      <c r="AC4" s="327"/>
    </row>
    <row r="5" spans="1:31" s="55" customFormat="1">
      <c r="A5" s="283" t="s">
        <v>357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/>
      <c r="Z5" s="288"/>
      <c r="AA5" s="288"/>
      <c r="AB5" s="288"/>
      <c r="AC5" s="289"/>
    </row>
    <row r="6" spans="1:31">
      <c r="A6" s="283" t="s">
        <v>358</v>
      </c>
      <c r="B6" s="288"/>
      <c r="C6" s="288"/>
      <c r="D6" s="288"/>
      <c r="E6" s="288"/>
      <c r="F6" s="288"/>
      <c r="G6" s="288"/>
      <c r="H6" s="288"/>
      <c r="I6" s="288"/>
      <c r="J6" s="285"/>
      <c r="K6" s="290"/>
      <c r="L6" s="285"/>
      <c r="M6" s="290"/>
      <c r="N6" s="285"/>
      <c r="O6" s="290"/>
      <c r="P6" s="285"/>
      <c r="Q6" s="290"/>
      <c r="R6" s="285"/>
      <c r="S6" s="290"/>
      <c r="T6" s="285"/>
      <c r="U6" s="290"/>
      <c r="V6" s="285"/>
      <c r="W6" s="290"/>
      <c r="X6" s="290"/>
      <c r="Y6" s="291"/>
      <c r="Z6" s="285"/>
      <c r="AA6" s="290"/>
      <c r="AB6" s="290"/>
      <c r="AC6" s="291"/>
    </row>
    <row r="7" spans="1:31" ht="10.5" customHeight="1">
      <c r="A7" s="283"/>
      <c r="B7" s="283"/>
      <c r="C7" s="283"/>
      <c r="D7" s="284"/>
      <c r="E7" s="283"/>
      <c r="F7" s="284"/>
      <c r="G7" s="284"/>
      <c r="H7" s="284"/>
      <c r="I7" s="284"/>
      <c r="J7" s="284"/>
      <c r="K7" s="285"/>
      <c r="L7" s="284"/>
      <c r="M7" s="285"/>
      <c r="N7" s="284"/>
      <c r="O7" s="285"/>
      <c r="P7" s="284"/>
      <c r="Q7" s="285"/>
      <c r="R7" s="284"/>
      <c r="S7" s="285"/>
      <c r="T7" s="284"/>
      <c r="U7" s="285"/>
      <c r="V7" s="284"/>
      <c r="W7" s="285"/>
      <c r="X7" s="284"/>
      <c r="Y7" s="286"/>
      <c r="Z7" s="284"/>
      <c r="AA7" s="285"/>
      <c r="AB7" s="284"/>
      <c r="AC7" s="286"/>
    </row>
    <row r="8" spans="1:31">
      <c r="D8" s="292"/>
      <c r="F8" s="292"/>
      <c r="G8" s="293"/>
      <c r="H8" s="292"/>
      <c r="J8" s="292"/>
      <c r="L8" s="292"/>
      <c r="N8" s="292"/>
      <c r="P8" s="292"/>
      <c r="R8" s="292"/>
      <c r="T8" s="292"/>
      <c r="V8" s="292"/>
      <c r="Z8" s="292"/>
    </row>
    <row r="9" spans="1:31">
      <c r="D9" s="293"/>
      <c r="E9" s="296"/>
      <c r="F9" s="293"/>
      <c r="G9" s="293" t="s">
        <v>348</v>
      </c>
      <c r="H9" s="293"/>
      <c r="I9" s="293"/>
      <c r="J9" s="293"/>
      <c r="K9" s="83"/>
      <c r="L9" s="84"/>
      <c r="M9" s="85"/>
      <c r="N9" s="84"/>
      <c r="O9" s="85"/>
      <c r="P9" s="293"/>
      <c r="Q9" s="83"/>
      <c r="R9" s="84"/>
      <c r="S9" s="85"/>
      <c r="T9" s="84"/>
      <c r="U9" s="85"/>
      <c r="V9" s="84"/>
      <c r="W9" s="297" t="s">
        <v>243</v>
      </c>
      <c r="X9" s="297"/>
      <c r="Y9" s="298"/>
      <c r="Z9" s="297"/>
      <c r="AA9" s="297"/>
      <c r="AB9" s="297"/>
      <c r="AC9" s="298"/>
    </row>
    <row r="10" spans="1:31" s="299" customFormat="1">
      <c r="A10" s="299" t="s">
        <v>241</v>
      </c>
      <c r="D10" s="293"/>
      <c r="E10" s="296" t="s">
        <v>242</v>
      </c>
      <c r="F10" s="293"/>
      <c r="G10" s="300" t="s">
        <v>84</v>
      </c>
      <c r="H10" s="293"/>
      <c r="I10" s="293" t="s">
        <v>349</v>
      </c>
      <c r="J10" s="300"/>
      <c r="K10" s="297" t="s">
        <v>350</v>
      </c>
      <c r="L10" s="297"/>
      <c r="M10" s="297"/>
      <c r="N10" s="297"/>
      <c r="O10" s="297"/>
      <c r="P10" s="300"/>
      <c r="Q10" s="297" t="s">
        <v>351</v>
      </c>
      <c r="R10" s="297"/>
      <c r="S10" s="297"/>
      <c r="T10" s="297"/>
      <c r="U10" s="297"/>
      <c r="V10" s="83"/>
      <c r="W10" s="297" t="s">
        <v>352</v>
      </c>
      <c r="X10" s="297"/>
      <c r="Y10" s="298"/>
      <c r="Z10" s="83"/>
      <c r="AA10" s="297" t="s">
        <v>353</v>
      </c>
      <c r="AB10" s="297"/>
      <c r="AC10" s="298"/>
    </row>
    <row r="11" spans="1:31" s="299" customFormat="1">
      <c r="A11" s="299" t="s">
        <v>244</v>
      </c>
      <c r="C11" s="296" t="s">
        <v>245</v>
      </c>
      <c r="E11" s="301" t="s">
        <v>244</v>
      </c>
      <c r="G11" s="302" t="s">
        <v>246</v>
      </c>
      <c r="I11" s="302" t="s">
        <v>246</v>
      </c>
      <c r="K11" s="86" t="s">
        <v>352</v>
      </c>
      <c r="L11" s="87"/>
      <c r="M11" s="86" t="s">
        <v>624</v>
      </c>
      <c r="N11" s="87"/>
      <c r="O11" s="86" t="s">
        <v>353</v>
      </c>
      <c r="Q11" s="86" t="s">
        <v>352</v>
      </c>
      <c r="R11" s="87"/>
      <c r="S11" s="86" t="s">
        <v>624</v>
      </c>
      <c r="T11" s="87"/>
      <c r="U11" s="86" t="s">
        <v>353</v>
      </c>
      <c r="V11" s="87"/>
      <c r="W11" s="86" t="s">
        <v>247</v>
      </c>
      <c r="X11" s="87"/>
      <c r="Y11" s="303" t="s">
        <v>354</v>
      </c>
      <c r="Z11" s="87"/>
      <c r="AA11" s="86" t="s">
        <v>247</v>
      </c>
      <c r="AB11" s="87"/>
      <c r="AC11" s="303" t="s">
        <v>354</v>
      </c>
    </row>
    <row r="12" spans="1:31" s="299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9" customFormat="1">
      <c r="D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  <c r="Z13" s="304"/>
      <c r="AA13" s="304"/>
      <c r="AB13" s="304"/>
      <c r="AC13" s="305"/>
    </row>
    <row r="14" spans="1:31">
      <c r="C14" s="299" t="s">
        <v>248</v>
      </c>
    </row>
    <row r="15" spans="1:31">
      <c r="A15" s="287">
        <v>1</v>
      </c>
      <c r="C15" s="287" t="s">
        <v>248</v>
      </c>
      <c r="E15" s="306" t="s">
        <v>249</v>
      </c>
      <c r="G15" s="58">
        <v>740189</v>
      </c>
      <c r="I15" s="58">
        <v>6200666.1794248829</v>
      </c>
      <c r="J15" s="60"/>
      <c r="K15" s="59">
        <f>SUM('Ex B p2 - Billing Determinants'!G29,'Ex B p2 - Billing Determinants'!G49)/1000</f>
        <v>684504.94400000002</v>
      </c>
      <c r="L15" s="60"/>
      <c r="M15" s="59">
        <v>0</v>
      </c>
      <c r="N15" s="60"/>
      <c r="O15" s="59">
        <f>K15+M15</f>
        <v>684504.94400000002</v>
      </c>
      <c r="P15" s="60"/>
      <c r="Q15" s="59">
        <f>K15</f>
        <v>684504.94400000002</v>
      </c>
      <c r="R15" s="60"/>
      <c r="S15" s="492">
        <f>SUM('Ex B p2 - Billing Determinants'!K29,'Ex B p2 - Billing Determinants'!K49)/1000</f>
        <v>-8372.0913043935998</v>
      </c>
      <c r="T15" s="60"/>
      <c r="U15" s="59">
        <f>Q15+S15</f>
        <v>676132.85269560642</v>
      </c>
      <c r="V15" s="60"/>
      <c r="W15" s="59">
        <f>Q15-K15</f>
        <v>0</v>
      </c>
      <c r="X15" s="60"/>
      <c r="Y15" s="307">
        <f>W15/K15</f>
        <v>0</v>
      </c>
      <c r="Z15" s="60"/>
      <c r="AA15" s="59">
        <f>U15-O15</f>
        <v>-8372.0913043936016</v>
      </c>
      <c r="AB15" s="60"/>
      <c r="AC15" s="307">
        <f>AA15/O15</f>
        <v>-1.223087046745071E-2</v>
      </c>
    </row>
    <row r="16" spans="1:31">
      <c r="A16" s="287">
        <f>MAX(A$14:A15)+1</f>
        <v>2</v>
      </c>
      <c r="C16" s="287" t="s">
        <v>250</v>
      </c>
      <c r="E16" s="287">
        <v>2</v>
      </c>
      <c r="G16" s="58">
        <v>447</v>
      </c>
      <c r="I16" s="58">
        <v>3185.6706103628849</v>
      </c>
      <c r="J16" s="60"/>
      <c r="K16" s="59">
        <f>'Ex B p2 - Billing Determinants'!G71/1000</f>
        <v>351.48899999999998</v>
      </c>
      <c r="L16" s="60"/>
      <c r="M16" s="59">
        <v>0</v>
      </c>
      <c r="N16" s="60"/>
      <c r="O16" s="59">
        <f t="shared" ref="O16:O17" si="0">K16+M16</f>
        <v>351.48899999999998</v>
      </c>
      <c r="P16" s="60"/>
      <c r="Q16" s="59">
        <f t="shared" ref="Q16:Q17" si="1">K16</f>
        <v>351.48899999999998</v>
      </c>
      <c r="R16" s="60"/>
      <c r="S16" s="492">
        <f>'Ex B p2 - Billing Determinants'!K71/1000</f>
        <v>-4.2787961611200007</v>
      </c>
      <c r="T16" s="60"/>
      <c r="U16" s="59">
        <f t="shared" ref="U16:U17" si="2">Q16+S16</f>
        <v>347.21020383887998</v>
      </c>
      <c r="V16" s="60"/>
      <c r="W16" s="59">
        <f t="shared" ref="W16:W17" si="3">Q16-K16</f>
        <v>0</v>
      </c>
      <c r="X16" s="60"/>
      <c r="Y16" s="307">
        <f t="shared" ref="Y16:Y18" si="4">W16/K16</f>
        <v>0</v>
      </c>
      <c r="Z16" s="60"/>
      <c r="AA16" s="59">
        <f t="shared" ref="AA16:AA17" si="5">U16-O16</f>
        <v>-4.2787961611199989</v>
      </c>
      <c r="AB16" s="60"/>
      <c r="AC16" s="307">
        <f t="shared" ref="AC16:AC17" si="6">AA16/O16</f>
        <v>-1.2173343009653215E-2</v>
      </c>
      <c r="AD16" s="144" t="s">
        <v>374</v>
      </c>
      <c r="AE16" s="144"/>
    </row>
    <row r="17" spans="1:31">
      <c r="A17" s="287">
        <f>MAX(A$14:A16)+1</f>
        <v>3</v>
      </c>
      <c r="C17" s="308" t="s">
        <v>251</v>
      </c>
      <c r="E17" s="309" t="s">
        <v>252</v>
      </c>
      <c r="G17" s="325"/>
      <c r="I17" s="310"/>
      <c r="J17" s="60"/>
      <c r="K17" s="61">
        <f>'Ex B p2 - Billing Determinants'!G504/1000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493"/>
      <c r="T17" s="60"/>
      <c r="U17" s="61">
        <f t="shared" si="2"/>
        <v>33.04027</v>
      </c>
      <c r="V17" s="60"/>
      <c r="W17" s="61">
        <f t="shared" si="3"/>
        <v>0</v>
      </c>
      <c r="X17" s="60"/>
      <c r="Y17" s="311">
        <f t="shared" si="4"/>
        <v>0</v>
      </c>
      <c r="Z17" s="60"/>
      <c r="AA17" s="61">
        <f t="shared" si="5"/>
        <v>0</v>
      </c>
      <c r="AB17" s="60"/>
      <c r="AC17" s="311">
        <f t="shared" si="6"/>
        <v>0</v>
      </c>
      <c r="AD17" s="390" t="s">
        <v>328</v>
      </c>
      <c r="AE17" s="390" t="s">
        <v>243</v>
      </c>
    </row>
    <row r="18" spans="1:31">
      <c r="A18" s="287">
        <f>MAX(A$14:A17)+1</f>
        <v>4</v>
      </c>
      <c r="C18" s="299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0</v>
      </c>
      <c r="N18" s="60"/>
      <c r="O18" s="59">
        <f>SUM(O15:O17)</f>
        <v>684889.47326999996</v>
      </c>
      <c r="P18" s="60"/>
      <c r="Q18" s="59">
        <f>SUM(Q15:Q17)</f>
        <v>684889.47326999996</v>
      </c>
      <c r="R18" s="60"/>
      <c r="S18" s="492">
        <f>SUM(S15:S17)</f>
        <v>-8376.3701005547191</v>
      </c>
      <c r="T18" s="60"/>
      <c r="U18" s="59">
        <f>SUM(U15:U17)</f>
        <v>676513.1031694453</v>
      </c>
      <c r="V18" s="60"/>
      <c r="W18" s="59">
        <f>SUM(W15:W17)</f>
        <v>0</v>
      </c>
      <c r="X18" s="60"/>
      <c r="Y18" s="307">
        <f t="shared" si="4"/>
        <v>0</v>
      </c>
      <c r="Z18" s="60"/>
      <c r="AA18" s="59">
        <f>SUM(AA15:AA17)</f>
        <v>-8376.3701005547209</v>
      </c>
      <c r="AB18" s="60"/>
      <c r="AC18" s="307">
        <f>AA18/O18</f>
        <v>-1.2230250905393246E-2</v>
      </c>
      <c r="AD18" s="58">
        <f>ROUND(I18/G18/12*1000,0)</f>
        <v>698</v>
      </c>
      <c r="AE18" s="328">
        <f>ROUND(AA18/(G18*12)*1000,2)</f>
        <v>-0.94</v>
      </c>
    </row>
    <row r="19" spans="1:31" ht="24.95" customHeight="1">
      <c r="C19" s="299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492"/>
      <c r="T19" s="60"/>
      <c r="U19" s="59"/>
      <c r="V19" s="60"/>
      <c r="W19" s="59"/>
      <c r="X19" s="60"/>
      <c r="Y19" s="307"/>
      <c r="Z19" s="60"/>
      <c r="AA19" s="59"/>
      <c r="AB19" s="60"/>
      <c r="AC19" s="307"/>
    </row>
    <row r="20" spans="1:31">
      <c r="A20" s="287">
        <f>MAX(A$14:A19)+1</f>
        <v>5</v>
      </c>
      <c r="C20" s="287" t="s">
        <v>255</v>
      </c>
      <c r="E20" s="312">
        <v>6</v>
      </c>
      <c r="G20" s="58">
        <v>13072</v>
      </c>
      <c r="I20" s="58">
        <v>5783806.2612344306</v>
      </c>
      <c r="J20" s="60"/>
      <c r="K20" s="59">
        <f>'Ex B p2 - Billing Determinants'!G86/1000</f>
        <v>494681.46600000001</v>
      </c>
      <c r="L20" s="60"/>
      <c r="M20" s="59">
        <v>0</v>
      </c>
      <c r="N20" s="60"/>
      <c r="O20" s="59">
        <f t="shared" ref="O20:O22" si="7">K20+M20</f>
        <v>494681.46600000001</v>
      </c>
      <c r="P20" s="60"/>
      <c r="Q20" s="59">
        <f t="shared" ref="Q20:Q22" si="8">K20</f>
        <v>494681.46600000001</v>
      </c>
      <c r="R20" s="60"/>
      <c r="S20" s="492">
        <f>'Ex B p2 - Billing Determinants'!K86/1000</f>
        <v>-5133.031657883369</v>
      </c>
      <c r="T20" s="60"/>
      <c r="U20" s="59">
        <f t="shared" ref="U20:U22" si="9">Q20+S20</f>
        <v>489548.43434211664</v>
      </c>
      <c r="V20" s="60"/>
      <c r="W20" s="59">
        <f t="shared" ref="W20:W22" si="10">Q20-K20</f>
        <v>0</v>
      </c>
      <c r="X20" s="60"/>
      <c r="Y20" s="307">
        <f t="shared" ref="Y20:Y38" si="11">W20/K20</f>
        <v>0</v>
      </c>
      <c r="Z20" s="60"/>
      <c r="AA20" s="59">
        <f t="shared" ref="AA20:AA22" si="12">U20-O20</f>
        <v>-5133.0316578833736</v>
      </c>
      <c r="AB20" s="60"/>
      <c r="AC20" s="307">
        <f t="shared" ref="AC20:AC38" si="13">AA20/O20</f>
        <v>-1.037643819443879E-2</v>
      </c>
    </row>
    <row r="21" spans="1:31">
      <c r="A21" s="287">
        <f>MAX(A$14:A20)+1</f>
        <v>6</v>
      </c>
      <c r="C21" s="287" t="s">
        <v>256</v>
      </c>
      <c r="E21" s="313" t="s">
        <v>257</v>
      </c>
      <c r="G21" s="58">
        <v>2276</v>
      </c>
      <c r="I21" s="58">
        <v>292031.09985016566</v>
      </c>
      <c r="J21" s="60"/>
      <c r="K21" s="62">
        <f>'Ex B p2 - Billing Determinants'!G113/1000</f>
        <v>34227.404000000002</v>
      </c>
      <c r="L21" s="60"/>
      <c r="M21" s="59">
        <v>0</v>
      </c>
      <c r="N21" s="60"/>
      <c r="O21" s="59">
        <f t="shared" si="7"/>
        <v>34227.404000000002</v>
      </c>
      <c r="P21" s="60"/>
      <c r="Q21" s="59">
        <f t="shared" si="8"/>
        <v>34227.404000000002</v>
      </c>
      <c r="R21" s="60"/>
      <c r="S21" s="492">
        <f>'Ex B p2 - Billing Determinants'!K113/1000</f>
        <v>-355.14681849415001</v>
      </c>
      <c r="T21" s="60"/>
      <c r="U21" s="59">
        <f t="shared" si="9"/>
        <v>33872.257181505855</v>
      </c>
      <c r="V21" s="60"/>
      <c r="W21" s="59">
        <f t="shared" si="10"/>
        <v>0</v>
      </c>
      <c r="X21" s="60"/>
      <c r="Y21" s="307">
        <f t="shared" si="11"/>
        <v>0</v>
      </c>
      <c r="Z21" s="60"/>
      <c r="AA21" s="59">
        <f t="shared" si="12"/>
        <v>-355.14681849414774</v>
      </c>
      <c r="AB21" s="60"/>
      <c r="AC21" s="307">
        <f t="shared" si="13"/>
        <v>-1.0376095671589576E-2</v>
      </c>
    </row>
    <row r="22" spans="1:31">
      <c r="A22" s="287">
        <f>MAX(A$14:A21)+1</f>
        <v>7</v>
      </c>
      <c r="C22" s="287" t="s">
        <v>258</v>
      </c>
      <c r="E22" s="313" t="s">
        <v>259</v>
      </c>
      <c r="G22" s="314">
        <v>37</v>
      </c>
      <c r="I22" s="314">
        <v>3907.4969999999998</v>
      </c>
      <c r="J22" s="60"/>
      <c r="K22" s="61">
        <f>'Ex B p2 - Billing Determinants'!G101/1000</f>
        <v>345.71800000000002</v>
      </c>
      <c r="L22" s="60"/>
      <c r="M22" s="61">
        <v>0</v>
      </c>
      <c r="N22" s="60"/>
      <c r="O22" s="61">
        <f t="shared" si="7"/>
        <v>345.71800000000002</v>
      </c>
      <c r="P22" s="60"/>
      <c r="Q22" s="61">
        <f t="shared" si="8"/>
        <v>345.71800000000002</v>
      </c>
      <c r="R22" s="60"/>
      <c r="S22" s="493">
        <f>'Ex B p2 - Billing Determinants'!K101/1000</f>
        <v>-3.4192004142600001</v>
      </c>
      <c r="T22" s="60"/>
      <c r="U22" s="61">
        <f t="shared" si="9"/>
        <v>342.29879958574003</v>
      </c>
      <c r="V22" s="60"/>
      <c r="W22" s="61">
        <f t="shared" si="10"/>
        <v>0</v>
      </c>
      <c r="X22" s="60"/>
      <c r="Y22" s="311">
        <f t="shared" si="11"/>
        <v>0</v>
      </c>
      <c r="Z22" s="60"/>
      <c r="AA22" s="61">
        <f t="shared" si="12"/>
        <v>-3.4192004142599899</v>
      </c>
      <c r="AB22" s="60"/>
      <c r="AC22" s="311">
        <f t="shared" si="13"/>
        <v>-9.8901428744236335E-3</v>
      </c>
    </row>
    <row r="23" spans="1:31">
      <c r="A23" s="287">
        <f>MAX(A$14:A22)+1</f>
        <v>8</v>
      </c>
      <c r="C23" s="315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0</v>
      </c>
      <c r="N23" s="60"/>
      <c r="O23" s="59">
        <f>SUM(O20:O22)</f>
        <v>529254.58799999999</v>
      </c>
      <c r="P23" s="60"/>
      <c r="Q23" s="59">
        <f>SUM(Q20:Q22)</f>
        <v>529254.58799999999</v>
      </c>
      <c r="R23" s="60"/>
      <c r="S23" s="492">
        <f>SUM(S20:S22)</f>
        <v>-5491.5976767917791</v>
      </c>
      <c r="T23" s="60"/>
      <c r="U23" s="59">
        <f>SUM(U20:U22)</f>
        <v>523762.99032320821</v>
      </c>
      <c r="V23" s="60"/>
      <c r="W23" s="59">
        <f>SUM(W20:W22)</f>
        <v>0</v>
      </c>
      <c r="X23" s="60"/>
      <c r="Y23" s="307">
        <f t="shared" si="11"/>
        <v>0</v>
      </c>
      <c r="Z23" s="60"/>
      <c r="AA23" s="59">
        <f>SUM(AA20:AA22)</f>
        <v>-5491.5976767917809</v>
      </c>
      <c r="AB23" s="60"/>
      <c r="AC23" s="307">
        <f t="shared" si="13"/>
        <v>-1.0376098386872711E-2</v>
      </c>
    </row>
    <row r="24" spans="1:31" ht="21.95" customHeight="1">
      <c r="A24" s="287">
        <f>MAX(A$14:A23)+1</f>
        <v>9</v>
      </c>
      <c r="C24" s="308" t="s">
        <v>261</v>
      </c>
      <c r="E24" s="313">
        <v>8</v>
      </c>
      <c r="F24" s="58"/>
      <c r="G24" s="58">
        <v>274</v>
      </c>
      <c r="I24" s="58">
        <v>2187047.3255884075</v>
      </c>
      <c r="J24" s="60"/>
      <c r="K24" s="62">
        <f>'Ex B p2 - Billing Determinants'!G165/1000</f>
        <v>167313.40900000001</v>
      </c>
      <c r="L24" s="60"/>
      <c r="M24" s="59">
        <v>0</v>
      </c>
      <c r="N24" s="60"/>
      <c r="O24" s="59">
        <f t="shared" ref="O24:O26" si="14">K24+M24</f>
        <v>167313.40900000001</v>
      </c>
      <c r="P24" s="60"/>
      <c r="Q24" s="59">
        <f t="shared" ref="Q24:Q26" si="15">K24</f>
        <v>167313.40900000001</v>
      </c>
      <c r="R24" s="60"/>
      <c r="S24" s="492">
        <f>'Ex B p2 - Billing Determinants'!K165/1000</f>
        <v>-1568.6659084966002</v>
      </c>
      <c r="T24" s="60"/>
      <c r="U24" s="59">
        <f t="shared" ref="U24:U26" si="16">Q24+S24</f>
        <v>165744.74309150342</v>
      </c>
      <c r="V24" s="60"/>
      <c r="W24" s="59">
        <f t="shared" ref="W24:W26" si="17">Q24-K24</f>
        <v>0</v>
      </c>
      <c r="X24" s="60"/>
      <c r="Y24" s="307">
        <f t="shared" si="11"/>
        <v>0</v>
      </c>
      <c r="Z24" s="60"/>
      <c r="AA24" s="59">
        <f t="shared" ref="AA24:AA26" si="18">U24-O24</f>
        <v>-1568.6659084965941</v>
      </c>
      <c r="AB24" s="60"/>
      <c r="AC24" s="307">
        <f t="shared" si="13"/>
        <v>-9.3756138128570071E-3</v>
      </c>
    </row>
    <row r="25" spans="1:31" ht="21.95" customHeight="1">
      <c r="A25" s="287">
        <f>MAX(A$14:A24)+1</f>
        <v>10</v>
      </c>
      <c r="C25" s="287" t="s">
        <v>262</v>
      </c>
      <c r="E25" s="287">
        <v>9</v>
      </c>
      <c r="G25" s="58">
        <v>149</v>
      </c>
      <c r="I25" s="58">
        <v>5027435.5407653069</v>
      </c>
      <c r="J25" s="60"/>
      <c r="K25" s="62">
        <f>'Ex B p2 - Billing Determinants'!G176/1000</f>
        <v>284876.45199999999</v>
      </c>
      <c r="L25" s="60"/>
      <c r="M25" s="59">
        <v>0</v>
      </c>
      <c r="N25" s="60"/>
      <c r="O25" s="59">
        <f t="shared" si="14"/>
        <v>284876.45199999999</v>
      </c>
      <c r="P25" s="60"/>
      <c r="Q25" s="59">
        <f t="shared" si="15"/>
        <v>284876.45199999999</v>
      </c>
      <c r="R25" s="60"/>
      <c r="S25" s="492">
        <f>'Ex B p2 - Billing Determinants'!K176/1000</f>
        <v>-2751.7761851988603</v>
      </c>
      <c r="T25" s="60"/>
      <c r="U25" s="59">
        <f t="shared" si="16"/>
        <v>282124.67581480113</v>
      </c>
      <c r="V25" s="60"/>
      <c r="W25" s="59">
        <f t="shared" si="17"/>
        <v>0</v>
      </c>
      <c r="X25" s="60"/>
      <c r="Y25" s="307">
        <f t="shared" si="11"/>
        <v>0</v>
      </c>
      <c r="Z25" s="60"/>
      <c r="AA25" s="59">
        <f t="shared" si="18"/>
        <v>-2751.7761851988616</v>
      </c>
      <c r="AB25" s="60"/>
      <c r="AC25" s="307">
        <f t="shared" si="13"/>
        <v>-9.6595424643903579E-3</v>
      </c>
    </row>
    <row r="26" spans="1:31">
      <c r="A26" s="287">
        <f>MAX(A$14:A25)+1</f>
        <v>11</v>
      </c>
      <c r="C26" s="287" t="s">
        <v>263</v>
      </c>
      <c r="E26" s="313" t="s">
        <v>264</v>
      </c>
      <c r="G26" s="314">
        <v>9</v>
      </c>
      <c r="I26" s="314">
        <v>42590.781425473026</v>
      </c>
      <c r="J26" s="60"/>
      <c r="K26" s="61">
        <f>'Ex B p2 - Billing Determinants'!G184/1000</f>
        <v>3292.5839999999998</v>
      </c>
      <c r="L26" s="60"/>
      <c r="M26" s="61">
        <v>0</v>
      </c>
      <c r="N26" s="60"/>
      <c r="O26" s="61">
        <f t="shared" si="14"/>
        <v>3292.5839999999998</v>
      </c>
      <c r="P26" s="60"/>
      <c r="Q26" s="61">
        <f t="shared" si="15"/>
        <v>3292.5839999999998</v>
      </c>
      <c r="R26" s="60"/>
      <c r="S26" s="493">
        <f>'Ex B p2 - Billing Determinants'!K184/1000</f>
        <v>-31.678814266</v>
      </c>
      <c r="T26" s="60"/>
      <c r="U26" s="61">
        <f t="shared" si="16"/>
        <v>3260.905185734</v>
      </c>
      <c r="V26" s="60"/>
      <c r="W26" s="61">
        <f t="shared" si="17"/>
        <v>0</v>
      </c>
      <c r="X26" s="60"/>
      <c r="Y26" s="311">
        <f t="shared" si="11"/>
        <v>0</v>
      </c>
      <c r="Z26" s="60"/>
      <c r="AA26" s="61">
        <f t="shared" si="18"/>
        <v>-31.67881426599979</v>
      </c>
      <c r="AB26" s="60"/>
      <c r="AC26" s="311">
        <f t="shared" si="13"/>
        <v>-9.6212622870061309E-3</v>
      </c>
    </row>
    <row r="27" spans="1:31">
      <c r="A27" s="287">
        <f>MAX(A$14:A26)+1</f>
        <v>12</v>
      </c>
      <c r="C27" s="315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0</v>
      </c>
      <c r="N27" s="60"/>
      <c r="O27" s="59">
        <f>SUM(O25:O26)</f>
        <v>288169.03599999996</v>
      </c>
      <c r="P27" s="60"/>
      <c r="Q27" s="59">
        <f>SUM(Q25:Q26)</f>
        <v>288169.03599999996</v>
      </c>
      <c r="R27" s="60"/>
      <c r="S27" s="492">
        <f>SUM(S25:S26)</f>
        <v>-2783.4549994648601</v>
      </c>
      <c r="T27" s="60"/>
      <c r="U27" s="59">
        <f>SUM(U25:U26)</f>
        <v>285385.58100053511</v>
      </c>
      <c r="V27" s="60"/>
      <c r="W27" s="59">
        <f>SUM(W25:W26)</f>
        <v>0</v>
      </c>
      <c r="X27" s="60"/>
      <c r="Y27" s="307">
        <f t="shared" si="11"/>
        <v>0</v>
      </c>
      <c r="Z27" s="60"/>
      <c r="AA27" s="59">
        <f>SUM(AA25:AA26)</f>
        <v>-2783.4549994648614</v>
      </c>
      <c r="AB27" s="60"/>
      <c r="AC27" s="307">
        <f t="shared" si="13"/>
        <v>-9.6591050797867877E-3</v>
      </c>
    </row>
    <row r="28" spans="1:31" ht="21.95" customHeight="1">
      <c r="A28" s="287">
        <f>MAX(A$14:A27)+1</f>
        <v>13</v>
      </c>
      <c r="C28" s="287" t="s">
        <v>266</v>
      </c>
      <c r="E28" s="313">
        <v>10</v>
      </c>
      <c r="G28" s="58">
        <v>2784.3333333333335</v>
      </c>
      <c r="I28" s="58">
        <v>173133.39199999999</v>
      </c>
      <c r="J28" s="60"/>
      <c r="K28" s="62">
        <f>'Ex B p2 - Billing Determinants'!G200/1000</f>
        <v>13209.986000000001</v>
      </c>
      <c r="L28" s="60"/>
      <c r="M28" s="59">
        <v>0</v>
      </c>
      <c r="N28" s="60"/>
      <c r="O28" s="59">
        <f t="shared" ref="O28:O29" si="19">K28+M28</f>
        <v>13209.986000000001</v>
      </c>
      <c r="P28" s="60"/>
      <c r="Q28" s="59">
        <f t="shared" ref="Q28:Q29" si="20">K28</f>
        <v>13209.986000000001</v>
      </c>
      <c r="R28" s="60"/>
      <c r="S28" s="492">
        <f>'Ex B p2 - Billing Determinants'!K200/1000</f>
        <v>-183.67656026947998</v>
      </c>
      <c r="T28" s="60"/>
      <c r="U28" s="59">
        <f t="shared" ref="U28:U29" si="21">Q28+S28</f>
        <v>13026.309439730521</v>
      </c>
      <c r="V28" s="60"/>
      <c r="W28" s="59">
        <f t="shared" ref="W28:W29" si="22">Q28-K28</f>
        <v>0</v>
      </c>
      <c r="X28" s="60"/>
      <c r="Y28" s="307">
        <f t="shared" si="11"/>
        <v>0</v>
      </c>
      <c r="Z28" s="60"/>
      <c r="AA28" s="59">
        <f t="shared" ref="AA28:AA29" si="23">U28-O28</f>
        <v>-183.67656026947952</v>
      </c>
      <c r="AB28" s="60"/>
      <c r="AC28" s="307">
        <f t="shared" si="13"/>
        <v>-1.3904372061369293E-2</v>
      </c>
    </row>
    <row r="29" spans="1:31">
      <c r="A29" s="287">
        <f>MAX(A$14:A28)+1</f>
        <v>14</v>
      </c>
      <c r="C29" s="287" t="s">
        <v>267</v>
      </c>
      <c r="E29" s="313" t="s">
        <v>268</v>
      </c>
      <c r="G29" s="314">
        <v>261</v>
      </c>
      <c r="I29" s="314">
        <v>16756.608</v>
      </c>
      <c r="J29" s="60"/>
      <c r="K29" s="61">
        <f>'Ex B p2 - Billing Determinants'!G216/1000</f>
        <v>1285.6210000000001</v>
      </c>
      <c r="L29" s="60"/>
      <c r="M29" s="61">
        <v>0</v>
      </c>
      <c r="N29" s="60"/>
      <c r="O29" s="61">
        <f t="shared" si="19"/>
        <v>1285.6210000000001</v>
      </c>
      <c r="P29" s="60"/>
      <c r="Q29" s="61">
        <f t="shared" si="20"/>
        <v>1285.6210000000001</v>
      </c>
      <c r="R29" s="60"/>
      <c r="S29" s="493">
        <f>'Ex B p2 - Billing Determinants'!K216/1000</f>
        <v>-17.893885189679995</v>
      </c>
      <c r="T29" s="60"/>
      <c r="U29" s="61">
        <f t="shared" si="21"/>
        <v>1267.72711481032</v>
      </c>
      <c r="V29" s="60"/>
      <c r="W29" s="61">
        <f t="shared" si="22"/>
        <v>0</v>
      </c>
      <c r="X29" s="60"/>
      <c r="Y29" s="311">
        <f t="shared" si="11"/>
        <v>0</v>
      </c>
      <c r="Z29" s="60"/>
      <c r="AA29" s="61">
        <f t="shared" si="23"/>
        <v>-17.893885189680077</v>
      </c>
      <c r="AB29" s="60"/>
      <c r="AC29" s="311">
        <f t="shared" si="13"/>
        <v>-1.3918476121407534E-2</v>
      </c>
    </row>
    <row r="30" spans="1:31">
      <c r="A30" s="287">
        <f>MAX(A$14:A29)+1</f>
        <v>15</v>
      </c>
      <c r="C30" s="315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0</v>
      </c>
      <c r="N30" s="60"/>
      <c r="O30" s="59">
        <f>SUM(O28:O29)</f>
        <v>14495.607</v>
      </c>
      <c r="P30" s="60"/>
      <c r="Q30" s="59">
        <f>SUM(Q28:Q29)</f>
        <v>14495.607</v>
      </c>
      <c r="R30" s="60"/>
      <c r="S30" s="492">
        <f>SUM(S28:S29)</f>
        <v>-201.57044545915997</v>
      </c>
      <c r="T30" s="60"/>
      <c r="U30" s="59">
        <f>SUM(U28:U29)</f>
        <v>14294.036554540842</v>
      </c>
      <c r="V30" s="60"/>
      <c r="W30" s="59">
        <f>SUM(W28:W29)</f>
        <v>0</v>
      </c>
      <c r="X30" s="60"/>
      <c r="Y30" s="307">
        <f t="shared" si="11"/>
        <v>0</v>
      </c>
      <c r="Z30" s="60"/>
      <c r="AA30" s="59">
        <f>SUM(AA28:AA29)</f>
        <v>-201.5704454591596</v>
      </c>
      <c r="AB30" s="60"/>
      <c r="AC30" s="307">
        <f t="shared" si="13"/>
        <v>-1.3905622955917582E-2</v>
      </c>
    </row>
    <row r="31" spans="1:31" ht="21.95" customHeight="1">
      <c r="A31" s="287">
        <f>MAX(A$14:A30)+1</f>
        <v>16</v>
      </c>
      <c r="C31" s="287" t="s">
        <v>270</v>
      </c>
      <c r="E31" s="287">
        <v>21</v>
      </c>
      <c r="G31" s="58">
        <v>5</v>
      </c>
      <c r="I31" s="58">
        <v>4048.7003377015881</v>
      </c>
      <c r="J31" s="60"/>
      <c r="K31" s="62">
        <f>'Ex B p2 - Billing Determinants'!G383/1000</f>
        <v>475.92599999999999</v>
      </c>
      <c r="L31" s="60"/>
      <c r="M31" s="59">
        <v>0</v>
      </c>
      <c r="N31" s="60"/>
      <c r="O31" s="59">
        <f t="shared" ref="O31:O37" si="24">K31+M31</f>
        <v>475.92599999999999</v>
      </c>
      <c r="P31" s="60"/>
      <c r="Q31" s="59">
        <f t="shared" ref="Q31:Q37" si="25">K31</f>
        <v>475.92599999999999</v>
      </c>
      <c r="R31" s="60"/>
      <c r="S31" s="492">
        <f>'Ex B p2 - Billing Determinants'!K383/1000</f>
        <v>-4.9107404054199995</v>
      </c>
      <c r="T31" s="60"/>
      <c r="U31" s="59">
        <f t="shared" ref="U31:U37" si="26">Q31+S31</f>
        <v>471.01525959458002</v>
      </c>
      <c r="V31" s="60"/>
      <c r="W31" s="59">
        <f t="shared" ref="W31:W37" si="27">Q31-K31</f>
        <v>0</v>
      </c>
      <c r="X31" s="60"/>
      <c r="Y31" s="307">
        <f t="shared" si="11"/>
        <v>0</v>
      </c>
      <c r="Z31" s="60"/>
      <c r="AA31" s="59">
        <f t="shared" ref="AA31:AA37" si="28">U31-O31</f>
        <v>-4.9107404054199719</v>
      </c>
      <c r="AB31" s="60"/>
      <c r="AC31" s="307">
        <f t="shared" si="13"/>
        <v>-1.0318285627219299E-2</v>
      </c>
    </row>
    <row r="32" spans="1:31">
      <c r="A32" s="287">
        <f>MAX(A$14:A31)+1</f>
        <v>17</v>
      </c>
      <c r="C32" s="287" t="s">
        <v>271</v>
      </c>
      <c r="E32" s="312">
        <v>23</v>
      </c>
      <c r="G32" s="58">
        <v>82668</v>
      </c>
      <c r="I32" s="58">
        <v>1390888.2107534346</v>
      </c>
      <c r="J32" s="60"/>
      <c r="K32" s="62">
        <f>'Ex B p2 - Billing Determinants'!G396/1000</f>
        <v>139102.851</v>
      </c>
      <c r="L32" s="60"/>
      <c r="M32" s="59">
        <v>0</v>
      </c>
      <c r="N32" s="60"/>
      <c r="O32" s="59">
        <f t="shared" si="24"/>
        <v>139102.851</v>
      </c>
      <c r="P32" s="60"/>
      <c r="Q32" s="59">
        <f t="shared" si="25"/>
        <v>139102.851</v>
      </c>
      <c r="R32" s="60"/>
      <c r="S32" s="492">
        <f>'Ex B p2 - Billing Determinants'!K396/1000</f>
        <v>-1449.79168187295</v>
      </c>
      <c r="T32" s="60"/>
      <c r="U32" s="59">
        <f t="shared" si="26"/>
        <v>137653.05931812705</v>
      </c>
      <c r="V32" s="60"/>
      <c r="W32" s="59">
        <f t="shared" si="27"/>
        <v>0</v>
      </c>
      <c r="X32" s="60"/>
      <c r="Y32" s="307">
        <f t="shared" si="11"/>
        <v>0</v>
      </c>
      <c r="Z32" s="60"/>
      <c r="AA32" s="59">
        <f t="shared" si="28"/>
        <v>-1449.7916818729427</v>
      </c>
      <c r="AB32" s="60"/>
      <c r="AC32" s="307">
        <f t="shared" si="13"/>
        <v>-1.0422444050934246E-2</v>
      </c>
    </row>
    <row r="33" spans="1:31">
      <c r="A33" s="287">
        <f>MAX(A$14:A32)+1</f>
        <v>18</v>
      </c>
      <c r="C33" s="287" t="s">
        <v>272</v>
      </c>
      <c r="E33" s="287">
        <v>31</v>
      </c>
      <c r="G33" s="58">
        <v>4</v>
      </c>
      <c r="I33" s="58">
        <v>56282.44502511515</v>
      </c>
      <c r="J33" s="60"/>
      <c r="K33" s="62">
        <f>'Ex B p2 - Billing Determinants'!G457/1000</f>
        <v>4575.5919999999996</v>
      </c>
      <c r="L33" s="60"/>
      <c r="M33" s="59">
        <v>0</v>
      </c>
      <c r="N33" s="60"/>
      <c r="O33" s="59">
        <f t="shared" si="24"/>
        <v>4575.5919999999996</v>
      </c>
      <c r="P33" s="60"/>
      <c r="Q33" s="59">
        <f t="shared" si="25"/>
        <v>4575.5919999999996</v>
      </c>
      <c r="R33" s="60"/>
      <c r="S33" s="492">
        <f>'Ex B p2 - Billing Determinants'!K457/1000</f>
        <v>-34.261986174899995</v>
      </c>
      <c r="T33" s="60"/>
      <c r="U33" s="59">
        <f t="shared" si="26"/>
        <v>4541.3300138250997</v>
      </c>
      <c r="V33" s="60"/>
      <c r="W33" s="59">
        <f t="shared" si="27"/>
        <v>0</v>
      </c>
      <c r="X33" s="60"/>
      <c r="Y33" s="307">
        <f t="shared" si="11"/>
        <v>0</v>
      </c>
      <c r="Z33" s="60"/>
      <c r="AA33" s="59">
        <f t="shared" si="28"/>
        <v>-34.261986174899903</v>
      </c>
      <c r="AB33" s="60"/>
      <c r="AC33" s="307">
        <f t="shared" si="13"/>
        <v>-7.4879897890589688E-3</v>
      </c>
    </row>
    <row r="34" spans="1:31">
      <c r="A34" s="287">
        <f>MAX(A$14:A33)+1</f>
        <v>19</v>
      </c>
      <c r="C34" s="308" t="s">
        <v>273</v>
      </c>
      <c r="E34" s="313" t="s">
        <v>252</v>
      </c>
      <c r="G34" s="58">
        <v>1</v>
      </c>
      <c r="I34" s="58">
        <v>535721.17000000004</v>
      </c>
      <c r="J34" s="60"/>
      <c r="K34" s="62">
        <f>'Ex B p2 - Billing Determinants'!G465/1000</f>
        <v>27958.751</v>
      </c>
      <c r="L34" s="60"/>
      <c r="M34" s="59">
        <v>0</v>
      </c>
      <c r="N34" s="60"/>
      <c r="O34" s="59">
        <f t="shared" si="24"/>
        <v>27958.751</v>
      </c>
      <c r="P34" s="60"/>
      <c r="Q34" s="59">
        <f t="shared" si="25"/>
        <v>27958.751</v>
      </c>
      <c r="R34" s="60"/>
      <c r="S34" s="492">
        <f>'Ex B p2 - Billing Determinants'!K465/1000</f>
        <v>0</v>
      </c>
      <c r="T34" s="60"/>
      <c r="U34" s="59">
        <f t="shared" si="26"/>
        <v>27958.751</v>
      </c>
      <c r="V34" s="60"/>
      <c r="W34" s="59">
        <f t="shared" si="27"/>
        <v>0</v>
      </c>
      <c r="X34" s="60"/>
      <c r="Y34" s="307">
        <f t="shared" si="11"/>
        <v>0</v>
      </c>
      <c r="Z34" s="60"/>
      <c r="AA34" s="59">
        <f t="shared" si="28"/>
        <v>0</v>
      </c>
      <c r="AB34" s="60"/>
      <c r="AC34" s="307">
        <f t="shared" si="13"/>
        <v>0</v>
      </c>
    </row>
    <row r="35" spans="1:31">
      <c r="A35" s="287">
        <f>MAX(A$14:A34)+1</f>
        <v>20</v>
      </c>
      <c r="C35" s="308" t="s">
        <v>274</v>
      </c>
      <c r="E35" s="313" t="s">
        <v>252</v>
      </c>
      <c r="G35" s="58">
        <v>1</v>
      </c>
      <c r="I35" s="58">
        <v>795798.67578575748</v>
      </c>
      <c r="J35" s="60"/>
      <c r="K35" s="62">
        <f>'Ex B p2 - Billing Determinants'!G470/1000</f>
        <v>35062.89</v>
      </c>
      <c r="L35" s="60"/>
      <c r="M35" s="59">
        <v>0</v>
      </c>
      <c r="N35" s="60"/>
      <c r="O35" s="59">
        <f t="shared" si="24"/>
        <v>35062.89</v>
      </c>
      <c r="P35" s="60"/>
      <c r="Q35" s="59">
        <f t="shared" si="25"/>
        <v>35062.89</v>
      </c>
      <c r="R35" s="60"/>
      <c r="S35" s="492">
        <f>'Ex B p2 - Billing Determinants'!K470/1000</f>
        <v>0</v>
      </c>
      <c r="T35" s="60"/>
      <c r="U35" s="59">
        <f t="shared" si="26"/>
        <v>35062.89</v>
      </c>
      <c r="V35" s="60"/>
      <c r="W35" s="59">
        <f t="shared" si="27"/>
        <v>0</v>
      </c>
      <c r="X35" s="60"/>
      <c r="Y35" s="307">
        <f t="shared" si="11"/>
        <v>0</v>
      </c>
      <c r="Z35" s="60"/>
      <c r="AA35" s="59">
        <f t="shared" si="28"/>
        <v>0</v>
      </c>
      <c r="AB35" s="60"/>
      <c r="AC35" s="307">
        <f t="shared" si="13"/>
        <v>0</v>
      </c>
    </row>
    <row r="36" spans="1:31">
      <c r="A36" s="287">
        <f>MAX(A$14:A35)+1</f>
        <v>21</v>
      </c>
      <c r="C36" s="308" t="s">
        <v>275</v>
      </c>
      <c r="E36" s="313" t="s">
        <v>252</v>
      </c>
      <c r="G36" s="58">
        <v>1</v>
      </c>
      <c r="I36" s="58">
        <v>621809.33325000003</v>
      </c>
      <c r="J36" s="60"/>
      <c r="K36" s="62">
        <f>'Ex B p2 - Billing Determinants'!G492/1000</f>
        <v>30035.48</v>
      </c>
      <c r="L36" s="60"/>
      <c r="M36" s="59"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492">
        <f>'Ex B p2 - Billing Determinants'!K492/1000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7">
        <f t="shared" si="11"/>
        <v>0</v>
      </c>
      <c r="Z36" s="60"/>
      <c r="AA36" s="59">
        <f t="shared" si="28"/>
        <v>0</v>
      </c>
      <c r="AB36" s="60"/>
      <c r="AC36" s="307">
        <f t="shared" si="13"/>
        <v>0</v>
      </c>
    </row>
    <row r="37" spans="1:31">
      <c r="A37" s="287">
        <f>MAX(A$14:A36)+1</f>
        <v>22</v>
      </c>
      <c r="C37" s="308" t="s">
        <v>251</v>
      </c>
      <c r="E37" s="309" t="s">
        <v>252</v>
      </c>
      <c r="G37" s="325"/>
      <c r="I37" s="310"/>
      <c r="J37" s="60"/>
      <c r="K37" s="61">
        <f>SUM('Ex B p2 - Billing Determinants'!G505:G507)/1000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493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11">
        <f t="shared" si="11"/>
        <v>0</v>
      </c>
      <c r="Z37" s="60"/>
      <c r="AA37" s="61">
        <f t="shared" si="28"/>
        <v>0</v>
      </c>
      <c r="AB37" s="60"/>
      <c r="AC37" s="311">
        <f t="shared" si="13"/>
        <v>0</v>
      </c>
    </row>
    <row r="38" spans="1:31">
      <c r="A38" s="287">
        <f>MAX(A$14:A37)+1</f>
        <v>23</v>
      </c>
      <c r="C38" s="299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0</v>
      </c>
      <c r="N38" s="60"/>
      <c r="O38" s="59">
        <f>SUM(O20:O22,O24:O26,O28:O29,O31:O37)</f>
        <v>1239371.8237099999</v>
      </c>
      <c r="P38" s="60"/>
      <c r="Q38" s="59">
        <f>SUM(Q20:Q22,Q24:Q26,Q28:Q29,Q31:Q37)</f>
        <v>1239371.8237099999</v>
      </c>
      <c r="R38" s="60"/>
      <c r="S38" s="492">
        <f>SUM(S20:S22,S24:S26,S28:S29,S31:S37)</f>
        <v>-11534.25343866567</v>
      </c>
      <c r="T38" s="60"/>
      <c r="U38" s="59">
        <f>SUM(U20:U22,U24:U26,U28:U29,U31:U37)</f>
        <v>1227837.5702713341</v>
      </c>
      <c r="V38" s="60"/>
      <c r="W38" s="59">
        <f>SUM(W20:W22,W24:W26,W28:W29,W31:W37)</f>
        <v>0</v>
      </c>
      <c r="X38" s="60"/>
      <c r="Y38" s="307">
        <f t="shared" si="11"/>
        <v>0</v>
      </c>
      <c r="Z38" s="60"/>
      <c r="AA38" s="59">
        <f>SUM(AA20:AA22,AA24:AA26,AA28:AA29,AA31:AA37)</f>
        <v>-11534.253438665659</v>
      </c>
      <c r="AB38" s="60"/>
      <c r="AC38" s="307">
        <f t="shared" si="13"/>
        <v>-9.3065319204517875E-3</v>
      </c>
    </row>
    <row r="39" spans="1:31" ht="24.95" customHeight="1">
      <c r="C39" s="299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492"/>
      <c r="T39" s="60"/>
      <c r="U39" s="59"/>
      <c r="V39" s="60"/>
      <c r="W39" s="59"/>
      <c r="X39" s="60"/>
      <c r="Y39" s="307"/>
      <c r="Z39" s="60"/>
      <c r="AA39" s="59"/>
      <c r="AB39" s="60"/>
      <c r="AC39" s="307"/>
    </row>
    <row r="40" spans="1:31">
      <c r="A40" s="287">
        <f>MAX(A$14:A39)+1</f>
        <v>24</v>
      </c>
      <c r="C40" s="287" t="s">
        <v>278</v>
      </c>
      <c r="E40" s="287">
        <v>7</v>
      </c>
      <c r="G40" s="58">
        <v>8046</v>
      </c>
      <c r="I40" s="58">
        <v>12440.930563737753</v>
      </c>
      <c r="J40" s="60"/>
      <c r="K40" s="62">
        <f>'Ex B p2 - Billing Determinants'!G153/1000</f>
        <v>2999.06</v>
      </c>
      <c r="L40" s="60"/>
      <c r="M40" s="59">
        <v>0</v>
      </c>
      <c r="N40" s="60"/>
      <c r="O40" s="59">
        <f t="shared" ref="O40:O44" si="29">K40+M40</f>
        <v>2999.06</v>
      </c>
      <c r="P40" s="60"/>
      <c r="Q40" s="59">
        <f t="shared" ref="Q40:Q44" si="30">K40</f>
        <v>2999.06</v>
      </c>
      <c r="R40" s="60"/>
      <c r="S40" s="492">
        <f>'Ex B p2 - Billing Determinants'!K153/1000</f>
        <v>-20.115985015799996</v>
      </c>
      <c r="T40" s="60"/>
      <c r="U40" s="59">
        <f t="shared" ref="U40:U44" si="31">Q40+S40</f>
        <v>2978.9440149841998</v>
      </c>
      <c r="V40" s="60"/>
      <c r="W40" s="59">
        <f t="shared" ref="W40:W44" si="32">Q40-K40</f>
        <v>0</v>
      </c>
      <c r="X40" s="60"/>
      <c r="Y40" s="307">
        <f t="shared" ref="Y40:Y49" si="33">W40/K40</f>
        <v>0</v>
      </c>
      <c r="Z40" s="60"/>
      <c r="AA40" s="59">
        <f t="shared" ref="AA40:AA44" si="34">U40-O40</f>
        <v>-20.115985015800106</v>
      </c>
      <c r="AB40" s="60"/>
      <c r="AC40" s="307">
        <f t="shared" ref="AC40:AC49" si="35">AA40/O40</f>
        <v>-6.7074300000000359E-3</v>
      </c>
    </row>
    <row r="41" spans="1:31">
      <c r="A41" s="287">
        <f>MAX(A$14:A40)+1</f>
        <v>25</v>
      </c>
      <c r="C41" s="287" t="s">
        <v>279</v>
      </c>
      <c r="E41" s="316">
        <v>11</v>
      </c>
      <c r="G41" s="58">
        <v>809.41666666666663</v>
      </c>
      <c r="I41" s="58">
        <v>16496.197391013095</v>
      </c>
      <c r="J41" s="60"/>
      <c r="K41" s="62">
        <f>'Ex B p2 - Billing Determinants'!G268/1000</f>
        <v>4979.3900000000003</v>
      </c>
      <c r="L41" s="60"/>
      <c r="M41" s="59">
        <v>0</v>
      </c>
      <c r="N41" s="60"/>
      <c r="O41" s="59">
        <f t="shared" si="29"/>
        <v>4979.3900000000003</v>
      </c>
      <c r="P41" s="60"/>
      <c r="Q41" s="59">
        <f t="shared" si="30"/>
        <v>4979.3900000000003</v>
      </c>
      <c r="R41" s="60"/>
      <c r="S41" s="492">
        <f>'Ex B p2 - Billing Determinants'!K268/1000</f>
        <v>-33.398909867699992</v>
      </c>
      <c r="T41" s="60"/>
      <c r="U41" s="59">
        <f t="shared" si="31"/>
        <v>4945.9910901323001</v>
      </c>
      <c r="V41" s="60"/>
      <c r="W41" s="59">
        <f t="shared" si="32"/>
        <v>0</v>
      </c>
      <c r="X41" s="60"/>
      <c r="Y41" s="307">
        <f t="shared" si="33"/>
        <v>0</v>
      </c>
      <c r="Z41" s="60"/>
      <c r="AA41" s="59">
        <f t="shared" si="34"/>
        <v>-33.39890986770024</v>
      </c>
      <c r="AB41" s="60"/>
      <c r="AC41" s="307">
        <f t="shared" si="35"/>
        <v>-6.707430000000048E-3</v>
      </c>
    </row>
    <row r="42" spans="1:31">
      <c r="A42" s="287">
        <f>MAX(A$14:A41)+1</f>
        <v>26</v>
      </c>
      <c r="C42" s="287" t="s">
        <v>280</v>
      </c>
      <c r="E42" s="316">
        <v>12</v>
      </c>
      <c r="G42" s="58">
        <v>839</v>
      </c>
      <c r="I42" s="317">
        <v>56516.774129293255</v>
      </c>
      <c r="J42" s="60"/>
      <c r="K42" s="62">
        <f>'Ex B p2 - Billing Determinants'!G351/1000</f>
        <v>4144.8670000000002</v>
      </c>
      <c r="L42" s="60"/>
      <c r="M42" s="59">
        <v>0</v>
      </c>
      <c r="N42" s="60"/>
      <c r="O42" s="59">
        <f t="shared" si="29"/>
        <v>4144.8670000000002</v>
      </c>
      <c r="P42" s="60"/>
      <c r="Q42" s="59">
        <f t="shared" si="30"/>
        <v>4144.8670000000002</v>
      </c>
      <c r="R42" s="60"/>
      <c r="S42" s="492">
        <f>'Ex B p2 - Billing Determinants'!K351/1000</f>
        <v>-27.801405261810004</v>
      </c>
      <c r="T42" s="60"/>
      <c r="U42" s="59">
        <f t="shared" si="31"/>
        <v>4117.0655947381902</v>
      </c>
      <c r="V42" s="60"/>
      <c r="W42" s="59">
        <f t="shared" si="32"/>
        <v>0</v>
      </c>
      <c r="X42" s="60"/>
      <c r="Y42" s="307">
        <f t="shared" si="33"/>
        <v>0</v>
      </c>
      <c r="Z42" s="60"/>
      <c r="AA42" s="59">
        <f t="shared" si="34"/>
        <v>-27.801405261810032</v>
      </c>
      <c r="AB42" s="60"/>
      <c r="AC42" s="307">
        <f t="shared" si="35"/>
        <v>-6.7074300000000073E-3</v>
      </c>
    </row>
    <row r="43" spans="1:31" s="318" customFormat="1">
      <c r="A43" s="318">
        <f>MAX(A$14:A42)+1</f>
        <v>27</v>
      </c>
      <c r="C43" s="318" t="s">
        <v>281</v>
      </c>
      <c r="D43" s="319"/>
      <c r="E43" s="318">
        <v>15</v>
      </c>
      <c r="F43" s="319"/>
      <c r="G43" s="320">
        <v>2466</v>
      </c>
      <c r="H43" s="319"/>
      <c r="I43" s="320">
        <v>6177.9471587633907</v>
      </c>
      <c r="J43" s="63"/>
      <c r="K43" s="62">
        <f>'Ex B p2 - Billing Determinants'!G360/1000</f>
        <v>1234.6020000000001</v>
      </c>
      <c r="L43" s="63"/>
      <c r="M43" s="62">
        <v>0</v>
      </c>
      <c r="N43" s="63"/>
      <c r="O43" s="62">
        <f t="shared" si="29"/>
        <v>1234.6020000000001</v>
      </c>
      <c r="P43" s="63"/>
      <c r="Q43" s="62">
        <f t="shared" si="30"/>
        <v>1234.6020000000001</v>
      </c>
      <c r="R43" s="63"/>
      <c r="S43" s="494">
        <f>'Ex B p2 - Billing Determinants'!K360/1000</f>
        <v>-8.9077064576999998</v>
      </c>
      <c r="T43" s="63"/>
      <c r="U43" s="62">
        <f t="shared" si="31"/>
        <v>1225.6942935423001</v>
      </c>
      <c r="V43" s="63"/>
      <c r="W43" s="62">
        <f t="shared" si="32"/>
        <v>0</v>
      </c>
      <c r="X43" s="63"/>
      <c r="Y43" s="321">
        <f t="shared" si="33"/>
        <v>0</v>
      </c>
      <c r="Z43" s="63"/>
      <c r="AA43" s="62">
        <f t="shared" si="34"/>
        <v>-8.9077064576999874</v>
      </c>
      <c r="AB43" s="63"/>
      <c r="AC43" s="321">
        <f t="shared" si="35"/>
        <v>-7.215042951250676E-3</v>
      </c>
    </row>
    <row r="44" spans="1:31">
      <c r="A44" s="287">
        <f>MAX(A$14:A43)+1</f>
        <v>28</v>
      </c>
      <c r="C44" s="287" t="s">
        <v>282</v>
      </c>
      <c r="E44" s="287">
        <v>15</v>
      </c>
      <c r="G44" s="314">
        <v>515</v>
      </c>
      <c r="I44" s="314">
        <v>17536.444611929484</v>
      </c>
      <c r="J44" s="60"/>
      <c r="K44" s="61">
        <f>'Ex B p2 - Billing Determinants'!G366/1000</f>
        <v>682.02800000000002</v>
      </c>
      <c r="L44" s="60"/>
      <c r="M44" s="61">
        <v>0</v>
      </c>
      <c r="N44" s="60"/>
      <c r="O44" s="61">
        <f t="shared" si="29"/>
        <v>682.02800000000002</v>
      </c>
      <c r="P44" s="60"/>
      <c r="Q44" s="61">
        <f t="shared" si="30"/>
        <v>682.02800000000002</v>
      </c>
      <c r="R44" s="60"/>
      <c r="S44" s="493">
        <f>'Ex B p2 - Billing Determinants'!K366/1000</f>
        <v>-6.6292907125000005</v>
      </c>
      <c r="T44" s="60"/>
      <c r="U44" s="61">
        <f t="shared" si="31"/>
        <v>675.39870928749997</v>
      </c>
      <c r="V44" s="60"/>
      <c r="W44" s="61">
        <f t="shared" si="32"/>
        <v>0</v>
      </c>
      <c r="X44" s="60"/>
      <c r="Y44" s="311">
        <f t="shared" si="33"/>
        <v>0</v>
      </c>
      <c r="Z44" s="60"/>
      <c r="AA44" s="61">
        <f t="shared" si="34"/>
        <v>-6.6292907125000511</v>
      </c>
      <c r="AB44" s="60"/>
      <c r="AC44" s="311">
        <f t="shared" si="35"/>
        <v>-9.7199685533439252E-3</v>
      </c>
    </row>
    <row r="45" spans="1:31">
      <c r="A45" s="287">
        <f>MAX(A$14:A44)+1</f>
        <v>29</v>
      </c>
      <c r="C45" s="315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0</v>
      </c>
      <c r="N45" s="59"/>
      <c r="O45" s="59">
        <f>SUM(O40:O44)</f>
        <v>14039.947000000002</v>
      </c>
      <c r="P45" s="59"/>
      <c r="Q45" s="59">
        <f>SUM(Q40:Q44)</f>
        <v>14039.947000000002</v>
      </c>
      <c r="R45" s="59"/>
      <c r="S45" s="492">
        <f>SUM(S40:S44)</f>
        <v>-96.853297315509991</v>
      </c>
      <c r="T45" s="59"/>
      <c r="U45" s="59">
        <f>SUM(U40:U44)</f>
        <v>13943.093702684488</v>
      </c>
      <c r="V45" s="59"/>
      <c r="W45" s="59">
        <f>SUM(W40:W44)</f>
        <v>0</v>
      </c>
      <c r="X45" s="59"/>
      <c r="Y45" s="307">
        <f t="shared" si="33"/>
        <v>0</v>
      </c>
      <c r="Z45" s="59"/>
      <c r="AA45" s="59">
        <f>SUM(AA40:AA44)</f>
        <v>-96.853297315510417</v>
      </c>
      <c r="AB45" s="59"/>
      <c r="AC45" s="307">
        <f t="shared" si="35"/>
        <v>-6.8984090406830172E-3</v>
      </c>
    </row>
    <row r="46" spans="1:31" ht="21.95" customHeight="1">
      <c r="A46" s="287">
        <f>MAX(A$14:A45)+1</f>
        <v>30</v>
      </c>
      <c r="C46" s="308" t="s">
        <v>284</v>
      </c>
      <c r="E46" s="313" t="s">
        <v>252</v>
      </c>
      <c r="G46" s="58">
        <v>5</v>
      </c>
      <c r="I46" s="58">
        <v>7.7366128294616923</v>
      </c>
      <c r="J46" s="60"/>
      <c r="K46" s="62">
        <f>'Ex B p2 - Billing Determinants'!G501/1000</f>
        <v>0.58299999999999996</v>
      </c>
      <c r="L46" s="60"/>
      <c r="M46" s="59"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492">
        <f>'Ex B p2 - Billing Determinants'!K501/1000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7">
        <f t="shared" si="33"/>
        <v>0</v>
      </c>
      <c r="Z46" s="60"/>
      <c r="AA46" s="59">
        <f t="shared" ref="AA46:AA47" si="40">U46-O46</f>
        <v>0</v>
      </c>
      <c r="AB46" s="60"/>
      <c r="AC46" s="307">
        <f t="shared" si="35"/>
        <v>0</v>
      </c>
    </row>
    <row r="47" spans="1:31">
      <c r="A47" s="287">
        <f>MAX(A$14:A46)+1</f>
        <v>31</v>
      </c>
      <c r="C47" s="308" t="s">
        <v>251</v>
      </c>
      <c r="D47" s="65"/>
      <c r="E47" s="309" t="s">
        <v>252</v>
      </c>
      <c r="F47" s="65"/>
      <c r="G47" s="322"/>
      <c r="H47" s="65"/>
      <c r="I47" s="322"/>
      <c r="J47" s="60"/>
      <c r="K47" s="61">
        <f>'Ex B p2 - Billing Determinants'!G508/1000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493"/>
      <c r="T47" s="60"/>
      <c r="U47" s="61">
        <f t="shared" si="38"/>
        <v>4.6616400000000002</v>
      </c>
      <c r="V47" s="60"/>
      <c r="W47" s="61"/>
      <c r="X47" s="60"/>
      <c r="Y47" s="311">
        <f t="shared" si="33"/>
        <v>0</v>
      </c>
      <c r="Z47" s="60"/>
      <c r="AA47" s="61">
        <f t="shared" si="40"/>
        <v>0</v>
      </c>
      <c r="AB47" s="60"/>
      <c r="AC47" s="311">
        <f t="shared" si="35"/>
        <v>0</v>
      </c>
      <c r="AD47" s="502"/>
      <c r="AE47" s="502"/>
    </row>
    <row r="48" spans="1:31" ht="21.95" customHeight="1">
      <c r="A48" s="287">
        <f>MAX(A$14:A47)+1</f>
        <v>32</v>
      </c>
      <c r="C48" s="299" t="s">
        <v>285</v>
      </c>
      <c r="E48" s="318"/>
      <c r="G48" s="314">
        <v>12680.416666666666</v>
      </c>
      <c r="I48" s="314">
        <v>109176.03046756644</v>
      </c>
      <c r="J48" s="60"/>
      <c r="K48" s="61">
        <f>SUM(K45:K47)</f>
        <v>14045.191640000003</v>
      </c>
      <c r="L48" s="60"/>
      <c r="M48" s="61">
        <f>SUM(M45:M47)</f>
        <v>0</v>
      </c>
      <c r="N48" s="60"/>
      <c r="O48" s="61">
        <f>SUM(O45:O47)</f>
        <v>14045.191640000003</v>
      </c>
      <c r="P48" s="60"/>
      <c r="Q48" s="61">
        <f>SUM(Q45:Q47)</f>
        <v>14045.191640000003</v>
      </c>
      <c r="R48" s="60"/>
      <c r="S48" s="493">
        <f>SUM(S45:S47)</f>
        <v>-96.853297315509991</v>
      </c>
      <c r="T48" s="60"/>
      <c r="U48" s="61">
        <f>SUM(U45:U47)</f>
        <v>13948.338342684488</v>
      </c>
      <c r="V48" s="60"/>
      <c r="W48" s="61">
        <f>SUM(W45:W47)</f>
        <v>0</v>
      </c>
      <c r="X48" s="60"/>
      <c r="Y48" s="311">
        <f t="shared" si="33"/>
        <v>0</v>
      </c>
      <c r="Z48" s="60"/>
      <c r="AA48" s="61">
        <f>SUM(AA45:AA47)</f>
        <v>-96.853297315510417</v>
      </c>
      <c r="AB48" s="60"/>
      <c r="AC48" s="311">
        <f t="shared" si="35"/>
        <v>-6.8958330934892394E-3</v>
      </c>
      <c r="AD48" s="503"/>
      <c r="AE48" s="503"/>
    </row>
    <row r="49" spans="1:31" ht="24.95" customHeight="1" thickBot="1">
      <c r="A49" s="287">
        <f>MAX(A$14:A48)+1</f>
        <v>33</v>
      </c>
      <c r="C49" s="299" t="s">
        <v>286</v>
      </c>
      <c r="E49" s="318"/>
      <c r="G49" s="323">
        <v>854858.75</v>
      </c>
      <c r="I49" s="323">
        <v>23244284.921518605</v>
      </c>
      <c r="J49" s="60"/>
      <c r="K49" s="66">
        <f>K48+K38+K18</f>
        <v>1938306.48862</v>
      </c>
      <c r="L49" s="60"/>
      <c r="M49" s="66">
        <f>M48+M38+M18</f>
        <v>0</v>
      </c>
      <c r="N49" s="60"/>
      <c r="O49" s="66">
        <f>O48+O38+O18</f>
        <v>1938306.48862</v>
      </c>
      <c r="P49" s="60"/>
      <c r="Q49" s="66">
        <f>Q48+Q38+Q18</f>
        <v>1938306.48862</v>
      </c>
      <c r="R49" s="60"/>
      <c r="S49" s="495">
        <f>S48+S38+S18</f>
        <v>-20007.476836535898</v>
      </c>
      <c r="T49" s="60"/>
      <c r="U49" s="66">
        <f>U48+U38+U18</f>
        <v>1918299.0117834639</v>
      </c>
      <c r="V49" s="60"/>
      <c r="W49" s="66">
        <f>W48+W38+W18</f>
        <v>0</v>
      </c>
      <c r="X49" s="60"/>
      <c r="Y49" s="324">
        <f t="shared" si="33"/>
        <v>0</v>
      </c>
      <c r="Z49" s="60"/>
      <c r="AA49" s="66">
        <f>AA48+AA38+AA18</f>
        <v>-20007.47683653589</v>
      </c>
      <c r="AB49" s="60"/>
      <c r="AC49" s="324">
        <f t="shared" si="35"/>
        <v>-1.0322143042909817E-2</v>
      </c>
      <c r="AD49" s="504"/>
      <c r="AE49" s="504"/>
    </row>
    <row r="50" spans="1:31" ht="16.5" thickTop="1">
      <c r="E50" s="318"/>
    </row>
    <row r="51" spans="1:31">
      <c r="C51" s="308"/>
    </row>
    <row r="52" spans="1:31">
      <c r="C52" s="308"/>
    </row>
  </sheetData>
  <printOptions horizontalCentered="1"/>
  <pageMargins left="0.5" right="0.5" top="1" bottom="0.5" header="0.5" footer="0.2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view="pageBreakPreview" topLeftCell="A4" zoomScale="80" zoomScaleNormal="100" zoomScaleSheetLayoutView="80" workbookViewId="0">
      <selection activeCell="A4" sqref="A4"/>
    </sheetView>
  </sheetViews>
  <sheetFormatPr defaultColWidth="8" defaultRowHeight="12.75"/>
  <cols>
    <col min="1" max="1" width="7" style="214" customWidth="1"/>
    <col min="2" max="2" width="1.75" style="204" customWidth="1"/>
    <col min="3" max="3" width="7.875" style="215" bestFit="1" customWidth="1"/>
    <col min="4" max="4" width="1.5" style="204" customWidth="1"/>
    <col min="5" max="5" width="9" style="215" bestFit="1" customWidth="1"/>
    <col min="6" max="6" width="1.375" style="204" customWidth="1"/>
    <col min="7" max="7" width="8" style="222" bestFit="1" customWidth="1"/>
    <col min="8" max="8" width="1.375" style="204" customWidth="1"/>
    <col min="9" max="9" width="6.25" style="204" bestFit="1" customWidth="1"/>
    <col min="10" max="10" width="2.125" style="204" customWidth="1"/>
    <col min="11" max="11" width="7.875" style="215" bestFit="1" customWidth="1"/>
    <col min="12" max="12" width="0.875" style="204" customWidth="1"/>
    <col min="13" max="13" width="9" style="215" bestFit="1" customWidth="1"/>
    <col min="14" max="14" width="1.875" style="204" customWidth="1"/>
    <col min="15" max="15" width="7.375" style="222" bestFit="1" customWidth="1"/>
    <col min="16" max="16" width="0.75" style="204" customWidth="1"/>
    <col min="17" max="17" width="6.25" style="204" bestFit="1" customWidth="1"/>
    <col min="18" max="18" width="3.125" style="204" customWidth="1"/>
    <col min="19" max="19" width="16.5" style="204" bestFit="1" customWidth="1"/>
    <col min="20" max="20" width="7.625" style="204" bestFit="1" customWidth="1"/>
    <col min="21" max="21" width="9.75" style="204" customWidth="1"/>
    <col min="22" max="22" width="4.125" style="204" customWidth="1"/>
    <col min="23" max="23" width="6.125" style="204" bestFit="1" customWidth="1"/>
    <col min="24" max="24" width="3.875" style="204" bestFit="1" customWidth="1"/>
    <col min="25" max="25" width="5.625" style="204" bestFit="1" customWidth="1"/>
    <col min="26" max="26" width="7" style="204" bestFit="1" customWidth="1"/>
    <col min="27" max="27" width="5.125" style="204" bestFit="1" customWidth="1"/>
    <col min="28" max="28" width="4.875" style="204" bestFit="1" customWidth="1"/>
    <col min="29" max="29" width="5.625" style="204" bestFit="1" customWidth="1"/>
    <col min="30" max="30" width="7.375" style="204" bestFit="1" customWidth="1"/>
    <col min="31" max="16384" width="8" style="204"/>
  </cols>
  <sheetData>
    <row r="1" spans="1:30" ht="16.5">
      <c r="A1" s="196" t="s">
        <v>239</v>
      </c>
      <c r="B1" s="197"/>
      <c r="C1" s="198"/>
      <c r="D1" s="197"/>
      <c r="E1" s="198"/>
      <c r="F1" s="197"/>
      <c r="G1" s="199"/>
      <c r="H1" s="197"/>
      <c r="I1" s="197"/>
      <c r="J1" s="197"/>
      <c r="K1" s="198"/>
      <c r="L1" s="197"/>
      <c r="M1" s="198"/>
      <c r="N1" s="197"/>
      <c r="O1" s="199"/>
      <c r="P1" s="197"/>
      <c r="Q1" s="200"/>
      <c r="R1" s="201"/>
      <c r="S1" s="201"/>
      <c r="T1" s="202"/>
      <c r="U1" s="203"/>
    </row>
    <row r="2" spans="1:30" ht="16.5">
      <c r="A2" s="196" t="s">
        <v>322</v>
      </c>
      <c r="B2" s="197"/>
      <c r="C2" s="198"/>
      <c r="D2" s="197"/>
      <c r="E2" s="198"/>
      <c r="F2" s="197"/>
      <c r="G2" s="199"/>
      <c r="H2" s="197"/>
      <c r="I2" s="197"/>
      <c r="J2" s="197"/>
      <c r="K2" s="198"/>
      <c r="L2" s="197"/>
      <c r="M2" s="198"/>
      <c r="N2" s="197"/>
      <c r="O2" s="199"/>
      <c r="P2" s="197"/>
      <c r="Q2" s="200"/>
      <c r="R2" s="201"/>
      <c r="S2" s="201"/>
      <c r="T2" s="202"/>
      <c r="U2" s="205"/>
    </row>
    <row r="3" spans="1:30" ht="16.5">
      <c r="A3" s="196" t="s">
        <v>323</v>
      </c>
      <c r="B3" s="197"/>
      <c r="C3" s="198"/>
      <c r="D3" s="197"/>
      <c r="E3" s="198"/>
      <c r="F3" s="197"/>
      <c r="G3" s="199"/>
      <c r="H3" s="197"/>
      <c r="I3" s="197"/>
      <c r="J3" s="197"/>
      <c r="K3" s="198"/>
      <c r="L3" s="197"/>
      <c r="M3" s="198"/>
      <c r="N3" s="197"/>
      <c r="O3" s="199"/>
      <c r="P3" s="197"/>
      <c r="Q3" s="200"/>
      <c r="R3" s="201"/>
      <c r="S3" s="201"/>
      <c r="T3" s="202"/>
      <c r="U3" s="203"/>
    </row>
    <row r="4" spans="1:30" ht="16.5">
      <c r="A4" s="196" t="s">
        <v>324</v>
      </c>
      <c r="B4" s="197"/>
      <c r="C4" s="198"/>
      <c r="D4" s="197"/>
      <c r="E4" s="198"/>
      <c r="F4" s="197"/>
      <c r="G4" s="199"/>
      <c r="H4" s="197"/>
      <c r="I4" s="197"/>
      <c r="J4" s="197"/>
      <c r="K4" s="198"/>
      <c r="L4" s="197"/>
      <c r="M4" s="198"/>
      <c r="N4" s="197"/>
      <c r="O4" s="199"/>
      <c r="P4" s="197"/>
      <c r="Q4" s="200"/>
      <c r="R4" s="201"/>
      <c r="S4" s="201"/>
      <c r="T4" s="206"/>
      <c r="U4" s="207"/>
    </row>
    <row r="5" spans="1:30" ht="17.25">
      <c r="A5" s="208"/>
      <c r="B5" s="200"/>
      <c r="C5" s="209"/>
      <c r="D5" s="210"/>
      <c r="E5" s="211"/>
      <c r="F5" s="210"/>
      <c r="G5" s="210"/>
      <c r="H5" s="212"/>
      <c r="I5" s="212"/>
      <c r="K5" s="213"/>
      <c r="L5" s="212"/>
      <c r="M5" s="213"/>
      <c r="N5" s="212"/>
      <c r="O5" s="212"/>
      <c r="P5" s="212"/>
      <c r="Q5" s="212"/>
    </row>
    <row r="6" spans="1:30">
      <c r="G6" s="517"/>
      <c r="H6" s="517"/>
      <c r="I6" s="517"/>
      <c r="K6" s="216"/>
      <c r="L6" s="200"/>
      <c r="M6" s="216"/>
      <c r="O6" s="517"/>
      <c r="P6" s="517"/>
      <c r="Q6" s="517"/>
    </row>
    <row r="7" spans="1:30">
      <c r="C7" s="217" t="s">
        <v>325</v>
      </c>
      <c r="D7" s="218"/>
      <c r="E7" s="219"/>
      <c r="F7" s="220"/>
      <c r="G7" s="221"/>
      <c r="H7" s="220"/>
      <c r="I7" s="220"/>
      <c r="K7" s="217" t="s">
        <v>326</v>
      </c>
      <c r="L7" s="218"/>
      <c r="M7" s="219"/>
      <c r="N7" s="220"/>
      <c r="O7" s="221"/>
      <c r="P7" s="220"/>
      <c r="Q7" s="220"/>
      <c r="W7" s="197"/>
      <c r="X7" s="197"/>
      <c r="Y7" s="197"/>
      <c r="Z7" s="197"/>
    </row>
    <row r="8" spans="1:30" ht="15.75">
      <c r="C8" s="219" t="s">
        <v>327</v>
      </c>
      <c r="D8" s="220"/>
      <c r="E8" s="219"/>
      <c r="G8" s="219" t="s">
        <v>243</v>
      </c>
      <c r="H8" s="220"/>
      <c r="I8" s="219"/>
      <c r="K8" s="219" t="s">
        <v>327</v>
      </c>
      <c r="L8" s="220"/>
      <c r="M8" s="219"/>
      <c r="O8" s="219" t="s">
        <v>243</v>
      </c>
      <c r="P8" s="220"/>
      <c r="Q8" s="219"/>
      <c r="T8" s="222"/>
      <c r="U8" s="222"/>
      <c r="W8" s="197"/>
      <c r="X8" s="197"/>
      <c r="Y8" s="197"/>
      <c r="Z8" s="197"/>
    </row>
    <row r="9" spans="1:30">
      <c r="A9" s="223" t="s">
        <v>328</v>
      </c>
      <c r="C9" s="224" t="s">
        <v>329</v>
      </c>
      <c r="E9" s="225" t="s">
        <v>330</v>
      </c>
      <c r="G9" s="226" t="s">
        <v>331</v>
      </c>
      <c r="I9" s="227" t="s">
        <v>287</v>
      </c>
      <c r="K9" s="224" t="s">
        <v>329</v>
      </c>
      <c r="M9" s="225" t="s">
        <v>330</v>
      </c>
      <c r="O9" s="226" t="s">
        <v>331</v>
      </c>
      <c r="Q9" s="227" t="s">
        <v>287</v>
      </c>
      <c r="W9" s="228"/>
      <c r="X9" s="228"/>
      <c r="Y9" s="228"/>
      <c r="Z9" s="228"/>
    </row>
    <row r="10" spans="1:30">
      <c r="A10" s="214">
        <v>100</v>
      </c>
      <c r="C10" s="215">
        <f>ROUND($T$12+((MIN(400,$A10)*$T$13+MAX(0,MIN(600,$A10-400))*$T$14+MAX(0,$A10-1000)*$T$15)/100+MAX(0,$T$16-($T$12+(MIN(400,$A10)*$T$13+MAX(0,MIN(600,$A10-400))*$T$14+MAX(0,$A10-1000)*$T$15)/100)))*((1+$T$31)*(1+$T$18)+$T$28)+$T$17,2)</f>
        <v>15.41</v>
      </c>
      <c r="E10" s="215">
        <f>ROUND($U$12+((MIN(400,$A10)*$U$13+MAX(0,MIN(600,$A10-400))*$U$14+MAX(0,$A10-1000)*$U$15)/100+MAX(0,$U$16-($U$12+(MIN(400,$A10)*$U$13+MAX(0,MIN(600,$A10-400))*$U$14+MAX(0,$A10-1000)*$U$15)/100)))*((1+$U$31)*(1+$U$18)+$U$28)+$U$17,2)</f>
        <v>15.29</v>
      </c>
      <c r="F10" s="215"/>
      <c r="G10" s="229">
        <f t="shared" ref="G10:G16" si="0">E10-C10</f>
        <v>-0.12000000000000099</v>
      </c>
      <c r="I10" s="230">
        <f t="shared" ref="I10:I16" si="1">ROUND(IF(C10=0,0,E10/C10-1),3)</f>
        <v>-8.0000000000000002E-3</v>
      </c>
      <c r="K10" s="215">
        <f>ROUND($T$20+((MIN(400,$A10)*$T$21+MAX(0,MIN(600,$A10-400))*$T$22+MAX(0,$A10-1000)*$T$23)/100+MAX(0,$T$24-($T$20+(MIN(400,$A10)*$T$21+MAX(0,MIN(600,$A10-400))*$T$22+MAX(0,$A10-1000)*$T$23)/100)))*((1+$T$31)*(1+$T$26)+$T$28)+$T$25,2)</f>
        <v>15.41</v>
      </c>
      <c r="M10" s="215">
        <f>ROUND($U$20+((MIN(400,$A10)*$U$21+MAX(0,MIN(600,$A10-400))*$U$22+MAX(0,$A10-1000)*$U$23)/100+MAX(0,$U$24-($U$20+(MIN(400,$A10)*$U$21+MAX(0,MIN(600,$A10-400))*$U$22+MAX(0,$A10-1000)*$U$23)/100)))*((1+$U$31)*(1+$U$26)+$U$28)+$U$25,2)</f>
        <v>15.29</v>
      </c>
      <c r="N10" s="215"/>
      <c r="O10" s="229">
        <f t="shared" ref="O10:O31" si="2">M10-K10</f>
        <v>-0.12000000000000099</v>
      </c>
      <c r="Q10" s="230">
        <f t="shared" ref="Q10:Q31" si="3">ROUND(IF(K10=0,0,M10/K10-1),3)</f>
        <v>-8.0000000000000002E-3</v>
      </c>
      <c r="S10" s="231" t="s">
        <v>318</v>
      </c>
      <c r="T10" s="232" t="s">
        <v>329</v>
      </c>
      <c r="U10" s="233" t="s">
        <v>330</v>
      </c>
      <c r="X10" s="254" t="s">
        <v>343</v>
      </c>
      <c r="Y10" s="255"/>
      <c r="Z10" s="255"/>
      <c r="AA10" s="256" t="s">
        <v>243</v>
      </c>
      <c r="AB10" s="257"/>
      <c r="AC10" s="255" t="s">
        <v>329</v>
      </c>
      <c r="AD10" s="258" t="s">
        <v>344</v>
      </c>
    </row>
    <row r="11" spans="1:30" ht="13.5">
      <c r="A11" s="214">
        <v>200</v>
      </c>
      <c r="C11" s="215">
        <f t="shared" ref="C11:C16" si="4">ROUND($T$12+((MIN(400,$A11)*$T$13+MAX(0,MIN(600,$A11-400))*$T$14+MAX(0,$A11-1000)*$T$15)/100+MAX(0,$T$16-($T$12+(MIN(400,$A11)*$T$13+MAX(0,MIN(600,$A11-400))*$T$14+MAX(0,$A11-1000)*$T$15)/100)))*((1+$T$31)*(1+$T$18)+$T$28)+$T$17,2)</f>
        <v>24.65</v>
      </c>
      <c r="E11" s="215">
        <f t="shared" ref="E11:E16" si="5">ROUND($U$12+((MIN(400,$A11)*$U$13+MAX(0,MIN(600,$A11-400))*$U$14+MAX(0,$A11-1000)*$U$15)/100+MAX(0,$U$16-($U$12+(MIN(400,$A11)*$U$13+MAX(0,MIN(600,$A11-400))*$U$14+MAX(0,$A11-1000)*$U$15)/100)))*((1+$U$31)*(1+$U$18)+$U$28)+$U$17,2)</f>
        <v>24.42</v>
      </c>
      <c r="F11" s="215"/>
      <c r="G11" s="229">
        <f t="shared" si="0"/>
        <v>-0.22999999999999687</v>
      </c>
      <c r="I11" s="230">
        <f t="shared" si="1"/>
        <v>-8.9999999999999993E-3</v>
      </c>
      <c r="K11" s="215">
        <f t="shared" ref="K11:K18" si="6">ROUND($T$20+((MIN(400,$A11)*$T$21+MAX(0,MIN(600,$A11-400))*$T$22+MAX(0,$A11-1000)*$T$23)/100+MAX(0,$T$24-($T$20+(MIN(400,$A11)*$T$21+MAX(0,MIN(600,$A11-400))*$T$22+MAX(0,$A11-1000)*$T$23)/100)))*((1+$T$31)*(1+$T$26)+$T$28)+$T$25,2)</f>
        <v>24.65</v>
      </c>
      <c r="M11" s="215">
        <f t="shared" ref="M11:M18" si="7">ROUND($U$20+((MIN(400,$A11)*$U$21+MAX(0,MIN(600,$A11-400))*$U$22+MAX(0,$A11-1000)*$U$23)/100+MAX(0,$U$24-($U$20+(MIN(400,$A11)*$U$21+MAX(0,MIN(600,$A11-400))*$U$22+MAX(0,$A11-1000)*$U$23)/100)))*((1+$U$31)*(1+$U$26)+$U$28)+$U$25,2)</f>
        <v>24.42</v>
      </c>
      <c r="N11" s="215"/>
      <c r="O11" s="229">
        <f t="shared" si="2"/>
        <v>-0.22999999999999687</v>
      </c>
      <c r="Q11" s="230">
        <f t="shared" si="3"/>
        <v>-8.9999999999999993E-3</v>
      </c>
      <c r="S11" s="513" t="s">
        <v>325</v>
      </c>
      <c r="T11" s="514"/>
      <c r="U11" s="515"/>
      <c r="W11" s="201"/>
      <c r="X11" s="259" t="s">
        <v>328</v>
      </c>
      <c r="Y11" s="259" t="s">
        <v>329</v>
      </c>
      <c r="Z11" s="259" t="s">
        <v>330</v>
      </c>
      <c r="AA11" s="260" t="s">
        <v>331</v>
      </c>
      <c r="AB11" s="261" t="s">
        <v>287</v>
      </c>
      <c r="AC11" s="262" t="s">
        <v>345</v>
      </c>
      <c r="AD11" s="262" t="s">
        <v>345</v>
      </c>
    </row>
    <row r="12" spans="1:30">
      <c r="A12" s="214">
        <v>300</v>
      </c>
      <c r="C12" s="215">
        <f t="shared" si="4"/>
        <v>33.9</v>
      </c>
      <c r="E12" s="215">
        <f t="shared" si="5"/>
        <v>33.549999999999997</v>
      </c>
      <c r="F12" s="215"/>
      <c r="G12" s="229">
        <f t="shared" si="0"/>
        <v>-0.35000000000000142</v>
      </c>
      <c r="I12" s="230">
        <f t="shared" si="1"/>
        <v>-0.01</v>
      </c>
      <c r="K12" s="215">
        <f t="shared" si="6"/>
        <v>33.9</v>
      </c>
      <c r="M12" s="215">
        <f t="shared" si="7"/>
        <v>33.549999999999997</v>
      </c>
      <c r="N12" s="215"/>
      <c r="O12" s="229">
        <f t="shared" si="2"/>
        <v>-0.35000000000000142</v>
      </c>
      <c r="Q12" s="230">
        <f t="shared" si="3"/>
        <v>-0.01</v>
      </c>
      <c r="S12" s="237" t="s">
        <v>332</v>
      </c>
      <c r="T12" s="238">
        <v>6</v>
      </c>
      <c r="U12" s="239">
        <v>6</v>
      </c>
      <c r="V12" s="240"/>
      <c r="W12" s="263" t="s">
        <v>325</v>
      </c>
      <c r="X12" s="264">
        <f>A19</f>
        <v>746.76637542484116</v>
      </c>
      <c r="Y12" s="265">
        <f>C19</f>
        <v>84.96</v>
      </c>
      <c r="Z12" s="265">
        <f>E19</f>
        <v>83.96</v>
      </c>
      <c r="AA12" s="265">
        <f>Z12-Y12</f>
        <v>-1</v>
      </c>
      <c r="AB12" s="266">
        <f>Z12/Y12-1</f>
        <v>-1.1770244821092235E-2</v>
      </c>
      <c r="AC12" s="263">
        <f t="shared" ref="AC12:AD15" si="8">ROUND(Y12/$X12*100,2)</f>
        <v>11.38</v>
      </c>
      <c r="AD12" s="267">
        <f t="shared" si="8"/>
        <v>11.24</v>
      </c>
    </row>
    <row r="13" spans="1:30">
      <c r="A13" s="214">
        <v>400</v>
      </c>
      <c r="C13" s="215">
        <f t="shared" si="4"/>
        <v>43.14</v>
      </c>
      <c r="E13" s="215">
        <f t="shared" si="5"/>
        <v>42.67</v>
      </c>
      <c r="F13" s="215"/>
      <c r="G13" s="229">
        <f t="shared" si="0"/>
        <v>-0.46999999999999886</v>
      </c>
      <c r="I13" s="230">
        <f t="shared" si="1"/>
        <v>-1.0999999999999999E-2</v>
      </c>
      <c r="K13" s="215">
        <f t="shared" si="6"/>
        <v>43.14</v>
      </c>
      <c r="M13" s="215">
        <f t="shared" si="7"/>
        <v>42.67</v>
      </c>
      <c r="N13" s="215"/>
      <c r="O13" s="229">
        <f t="shared" si="2"/>
        <v>-0.46999999999999886</v>
      </c>
      <c r="Q13" s="230">
        <f t="shared" si="3"/>
        <v>-1.0999999999999999E-2</v>
      </c>
      <c r="S13" s="237" t="s">
        <v>333</v>
      </c>
      <c r="T13" s="241">
        <v>8.8498000000000001</v>
      </c>
      <c r="U13" s="242">
        <v>8.8498000000000001</v>
      </c>
      <c r="V13" s="240"/>
      <c r="W13" s="267" t="s">
        <v>326</v>
      </c>
      <c r="X13" s="264">
        <f>A17</f>
        <v>663.32999948009433</v>
      </c>
      <c r="Y13" s="265">
        <f>K17</f>
        <v>72.599999999999994</v>
      </c>
      <c r="Z13" s="265">
        <f>M17</f>
        <v>71.760000000000005</v>
      </c>
      <c r="AA13" s="265">
        <f>Z13-Y13</f>
        <v>-0.8399999999999892</v>
      </c>
      <c r="AB13" s="268">
        <f>Z13/Y13-1</f>
        <v>-1.157024793388417E-2</v>
      </c>
      <c r="AC13" s="269">
        <f t="shared" si="8"/>
        <v>10.94</v>
      </c>
      <c r="AD13" s="267">
        <f t="shared" si="8"/>
        <v>10.82</v>
      </c>
    </row>
    <row r="14" spans="1:30">
      <c r="A14" s="214">
        <v>500</v>
      </c>
      <c r="C14" s="215">
        <f t="shared" si="4"/>
        <v>55.2</v>
      </c>
      <c r="E14" s="215">
        <f t="shared" si="5"/>
        <v>54.58</v>
      </c>
      <c r="F14" s="215"/>
      <c r="G14" s="229">
        <f t="shared" si="0"/>
        <v>-0.62000000000000455</v>
      </c>
      <c r="I14" s="230">
        <f t="shared" si="1"/>
        <v>-1.0999999999999999E-2</v>
      </c>
      <c r="K14" s="215">
        <f t="shared" si="6"/>
        <v>54.33</v>
      </c>
      <c r="M14" s="215">
        <f t="shared" si="7"/>
        <v>53.72</v>
      </c>
      <c r="N14" s="215"/>
      <c r="O14" s="229">
        <f t="shared" si="2"/>
        <v>-0.60999999999999943</v>
      </c>
      <c r="Q14" s="230">
        <f t="shared" si="3"/>
        <v>-1.0999999999999999E-2</v>
      </c>
      <c r="S14" s="237" t="s">
        <v>334</v>
      </c>
      <c r="T14" s="241">
        <v>11.542899999999999</v>
      </c>
      <c r="U14" s="242">
        <v>11.542899999999999</v>
      </c>
      <c r="V14" s="240"/>
      <c r="W14" s="279" t="s">
        <v>346</v>
      </c>
      <c r="X14" s="280">
        <f>A18</f>
        <v>698.09515617157388</v>
      </c>
      <c r="Y14" s="281">
        <f>ROUND((C18*5+K18*7)/12,2)</f>
        <v>77.569999999999993</v>
      </c>
      <c r="Z14" s="281">
        <f>ROUND((E18*5+M18*7)/12,2)</f>
        <v>76.67</v>
      </c>
      <c r="AA14" s="281">
        <f>Z14-Y14</f>
        <v>-0.89999999999999147</v>
      </c>
      <c r="AB14" s="282">
        <f>Z14/Y14-1</f>
        <v>-1.1602423617377733E-2</v>
      </c>
      <c r="AC14" s="279">
        <f t="shared" si="8"/>
        <v>11.11</v>
      </c>
      <c r="AD14" s="279">
        <f t="shared" si="8"/>
        <v>10.98</v>
      </c>
    </row>
    <row r="15" spans="1:30">
      <c r="A15" s="214">
        <v>600</v>
      </c>
      <c r="C15" s="215">
        <f t="shared" si="4"/>
        <v>67.260000000000005</v>
      </c>
      <c r="E15" s="215">
        <f t="shared" si="5"/>
        <v>66.489999999999995</v>
      </c>
      <c r="F15" s="215"/>
      <c r="G15" s="229">
        <f t="shared" si="0"/>
        <v>-0.77000000000001023</v>
      </c>
      <c r="I15" s="230">
        <f t="shared" si="1"/>
        <v>-1.0999999999999999E-2</v>
      </c>
      <c r="K15" s="215">
        <f t="shared" si="6"/>
        <v>65.52</v>
      </c>
      <c r="M15" s="215">
        <f t="shared" si="7"/>
        <v>64.760000000000005</v>
      </c>
      <c r="N15" s="215"/>
      <c r="O15" s="229">
        <f t="shared" si="2"/>
        <v>-0.75999999999999091</v>
      </c>
      <c r="Q15" s="230">
        <f t="shared" si="3"/>
        <v>-1.2E-2</v>
      </c>
      <c r="S15" s="237" t="s">
        <v>335</v>
      </c>
      <c r="T15" s="241">
        <v>14.450799999999999</v>
      </c>
      <c r="U15" s="242">
        <v>14.450799999999999</v>
      </c>
      <c r="V15" s="240"/>
      <c r="W15" s="368" t="s">
        <v>346</v>
      </c>
      <c r="X15" s="369">
        <v>700</v>
      </c>
      <c r="Y15" s="370">
        <f>ROUND((C16*5+K16*7)/12,2)</f>
        <v>77.790000000000006</v>
      </c>
      <c r="Z15" s="370">
        <f>ROUND((E16*5+M16*7)/12,2)</f>
        <v>76.89</v>
      </c>
      <c r="AA15" s="370">
        <f>Z15-Y15</f>
        <v>-0.90000000000000568</v>
      </c>
      <c r="AB15" s="371">
        <f>Z15/Y15-1</f>
        <v>-1.1569610489780224E-2</v>
      </c>
      <c r="AC15" s="368">
        <f t="shared" si="8"/>
        <v>11.11</v>
      </c>
      <c r="AD15" s="368">
        <f t="shared" si="8"/>
        <v>10.98</v>
      </c>
    </row>
    <row r="16" spans="1:30">
      <c r="A16" s="214">
        <v>700</v>
      </c>
      <c r="C16" s="215">
        <f t="shared" si="4"/>
        <v>79.319999999999993</v>
      </c>
      <c r="E16" s="215">
        <f t="shared" si="5"/>
        <v>78.39</v>
      </c>
      <c r="F16" s="215"/>
      <c r="G16" s="229">
        <f t="shared" si="0"/>
        <v>-0.92999999999999261</v>
      </c>
      <c r="I16" s="230">
        <f t="shared" si="1"/>
        <v>-1.2E-2</v>
      </c>
      <c r="K16" s="215">
        <f t="shared" si="6"/>
        <v>76.7</v>
      </c>
      <c r="M16" s="215">
        <f t="shared" si="7"/>
        <v>75.81</v>
      </c>
      <c r="N16" s="215"/>
      <c r="O16" s="229">
        <f t="shared" si="2"/>
        <v>-0.89000000000000057</v>
      </c>
      <c r="Q16" s="230">
        <f t="shared" si="3"/>
        <v>-1.2E-2</v>
      </c>
      <c r="S16" s="237" t="s">
        <v>336</v>
      </c>
      <c r="T16" s="238">
        <v>8</v>
      </c>
      <c r="U16" s="239">
        <v>8</v>
      </c>
      <c r="V16" s="240"/>
      <c r="W16" s="234"/>
      <c r="X16" s="234"/>
      <c r="Y16" s="234"/>
      <c r="Z16" s="234"/>
    </row>
    <row r="17" spans="1:26">
      <c r="A17" s="214">
        <v>663.32999948009433</v>
      </c>
      <c r="B17" s="204" t="s">
        <v>337</v>
      </c>
      <c r="F17" s="215"/>
      <c r="G17" s="229"/>
      <c r="I17" s="230"/>
      <c r="K17" s="215">
        <f t="shared" si="6"/>
        <v>72.599999999999994</v>
      </c>
      <c r="M17" s="215">
        <f t="shared" si="7"/>
        <v>71.760000000000005</v>
      </c>
      <c r="N17" s="215"/>
      <c r="O17" s="229">
        <f t="shared" si="2"/>
        <v>-0.8399999999999892</v>
      </c>
      <c r="Q17" s="230">
        <f t="shared" si="3"/>
        <v>-1.2E-2</v>
      </c>
      <c r="S17" s="237" t="s">
        <v>338</v>
      </c>
      <c r="T17" s="238">
        <v>0.16</v>
      </c>
      <c r="U17" s="239">
        <v>0.16</v>
      </c>
      <c r="V17" s="240"/>
      <c r="W17" s="234"/>
      <c r="X17" s="234"/>
      <c r="Y17" s="234"/>
      <c r="Z17" s="234"/>
    </row>
    <row r="18" spans="1:26">
      <c r="A18" s="214">
        <v>698.09515617157388</v>
      </c>
      <c r="B18" s="204" t="s">
        <v>339</v>
      </c>
      <c r="C18" s="215">
        <f t="shared" ref="C18:C30" si="9">ROUND($T$12+((MIN(400,$A18)*$T$13+MAX(0,MIN(600,$A18-400))*$T$14+MAX(0,$A18-1000)*$T$15)/100+MAX(0,$T$16-($T$12+(MIN(400,$A18)*$T$13+MAX(0,MIN(600,$A18-400))*$T$14+MAX(0,$A18-1000)*$T$15)/100)))*((1+$T$31)*(1+$T$18)+$T$28)+$T$17,2)</f>
        <v>79.09</v>
      </c>
      <c r="E18" s="215">
        <f t="shared" ref="E18:E30" si="10">ROUND($U$12+((MIN(400,$A18)*$U$13+MAX(0,MIN(600,$A18-400))*$U$14+MAX(0,$A18-1000)*$U$15)/100+MAX(0,$U$16-($U$12+(MIN(400,$A18)*$U$13+MAX(0,MIN(600,$A18-400))*$U$14+MAX(0,$A18-1000)*$U$15)/100)))*((1+$U$31)*(1+$U$18)+$U$28)+$U$17,2)</f>
        <v>78.17</v>
      </c>
      <c r="F18" s="215"/>
      <c r="G18" s="229">
        <f t="shared" ref="G18:G31" si="11">E18-C18</f>
        <v>-0.92000000000000171</v>
      </c>
      <c r="I18" s="230">
        <f t="shared" ref="I18:I31" si="12">ROUND(IF(C18=0,0,E18/C18-1),3)</f>
        <v>-1.2E-2</v>
      </c>
      <c r="K18" s="215">
        <f t="shared" si="6"/>
        <v>76.489999999999995</v>
      </c>
      <c r="M18" s="215">
        <f t="shared" si="7"/>
        <v>75.599999999999994</v>
      </c>
      <c r="N18" s="215"/>
      <c r="O18" s="229">
        <f t="shared" si="2"/>
        <v>-0.89000000000000057</v>
      </c>
      <c r="Q18" s="230">
        <f t="shared" si="3"/>
        <v>-1.2E-2</v>
      </c>
      <c r="S18" s="237" t="s">
        <v>375</v>
      </c>
      <c r="T18" s="243">
        <f>0.0397+0.0057</f>
        <v>4.5399999999999996E-2</v>
      </c>
      <c r="U18" s="516">
        <f>0.0397+0.0057</f>
        <v>4.5399999999999996E-2</v>
      </c>
      <c r="V18" s="240"/>
      <c r="W18" s="234"/>
      <c r="X18" s="234"/>
      <c r="Y18" s="234"/>
      <c r="Z18" s="234"/>
    </row>
    <row r="19" spans="1:26" ht="13.5">
      <c r="A19" s="214">
        <v>746.76637542484116</v>
      </c>
      <c r="B19" s="204" t="s">
        <v>340</v>
      </c>
      <c r="C19" s="215">
        <f t="shared" si="9"/>
        <v>84.96</v>
      </c>
      <c r="E19" s="215">
        <f t="shared" si="10"/>
        <v>83.96</v>
      </c>
      <c r="F19" s="215"/>
      <c r="G19" s="229">
        <f t="shared" si="11"/>
        <v>-1</v>
      </c>
      <c r="I19" s="230">
        <f t="shared" si="12"/>
        <v>-1.2E-2</v>
      </c>
      <c r="N19" s="215"/>
      <c r="O19" s="229"/>
      <c r="Q19" s="230"/>
      <c r="S19" s="235" t="s">
        <v>326</v>
      </c>
      <c r="T19" s="201"/>
      <c r="U19" s="236"/>
      <c r="V19" s="240"/>
      <c r="W19" s="234"/>
      <c r="X19" s="234"/>
      <c r="Y19" s="234"/>
      <c r="Z19" s="234"/>
    </row>
    <row r="20" spans="1:26">
      <c r="A20" s="214">
        <v>800</v>
      </c>
      <c r="C20" s="215">
        <f t="shared" si="9"/>
        <v>91.38</v>
      </c>
      <c r="E20" s="215">
        <f t="shared" si="10"/>
        <v>90.3</v>
      </c>
      <c r="F20" s="215"/>
      <c r="G20" s="229">
        <f t="shared" si="11"/>
        <v>-1.0799999999999983</v>
      </c>
      <c r="I20" s="230">
        <f t="shared" si="12"/>
        <v>-1.2E-2</v>
      </c>
      <c r="K20" s="215">
        <f t="shared" ref="K20:K30" si="13">ROUND($T$20+((MIN(400,$A20)*$T$21+MAX(0,MIN(600,$A20-400))*$T$22+MAX(0,$A20-1000)*$T$23)/100+MAX(0,$T$24-($T$20+(MIN(400,$A20)*$T$21+MAX(0,MIN(600,$A20-400))*$T$22+MAX(0,$A20-1000)*$T$23)/100)))*((1+$T$31)*(1+$T$26)+$T$28)+$T$25,2)</f>
        <v>87.89</v>
      </c>
      <c r="M20" s="215">
        <f t="shared" ref="M20:M30" si="14">ROUND($U$20+((MIN(400,$A20)*$U$21+MAX(0,MIN(600,$A20-400))*$U$22+MAX(0,$A20-1000)*$U$23)/100+MAX(0,$U$24-($U$20+(MIN(400,$A20)*$U$21+MAX(0,MIN(600,$A20-400))*$U$22+MAX(0,$A20-1000)*$U$23)/100)))*((1+$U$31)*(1+$U$26)+$U$28)+$U$25,2)</f>
        <v>86.85</v>
      </c>
      <c r="N20" s="215"/>
      <c r="O20" s="229">
        <f t="shared" si="2"/>
        <v>-1.0400000000000063</v>
      </c>
      <c r="Q20" s="230">
        <f t="shared" si="3"/>
        <v>-1.2E-2</v>
      </c>
      <c r="S20" s="237" t="s">
        <v>332</v>
      </c>
      <c r="T20" s="244">
        <v>6</v>
      </c>
      <c r="U20" s="245">
        <v>6</v>
      </c>
      <c r="V20" s="240"/>
      <c r="W20" s="234"/>
      <c r="X20" s="234"/>
      <c r="Y20" s="234"/>
      <c r="Z20" s="234"/>
    </row>
    <row r="21" spans="1:26">
      <c r="A21" s="214">
        <v>900</v>
      </c>
      <c r="C21" s="215">
        <f t="shared" si="9"/>
        <v>103.44</v>
      </c>
      <c r="E21" s="215">
        <f t="shared" si="10"/>
        <v>102.21</v>
      </c>
      <c r="F21" s="215"/>
      <c r="G21" s="229">
        <f t="shared" si="11"/>
        <v>-1.230000000000004</v>
      </c>
      <c r="I21" s="230">
        <f t="shared" si="12"/>
        <v>-1.2E-2</v>
      </c>
      <c r="K21" s="215">
        <f t="shared" si="13"/>
        <v>99.08</v>
      </c>
      <c r="M21" s="215">
        <f t="shared" si="14"/>
        <v>97.9</v>
      </c>
      <c r="N21" s="215"/>
      <c r="O21" s="229">
        <f t="shared" si="2"/>
        <v>-1.1799999999999926</v>
      </c>
      <c r="Q21" s="230">
        <f t="shared" si="3"/>
        <v>-1.2E-2</v>
      </c>
      <c r="S21" s="237" t="s">
        <v>333</v>
      </c>
      <c r="T21" s="246">
        <v>8.8498000000000001</v>
      </c>
      <c r="U21" s="247">
        <v>8.8498000000000001</v>
      </c>
      <c r="V21" s="240"/>
      <c r="W21" s="234"/>
      <c r="X21" s="234"/>
      <c r="Y21" s="234"/>
      <c r="Z21" s="234"/>
    </row>
    <row r="22" spans="1:26">
      <c r="A22" s="214">
        <v>1000</v>
      </c>
      <c r="C22" s="215">
        <f t="shared" si="9"/>
        <v>115.5</v>
      </c>
      <c r="E22" s="215">
        <f t="shared" si="10"/>
        <v>114.11</v>
      </c>
      <c r="F22" s="215"/>
      <c r="G22" s="229">
        <f t="shared" si="11"/>
        <v>-1.3900000000000006</v>
      </c>
      <c r="I22" s="230">
        <f t="shared" si="12"/>
        <v>-1.2E-2</v>
      </c>
      <c r="K22" s="215">
        <f t="shared" si="13"/>
        <v>110.26</v>
      </c>
      <c r="M22" s="215">
        <f t="shared" si="14"/>
        <v>108.94</v>
      </c>
      <c r="N22" s="215"/>
      <c r="O22" s="229">
        <f t="shared" si="2"/>
        <v>-1.3200000000000074</v>
      </c>
      <c r="Q22" s="230">
        <f t="shared" si="3"/>
        <v>-1.2E-2</v>
      </c>
      <c r="S22" s="237" t="s">
        <v>334</v>
      </c>
      <c r="T22" s="246">
        <v>10.7072</v>
      </c>
      <c r="U22" s="247">
        <v>10.7072</v>
      </c>
      <c r="V22" s="240"/>
      <c r="W22" s="234"/>
      <c r="X22" s="234"/>
      <c r="Y22" s="234"/>
      <c r="Z22" s="234"/>
    </row>
    <row r="23" spans="1:26">
      <c r="A23" s="214">
        <v>1100</v>
      </c>
      <c r="C23" s="215">
        <f t="shared" si="9"/>
        <v>130.6</v>
      </c>
      <c r="E23" s="215">
        <f t="shared" si="10"/>
        <v>129.02000000000001</v>
      </c>
      <c r="F23" s="215"/>
      <c r="G23" s="229">
        <f t="shared" si="11"/>
        <v>-1.5799999999999841</v>
      </c>
      <c r="I23" s="230">
        <f t="shared" si="12"/>
        <v>-1.2E-2</v>
      </c>
      <c r="K23" s="215">
        <f t="shared" si="13"/>
        <v>121.45</v>
      </c>
      <c r="M23" s="215">
        <f t="shared" si="14"/>
        <v>119.99</v>
      </c>
      <c r="N23" s="215"/>
      <c r="O23" s="229">
        <f t="shared" si="2"/>
        <v>-1.460000000000008</v>
      </c>
      <c r="Q23" s="230">
        <f t="shared" si="3"/>
        <v>-1.2E-2</v>
      </c>
      <c r="S23" s="237" t="s">
        <v>335</v>
      </c>
      <c r="T23" s="246">
        <f>T22</f>
        <v>10.7072</v>
      </c>
      <c r="U23" s="247">
        <v>10.7072</v>
      </c>
      <c r="V23" s="240"/>
      <c r="W23" s="234"/>
      <c r="X23" s="234"/>
      <c r="Y23" s="234"/>
      <c r="Z23" s="234"/>
    </row>
    <row r="24" spans="1:26">
      <c r="A24" s="214">
        <v>1200</v>
      </c>
      <c r="C24" s="215">
        <f t="shared" si="9"/>
        <v>145.69999999999999</v>
      </c>
      <c r="E24" s="215">
        <f t="shared" si="10"/>
        <v>143.93</v>
      </c>
      <c r="F24" s="215"/>
      <c r="G24" s="229">
        <f t="shared" si="11"/>
        <v>-1.7699999999999818</v>
      </c>
      <c r="I24" s="230">
        <f t="shared" si="12"/>
        <v>-1.2E-2</v>
      </c>
      <c r="K24" s="215">
        <f t="shared" si="13"/>
        <v>132.63999999999999</v>
      </c>
      <c r="M24" s="215">
        <f t="shared" si="14"/>
        <v>131.03</v>
      </c>
      <c r="N24" s="215"/>
      <c r="O24" s="229">
        <f t="shared" si="2"/>
        <v>-1.6099999999999852</v>
      </c>
      <c r="Q24" s="230">
        <f t="shared" si="3"/>
        <v>-1.2E-2</v>
      </c>
      <c r="S24" s="237" t="s">
        <v>336</v>
      </c>
      <c r="T24" s="244">
        <f>T16</f>
        <v>8</v>
      </c>
      <c r="U24" s="245">
        <f t="shared" ref="U24:U26" si="15">U16</f>
        <v>8</v>
      </c>
      <c r="V24" s="240"/>
      <c r="W24" s="234"/>
      <c r="X24" s="234"/>
      <c r="Y24" s="234"/>
      <c r="Z24" s="234"/>
    </row>
    <row r="25" spans="1:26">
      <c r="A25" s="214">
        <v>1300</v>
      </c>
      <c r="C25" s="215">
        <f t="shared" si="9"/>
        <v>160.80000000000001</v>
      </c>
      <c r="E25" s="215">
        <f t="shared" si="10"/>
        <v>158.83000000000001</v>
      </c>
      <c r="F25" s="215"/>
      <c r="G25" s="229">
        <f t="shared" si="11"/>
        <v>-1.9699999999999989</v>
      </c>
      <c r="I25" s="230">
        <f t="shared" si="12"/>
        <v>-1.2E-2</v>
      </c>
      <c r="K25" s="215">
        <f t="shared" si="13"/>
        <v>143.82</v>
      </c>
      <c r="M25" s="215">
        <f t="shared" si="14"/>
        <v>142.07</v>
      </c>
      <c r="N25" s="215"/>
      <c r="O25" s="229">
        <f t="shared" si="2"/>
        <v>-1.75</v>
      </c>
      <c r="Q25" s="230">
        <f t="shared" si="3"/>
        <v>-1.2E-2</v>
      </c>
      <c r="S25" s="237" t="s">
        <v>338</v>
      </c>
      <c r="T25" s="244">
        <f t="shared" ref="T25" si="16">T17</f>
        <v>0.16</v>
      </c>
      <c r="U25" s="245">
        <f t="shared" si="15"/>
        <v>0.16</v>
      </c>
      <c r="V25" s="240"/>
      <c r="W25" s="234"/>
      <c r="X25" s="234"/>
      <c r="Y25" s="234"/>
      <c r="Z25" s="234"/>
    </row>
    <row r="26" spans="1:26">
      <c r="A26" s="214">
        <v>1400</v>
      </c>
      <c r="C26" s="215">
        <f t="shared" si="9"/>
        <v>175.89</v>
      </c>
      <c r="E26" s="215">
        <f t="shared" si="10"/>
        <v>173.74</v>
      </c>
      <c r="F26" s="215"/>
      <c r="G26" s="229">
        <f t="shared" si="11"/>
        <v>-2.1499999999999773</v>
      </c>
      <c r="I26" s="230">
        <f t="shared" si="12"/>
        <v>-1.2E-2</v>
      </c>
      <c r="K26" s="215">
        <f t="shared" si="13"/>
        <v>155.01</v>
      </c>
      <c r="M26" s="215">
        <f t="shared" si="14"/>
        <v>153.12</v>
      </c>
      <c r="N26" s="215"/>
      <c r="O26" s="229">
        <f t="shared" si="2"/>
        <v>-1.8899999999999864</v>
      </c>
      <c r="Q26" s="230">
        <f t="shared" si="3"/>
        <v>-1.2E-2</v>
      </c>
      <c r="S26" s="248" t="s">
        <v>375</v>
      </c>
      <c r="T26" s="249">
        <f t="shared" ref="T26" si="17">T18</f>
        <v>4.5399999999999996E-2</v>
      </c>
      <c r="U26" s="250">
        <f t="shared" si="15"/>
        <v>4.5399999999999996E-2</v>
      </c>
      <c r="V26" s="240"/>
      <c r="W26" s="234"/>
      <c r="X26" s="234"/>
      <c r="Y26" s="234"/>
      <c r="Z26" s="234"/>
    </row>
    <row r="27" spans="1:26">
      <c r="A27" s="214">
        <v>1500</v>
      </c>
      <c r="C27" s="215">
        <f t="shared" si="9"/>
        <v>190.99</v>
      </c>
      <c r="E27" s="215">
        <f t="shared" si="10"/>
        <v>188.64</v>
      </c>
      <c r="F27" s="215"/>
      <c r="G27" s="229">
        <f t="shared" si="11"/>
        <v>-2.3500000000000227</v>
      </c>
      <c r="I27" s="230">
        <f t="shared" si="12"/>
        <v>-1.2E-2</v>
      </c>
      <c r="K27" s="215">
        <f t="shared" si="13"/>
        <v>166.2</v>
      </c>
      <c r="M27" s="215">
        <f t="shared" si="14"/>
        <v>164.16</v>
      </c>
      <c r="N27" s="215"/>
      <c r="O27" s="229">
        <f t="shared" si="2"/>
        <v>-2.039999999999992</v>
      </c>
      <c r="Q27" s="230">
        <f t="shared" si="3"/>
        <v>-1.2E-2</v>
      </c>
      <c r="V27" s="240"/>
      <c r="W27" s="234"/>
      <c r="X27" s="234"/>
      <c r="Y27" s="234"/>
      <c r="Z27" s="234"/>
    </row>
    <row r="28" spans="1:26">
      <c r="A28" s="214">
        <v>2000</v>
      </c>
      <c r="C28" s="215">
        <f t="shared" si="9"/>
        <v>266.48</v>
      </c>
      <c r="E28" s="215">
        <f t="shared" si="10"/>
        <v>263.17</v>
      </c>
      <c r="F28" s="215"/>
      <c r="G28" s="229">
        <f t="shared" si="11"/>
        <v>-3.3100000000000023</v>
      </c>
      <c r="I28" s="230">
        <f t="shared" si="12"/>
        <v>-1.2E-2</v>
      </c>
      <c r="K28" s="215">
        <f t="shared" si="13"/>
        <v>222.13</v>
      </c>
      <c r="M28" s="215">
        <f t="shared" si="14"/>
        <v>219.39</v>
      </c>
      <c r="N28" s="215"/>
      <c r="O28" s="229">
        <f t="shared" si="2"/>
        <v>-2.7400000000000091</v>
      </c>
      <c r="Q28" s="230">
        <f t="shared" si="3"/>
        <v>-1.2E-2</v>
      </c>
      <c r="S28" s="506" t="s">
        <v>627</v>
      </c>
      <c r="T28" s="507">
        <v>0</v>
      </c>
      <c r="U28" s="508">
        <f>'Ex B p2 - Billing Determinants'!I16</f>
        <v>-1.326956E-2</v>
      </c>
      <c r="V28" s="240"/>
      <c r="W28" s="234"/>
      <c r="X28" s="234"/>
      <c r="Y28" s="234"/>
      <c r="Z28" s="234"/>
    </row>
    <row r="29" spans="1:26">
      <c r="A29" s="214">
        <v>3000</v>
      </c>
      <c r="C29" s="215">
        <f t="shared" si="9"/>
        <v>417.46</v>
      </c>
      <c r="E29" s="215">
        <f t="shared" si="10"/>
        <v>412.23</v>
      </c>
      <c r="F29" s="215"/>
      <c r="G29" s="229">
        <f t="shared" si="11"/>
        <v>-5.2299999999999613</v>
      </c>
      <c r="I29" s="230">
        <f t="shared" si="12"/>
        <v>-1.2999999999999999E-2</v>
      </c>
      <c r="K29" s="215">
        <f t="shared" si="13"/>
        <v>334</v>
      </c>
      <c r="M29" s="215">
        <f t="shared" si="14"/>
        <v>329.83</v>
      </c>
      <c r="N29" s="215"/>
      <c r="O29" s="229">
        <f t="shared" si="2"/>
        <v>-4.1700000000000159</v>
      </c>
      <c r="Q29" s="230">
        <f t="shared" si="3"/>
        <v>-1.2E-2</v>
      </c>
      <c r="S29" s="237" t="s">
        <v>341</v>
      </c>
      <c r="T29" s="251">
        <v>0</v>
      </c>
      <c r="U29" s="509">
        <v>0</v>
      </c>
      <c r="V29" s="240"/>
      <c r="W29" s="234"/>
      <c r="X29" s="234"/>
      <c r="Y29" s="234"/>
      <c r="Z29" s="234"/>
    </row>
    <row r="30" spans="1:26">
      <c r="A30" s="214">
        <v>4000</v>
      </c>
      <c r="C30" s="215">
        <f t="shared" si="9"/>
        <v>568.44000000000005</v>
      </c>
      <c r="E30" s="215">
        <f t="shared" si="10"/>
        <v>561.29999999999995</v>
      </c>
      <c r="F30" s="215"/>
      <c r="G30" s="229">
        <f t="shared" si="11"/>
        <v>-7.1400000000001</v>
      </c>
      <c r="I30" s="230">
        <f t="shared" si="12"/>
        <v>-1.2999999999999999E-2</v>
      </c>
      <c r="K30" s="215">
        <f t="shared" si="13"/>
        <v>445.86</v>
      </c>
      <c r="M30" s="215">
        <f t="shared" si="14"/>
        <v>440.28</v>
      </c>
      <c r="N30" s="215"/>
      <c r="O30" s="229">
        <f t="shared" si="2"/>
        <v>-5.5800000000000409</v>
      </c>
      <c r="Q30" s="230">
        <f t="shared" si="3"/>
        <v>-1.2999999999999999E-2</v>
      </c>
      <c r="S30" s="248" t="s">
        <v>376</v>
      </c>
      <c r="T30" s="505">
        <v>-5.9999999999999995E-4</v>
      </c>
      <c r="U30" s="510">
        <v>-5.9999999999999995E-4</v>
      </c>
      <c r="V30" s="240"/>
      <c r="W30" s="234"/>
      <c r="X30" s="234"/>
      <c r="Y30" s="234"/>
      <c r="Z30" s="234"/>
    </row>
    <row r="31" spans="1:26">
      <c r="A31" s="214">
        <v>5000</v>
      </c>
      <c r="C31" s="215">
        <f>ROUND($T$12+((MIN(400,$A31)*$T$13+MAX(0,MIN(600,$A31-400))*$T$14+MAX(0,$A31-1000)*$T$15)/100+MAX(0,$T$16-($T$12+(MIN(400,$A31)*$T$13+MAX(0,MIN(600,$A31-400))*$T$14+MAX(0,$A31-1000)*$T$15)/100)))*((1+$T$31)*(1+$T$18)+$T$28)+$T$17,2)</f>
        <v>719.41</v>
      </c>
      <c r="E31" s="215">
        <f>ROUND($U$12+((MIN(400,$A31)*$U$13+MAX(0,MIN(600,$A31-400))*$U$14+MAX(0,$A31-1000)*$U$15)/100+MAX(0,$U$16-($U$12+(MIN(400,$A31)*$U$13+MAX(0,MIN(600,$A31-400))*$U$14+MAX(0,$A31-1000)*$U$15)/100)))*((1+$U$31)*(1+$U$18)+$U$28)+$U$17,2)</f>
        <v>710.36</v>
      </c>
      <c r="F31" s="215"/>
      <c r="G31" s="229">
        <f t="shared" si="11"/>
        <v>-9.0499999999999545</v>
      </c>
      <c r="I31" s="230">
        <f t="shared" si="12"/>
        <v>-1.2999999999999999E-2</v>
      </c>
      <c r="K31" s="215">
        <f>ROUND($T$20+((MIN(400,$A31)*$T$21+MAX(0,MIN(600,$A31-400))*$T$22+MAX(0,$A31-1000)*$T$23)/100+MAX(0,$T$24-($T$20+(MIN(400,$A31)*$T$21+MAX(0,MIN(600,$A31-400))*$T$22+MAX(0,$A31-1000)*$T$23)/100)))*((1+$T$31)*(1+$T$26)+$T$28)+$T$25,2)</f>
        <v>557.73</v>
      </c>
      <c r="M31" s="215">
        <f>ROUND($U$20+((MIN(400,$A31)*$U$21+MAX(0,MIN(600,$A31-400))*$U$22+MAX(0,$A31-1000)*$U$23)/100+MAX(0,$U$24-($U$20+(MIN(400,$A31)*$U$21+MAX(0,MIN(600,$A31-400))*$U$22+MAX(0,$A31-1000)*$U$23)/100)))*((1+$U$31)*(1+$U$26)+$U$28)+$U$25,2)</f>
        <v>550.72</v>
      </c>
      <c r="N31" s="215"/>
      <c r="O31" s="229">
        <f t="shared" si="2"/>
        <v>-7.0099999999999909</v>
      </c>
      <c r="Q31" s="230">
        <f t="shared" si="3"/>
        <v>-1.2999999999999999E-2</v>
      </c>
      <c r="S31" s="248" t="s">
        <v>629</v>
      </c>
      <c r="T31" s="511">
        <f>SUM(T29:T30)</f>
        <v>-5.9999999999999995E-4</v>
      </c>
      <c r="U31" s="512">
        <f>SUM(U29:U30)</f>
        <v>-5.9999999999999995E-4</v>
      </c>
      <c r="V31" s="240"/>
      <c r="W31" s="234"/>
      <c r="X31" s="234"/>
      <c r="Y31" s="234"/>
      <c r="Z31" s="234"/>
    </row>
    <row r="32" spans="1:26">
      <c r="R32" s="252"/>
      <c r="W32" s="234"/>
      <c r="X32" s="234"/>
      <c r="Y32" s="234"/>
      <c r="Z32" s="234"/>
    </row>
    <row r="33" spans="1:30" ht="15.75">
      <c r="A33" s="253" t="s">
        <v>628</v>
      </c>
    </row>
    <row r="34" spans="1:30">
      <c r="A34" s="214" t="s">
        <v>342</v>
      </c>
    </row>
    <row r="36" spans="1:30" ht="15.75">
      <c r="A36" s="253"/>
    </row>
    <row r="38" spans="1:30">
      <c r="A38" s="270"/>
      <c r="B38" s="201"/>
      <c r="C38" s="211"/>
      <c r="D38" s="271"/>
      <c r="E38" s="216"/>
      <c r="F38" s="200"/>
      <c r="G38" s="272"/>
      <c r="H38" s="200"/>
      <c r="I38" s="200"/>
      <c r="J38" s="201"/>
    </row>
    <row r="39" spans="1:30">
      <c r="A39" s="270"/>
      <c r="B39" s="201"/>
      <c r="C39" s="216"/>
      <c r="D39" s="200"/>
      <c r="E39" s="216"/>
      <c r="F39" s="201"/>
      <c r="G39" s="216"/>
      <c r="H39" s="200"/>
      <c r="I39" s="216"/>
      <c r="J39" s="201"/>
    </row>
    <row r="40" spans="1:30">
      <c r="A40" s="273"/>
      <c r="B40" s="201"/>
      <c r="C40" s="216"/>
      <c r="D40" s="201"/>
      <c r="E40" s="274"/>
      <c r="F40" s="201"/>
      <c r="G40" s="275"/>
      <c r="H40" s="201"/>
      <c r="I40" s="276"/>
      <c r="J40" s="277"/>
      <c r="K40" s="230"/>
      <c r="L40" s="230"/>
      <c r="M40" s="230"/>
      <c r="N40" s="230"/>
      <c r="O40" s="230"/>
    </row>
    <row r="41" spans="1:30">
      <c r="A41" s="270"/>
      <c r="B41" s="201"/>
      <c r="C41" s="209"/>
      <c r="D41" s="201"/>
      <c r="E41" s="209"/>
      <c r="F41" s="209"/>
      <c r="G41" s="278"/>
      <c r="H41" s="201"/>
      <c r="I41" s="277"/>
      <c r="J41" s="277"/>
      <c r="K41" s="230"/>
      <c r="L41" s="230"/>
      <c r="M41" s="230"/>
      <c r="N41" s="230"/>
      <c r="O41" s="230"/>
      <c r="AA41" s="201"/>
      <c r="AB41" s="201"/>
      <c r="AC41" s="201"/>
      <c r="AD41" s="201"/>
    </row>
    <row r="42" spans="1:30">
      <c r="A42" s="270"/>
      <c r="B42" s="201"/>
      <c r="C42" s="209"/>
      <c r="D42" s="201"/>
      <c r="E42" s="209"/>
      <c r="F42" s="209"/>
      <c r="G42" s="278"/>
      <c r="H42" s="201"/>
      <c r="I42" s="277"/>
      <c r="J42" s="277"/>
      <c r="K42" s="230"/>
      <c r="L42" s="230"/>
      <c r="M42" s="230"/>
      <c r="N42" s="230"/>
      <c r="O42" s="230"/>
      <c r="U42" s="215"/>
      <c r="W42" s="201"/>
      <c r="X42" s="201"/>
      <c r="Y42" s="201"/>
      <c r="Z42" s="201"/>
    </row>
    <row r="43" spans="1:30">
      <c r="A43" s="270"/>
      <c r="B43" s="201"/>
      <c r="C43" s="209"/>
      <c r="D43" s="201"/>
      <c r="E43" s="209"/>
      <c r="F43" s="209"/>
      <c r="G43" s="278"/>
      <c r="H43" s="201"/>
      <c r="I43" s="277"/>
      <c r="J43" s="277"/>
      <c r="K43" s="230"/>
      <c r="L43" s="230"/>
      <c r="M43" s="230"/>
      <c r="N43" s="230"/>
      <c r="O43" s="230"/>
      <c r="U43" s="215"/>
    </row>
    <row r="44" spans="1:30">
      <c r="A44" s="270"/>
      <c r="B44" s="201"/>
      <c r="C44" s="209"/>
      <c r="D44" s="201"/>
      <c r="E44" s="209"/>
      <c r="F44" s="209"/>
      <c r="G44" s="278"/>
      <c r="H44" s="201"/>
      <c r="I44" s="277"/>
      <c r="J44" s="277"/>
      <c r="K44" s="230"/>
      <c r="L44" s="230"/>
      <c r="M44" s="230"/>
      <c r="N44" s="230"/>
      <c r="O44" s="230"/>
    </row>
    <row r="45" spans="1:30">
      <c r="A45" s="270"/>
      <c r="B45" s="201"/>
      <c r="C45" s="209"/>
      <c r="D45" s="201"/>
      <c r="E45" s="209"/>
      <c r="F45" s="209"/>
      <c r="G45" s="278"/>
      <c r="H45" s="201"/>
      <c r="I45" s="277"/>
      <c r="J45" s="277"/>
      <c r="K45" s="230"/>
      <c r="L45" s="230"/>
      <c r="M45" s="230"/>
      <c r="N45" s="230"/>
      <c r="O45" s="230"/>
    </row>
    <row r="46" spans="1:30">
      <c r="A46" s="270"/>
      <c r="B46" s="201"/>
      <c r="C46" s="209"/>
      <c r="D46" s="201"/>
      <c r="E46" s="209"/>
      <c r="F46" s="209"/>
      <c r="G46" s="278"/>
      <c r="H46" s="201"/>
      <c r="I46" s="277"/>
      <c r="J46" s="277"/>
      <c r="K46" s="230"/>
      <c r="L46" s="230"/>
      <c r="M46" s="230"/>
      <c r="N46" s="230"/>
      <c r="O46" s="230"/>
    </row>
    <row r="47" spans="1:30">
      <c r="A47" s="270"/>
      <c r="B47" s="201"/>
      <c r="C47" s="209"/>
      <c r="D47" s="201"/>
      <c r="E47" s="209"/>
      <c r="F47" s="209"/>
      <c r="G47" s="278"/>
      <c r="H47" s="201"/>
      <c r="I47" s="277"/>
      <c r="J47" s="277"/>
      <c r="K47" s="230"/>
      <c r="L47" s="230"/>
      <c r="M47" s="230"/>
      <c r="N47" s="230"/>
      <c r="O47" s="230"/>
    </row>
    <row r="48" spans="1:30">
      <c r="A48" s="270"/>
      <c r="B48" s="201"/>
      <c r="C48" s="209"/>
      <c r="D48" s="201"/>
      <c r="E48" s="209"/>
      <c r="F48" s="209"/>
      <c r="G48" s="278"/>
      <c r="H48" s="201"/>
      <c r="I48" s="277"/>
      <c r="J48" s="277"/>
      <c r="K48" s="230"/>
      <c r="L48" s="230"/>
      <c r="M48" s="230"/>
      <c r="N48" s="230"/>
      <c r="O48" s="230"/>
    </row>
    <row r="49" spans="1:15">
      <c r="A49" s="270"/>
      <c r="B49" s="201"/>
      <c r="C49" s="209"/>
      <c r="D49" s="201"/>
      <c r="E49" s="209"/>
      <c r="F49" s="209"/>
      <c r="G49" s="278"/>
      <c r="H49" s="201"/>
      <c r="I49" s="277"/>
      <c r="J49" s="277"/>
      <c r="K49" s="230"/>
      <c r="L49" s="230"/>
      <c r="M49" s="230"/>
      <c r="N49" s="230"/>
      <c r="O49" s="230"/>
    </row>
    <row r="50" spans="1:15">
      <c r="A50" s="270"/>
      <c r="B50" s="201"/>
      <c r="C50" s="209"/>
      <c r="D50" s="201"/>
      <c r="E50" s="209"/>
      <c r="F50" s="209"/>
      <c r="G50" s="278"/>
      <c r="H50" s="201"/>
      <c r="I50" s="277"/>
      <c r="J50" s="277"/>
      <c r="K50" s="230"/>
      <c r="L50" s="230"/>
      <c r="M50" s="230"/>
      <c r="N50" s="230"/>
      <c r="O50" s="230"/>
    </row>
    <row r="51" spans="1:15">
      <c r="A51" s="270"/>
      <c r="B51" s="201"/>
      <c r="C51" s="209"/>
      <c r="D51" s="201"/>
      <c r="E51" s="209"/>
      <c r="F51" s="209"/>
      <c r="G51" s="278"/>
      <c r="H51" s="201"/>
      <c r="I51" s="277"/>
      <c r="J51" s="277"/>
      <c r="K51" s="230"/>
      <c r="L51" s="230"/>
      <c r="M51" s="230"/>
      <c r="N51" s="230"/>
      <c r="O51" s="230"/>
    </row>
    <row r="52" spans="1:15">
      <c r="A52" s="270"/>
      <c r="B52" s="201"/>
      <c r="C52" s="209"/>
      <c r="D52" s="201"/>
      <c r="E52" s="209"/>
      <c r="F52" s="209"/>
      <c r="G52" s="278"/>
      <c r="H52" s="201"/>
      <c r="I52" s="277"/>
      <c r="J52" s="277"/>
      <c r="K52" s="230"/>
      <c r="L52" s="230"/>
      <c r="M52" s="230"/>
      <c r="N52" s="230"/>
      <c r="O52" s="230"/>
    </row>
    <row r="53" spans="1:15">
      <c r="A53" s="270"/>
      <c r="B53" s="201"/>
      <c r="C53" s="209"/>
      <c r="D53" s="201"/>
      <c r="E53" s="209"/>
      <c r="F53" s="209"/>
      <c r="G53" s="278"/>
      <c r="H53" s="201"/>
      <c r="I53" s="277"/>
      <c r="J53" s="277"/>
      <c r="K53" s="230"/>
      <c r="L53" s="230"/>
      <c r="M53" s="230"/>
      <c r="N53" s="230"/>
      <c r="O53" s="230"/>
    </row>
    <row r="54" spans="1:15">
      <c r="A54" s="270"/>
      <c r="B54" s="201"/>
      <c r="C54" s="209"/>
      <c r="D54" s="201"/>
      <c r="E54" s="209"/>
      <c r="F54" s="209"/>
      <c r="G54" s="278"/>
      <c r="H54" s="201"/>
      <c r="I54" s="277"/>
      <c r="J54" s="277"/>
      <c r="K54" s="230"/>
      <c r="L54" s="230"/>
      <c r="M54" s="230"/>
      <c r="N54" s="230"/>
      <c r="O54" s="230"/>
    </row>
    <row r="55" spans="1:15">
      <c r="A55" s="270"/>
      <c r="B55" s="201"/>
      <c r="C55" s="209"/>
      <c r="D55" s="201"/>
      <c r="E55" s="209"/>
      <c r="F55" s="209"/>
      <c r="G55" s="278"/>
      <c r="H55" s="201"/>
      <c r="I55" s="277"/>
      <c r="J55" s="277"/>
      <c r="K55" s="230"/>
      <c r="L55" s="230"/>
      <c r="M55" s="230"/>
      <c r="N55" s="230"/>
      <c r="O55" s="230"/>
    </row>
    <row r="56" spans="1:15">
      <c r="A56" s="270"/>
      <c r="B56" s="201"/>
      <c r="C56" s="209"/>
      <c r="D56" s="201"/>
      <c r="E56" s="209"/>
      <c r="F56" s="209"/>
      <c r="G56" s="278"/>
      <c r="H56" s="201"/>
      <c r="I56" s="277"/>
      <c r="J56" s="277"/>
      <c r="K56" s="230"/>
      <c r="L56" s="230"/>
      <c r="M56" s="230"/>
      <c r="N56" s="230"/>
      <c r="O56" s="230"/>
    </row>
    <row r="57" spans="1:15">
      <c r="A57" s="270"/>
      <c r="B57" s="201"/>
      <c r="C57" s="209"/>
      <c r="D57" s="201"/>
      <c r="E57" s="209"/>
      <c r="F57" s="209"/>
      <c r="G57" s="278"/>
      <c r="H57" s="201"/>
      <c r="I57" s="277"/>
      <c r="J57" s="277"/>
      <c r="K57" s="230"/>
      <c r="L57" s="230"/>
      <c r="M57" s="230"/>
      <c r="N57" s="230"/>
      <c r="O57" s="230"/>
    </row>
    <row r="58" spans="1:15">
      <c r="A58" s="270"/>
      <c r="B58" s="201"/>
      <c r="C58" s="209"/>
      <c r="D58" s="201"/>
      <c r="E58" s="209"/>
      <c r="F58" s="209"/>
      <c r="G58" s="278"/>
      <c r="H58" s="201"/>
      <c r="I58" s="277"/>
      <c r="J58" s="277"/>
      <c r="K58" s="230"/>
      <c r="L58" s="230"/>
      <c r="M58" s="230"/>
      <c r="N58" s="230"/>
      <c r="O58" s="230"/>
    </row>
    <row r="59" spans="1:15">
      <c r="A59" s="270"/>
      <c r="B59" s="201"/>
      <c r="C59" s="209"/>
      <c r="D59" s="201"/>
      <c r="E59" s="209"/>
      <c r="F59" s="209"/>
      <c r="G59" s="278"/>
      <c r="H59" s="201"/>
      <c r="I59" s="277"/>
      <c r="J59" s="277"/>
      <c r="K59" s="230"/>
      <c r="L59" s="230"/>
      <c r="M59" s="230"/>
      <c r="N59" s="230"/>
      <c r="O59" s="230"/>
    </row>
  </sheetData>
  <mergeCells count="2">
    <mergeCell ref="G6:I6"/>
    <mergeCell ref="O6:Q6"/>
  </mergeCells>
  <printOptions horizontalCentered="1"/>
  <pageMargins left="0.75" right="0.75" top="1" bottom="0.5" header="0.5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zoomScale="70" zoomScaleNormal="70" workbookViewId="0">
      <pane xSplit="2" ySplit="13" topLeftCell="E1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2.75"/>
  <cols>
    <col min="1" max="1" width="8.125" style="395" bestFit="1" customWidth="1"/>
    <col min="2" max="2" width="52" style="395" bestFit="1" customWidth="1"/>
    <col min="3" max="3" width="8.25" style="395" bestFit="1" customWidth="1"/>
    <col min="4" max="4" width="3.375" style="395" bestFit="1" customWidth="1"/>
    <col min="5" max="5" width="5.875" style="395" bestFit="1" customWidth="1"/>
    <col min="6" max="6" width="13.125" style="395" bestFit="1" customWidth="1"/>
    <col min="7" max="8" width="12.625" style="395" bestFit="1" customWidth="1"/>
    <col min="9" max="9" width="12.625" style="395" customWidth="1"/>
    <col min="10" max="10" width="12.375" style="395" customWidth="1"/>
    <col min="11" max="11" width="12.625" style="395" bestFit="1" customWidth="1"/>
    <col min="12" max="12" width="11.875" style="395" bestFit="1" customWidth="1"/>
    <col min="13" max="13" width="10.875" style="395" customWidth="1"/>
    <col min="14" max="14" width="12.375" style="395" bestFit="1" customWidth="1"/>
    <col min="15" max="16" width="11.125" style="395" bestFit="1" customWidth="1"/>
    <col min="17" max="17" width="13.5" style="396" customWidth="1"/>
    <col min="18" max="16384" width="8.875" style="395"/>
  </cols>
  <sheetData>
    <row r="1" spans="1:17">
      <c r="A1" s="394" t="s">
        <v>378</v>
      </c>
    </row>
    <row r="2" spans="1:17">
      <c r="A2" s="397" t="s">
        <v>239</v>
      </c>
      <c r="B2" s="397"/>
      <c r="C2" s="398"/>
      <c r="D2" s="398"/>
      <c r="E2" s="398"/>
      <c r="F2" s="398"/>
      <c r="G2" s="398"/>
      <c r="H2" s="398"/>
      <c r="I2" s="398"/>
      <c r="J2" s="398"/>
      <c r="K2" s="399"/>
      <c r="L2" s="399"/>
      <c r="M2" s="398"/>
      <c r="N2" s="398"/>
      <c r="O2" s="398"/>
      <c r="P2" s="398"/>
      <c r="Q2" s="400"/>
    </row>
    <row r="3" spans="1:17">
      <c r="A3" s="397" t="s">
        <v>379</v>
      </c>
      <c r="B3" s="398"/>
      <c r="C3" s="398"/>
      <c r="D3" s="398"/>
      <c r="E3" s="398"/>
      <c r="F3" s="398"/>
      <c r="G3" s="398"/>
      <c r="H3" s="398"/>
      <c r="I3" s="398"/>
      <c r="J3" s="398"/>
      <c r="K3" s="399"/>
      <c r="L3" s="399"/>
      <c r="M3" s="398"/>
      <c r="N3" s="398"/>
      <c r="O3" s="398"/>
      <c r="P3" s="398"/>
      <c r="Q3" s="400"/>
    </row>
    <row r="4" spans="1:17">
      <c r="A4" s="397" t="s">
        <v>313</v>
      </c>
      <c r="B4" s="398"/>
      <c r="C4" s="398"/>
      <c r="D4" s="398"/>
      <c r="E4" s="398"/>
      <c r="F4" s="398"/>
      <c r="G4" s="398"/>
      <c r="H4" s="398"/>
      <c r="I4" s="398"/>
      <c r="J4" s="398"/>
      <c r="K4" s="399"/>
      <c r="L4" s="399"/>
      <c r="M4" s="398"/>
      <c r="N4" s="398"/>
      <c r="O4" s="398"/>
      <c r="P4" s="398"/>
      <c r="Q4" s="400"/>
    </row>
    <row r="5" spans="1:17">
      <c r="A5" s="397" t="s">
        <v>314</v>
      </c>
      <c r="B5" s="398"/>
      <c r="C5" s="398"/>
      <c r="D5" s="398"/>
      <c r="E5" s="398"/>
      <c r="F5" s="398"/>
      <c r="G5" s="398"/>
      <c r="H5" s="398"/>
      <c r="I5" s="398"/>
      <c r="J5" s="398"/>
      <c r="K5" s="399"/>
      <c r="L5" s="399"/>
      <c r="M5" s="398"/>
      <c r="N5" s="398"/>
      <c r="O5" s="398"/>
      <c r="P5" s="398"/>
      <c r="Q5" s="400"/>
    </row>
    <row r="6" spans="1:17">
      <c r="A6" s="397" t="s">
        <v>380</v>
      </c>
      <c r="B6" s="398"/>
      <c r="C6" s="398"/>
      <c r="D6" s="398"/>
      <c r="E6" s="398"/>
      <c r="F6" s="398"/>
      <c r="G6" s="398"/>
      <c r="H6" s="398"/>
      <c r="I6" s="398"/>
      <c r="J6" s="398"/>
      <c r="K6" s="399"/>
      <c r="L6" s="399"/>
      <c r="M6" s="398"/>
      <c r="N6" s="398"/>
      <c r="O6" s="398"/>
      <c r="P6" s="398"/>
      <c r="Q6" s="400"/>
    </row>
    <row r="7" spans="1:17">
      <c r="A7" s="397" t="s">
        <v>381</v>
      </c>
      <c r="B7" s="398"/>
      <c r="C7" s="398"/>
      <c r="D7" s="398"/>
      <c r="E7" s="398"/>
      <c r="F7" s="398"/>
      <c r="G7" s="398"/>
      <c r="H7" s="398"/>
      <c r="I7" s="398"/>
      <c r="J7" s="398"/>
      <c r="K7" s="399"/>
      <c r="L7" s="399"/>
      <c r="M7" s="398"/>
      <c r="N7" s="398"/>
      <c r="O7" s="398"/>
      <c r="P7" s="398"/>
      <c r="Q7" s="400"/>
    </row>
    <row r="8" spans="1:17">
      <c r="A8" s="401"/>
      <c r="G8" s="402"/>
      <c r="H8" s="402"/>
    </row>
    <row r="9" spans="1:17">
      <c r="A9" s="403" t="s">
        <v>382</v>
      </c>
      <c r="B9" s="403" t="s">
        <v>383</v>
      </c>
      <c r="C9" s="403" t="s">
        <v>384</v>
      </c>
      <c r="D9" s="404"/>
      <c r="E9" s="403" t="s">
        <v>18</v>
      </c>
      <c r="F9" s="403" t="s">
        <v>385</v>
      </c>
      <c r="G9" s="403" t="s">
        <v>386</v>
      </c>
      <c r="H9" s="403" t="s">
        <v>387</v>
      </c>
      <c r="I9" s="403" t="s">
        <v>388</v>
      </c>
      <c r="J9" s="403" t="s">
        <v>389</v>
      </c>
      <c r="K9" s="403" t="s">
        <v>390</v>
      </c>
      <c r="L9" s="403" t="s">
        <v>391</v>
      </c>
      <c r="M9" s="403" t="s">
        <v>392</v>
      </c>
      <c r="N9" s="403" t="s">
        <v>393</v>
      </c>
      <c r="O9" s="403" t="s">
        <v>394</v>
      </c>
      <c r="P9" s="403" t="s">
        <v>395</v>
      </c>
      <c r="Q9" s="403" t="s">
        <v>396</v>
      </c>
    </row>
    <row r="10" spans="1:17" ht="13.5" thickBot="1"/>
    <row r="11" spans="1:17" ht="13.5" thickTop="1">
      <c r="A11" s="405"/>
      <c r="B11" s="406"/>
      <c r="C11" s="407"/>
      <c r="D11" s="407"/>
      <c r="E11" s="406"/>
      <c r="F11" s="406"/>
      <c r="G11" s="408"/>
      <c r="H11" s="408"/>
      <c r="I11" s="408"/>
      <c r="J11" s="408"/>
      <c r="K11" s="409"/>
      <c r="L11" s="408"/>
      <c r="M11" s="408"/>
      <c r="N11" s="408"/>
      <c r="O11" s="408"/>
      <c r="P11" s="408"/>
      <c r="Q11" s="410"/>
    </row>
    <row r="12" spans="1:17">
      <c r="A12" s="411" t="s">
        <v>315</v>
      </c>
      <c r="B12" s="412"/>
      <c r="C12" s="413" t="s">
        <v>397</v>
      </c>
      <c r="D12" s="414"/>
      <c r="E12" s="415" t="s">
        <v>398</v>
      </c>
      <c r="F12" s="416"/>
      <c r="G12" s="415"/>
      <c r="H12" s="415"/>
      <c r="I12" s="415"/>
      <c r="J12" s="415"/>
      <c r="K12" s="415"/>
      <c r="L12" s="415"/>
      <c r="M12" s="415"/>
      <c r="N12" s="415"/>
      <c r="O12" s="417"/>
      <c r="P12" s="417"/>
      <c r="Q12" s="418"/>
    </row>
    <row r="13" spans="1:17" ht="38.25">
      <c r="A13" s="419" t="s">
        <v>317</v>
      </c>
      <c r="B13" s="420" t="s">
        <v>316</v>
      </c>
      <c r="C13" s="421" t="s">
        <v>399</v>
      </c>
      <c r="D13" s="421"/>
      <c r="E13" s="422"/>
      <c r="F13" s="423" t="s">
        <v>400</v>
      </c>
      <c r="G13" s="423" t="s">
        <v>401</v>
      </c>
      <c r="H13" s="423" t="s">
        <v>402</v>
      </c>
      <c r="I13" s="423" t="s">
        <v>403</v>
      </c>
      <c r="J13" s="423" t="s">
        <v>404</v>
      </c>
      <c r="K13" s="423" t="s">
        <v>405</v>
      </c>
      <c r="L13" s="423" t="s">
        <v>406</v>
      </c>
      <c r="M13" s="423" t="s">
        <v>407</v>
      </c>
      <c r="N13" s="423" t="s">
        <v>408</v>
      </c>
      <c r="O13" s="423" t="s">
        <v>409</v>
      </c>
      <c r="P13" s="423" t="s">
        <v>410</v>
      </c>
      <c r="Q13" s="424" t="s">
        <v>317</v>
      </c>
    </row>
    <row r="14" spans="1:17">
      <c r="A14" s="425" t="s">
        <v>382</v>
      </c>
      <c r="B14" s="426" t="s">
        <v>411</v>
      </c>
      <c r="C14" s="427"/>
      <c r="D14" s="427"/>
      <c r="E14" s="426"/>
      <c r="F14" s="428"/>
      <c r="G14" s="428"/>
      <c r="H14" s="428"/>
      <c r="I14" s="428"/>
      <c r="J14" s="428"/>
      <c r="K14" s="428"/>
      <c r="L14" s="428"/>
      <c r="M14" s="428"/>
      <c r="N14" s="428"/>
      <c r="O14" s="429"/>
      <c r="P14" s="430"/>
      <c r="Q14" s="431"/>
    </row>
    <row r="15" spans="1:17">
      <c r="A15" s="432" t="s">
        <v>319</v>
      </c>
      <c r="B15" s="433" t="s">
        <v>412</v>
      </c>
      <c r="C15" s="434">
        <v>0.75</v>
      </c>
      <c r="D15" s="435" t="s">
        <v>413</v>
      </c>
      <c r="E15" s="436">
        <v>0.25</v>
      </c>
      <c r="F15" s="437">
        <v>0.33997135828733627</v>
      </c>
      <c r="G15" s="437">
        <v>0.27917596807167921</v>
      </c>
      <c r="H15" s="437">
        <v>8.195390294680753E-2</v>
      </c>
      <c r="I15" s="437">
        <v>2.0742637119581411E-3</v>
      </c>
      <c r="J15" s="437">
        <v>0.17686896195026758</v>
      </c>
      <c r="K15" s="437">
        <v>8.7992464218833756E-3</v>
      </c>
      <c r="L15" s="437">
        <v>2.6794661367604501E-4</v>
      </c>
      <c r="M15" s="437">
        <v>4.8027826302672247E-4</v>
      </c>
      <c r="N15" s="437">
        <v>6.7018680676729003E-2</v>
      </c>
      <c r="O15" s="437">
        <v>2.0888796920675044E-2</v>
      </c>
      <c r="P15" s="437">
        <v>2.2500596135960994E-2</v>
      </c>
      <c r="Q15" s="438">
        <v>0.99999999999999989</v>
      </c>
    </row>
    <row r="16" spans="1:17">
      <c r="A16" s="439" t="s">
        <v>414</v>
      </c>
      <c r="B16" s="440" t="s">
        <v>412</v>
      </c>
      <c r="C16" s="441">
        <v>0.5</v>
      </c>
      <c r="D16" s="442" t="s">
        <v>413</v>
      </c>
      <c r="E16" s="436">
        <v>0.5</v>
      </c>
      <c r="F16" s="443">
        <v>0.32395921838837505</v>
      </c>
      <c r="G16" s="443">
        <v>0.27810427441963437</v>
      </c>
      <c r="H16" s="443">
        <v>8.3897746895031516E-2</v>
      </c>
      <c r="I16" s="443">
        <v>2.6353237813980593E-3</v>
      </c>
      <c r="J16" s="443">
        <v>0.18586767195634821</v>
      </c>
      <c r="K16" s="443">
        <v>9.3108788885921841E-3</v>
      </c>
      <c r="L16" s="443">
        <v>2.8453851869747395E-4</v>
      </c>
      <c r="M16" s="443">
        <v>5.7698502919304676E-4</v>
      </c>
      <c r="N16" s="443">
        <v>6.489612325425953E-2</v>
      </c>
      <c r="O16" s="443">
        <v>2.2193778664286311E-2</v>
      </c>
      <c r="P16" s="443">
        <v>2.8273460204184309E-2</v>
      </c>
      <c r="Q16" s="438">
        <v>1</v>
      </c>
    </row>
    <row r="17" spans="1:17">
      <c r="A17" s="444" t="s">
        <v>415</v>
      </c>
      <c r="B17" s="440" t="s">
        <v>412</v>
      </c>
      <c r="C17" s="441">
        <v>1</v>
      </c>
      <c r="D17" s="442" t="s">
        <v>413</v>
      </c>
      <c r="E17" s="445">
        <v>0</v>
      </c>
      <c r="F17" s="443">
        <v>0.3559834981862976</v>
      </c>
      <c r="G17" s="443">
        <v>0.28024766172372412</v>
      </c>
      <c r="H17" s="443">
        <v>8.0010058998583544E-2</v>
      </c>
      <c r="I17" s="443">
        <v>1.5132036425182225E-3</v>
      </c>
      <c r="J17" s="443">
        <v>0.16787025194418692</v>
      </c>
      <c r="K17" s="443">
        <v>8.2876139551745654E-3</v>
      </c>
      <c r="L17" s="443">
        <v>2.5135470865461607E-4</v>
      </c>
      <c r="M17" s="443">
        <v>3.8357149686039823E-4</v>
      </c>
      <c r="N17" s="443">
        <v>6.9141238099198477E-2</v>
      </c>
      <c r="O17" s="443">
        <v>1.9583815177063781E-2</v>
      </c>
      <c r="P17" s="443">
        <v>1.6727732067737682E-2</v>
      </c>
      <c r="Q17" s="438">
        <v>0.99999999999999967</v>
      </c>
    </row>
    <row r="18" spans="1:17">
      <c r="A18" s="439" t="s">
        <v>416</v>
      </c>
      <c r="B18" s="440" t="s">
        <v>417</v>
      </c>
      <c r="C18" s="442"/>
      <c r="D18" s="446"/>
      <c r="E18" s="440"/>
      <c r="F18" s="443">
        <v>0.51944778843452954</v>
      </c>
      <c r="G18" s="443">
        <v>0.30071840245062026</v>
      </c>
      <c r="H18" s="443">
        <v>8.1535054535248799E-2</v>
      </c>
      <c r="I18" s="443">
        <v>6.2590945637530746E-4</v>
      </c>
      <c r="J18" s="443">
        <v>0</v>
      </c>
      <c r="K18" s="443">
        <v>1.5029878009870922E-2</v>
      </c>
      <c r="L18" s="443">
        <v>2.2975761668868328E-4</v>
      </c>
      <c r="M18" s="443">
        <v>1.457043278998949E-4</v>
      </c>
      <c r="N18" s="443">
        <v>8.2267505168766575E-2</v>
      </c>
      <c r="O18" s="443">
        <v>0</v>
      </c>
      <c r="P18" s="443">
        <v>0</v>
      </c>
      <c r="Q18" s="438">
        <v>0.99999999999999989</v>
      </c>
    </row>
    <row r="19" spans="1:17">
      <c r="A19" s="439" t="s">
        <v>418</v>
      </c>
      <c r="B19" s="440" t="s">
        <v>419</v>
      </c>
      <c r="C19" s="442"/>
      <c r="D19" s="446"/>
      <c r="E19" s="440"/>
      <c r="F19" s="443">
        <v>0.61737032532355729</v>
      </c>
      <c r="G19" s="443">
        <v>0.23084682021994624</v>
      </c>
      <c r="H19" s="443">
        <v>5.2129169487531136E-2</v>
      </c>
      <c r="I19" s="443">
        <v>3.7138436397409678E-3</v>
      </c>
      <c r="J19" s="443">
        <v>0</v>
      </c>
      <c r="K19" s="443">
        <v>1.8990631476275853E-2</v>
      </c>
      <c r="L19" s="443">
        <v>1.355997234261515E-4</v>
      </c>
      <c r="M19" s="443">
        <v>7.2834559768978735E-4</v>
      </c>
      <c r="N19" s="443">
        <v>7.6085264531832703E-2</v>
      </c>
      <c r="O19" s="443">
        <v>0</v>
      </c>
      <c r="P19" s="443">
        <v>0</v>
      </c>
      <c r="Q19" s="438">
        <v>1</v>
      </c>
    </row>
    <row r="20" spans="1:17">
      <c r="A20" s="439" t="s">
        <v>420</v>
      </c>
      <c r="B20" s="440" t="s">
        <v>421</v>
      </c>
      <c r="C20" s="442"/>
      <c r="D20" s="446"/>
      <c r="E20" s="440"/>
      <c r="F20" s="443">
        <v>0.89028098461546878</v>
      </c>
      <c r="G20" s="443">
        <v>0</v>
      </c>
      <c r="H20" s="443">
        <v>0</v>
      </c>
      <c r="I20" s="443">
        <v>0</v>
      </c>
      <c r="J20" s="443">
        <v>0</v>
      </c>
      <c r="K20" s="443">
        <v>0</v>
      </c>
      <c r="L20" s="443">
        <v>0</v>
      </c>
      <c r="M20" s="443">
        <v>0</v>
      </c>
      <c r="N20" s="443">
        <v>0.10971901538453122</v>
      </c>
      <c r="O20" s="443">
        <v>0</v>
      </c>
      <c r="P20" s="443">
        <v>0</v>
      </c>
      <c r="Q20" s="438">
        <v>1</v>
      </c>
    </row>
    <row r="21" spans="1:17">
      <c r="A21" s="439" t="s">
        <v>320</v>
      </c>
      <c r="B21" s="440" t="s">
        <v>321</v>
      </c>
      <c r="C21" s="442"/>
      <c r="D21" s="446"/>
      <c r="E21" s="440"/>
      <c r="F21" s="443">
        <v>0.2919349385904525</v>
      </c>
      <c r="G21" s="443">
        <v>0.27596088711554462</v>
      </c>
      <c r="H21" s="443">
        <v>8.7785434791479475E-2</v>
      </c>
      <c r="I21" s="443">
        <v>3.7574439202778961E-3</v>
      </c>
      <c r="J21" s="443">
        <v>0.20386509196850949</v>
      </c>
      <c r="K21" s="443">
        <v>1.0334143822009804E-2</v>
      </c>
      <c r="L21" s="443">
        <v>3.1772232874033182E-4</v>
      </c>
      <c r="M21" s="443">
        <v>7.7039856152569524E-4</v>
      </c>
      <c r="N21" s="443">
        <v>6.0651008409320591E-2</v>
      </c>
      <c r="O21" s="443">
        <v>2.480374215150884E-2</v>
      </c>
      <c r="P21" s="443">
        <v>3.9819188340630932E-2</v>
      </c>
      <c r="Q21" s="438">
        <v>1.0000000000000002</v>
      </c>
    </row>
    <row r="22" spans="1:17">
      <c r="A22" s="439" t="s">
        <v>422</v>
      </c>
      <c r="B22" s="440" t="s">
        <v>423</v>
      </c>
      <c r="C22" s="446"/>
      <c r="D22" s="446"/>
      <c r="E22" s="440"/>
      <c r="F22" s="443">
        <v>0.86618324976153105</v>
      </c>
      <c r="G22" s="443">
        <v>1.7710181303809996E-2</v>
      </c>
      <c r="H22" s="443">
        <v>2.752645067203863E-4</v>
      </c>
      <c r="I22" s="443">
        <v>1.0294892551342447E-2</v>
      </c>
      <c r="J22" s="443">
        <v>1.8762927600940617E-4</v>
      </c>
      <c r="K22" s="443">
        <v>3.5818091731615984E-3</v>
      </c>
      <c r="L22" s="443">
        <v>2.9683625581847371E-3</v>
      </c>
      <c r="M22" s="443">
        <v>6.4378188714604636E-4</v>
      </c>
      <c r="N22" s="443">
        <v>9.8152581924896606E-2</v>
      </c>
      <c r="O22" s="443">
        <v>1.1235285988587196E-6</v>
      </c>
      <c r="P22" s="443">
        <v>1.1235285988587196E-6</v>
      </c>
      <c r="Q22" s="438">
        <v>1.0000000000000002</v>
      </c>
    </row>
    <row r="23" spans="1:17">
      <c r="A23" s="439" t="s">
        <v>424</v>
      </c>
      <c r="B23" s="440" t="s">
        <v>425</v>
      </c>
      <c r="C23" s="446"/>
      <c r="D23" s="446"/>
      <c r="E23" s="440"/>
      <c r="F23" s="443">
        <v>0.84508964920196339</v>
      </c>
      <c r="G23" s="443">
        <v>1.8179108208268915E-2</v>
      </c>
      <c r="H23" s="443">
        <v>2.009682834850848E-2</v>
      </c>
      <c r="I23" s="443">
        <v>0</v>
      </c>
      <c r="J23" s="443">
        <v>1.333557280963083E-2</v>
      </c>
      <c r="K23" s="443">
        <v>3.8252925757808966E-3</v>
      </c>
      <c r="L23" s="443">
        <v>2.8960759443122531E-3</v>
      </c>
      <c r="M23" s="443">
        <v>6.2810428315326309E-4</v>
      </c>
      <c r="N23" s="443">
        <v>9.5762335568153945E-2</v>
      </c>
      <c r="O23" s="443">
        <v>9.3516530114085147E-5</v>
      </c>
      <c r="P23" s="443">
        <v>9.3516530114085147E-5</v>
      </c>
      <c r="Q23" s="438">
        <v>1.0000000000000002</v>
      </c>
    </row>
    <row r="24" spans="1:17">
      <c r="A24" s="439" t="s">
        <v>426</v>
      </c>
      <c r="B24" s="440" t="s">
        <v>427</v>
      </c>
      <c r="C24" s="446"/>
      <c r="D24" s="446"/>
      <c r="E24" s="440"/>
      <c r="F24" s="443">
        <v>0.87062731305797569</v>
      </c>
      <c r="G24" s="443">
        <v>1.9150612573829755E-2</v>
      </c>
      <c r="H24" s="443">
        <v>2.9765273619160635E-4</v>
      </c>
      <c r="I24" s="443">
        <v>9.3531995053689979E-3</v>
      </c>
      <c r="J24" s="443">
        <v>6.6028270901704288E-4</v>
      </c>
      <c r="K24" s="443">
        <v>3.4610910285908319E-3</v>
      </c>
      <c r="L24" s="443">
        <v>2.6980186803346319E-3</v>
      </c>
      <c r="M24" s="443">
        <v>5.8514939584850272E-4</v>
      </c>
      <c r="N24" s="443">
        <v>9.3158772735489573E-2</v>
      </c>
      <c r="O24" s="443">
        <v>3.9537886767487595E-6</v>
      </c>
      <c r="P24" s="443">
        <v>3.9537886767487595E-6</v>
      </c>
      <c r="Q24" s="438">
        <v>1.0000000000000002</v>
      </c>
    </row>
    <row r="25" spans="1:17">
      <c r="A25" s="439" t="s">
        <v>428</v>
      </c>
      <c r="B25" s="440" t="s">
        <v>429</v>
      </c>
      <c r="C25" s="446"/>
      <c r="D25" s="446"/>
      <c r="E25" s="440"/>
      <c r="F25" s="443">
        <v>1</v>
      </c>
      <c r="G25" s="443">
        <v>0</v>
      </c>
      <c r="H25" s="443">
        <v>0</v>
      </c>
      <c r="I25" s="443">
        <v>0</v>
      </c>
      <c r="J25" s="443">
        <v>0</v>
      </c>
      <c r="K25" s="443">
        <v>0</v>
      </c>
      <c r="L25" s="443">
        <v>0</v>
      </c>
      <c r="M25" s="443">
        <v>0</v>
      </c>
      <c r="N25" s="443">
        <v>0</v>
      </c>
      <c r="O25" s="443">
        <v>0</v>
      </c>
      <c r="P25" s="443">
        <v>0</v>
      </c>
      <c r="Q25" s="438">
        <v>1</v>
      </c>
    </row>
    <row r="26" spans="1:17">
      <c r="A26" s="439" t="s">
        <v>430</v>
      </c>
      <c r="B26" s="440" t="s">
        <v>431</v>
      </c>
      <c r="C26" s="446"/>
      <c r="D26" s="446"/>
      <c r="E26" s="440"/>
      <c r="F26" s="443">
        <v>0</v>
      </c>
      <c r="G26" s="443">
        <v>0.14622823200275711</v>
      </c>
      <c r="H26" s="443">
        <v>1.4596468465546252E-3</v>
      </c>
      <c r="I26" s="443">
        <v>0</v>
      </c>
      <c r="J26" s="443">
        <v>3.5477527520424919E-4</v>
      </c>
      <c r="K26" s="443">
        <v>0</v>
      </c>
      <c r="L26" s="443">
        <v>0</v>
      </c>
      <c r="M26" s="443">
        <v>0</v>
      </c>
      <c r="N26" s="443">
        <v>0.851957345875484</v>
      </c>
      <c r="O26" s="443">
        <v>0</v>
      </c>
      <c r="P26" s="443">
        <v>0</v>
      </c>
      <c r="Q26" s="438">
        <v>1</v>
      </c>
    </row>
    <row r="27" spans="1:17">
      <c r="A27" s="439" t="s">
        <v>432</v>
      </c>
      <c r="B27" s="440" t="s">
        <v>433</v>
      </c>
      <c r="C27" s="446"/>
      <c r="D27" s="446"/>
      <c r="E27" s="440"/>
      <c r="F27" s="443">
        <v>0</v>
      </c>
      <c r="G27" s="443">
        <v>0.16565481352992195</v>
      </c>
      <c r="H27" s="443">
        <v>1.2513938793210258E-2</v>
      </c>
      <c r="I27" s="443">
        <v>0</v>
      </c>
      <c r="J27" s="443">
        <v>1.6230950315945979E-2</v>
      </c>
      <c r="K27" s="443">
        <v>0.39499442448271588</v>
      </c>
      <c r="L27" s="443">
        <v>0</v>
      </c>
      <c r="M27" s="443">
        <v>0</v>
      </c>
      <c r="N27" s="443">
        <v>0.41035807211002356</v>
      </c>
      <c r="O27" s="443">
        <v>1.2390038409119069E-4</v>
      </c>
      <c r="P27" s="443">
        <v>1.2390038409119069E-4</v>
      </c>
      <c r="Q27" s="438">
        <v>1</v>
      </c>
    </row>
    <row r="28" spans="1:17">
      <c r="A28" s="439" t="s">
        <v>434</v>
      </c>
      <c r="B28" s="440" t="s">
        <v>435</v>
      </c>
      <c r="C28" s="446"/>
      <c r="D28" s="446"/>
      <c r="E28" s="440"/>
      <c r="F28" s="443">
        <v>0</v>
      </c>
      <c r="G28" s="443">
        <v>0</v>
      </c>
      <c r="H28" s="443">
        <v>0</v>
      </c>
      <c r="I28" s="443">
        <v>0.74026498626595572</v>
      </c>
      <c r="J28" s="443">
        <v>0</v>
      </c>
      <c r="K28" s="443">
        <v>0</v>
      </c>
      <c r="L28" s="443">
        <v>0.2134432056875101</v>
      </c>
      <c r="M28" s="443">
        <v>4.6291808046534176E-2</v>
      </c>
      <c r="N28" s="443">
        <v>0</v>
      </c>
      <c r="O28" s="443">
        <v>0</v>
      </c>
      <c r="P28" s="443">
        <v>0</v>
      </c>
      <c r="Q28" s="438">
        <v>1</v>
      </c>
    </row>
    <row r="29" spans="1:17">
      <c r="A29" s="439" t="s">
        <v>436</v>
      </c>
      <c r="B29" s="440" t="s">
        <v>437</v>
      </c>
      <c r="C29" s="446"/>
      <c r="D29" s="446"/>
      <c r="E29" s="440"/>
      <c r="F29" s="443">
        <v>0.84663539921152942</v>
      </c>
      <c r="G29" s="443">
        <v>1.8212359540495469E-2</v>
      </c>
      <c r="H29" s="443">
        <v>2.0133587374774262E-2</v>
      </c>
      <c r="I29" s="443">
        <v>0</v>
      </c>
      <c r="J29" s="443">
        <v>1.3359964851134973E-2</v>
      </c>
      <c r="K29" s="443">
        <v>2.0031935061915326E-3</v>
      </c>
      <c r="L29" s="443">
        <v>2.9013731449380707E-3</v>
      </c>
      <c r="M29" s="443">
        <v>6.2925314612017962E-4</v>
      </c>
      <c r="N29" s="443">
        <v>9.5937494063185011E-2</v>
      </c>
      <c r="O29" s="443">
        <v>9.3687580815575742E-5</v>
      </c>
      <c r="P29" s="443">
        <v>9.3687580815575742E-5</v>
      </c>
      <c r="Q29" s="438">
        <v>1</v>
      </c>
    </row>
    <row r="30" spans="1:17">
      <c r="A30" s="439" t="s">
        <v>438</v>
      </c>
      <c r="B30" s="440" t="s">
        <v>439</v>
      </c>
      <c r="C30" s="446"/>
      <c r="D30" s="446"/>
      <c r="E30" s="440"/>
      <c r="F30" s="443">
        <v>0.87206790673078272</v>
      </c>
      <c r="G30" s="443">
        <v>1.9182300359051354E-2</v>
      </c>
      <c r="H30" s="443">
        <v>2.9814525077507978E-4</v>
      </c>
      <c r="I30" s="443">
        <v>9.368675886394319E-3</v>
      </c>
      <c r="J30" s="443">
        <v>6.6137525352903724E-4</v>
      </c>
      <c r="K30" s="443">
        <v>1.8121562600181467E-3</v>
      </c>
      <c r="L30" s="443">
        <v>2.7024829885199026E-3</v>
      </c>
      <c r="M30" s="443">
        <v>5.8611762014455131E-4</v>
      </c>
      <c r="N30" s="443">
        <v>9.3312918989066018E-2</v>
      </c>
      <c r="O30" s="443">
        <v>3.9603308594553126E-6</v>
      </c>
      <c r="P30" s="443">
        <v>3.9603308594553126E-6</v>
      </c>
      <c r="Q30" s="438">
        <v>1.0000000000000002</v>
      </c>
    </row>
    <row r="31" spans="1:17">
      <c r="A31" s="439" t="s">
        <v>440</v>
      </c>
      <c r="B31" s="440" t="s">
        <v>441</v>
      </c>
      <c r="C31" s="446"/>
      <c r="D31" s="446"/>
      <c r="E31" s="440"/>
      <c r="F31" s="443">
        <v>0.37882656517455821</v>
      </c>
      <c r="G31" s="443">
        <v>7.4796317152655362E-2</v>
      </c>
      <c r="H31" s="443">
        <v>1.0245967051366241E-2</v>
      </c>
      <c r="I31" s="443">
        <v>6.5186296697975626E-3</v>
      </c>
      <c r="J31" s="443">
        <v>3.8738132754871424E-2</v>
      </c>
      <c r="K31" s="443">
        <v>1.2021794593699302E-2</v>
      </c>
      <c r="L31" s="443">
        <v>3.7643113974284402E-3</v>
      </c>
      <c r="M31" s="443">
        <v>6.073410632384031E-3</v>
      </c>
      <c r="N31" s="443">
        <v>0.46429574406295426</v>
      </c>
      <c r="O31" s="443">
        <v>0</v>
      </c>
      <c r="P31" s="443">
        <v>4.7191275102852863E-3</v>
      </c>
      <c r="Q31" s="438">
        <v>1</v>
      </c>
    </row>
    <row r="32" spans="1:17">
      <c r="A32" s="439" t="s">
        <v>442</v>
      </c>
      <c r="B32" s="440" t="s">
        <v>443</v>
      </c>
      <c r="C32" s="446"/>
      <c r="D32" s="446"/>
      <c r="E32" s="440"/>
      <c r="F32" s="443">
        <v>0.15835782993285275</v>
      </c>
      <c r="G32" s="443">
        <v>4.756758266930821E-2</v>
      </c>
      <c r="H32" s="443">
        <v>0.11557778820118428</v>
      </c>
      <c r="I32" s="443">
        <v>3.9135011770952079E-4</v>
      </c>
      <c r="J32" s="443">
        <v>0.39033968586622064</v>
      </c>
      <c r="K32" s="443">
        <v>2.033031538199637E-3</v>
      </c>
      <c r="L32" s="443">
        <v>1.1568339421077819E-6</v>
      </c>
      <c r="M32" s="443">
        <v>0</v>
      </c>
      <c r="N32" s="443">
        <v>0.28573157484058287</v>
      </c>
      <c r="O32" s="443">
        <v>0</v>
      </c>
      <c r="P32" s="443">
        <v>0</v>
      </c>
      <c r="Q32" s="438">
        <v>1</v>
      </c>
    </row>
    <row r="33" spans="1:17">
      <c r="A33" s="439" t="s">
        <v>444</v>
      </c>
      <c r="B33" s="440" t="s">
        <v>445</v>
      </c>
      <c r="C33" s="446"/>
      <c r="D33" s="446"/>
      <c r="E33" s="440"/>
      <c r="F33" s="443">
        <v>0.70178720804664463</v>
      </c>
      <c r="G33" s="443">
        <v>0.10817416378143074</v>
      </c>
      <c r="H33" s="443">
        <v>1.7209254437096384E-2</v>
      </c>
      <c r="I33" s="443">
        <v>0</v>
      </c>
      <c r="J33" s="443">
        <v>3.0335609478729281E-2</v>
      </c>
      <c r="K33" s="443">
        <v>1.1215169348385737E-2</v>
      </c>
      <c r="L33" s="443">
        <v>2.4033072394023846E-3</v>
      </c>
      <c r="M33" s="443">
        <v>5.2123203943132718E-4</v>
      </c>
      <c r="N33" s="443">
        <v>0.12260789607649739</v>
      </c>
      <c r="O33" s="443">
        <v>2.8730797761910478E-3</v>
      </c>
      <c r="P33" s="443">
        <v>2.8730797761910478E-3</v>
      </c>
      <c r="Q33" s="438">
        <v>0.99999999999999989</v>
      </c>
    </row>
    <row r="34" spans="1:17">
      <c r="A34" s="439" t="s">
        <v>446</v>
      </c>
      <c r="B34" s="440" t="s">
        <v>447</v>
      </c>
      <c r="C34" s="446"/>
      <c r="D34" s="446"/>
      <c r="E34" s="440"/>
      <c r="F34" s="443">
        <v>0.80560276380820695</v>
      </c>
      <c r="G34" s="443">
        <v>6.9602966985270479E-2</v>
      </c>
      <c r="H34" s="443">
        <v>5.6886084693546597E-3</v>
      </c>
      <c r="I34" s="443">
        <v>0</v>
      </c>
      <c r="J34" s="443">
        <v>0</v>
      </c>
      <c r="K34" s="443">
        <v>0</v>
      </c>
      <c r="L34" s="443">
        <v>2.9795626659377406E-3</v>
      </c>
      <c r="M34" s="443">
        <v>6.4621097940284835E-4</v>
      </c>
      <c r="N34" s="443">
        <v>0.11547988709182731</v>
      </c>
      <c r="O34" s="443">
        <v>0</v>
      </c>
      <c r="P34" s="443">
        <v>0</v>
      </c>
      <c r="Q34" s="438">
        <v>1</v>
      </c>
    </row>
    <row r="35" spans="1:17">
      <c r="A35" s="439" t="s">
        <v>448</v>
      </c>
      <c r="B35" s="440" t="s">
        <v>449</v>
      </c>
      <c r="C35" s="446"/>
      <c r="D35" s="446"/>
      <c r="E35" s="440"/>
      <c r="F35" s="443">
        <v>0.82822593694580104</v>
      </c>
      <c r="G35" s="443">
        <v>8.4387856430149177E-2</v>
      </c>
      <c r="H35" s="443">
        <v>2.3641831362026078E-2</v>
      </c>
      <c r="I35" s="443">
        <v>0</v>
      </c>
      <c r="J35" s="443">
        <v>4.2393802701930945E-2</v>
      </c>
      <c r="K35" s="443">
        <v>-1.6755108384454152E-4</v>
      </c>
      <c r="L35" s="443">
        <v>0</v>
      </c>
      <c r="M35" s="443">
        <v>0</v>
      </c>
      <c r="N35" s="443">
        <v>2.1518123643937379E-2</v>
      </c>
      <c r="O35" s="443">
        <v>0</v>
      </c>
      <c r="P35" s="443">
        <v>0</v>
      </c>
      <c r="Q35" s="438">
        <v>1</v>
      </c>
    </row>
    <row r="36" spans="1:17">
      <c r="A36" s="432" t="s">
        <v>450</v>
      </c>
      <c r="B36" s="447" t="s">
        <v>451</v>
      </c>
      <c r="C36" s="448"/>
      <c r="D36" s="447"/>
      <c r="E36" s="449"/>
      <c r="F36" s="450">
        <v>0.32936700486525328</v>
      </c>
      <c r="G36" s="450">
        <v>0.28438117784587708</v>
      </c>
      <c r="H36" s="450">
        <v>8.2984634156311507E-2</v>
      </c>
      <c r="I36" s="450">
        <v>2.0005347778547476E-3</v>
      </c>
      <c r="J36" s="450">
        <v>0.17893164313120696</v>
      </c>
      <c r="K36" s="450">
        <v>7.9626002550519936E-3</v>
      </c>
      <c r="L36" s="450">
        <v>2.7851137030803495E-4</v>
      </c>
      <c r="M36" s="450">
        <v>4.616682376398789E-4</v>
      </c>
      <c r="N36" s="450">
        <v>6.7594377644277087E-2</v>
      </c>
      <c r="O36" s="450">
        <v>2.0631362245774616E-2</v>
      </c>
      <c r="P36" s="450">
        <v>2.5406485470444683E-2</v>
      </c>
      <c r="Q36" s="438">
        <v>1</v>
      </c>
    </row>
    <row r="37" spans="1:17">
      <c r="A37" s="432" t="s">
        <v>452</v>
      </c>
      <c r="B37" s="447" t="s">
        <v>453</v>
      </c>
      <c r="C37" s="448"/>
      <c r="D37" s="447"/>
      <c r="E37" s="449"/>
      <c r="F37" s="450">
        <v>0.32936700486525328</v>
      </c>
      <c r="G37" s="450">
        <v>0.28438117784587708</v>
      </c>
      <c r="H37" s="450">
        <v>8.2984634156311507E-2</v>
      </c>
      <c r="I37" s="450">
        <v>2.0005347778547476E-3</v>
      </c>
      <c r="J37" s="450">
        <v>0.17893164313120696</v>
      </c>
      <c r="K37" s="450">
        <v>7.9626002550519936E-3</v>
      </c>
      <c r="L37" s="450">
        <v>2.7851137030803495E-4</v>
      </c>
      <c r="M37" s="450">
        <v>4.616682376398789E-4</v>
      </c>
      <c r="N37" s="450">
        <v>6.7594377644277087E-2</v>
      </c>
      <c r="O37" s="450">
        <v>2.0631362245774616E-2</v>
      </c>
      <c r="P37" s="450">
        <v>2.5406485470444683E-2</v>
      </c>
      <c r="Q37" s="438">
        <v>1</v>
      </c>
    </row>
    <row r="38" spans="1:17">
      <c r="A38" s="432" t="s">
        <v>454</v>
      </c>
      <c r="B38" s="447" t="s">
        <v>455</v>
      </c>
      <c r="C38" s="448"/>
      <c r="D38" s="447"/>
      <c r="E38" s="449"/>
      <c r="F38" s="450">
        <v>0.332165033123063</v>
      </c>
      <c r="G38" s="450">
        <v>0.28137680908982882</v>
      </c>
      <c r="H38" s="450">
        <v>8.3316764213373098E-2</v>
      </c>
      <c r="I38" s="450">
        <v>2.2680369400102447E-3</v>
      </c>
      <c r="J38" s="450">
        <v>0.18052455384966334</v>
      </c>
      <c r="K38" s="450">
        <v>7.9145462500637993E-3</v>
      </c>
      <c r="L38" s="450">
        <v>2.7529257270483154E-4</v>
      </c>
      <c r="M38" s="450">
        <v>5.3152277115215546E-4</v>
      </c>
      <c r="N38" s="450">
        <v>6.6553099120132936E-2</v>
      </c>
      <c r="O38" s="450">
        <v>2.1091922874776004E-2</v>
      </c>
      <c r="P38" s="450">
        <v>2.3982419195231735E-2</v>
      </c>
      <c r="Q38" s="438">
        <v>1</v>
      </c>
    </row>
    <row r="39" spans="1:17">
      <c r="A39" s="432" t="s">
        <v>456</v>
      </c>
      <c r="B39" s="447" t="s">
        <v>457</v>
      </c>
      <c r="C39" s="448"/>
      <c r="D39" s="447"/>
      <c r="E39" s="449"/>
      <c r="F39" s="450">
        <v>0</v>
      </c>
      <c r="G39" s="450">
        <v>0</v>
      </c>
      <c r="H39" s="450">
        <v>0</v>
      </c>
      <c r="I39" s="450">
        <v>0</v>
      </c>
      <c r="J39" s="450">
        <v>0</v>
      </c>
      <c r="K39" s="450">
        <v>0</v>
      </c>
      <c r="L39" s="450">
        <v>0</v>
      </c>
      <c r="M39" s="450">
        <v>0</v>
      </c>
      <c r="N39" s="450">
        <v>0</v>
      </c>
      <c r="O39" s="450">
        <v>0</v>
      </c>
      <c r="P39" s="450">
        <v>0</v>
      </c>
      <c r="Q39" s="438">
        <v>0</v>
      </c>
    </row>
    <row r="40" spans="1:17">
      <c r="A40" s="432" t="s">
        <v>458</v>
      </c>
      <c r="B40" s="447" t="s">
        <v>459</v>
      </c>
      <c r="C40" s="448"/>
      <c r="D40" s="447"/>
      <c r="E40" s="449"/>
      <c r="F40" s="450">
        <v>0.28945297573528628</v>
      </c>
      <c r="G40" s="450">
        <v>0.27739221515804424</v>
      </c>
      <c r="H40" s="450">
        <v>8.7787700916903674E-2</v>
      </c>
      <c r="I40" s="450">
        <v>3.7973273972976155E-3</v>
      </c>
      <c r="J40" s="450">
        <v>0.20323890729855434</v>
      </c>
      <c r="K40" s="450">
        <v>1.0719508980343141E-2</v>
      </c>
      <c r="L40" s="450">
        <v>3.1898727845310109E-4</v>
      </c>
      <c r="M40" s="450">
        <v>7.7326919324626712E-4</v>
      </c>
      <c r="N40" s="450">
        <v>6.0872229205223859E-2</v>
      </c>
      <c r="O40" s="450">
        <v>2.513443456699815E-2</v>
      </c>
      <c r="P40" s="450">
        <v>4.0512444269649305E-2</v>
      </c>
      <c r="Q40" s="438">
        <v>1</v>
      </c>
    </row>
    <row r="41" spans="1:17">
      <c r="A41" s="432" t="s">
        <v>460</v>
      </c>
      <c r="B41" s="447" t="s">
        <v>461</v>
      </c>
      <c r="C41" s="448"/>
      <c r="D41" s="447"/>
      <c r="E41" s="449"/>
      <c r="F41" s="450">
        <v>0.28990421136110622</v>
      </c>
      <c r="G41" s="450">
        <v>0.27661489283647284</v>
      </c>
      <c r="H41" s="450">
        <v>8.7933400659626862E-2</v>
      </c>
      <c r="I41" s="450">
        <v>3.8208631492665855E-3</v>
      </c>
      <c r="J41" s="450">
        <v>0.20416751629384805</v>
      </c>
      <c r="K41" s="450">
        <v>9.6713684840297204E-3</v>
      </c>
      <c r="L41" s="450">
        <v>3.2340771464308229E-4</v>
      </c>
      <c r="M41" s="450">
        <v>7.8530867894530533E-4</v>
      </c>
      <c r="N41" s="450">
        <v>6.1013718165906408E-2</v>
      </c>
      <c r="O41" s="450">
        <v>2.5099112301012458E-2</v>
      </c>
      <c r="P41" s="450">
        <v>4.0666200355142547E-2</v>
      </c>
      <c r="Q41" s="438">
        <v>1.0000000000000002</v>
      </c>
    </row>
    <row r="42" spans="1:17">
      <c r="A42" s="432" t="s">
        <v>462</v>
      </c>
      <c r="B42" s="447" t="s">
        <v>463</v>
      </c>
      <c r="C42" s="448"/>
      <c r="D42" s="447"/>
      <c r="E42" s="449"/>
      <c r="F42" s="450">
        <v>0.29017662496385555</v>
      </c>
      <c r="G42" s="450">
        <v>0.27623428482229867</v>
      </c>
      <c r="H42" s="450">
        <v>8.7788526428003971E-2</v>
      </c>
      <c r="I42" s="450">
        <v>3.7973983004632151E-3</v>
      </c>
      <c r="J42" s="450">
        <v>0.20421710637150747</v>
      </c>
      <c r="K42" s="450">
        <v>1.0183795048295306E-2</v>
      </c>
      <c r="L42" s="450">
        <v>3.2018013826848416E-4</v>
      </c>
      <c r="M42" s="450">
        <v>7.7675156756255598E-4</v>
      </c>
      <c r="N42" s="450">
        <v>6.0857000776514243E-2</v>
      </c>
      <c r="O42" s="450">
        <v>2.5132008119255009E-2</v>
      </c>
      <c r="P42" s="450">
        <v>4.0516323463975476E-2</v>
      </c>
      <c r="Q42" s="438">
        <v>1</v>
      </c>
    </row>
    <row r="43" spans="1:17">
      <c r="A43" s="432" t="s">
        <v>464</v>
      </c>
      <c r="B43" s="447" t="s">
        <v>465</v>
      </c>
      <c r="C43" s="448"/>
      <c r="D43" s="447"/>
      <c r="E43" s="449"/>
      <c r="F43" s="450">
        <v>0.2939532830890495</v>
      </c>
      <c r="G43" s="450">
        <v>0.27500085002298275</v>
      </c>
      <c r="H43" s="450">
        <v>8.7516958884956073E-2</v>
      </c>
      <c r="I43" s="450">
        <v>3.812332386589738E-3</v>
      </c>
      <c r="J43" s="450">
        <v>0.20388132354433319</v>
      </c>
      <c r="K43" s="450">
        <v>8.6746663895448418E-3</v>
      </c>
      <c r="L43" s="450">
        <v>3.2722657284148596E-4</v>
      </c>
      <c r="M43" s="450">
        <v>7.9566239914645291E-4</v>
      </c>
      <c r="N43" s="450">
        <v>6.1247510771133523E-2</v>
      </c>
      <c r="O43" s="450">
        <v>2.4819630477047262E-2</v>
      </c>
      <c r="P43" s="450">
        <v>3.9970555462375372E-2</v>
      </c>
      <c r="Q43" s="438">
        <v>1.0000000000000002</v>
      </c>
    </row>
    <row r="44" spans="1:17">
      <c r="A44" s="432" t="s">
        <v>466</v>
      </c>
      <c r="B44" s="447" t="s">
        <v>467</v>
      </c>
      <c r="C44" s="448"/>
      <c r="D44" s="447"/>
      <c r="E44" s="449"/>
      <c r="F44" s="451">
        <v>0.29208701384569535</v>
      </c>
      <c r="G44" s="451">
        <v>0.27553288422421202</v>
      </c>
      <c r="H44" s="451">
        <v>8.8237793506863865E-2</v>
      </c>
      <c r="I44" s="451">
        <v>3.8323255796425082E-3</v>
      </c>
      <c r="J44" s="451">
        <v>0.20541899490660631</v>
      </c>
      <c r="K44" s="451">
        <v>7.769897259571887E-3</v>
      </c>
      <c r="L44" s="451">
        <v>3.2924557319234714E-4</v>
      </c>
      <c r="M44" s="451">
        <v>8.0294275821113533E-4</v>
      </c>
      <c r="N44" s="451">
        <v>6.1153384738386538E-2</v>
      </c>
      <c r="O44" s="451">
        <v>2.4597310888563546E-2</v>
      </c>
      <c r="P44" s="451">
        <v>4.0238206719054329E-2</v>
      </c>
      <c r="Q44" s="438">
        <v>1</v>
      </c>
    </row>
    <row r="45" spans="1:17">
      <c r="A45" s="432" t="s">
        <v>468</v>
      </c>
      <c r="B45" s="447" t="s">
        <v>469</v>
      </c>
      <c r="C45" s="448"/>
      <c r="D45" s="447"/>
      <c r="E45" s="449"/>
      <c r="F45" s="450">
        <v>0.29075041563970921</v>
      </c>
      <c r="G45" s="450">
        <v>0.27704055554019569</v>
      </c>
      <c r="H45" s="450">
        <v>8.7563706205731034E-2</v>
      </c>
      <c r="I45" s="450">
        <v>3.8144385810768597E-3</v>
      </c>
      <c r="J45" s="450">
        <v>0.20265948243093523</v>
      </c>
      <c r="K45" s="450">
        <v>1.0269918653252153E-2</v>
      </c>
      <c r="L45" s="450">
        <v>3.2185091448057415E-4</v>
      </c>
      <c r="M45" s="450">
        <v>7.7897738958629056E-4</v>
      </c>
      <c r="N45" s="450">
        <v>6.1091503876002463E-2</v>
      </c>
      <c r="O45" s="450">
        <v>2.507361310169591E-2</v>
      </c>
      <c r="P45" s="450">
        <v>4.063553766733452E-2</v>
      </c>
      <c r="Q45" s="438">
        <v>1.0000000000000002</v>
      </c>
    </row>
    <row r="46" spans="1:17">
      <c r="A46" s="432" t="s">
        <v>470</v>
      </c>
      <c r="B46" s="447" t="s">
        <v>471</v>
      </c>
      <c r="C46" s="448"/>
      <c r="D46" s="447"/>
      <c r="E46" s="449"/>
      <c r="F46" s="450">
        <v>0.33193956888308668</v>
      </c>
      <c r="G46" s="450">
        <v>0.28234881686183039</v>
      </c>
      <c r="H46" s="450">
        <v>8.3002177261202237E-2</v>
      </c>
      <c r="I46" s="450">
        <v>2.1371009965387047E-3</v>
      </c>
      <c r="J46" s="450">
        <v>0.17939926414313664</v>
      </c>
      <c r="K46" s="450">
        <v>8.1823986072754786E-3</v>
      </c>
      <c r="L46" s="450">
        <v>2.7493017951930681E-4</v>
      </c>
      <c r="M46" s="450">
        <v>4.9810909942752096E-4</v>
      </c>
      <c r="N46" s="450">
        <v>6.7009528042596925E-2</v>
      </c>
      <c r="O46" s="450">
        <v>2.0970153011136229E-2</v>
      </c>
      <c r="P46" s="450">
        <v>2.4237952914249693E-2</v>
      </c>
      <c r="Q46" s="438">
        <v>0.99999999999999978</v>
      </c>
    </row>
    <row r="47" spans="1:17">
      <c r="A47" s="432" t="s">
        <v>472</v>
      </c>
      <c r="B47" s="452" t="s">
        <v>473</v>
      </c>
      <c r="C47" s="453"/>
      <c r="D47" s="452"/>
      <c r="E47" s="454"/>
      <c r="F47" s="455">
        <v>0.28767843594078008</v>
      </c>
      <c r="G47" s="455">
        <v>0.27764717919976772</v>
      </c>
      <c r="H47" s="455">
        <v>8.6791434054469901E-2</v>
      </c>
      <c r="I47" s="455">
        <v>3.7458487046727459E-3</v>
      </c>
      <c r="J47" s="455">
        <v>0.20141912278014154</v>
      </c>
      <c r="K47" s="455">
        <v>1.482245285249378E-2</v>
      </c>
      <c r="L47" s="455">
        <v>3.0808501737833839E-4</v>
      </c>
      <c r="M47" s="455">
        <v>7.4841912361330834E-4</v>
      </c>
      <c r="N47" s="455">
        <v>6.0469430948138732E-2</v>
      </c>
      <c r="O47" s="455">
        <v>2.6084782679610462E-2</v>
      </c>
      <c r="P47" s="455">
        <v>4.0284808698933493E-2</v>
      </c>
      <c r="Q47" s="438">
        <v>1.0000000000000002</v>
      </c>
    </row>
    <row r="48" spans="1:17" s="461" customFormat="1">
      <c r="A48" s="456" t="s">
        <v>377</v>
      </c>
      <c r="B48" s="457" t="s">
        <v>474</v>
      </c>
      <c r="C48" s="458"/>
      <c r="D48" s="458"/>
      <c r="E48" s="457"/>
      <c r="F48" s="459">
        <v>0.40570289086832639</v>
      </c>
      <c r="G48" s="459">
        <v>0.26598105654805188</v>
      </c>
      <c r="H48" s="459">
        <v>7.5877958586585054E-2</v>
      </c>
      <c r="I48" s="459">
        <v>3.9384916002437997E-3</v>
      </c>
      <c r="J48" s="459">
        <v>0.13428626140601868</v>
      </c>
      <c r="K48" s="459">
        <v>9.7629030104687421E-3</v>
      </c>
      <c r="L48" s="459">
        <v>3.2108446322549693E-4</v>
      </c>
      <c r="M48" s="459">
        <v>4.3143758805784326E-4</v>
      </c>
      <c r="N48" s="459">
        <v>7.0219518088221328E-2</v>
      </c>
      <c r="O48" s="459">
        <v>1.5933097212697447E-2</v>
      </c>
      <c r="P48" s="459">
        <v>1.7545300628103312E-2</v>
      </c>
      <c r="Q48" s="460">
        <v>1.0000000000000002</v>
      </c>
    </row>
    <row r="49" spans="1:17">
      <c r="A49" s="462" t="s">
        <v>475</v>
      </c>
      <c r="B49" s="463" t="s">
        <v>476</v>
      </c>
      <c r="C49" s="446"/>
      <c r="D49" s="446"/>
      <c r="E49" s="440"/>
      <c r="F49" s="443">
        <v>0.33680668126884639</v>
      </c>
      <c r="G49" s="443">
        <v>0.27898681643101603</v>
      </c>
      <c r="H49" s="443">
        <v>8.233834795559393E-2</v>
      </c>
      <c r="I49" s="443">
        <v>2.1858721931765964E-3</v>
      </c>
      <c r="J49" s="443">
        <v>0.17862419828225709</v>
      </c>
      <c r="K49" s="443">
        <v>8.9001152732081281E-3</v>
      </c>
      <c r="L49" s="443">
        <v>2.7127544069920735E-4</v>
      </c>
      <c r="M49" s="443">
        <v>4.9956232542445653E-4</v>
      </c>
      <c r="N49" s="443">
        <v>6.6604758897436792E-2</v>
      </c>
      <c r="O49" s="443">
        <v>2.1142061638809512E-2</v>
      </c>
      <c r="P49" s="443">
        <v>2.3640310293532259E-2</v>
      </c>
      <c r="Q49" s="438">
        <v>1.0000000000000002</v>
      </c>
    </row>
    <row r="50" spans="1:17">
      <c r="A50" s="462" t="s">
        <v>477</v>
      </c>
      <c r="B50" s="463" t="s">
        <v>478</v>
      </c>
      <c r="C50" s="446"/>
      <c r="D50" s="446"/>
      <c r="E50" s="440"/>
      <c r="F50" s="443">
        <v>0.3383357686635205</v>
      </c>
      <c r="G50" s="443">
        <v>0.27954070950742194</v>
      </c>
      <c r="H50" s="443">
        <v>8.2139034318504917E-2</v>
      </c>
      <c r="I50" s="443">
        <v>2.0354494697369745E-3</v>
      </c>
      <c r="J50" s="443">
        <v>0.18098550733857577</v>
      </c>
      <c r="K50" s="443">
        <v>8.7411557082667825E-3</v>
      </c>
      <c r="L50" s="443">
        <v>2.419691343957132E-4</v>
      </c>
      <c r="M50" s="443">
        <v>4.3860489234009151E-4</v>
      </c>
      <c r="N50" s="443">
        <v>6.3918950513666487E-2</v>
      </c>
      <c r="O50" s="443">
        <v>2.1084331706573357E-2</v>
      </c>
      <c r="P50" s="443">
        <v>2.2538518746997648E-2</v>
      </c>
      <c r="Q50" s="438">
        <v>1</v>
      </c>
    </row>
    <row r="51" spans="1:17">
      <c r="A51" s="462" t="s">
        <v>479</v>
      </c>
      <c r="B51" s="463" t="s">
        <v>480</v>
      </c>
      <c r="C51" s="446"/>
      <c r="D51" s="446"/>
      <c r="E51" s="440"/>
      <c r="F51" s="443">
        <v>0.61007370947252748</v>
      </c>
      <c r="G51" s="443">
        <v>0.22389960098232509</v>
      </c>
      <c r="H51" s="443">
        <v>5.7003536698228316E-2</v>
      </c>
      <c r="I51" s="443">
        <v>9.3435534552673231E-3</v>
      </c>
      <c r="J51" s="443">
        <v>2.0627488339355191E-4</v>
      </c>
      <c r="K51" s="443">
        <v>1.2468573846410067E-2</v>
      </c>
      <c r="L51" s="443">
        <v>4.952938226102481E-4</v>
      </c>
      <c r="M51" s="443">
        <v>2.8174138100695267E-4</v>
      </c>
      <c r="N51" s="443">
        <v>8.6197946843751774E-2</v>
      </c>
      <c r="O51" s="443">
        <v>2.5599249429131998E-5</v>
      </c>
      <c r="P51" s="443">
        <v>4.1693650509077596E-6</v>
      </c>
      <c r="Q51" s="438">
        <v>1.0000000000000013</v>
      </c>
    </row>
    <row r="52" spans="1:17">
      <c r="A52" s="462" t="s">
        <v>481</v>
      </c>
      <c r="B52" s="463" t="s">
        <v>482</v>
      </c>
      <c r="C52" s="446"/>
      <c r="D52" s="446"/>
      <c r="E52" s="440"/>
      <c r="F52" s="443">
        <v>0.75525651374673564</v>
      </c>
      <c r="G52" s="443">
        <v>0.47227990336294096</v>
      </c>
      <c r="H52" s="443">
        <v>1.9326103025127436E-2</v>
      </c>
      <c r="I52" s="443">
        <v>1.1161059510588638E-2</v>
      </c>
      <c r="J52" s="443">
        <v>-0.17896980065900731</v>
      </c>
      <c r="K52" s="443">
        <v>1.7800316755597241E-2</v>
      </c>
      <c r="L52" s="443">
        <v>1.0420888323349618E-3</v>
      </c>
      <c r="M52" s="443">
        <v>9.3601086859944078E-4</v>
      </c>
      <c r="N52" s="443">
        <v>-0.16173291110341331</v>
      </c>
      <c r="O52" s="443">
        <v>3.0315312790657901E-2</v>
      </c>
      <c r="P52" s="443">
        <v>3.2585402869838478E-2</v>
      </c>
      <c r="Q52" s="438">
        <v>1.0000000000000004</v>
      </c>
    </row>
    <row r="53" spans="1:17">
      <c r="A53" s="462" t="s">
        <v>483</v>
      </c>
      <c r="B53" s="463" t="s">
        <v>484</v>
      </c>
      <c r="C53" s="446"/>
      <c r="D53" s="446"/>
      <c r="E53" s="440"/>
      <c r="F53" s="443">
        <v>0.39214993166058143</v>
      </c>
      <c r="G53" s="443">
        <v>0.26641497183369645</v>
      </c>
      <c r="H53" s="443">
        <v>7.6916354521362071E-2</v>
      </c>
      <c r="I53" s="443">
        <v>4.4646549370649848E-3</v>
      </c>
      <c r="J53" s="443">
        <v>0.14289078086434068</v>
      </c>
      <c r="K53" s="443">
        <v>9.593785457065648E-3</v>
      </c>
      <c r="L53" s="443">
        <v>3.2451453812713848E-4</v>
      </c>
      <c r="M53" s="443">
        <v>4.6190633827331197E-4</v>
      </c>
      <c r="N53" s="443">
        <v>7.0864967695779699E-2</v>
      </c>
      <c r="O53" s="443">
        <v>1.6859547677890312E-2</v>
      </c>
      <c r="P53" s="443">
        <v>1.9058584475818315E-2</v>
      </c>
      <c r="Q53" s="438">
        <v>1</v>
      </c>
    </row>
    <row r="54" spans="1:17">
      <c r="A54" s="462" t="s">
        <v>485</v>
      </c>
      <c r="B54" s="464" t="s">
        <v>486</v>
      </c>
      <c r="C54" s="446"/>
      <c r="D54" s="446"/>
      <c r="E54" s="440"/>
      <c r="F54" s="443">
        <v>0.4104350830158896</v>
      </c>
      <c r="G54" s="443">
        <v>0.26325653151875672</v>
      </c>
      <c r="H54" s="443">
        <v>7.5044590014996443E-2</v>
      </c>
      <c r="I54" s="443">
        <v>4.9525587142784022E-3</v>
      </c>
      <c r="J54" s="443">
        <v>0.13139448527036737</v>
      </c>
      <c r="K54" s="443">
        <v>9.6697267653168082E-3</v>
      </c>
      <c r="L54" s="443">
        <v>3.3514524079547461E-4</v>
      </c>
      <c r="M54" s="443">
        <v>4.3082672743944271E-4</v>
      </c>
      <c r="N54" s="443">
        <v>7.2458392356465437E-2</v>
      </c>
      <c r="O54" s="443">
        <v>1.5434345588147701E-2</v>
      </c>
      <c r="P54" s="443">
        <v>1.6588314787546705E-2</v>
      </c>
      <c r="Q54" s="438">
        <v>1</v>
      </c>
    </row>
    <row r="55" spans="1:17">
      <c r="A55" s="462" t="s">
        <v>487</v>
      </c>
      <c r="B55" s="463" t="s">
        <v>488</v>
      </c>
      <c r="C55" s="446"/>
      <c r="D55" s="446"/>
      <c r="E55" s="440"/>
      <c r="F55" s="443">
        <v>0.33997135828733632</v>
      </c>
      <c r="G55" s="443">
        <v>0.27917596807167933</v>
      </c>
      <c r="H55" s="443">
        <v>8.1953902946807544E-2</v>
      </c>
      <c r="I55" s="443">
        <v>2.0742637119581415E-3</v>
      </c>
      <c r="J55" s="443">
        <v>0.17686896195026761</v>
      </c>
      <c r="K55" s="443">
        <v>8.7992464218833756E-3</v>
      </c>
      <c r="L55" s="443">
        <v>2.6794661367604507E-4</v>
      </c>
      <c r="M55" s="443">
        <v>4.8027826302672258E-4</v>
      </c>
      <c r="N55" s="443">
        <v>6.7018680676729017E-2</v>
      </c>
      <c r="O55" s="443">
        <v>2.0888796920675048E-2</v>
      </c>
      <c r="P55" s="443">
        <v>2.2500596135961001E-2</v>
      </c>
      <c r="Q55" s="438">
        <v>0.99999999999999989</v>
      </c>
    </row>
    <row r="56" spans="1:17">
      <c r="A56" s="462" t="s">
        <v>489</v>
      </c>
      <c r="B56" s="463" t="s">
        <v>490</v>
      </c>
      <c r="C56" s="446"/>
      <c r="D56" s="446"/>
      <c r="E56" s="440"/>
      <c r="F56" s="443">
        <v>0.33862016316085986</v>
      </c>
      <c r="G56" s="443">
        <v>0.27806640046166609</v>
      </c>
      <c r="H56" s="443">
        <v>8.1628182230758684E-2</v>
      </c>
      <c r="I56" s="443">
        <v>2.0660196791880158E-3</v>
      </c>
      <c r="J56" s="443">
        <v>0.18000674894080956</v>
      </c>
      <c r="K56" s="443">
        <v>8.764274361466845E-3</v>
      </c>
      <c r="L56" s="443">
        <v>2.6688167644021781E-4</v>
      </c>
      <c r="M56" s="443">
        <v>4.7836942678938928E-4</v>
      </c>
      <c r="N56" s="443">
        <v>6.6752319077418215E-2</v>
      </c>
      <c r="O56" s="443">
        <v>2.0939472075673423E-2</v>
      </c>
      <c r="P56" s="443">
        <v>2.2411168908929625E-2</v>
      </c>
      <c r="Q56" s="438">
        <v>0.99999999999999978</v>
      </c>
    </row>
    <row r="57" spans="1:17">
      <c r="A57" s="462" t="s">
        <v>491</v>
      </c>
      <c r="B57" s="463" t="s">
        <v>492</v>
      </c>
      <c r="C57" s="446"/>
      <c r="D57" s="446"/>
      <c r="E57" s="440"/>
      <c r="F57" s="443">
        <v>0.60938950687580962</v>
      </c>
      <c r="G57" s="443">
        <v>0.2196261961255426</v>
      </c>
      <c r="H57" s="443">
        <v>5.5963056107712628E-2</v>
      </c>
      <c r="I57" s="443">
        <v>1.3035685353308788E-2</v>
      </c>
      <c r="J57" s="443">
        <v>8.8618840158615592E-4</v>
      </c>
      <c r="K57" s="443">
        <v>1.2144560818295217E-2</v>
      </c>
      <c r="L57" s="443">
        <v>5.2467228276134961E-4</v>
      </c>
      <c r="M57" s="443">
        <v>2.938622433051526E-4</v>
      </c>
      <c r="N57" s="443">
        <v>8.7968410323375101E-2</v>
      </c>
      <c r="O57" s="443">
        <v>8.3930734151806721E-5</v>
      </c>
      <c r="P57" s="443">
        <v>8.3930734151806721E-5</v>
      </c>
      <c r="Q57" s="438">
        <v>1.0000000000000002</v>
      </c>
    </row>
    <row r="58" spans="1:17">
      <c r="A58" s="462" t="s">
        <v>493</v>
      </c>
      <c r="B58" s="463" t="s">
        <v>494</v>
      </c>
      <c r="C58" s="446"/>
      <c r="D58" s="446"/>
      <c r="E58" s="440"/>
      <c r="F58" s="443">
        <v>0.4104350830158896</v>
      </c>
      <c r="G58" s="443">
        <v>0.26325653151875672</v>
      </c>
      <c r="H58" s="443">
        <v>7.5044590014996443E-2</v>
      </c>
      <c r="I58" s="443">
        <v>4.9525587142784022E-3</v>
      </c>
      <c r="J58" s="443">
        <v>0.13139448527036737</v>
      </c>
      <c r="K58" s="443">
        <v>9.6697267653168082E-3</v>
      </c>
      <c r="L58" s="443">
        <v>3.3514524079547461E-4</v>
      </c>
      <c r="M58" s="443">
        <v>4.3082672743944271E-4</v>
      </c>
      <c r="N58" s="443">
        <v>7.2458392356465437E-2</v>
      </c>
      <c r="O58" s="443">
        <v>1.5434345588147701E-2</v>
      </c>
      <c r="P58" s="443">
        <v>1.6588314787546705E-2</v>
      </c>
      <c r="Q58" s="438">
        <v>1</v>
      </c>
    </row>
    <row r="59" spans="1:17">
      <c r="A59" s="462" t="s">
        <v>495</v>
      </c>
      <c r="B59" s="463" t="s">
        <v>496</v>
      </c>
      <c r="C59" s="446"/>
      <c r="D59" s="446"/>
      <c r="E59" s="440"/>
      <c r="F59" s="443">
        <v>0.4104350830158896</v>
      </c>
      <c r="G59" s="443">
        <v>0.26325653151875672</v>
      </c>
      <c r="H59" s="443">
        <v>7.5044590014996443E-2</v>
      </c>
      <c r="I59" s="443">
        <v>4.9525587142784022E-3</v>
      </c>
      <c r="J59" s="443">
        <v>0.13139448527036737</v>
      </c>
      <c r="K59" s="443">
        <v>9.6697267653168082E-3</v>
      </c>
      <c r="L59" s="443">
        <v>3.3514524079547461E-4</v>
      </c>
      <c r="M59" s="443">
        <v>4.3082672743944271E-4</v>
      </c>
      <c r="N59" s="443">
        <v>7.2458392356465437E-2</v>
      </c>
      <c r="O59" s="443">
        <v>1.5434345588147701E-2</v>
      </c>
      <c r="P59" s="443">
        <v>1.6588314787546705E-2</v>
      </c>
      <c r="Q59" s="438">
        <v>1</v>
      </c>
    </row>
    <row r="60" spans="1:17">
      <c r="A60" s="462" t="s">
        <v>497</v>
      </c>
      <c r="B60" s="464" t="s">
        <v>498</v>
      </c>
      <c r="C60" s="446"/>
      <c r="D60" s="446"/>
      <c r="E60" s="440"/>
      <c r="F60" s="443">
        <v>0.33333333333333331</v>
      </c>
      <c r="G60" s="443">
        <v>0</v>
      </c>
      <c r="H60" s="443">
        <v>0</v>
      </c>
      <c r="I60" s="443">
        <v>0</v>
      </c>
      <c r="J60" s="443">
        <v>0</v>
      </c>
      <c r="K60" s="443">
        <v>0.33333333333333331</v>
      </c>
      <c r="L60" s="443">
        <v>0</v>
      </c>
      <c r="M60" s="443">
        <v>0</v>
      </c>
      <c r="N60" s="443">
        <v>0.33333333333333331</v>
      </c>
      <c r="O60" s="443">
        <v>0</v>
      </c>
      <c r="P60" s="443">
        <v>0</v>
      </c>
      <c r="Q60" s="438">
        <v>1</v>
      </c>
    </row>
    <row r="61" spans="1:17">
      <c r="A61" s="439" t="s">
        <v>499</v>
      </c>
      <c r="B61" s="440" t="s">
        <v>500</v>
      </c>
      <c r="C61" s="446"/>
      <c r="D61" s="446"/>
      <c r="E61" s="440"/>
      <c r="F61" s="443">
        <v>0.40891430547813079</v>
      </c>
      <c r="G61" s="443">
        <v>0.26405621658759104</v>
      </c>
      <c r="H61" s="443">
        <v>7.5345787783584237E-2</v>
      </c>
      <c r="I61" s="443">
        <v>3.9375791709824002E-3</v>
      </c>
      <c r="J61" s="443">
        <v>0.13258006328072083</v>
      </c>
      <c r="K61" s="443">
        <v>9.732825537279291E-3</v>
      </c>
      <c r="L61" s="443">
        <v>3.3421463422730186E-4</v>
      </c>
      <c r="M61" s="443">
        <v>4.3831364015085958E-4</v>
      </c>
      <c r="N61" s="443">
        <v>7.2202425608753215E-2</v>
      </c>
      <c r="O61" s="443">
        <v>1.5577551332141483E-2</v>
      </c>
      <c r="P61" s="443">
        <v>1.6880716946438928E-2</v>
      </c>
      <c r="Q61" s="438">
        <v>1.0000000000000002</v>
      </c>
    </row>
    <row r="62" spans="1:17">
      <c r="A62" s="462" t="s">
        <v>501</v>
      </c>
      <c r="B62" s="463" t="s">
        <v>502</v>
      </c>
      <c r="C62" s="446"/>
      <c r="D62" s="446"/>
      <c r="E62" s="440"/>
      <c r="F62" s="443">
        <v>0.33889850132813115</v>
      </c>
      <c r="G62" s="443">
        <v>0.27910416167977997</v>
      </c>
      <c r="H62" s="443">
        <v>8.2084145782594681E-2</v>
      </c>
      <c r="I62" s="443">
        <v>2.1118562638487103E-3</v>
      </c>
      <c r="J62" s="443">
        <v>0.17747190001568625</v>
      </c>
      <c r="K62" s="443">
        <v>8.8335271898461552E-3</v>
      </c>
      <c r="L62" s="443">
        <v>2.6905831647660992E-4</v>
      </c>
      <c r="M62" s="443">
        <v>4.8675787960130037E-4</v>
      </c>
      <c r="N62" s="443">
        <v>6.6876463551699003E-2</v>
      </c>
      <c r="O62" s="443">
        <v>2.0976234249733099E-2</v>
      </c>
      <c r="P62" s="443">
        <v>2.2887393742603238E-2</v>
      </c>
      <c r="Q62" s="438">
        <v>0.99999999999999967</v>
      </c>
    </row>
    <row r="63" spans="1:17">
      <c r="A63" s="462" t="s">
        <v>503</v>
      </c>
      <c r="B63" s="463" t="s">
        <v>504</v>
      </c>
      <c r="C63" s="446"/>
      <c r="D63" s="446"/>
      <c r="E63" s="440"/>
      <c r="F63" s="443">
        <v>0.33862050954527501</v>
      </c>
      <c r="G63" s="443">
        <v>0.27806668490387593</v>
      </c>
      <c r="H63" s="443">
        <v>8.1628265730600807E-2</v>
      </c>
      <c r="I63" s="443">
        <v>2.0660217925796451E-3</v>
      </c>
      <c r="J63" s="443">
        <v>0.18000594455623917</v>
      </c>
      <c r="K63" s="443">
        <v>8.7642833266980379E-3</v>
      </c>
      <c r="L63" s="443">
        <v>2.6688194944124801E-4</v>
      </c>
      <c r="M63" s="443">
        <v>4.7836991612739148E-4</v>
      </c>
      <c r="N63" s="443">
        <v>6.6752387360307183E-2</v>
      </c>
      <c r="O63" s="443">
        <v>2.0939459084889506E-2</v>
      </c>
      <c r="P63" s="443">
        <v>2.2411191833966233E-2</v>
      </c>
      <c r="Q63" s="438">
        <v>1</v>
      </c>
    </row>
    <row r="64" spans="1:17">
      <c r="A64" s="462" t="s">
        <v>505</v>
      </c>
      <c r="B64" s="463" t="s">
        <v>506</v>
      </c>
      <c r="C64" s="446"/>
      <c r="D64" s="446"/>
      <c r="E64" s="440"/>
      <c r="F64" s="443">
        <v>0.60891033431760022</v>
      </c>
      <c r="G64" s="443">
        <v>0.22328953927652229</v>
      </c>
      <c r="H64" s="443">
        <v>5.6822804821003221E-2</v>
      </c>
      <c r="I64" s="443">
        <v>9.2418421477581773E-3</v>
      </c>
      <c r="J64" s="443">
        <v>7.0168351677762084E-4</v>
      </c>
      <c r="K64" s="443">
        <v>1.2460369927903003E-2</v>
      </c>
      <c r="L64" s="443">
        <v>5.0782695463138735E-4</v>
      </c>
      <c r="M64" s="443">
        <v>3.0525861452756315E-4</v>
      </c>
      <c r="N64" s="443">
        <v>8.7627427799730984E-2</v>
      </c>
      <c r="O64" s="443">
        <v>6.645631177293363E-5</v>
      </c>
      <c r="P64" s="443">
        <v>6.645631177293363E-5</v>
      </c>
      <c r="Q64" s="438">
        <v>1.0000000000000002</v>
      </c>
    </row>
    <row r="65" spans="1:17">
      <c r="A65" s="462" t="s">
        <v>507</v>
      </c>
      <c r="B65" s="463" t="s">
        <v>508</v>
      </c>
      <c r="C65" s="446"/>
      <c r="D65" s="446"/>
      <c r="E65" s="440"/>
      <c r="F65" s="443">
        <v>0.87062731305797469</v>
      </c>
      <c r="G65" s="443">
        <v>1.9150612573829728E-2</v>
      </c>
      <c r="H65" s="443">
        <v>2.9765273619160602E-4</v>
      </c>
      <c r="I65" s="443">
        <v>9.353199505368991E-3</v>
      </c>
      <c r="J65" s="443">
        <v>6.6028270901704255E-4</v>
      </c>
      <c r="K65" s="443">
        <v>3.4610910285908297E-3</v>
      </c>
      <c r="L65" s="443">
        <v>2.6980186803346284E-3</v>
      </c>
      <c r="M65" s="443">
        <v>5.8514939584850196E-4</v>
      </c>
      <c r="N65" s="443">
        <v>9.3158772735489462E-2</v>
      </c>
      <c r="O65" s="443">
        <v>3.9537886767487536E-6</v>
      </c>
      <c r="P65" s="443">
        <v>3.9537886767487536E-6</v>
      </c>
      <c r="Q65" s="438">
        <v>0.99999999999999911</v>
      </c>
    </row>
    <row r="66" spans="1:17">
      <c r="A66" s="462" t="s">
        <v>509</v>
      </c>
      <c r="B66" s="463" t="s">
        <v>510</v>
      </c>
      <c r="C66" s="446"/>
      <c r="D66" s="446"/>
      <c r="E66" s="440"/>
      <c r="F66" s="443">
        <v>0.40891430547813079</v>
      </c>
      <c r="G66" s="443">
        <v>0.26405621658759104</v>
      </c>
      <c r="H66" s="443">
        <v>7.5345787783584237E-2</v>
      </c>
      <c r="I66" s="443">
        <v>3.9375791709824002E-3</v>
      </c>
      <c r="J66" s="443">
        <v>0.13258006328072083</v>
      </c>
      <c r="K66" s="443">
        <v>9.732825537279291E-3</v>
      </c>
      <c r="L66" s="443">
        <v>3.3421463422730186E-4</v>
      </c>
      <c r="M66" s="443">
        <v>4.3831364015085958E-4</v>
      </c>
      <c r="N66" s="443">
        <v>7.2202425608753215E-2</v>
      </c>
      <c r="O66" s="443">
        <v>1.5577551332141483E-2</v>
      </c>
      <c r="P66" s="443">
        <v>1.6880716946438928E-2</v>
      </c>
      <c r="Q66" s="438">
        <v>1.0000000000000002</v>
      </c>
    </row>
    <row r="67" spans="1:17">
      <c r="A67" s="439" t="s">
        <v>511</v>
      </c>
      <c r="B67" s="440" t="s">
        <v>512</v>
      </c>
      <c r="C67" s="446"/>
      <c r="D67" s="446"/>
      <c r="E67" s="440"/>
      <c r="F67" s="443">
        <v>0.33952264637448393</v>
      </c>
      <c r="G67" s="443">
        <v>0.27880749708257324</v>
      </c>
      <c r="H67" s="443">
        <v>8.1845735915495751E-2</v>
      </c>
      <c r="I67" s="443">
        <v>2.071525990631728E-3</v>
      </c>
      <c r="J67" s="443">
        <v>0.17791097459156605</v>
      </c>
      <c r="K67" s="443">
        <v>8.7876327179716301E-3</v>
      </c>
      <c r="L67" s="443">
        <v>2.6759296377397511E-4</v>
      </c>
      <c r="M67" s="443">
        <v>4.7964436675031332E-4</v>
      </c>
      <c r="N67" s="443">
        <v>6.6930225929968029E-2</v>
      </c>
      <c r="O67" s="443">
        <v>2.0905625389996654E-2</v>
      </c>
      <c r="P67" s="443">
        <v>2.2470898676788711E-2</v>
      </c>
      <c r="Q67" s="438">
        <v>0.99999999999999978</v>
      </c>
    </row>
    <row r="68" spans="1:17">
      <c r="A68" s="462" t="s">
        <v>513</v>
      </c>
      <c r="B68" s="463" t="s">
        <v>488</v>
      </c>
      <c r="C68" s="446"/>
      <c r="D68" s="446"/>
      <c r="E68" s="440"/>
      <c r="F68" s="443">
        <v>0.33997135828733632</v>
      </c>
      <c r="G68" s="443">
        <v>0.27917596807167933</v>
      </c>
      <c r="H68" s="443">
        <v>8.1953902946807544E-2</v>
      </c>
      <c r="I68" s="443">
        <v>2.0742637119581415E-3</v>
      </c>
      <c r="J68" s="443">
        <v>0.17686896195026761</v>
      </c>
      <c r="K68" s="443">
        <v>8.7992464218833756E-3</v>
      </c>
      <c r="L68" s="443">
        <v>2.6794661367604507E-4</v>
      </c>
      <c r="M68" s="443">
        <v>4.8027826302672258E-4</v>
      </c>
      <c r="N68" s="443">
        <v>6.7018680676729017E-2</v>
      </c>
      <c r="O68" s="443">
        <v>2.0888796920675048E-2</v>
      </c>
      <c r="P68" s="443">
        <v>2.2500596135961001E-2</v>
      </c>
      <c r="Q68" s="438">
        <v>0.99999999999999989</v>
      </c>
    </row>
    <row r="69" spans="1:17">
      <c r="A69" s="462" t="s">
        <v>514</v>
      </c>
      <c r="B69" s="463" t="s">
        <v>490</v>
      </c>
      <c r="C69" s="446"/>
      <c r="D69" s="446"/>
      <c r="E69" s="440"/>
      <c r="F69" s="443">
        <v>0.33862016316085986</v>
      </c>
      <c r="G69" s="443">
        <v>0.27806640046166609</v>
      </c>
      <c r="H69" s="443">
        <v>8.1628182230758684E-2</v>
      </c>
      <c r="I69" s="443">
        <v>2.0660196791880158E-3</v>
      </c>
      <c r="J69" s="443">
        <v>0.18000674894080956</v>
      </c>
      <c r="K69" s="443">
        <v>8.764274361466845E-3</v>
      </c>
      <c r="L69" s="443">
        <v>2.6688167644021781E-4</v>
      </c>
      <c r="M69" s="443">
        <v>4.7836942678938928E-4</v>
      </c>
      <c r="N69" s="443">
        <v>6.6752319077418215E-2</v>
      </c>
      <c r="O69" s="443">
        <v>2.0939472075673423E-2</v>
      </c>
      <c r="P69" s="443">
        <v>2.2411168908929625E-2</v>
      </c>
      <c r="Q69" s="438">
        <v>0.99999999999999978</v>
      </c>
    </row>
    <row r="70" spans="1:17">
      <c r="A70" s="462" t="s">
        <v>515</v>
      </c>
      <c r="B70" s="463" t="s">
        <v>492</v>
      </c>
      <c r="C70" s="446"/>
      <c r="D70" s="446"/>
      <c r="E70" s="440"/>
      <c r="F70" s="443">
        <v>9.0909090909090912E-2</v>
      </c>
      <c r="G70" s="443">
        <v>9.0909090909090912E-2</v>
      </c>
      <c r="H70" s="443">
        <v>9.0909090909090912E-2</v>
      </c>
      <c r="I70" s="443">
        <v>9.0909090909090912E-2</v>
      </c>
      <c r="J70" s="443">
        <v>9.0909090909090912E-2</v>
      </c>
      <c r="K70" s="443">
        <v>9.0909090909090912E-2</v>
      </c>
      <c r="L70" s="443">
        <v>9.0909090909090912E-2</v>
      </c>
      <c r="M70" s="443">
        <v>9.0909090909090912E-2</v>
      </c>
      <c r="N70" s="443">
        <v>9.0909090909090912E-2</v>
      </c>
      <c r="O70" s="443">
        <v>9.0909090909090912E-2</v>
      </c>
      <c r="P70" s="443">
        <v>9.0909090909090912E-2</v>
      </c>
      <c r="Q70" s="438">
        <v>1.0000000000000002</v>
      </c>
    </row>
    <row r="71" spans="1:17">
      <c r="A71" s="462" t="s">
        <v>516</v>
      </c>
      <c r="B71" s="463" t="s">
        <v>494</v>
      </c>
      <c r="C71" s="446"/>
      <c r="D71" s="446"/>
      <c r="E71" s="440"/>
      <c r="F71" s="443">
        <v>9.0909090909090912E-2</v>
      </c>
      <c r="G71" s="443">
        <v>9.0909090909090912E-2</v>
      </c>
      <c r="H71" s="443">
        <v>9.0909090909090912E-2</v>
      </c>
      <c r="I71" s="443">
        <v>9.0909090909090912E-2</v>
      </c>
      <c r="J71" s="443">
        <v>9.0909090909090912E-2</v>
      </c>
      <c r="K71" s="443">
        <v>9.0909090909090912E-2</v>
      </c>
      <c r="L71" s="443">
        <v>9.0909090909090912E-2</v>
      </c>
      <c r="M71" s="443">
        <v>9.0909090909090912E-2</v>
      </c>
      <c r="N71" s="443">
        <v>9.0909090909090912E-2</v>
      </c>
      <c r="O71" s="443">
        <v>9.0909090909090912E-2</v>
      </c>
      <c r="P71" s="443">
        <v>9.0909090909090912E-2</v>
      </c>
      <c r="Q71" s="438">
        <v>1.0000000000000002</v>
      </c>
    </row>
    <row r="72" spans="1:17">
      <c r="A72" s="462" t="s">
        <v>517</v>
      </c>
      <c r="B72" s="463" t="s">
        <v>496</v>
      </c>
      <c r="C72" s="446"/>
      <c r="D72" s="446"/>
      <c r="E72" s="440"/>
      <c r="F72" s="443">
        <v>9.0909090909090912E-2</v>
      </c>
      <c r="G72" s="443">
        <v>9.0909090909090912E-2</v>
      </c>
      <c r="H72" s="443">
        <v>9.0909090909090912E-2</v>
      </c>
      <c r="I72" s="443">
        <v>9.0909090909090912E-2</v>
      </c>
      <c r="J72" s="443">
        <v>9.0909090909090912E-2</v>
      </c>
      <c r="K72" s="443">
        <v>9.0909090909090912E-2</v>
      </c>
      <c r="L72" s="443">
        <v>9.0909090909090912E-2</v>
      </c>
      <c r="M72" s="443">
        <v>9.0909090909090912E-2</v>
      </c>
      <c r="N72" s="443">
        <v>9.0909090909090912E-2</v>
      </c>
      <c r="O72" s="443">
        <v>9.0909090909090912E-2</v>
      </c>
      <c r="P72" s="443">
        <v>9.0909090909090912E-2</v>
      </c>
      <c r="Q72" s="438">
        <v>1.0000000000000002</v>
      </c>
    </row>
    <row r="73" spans="1:17">
      <c r="A73" s="439" t="s">
        <v>518</v>
      </c>
      <c r="B73" s="440" t="s">
        <v>519</v>
      </c>
      <c r="C73" s="446"/>
      <c r="D73" s="446"/>
      <c r="E73" s="440"/>
      <c r="F73" s="443">
        <v>0.33862016316085986</v>
      </c>
      <c r="G73" s="443">
        <v>0.27806640046166609</v>
      </c>
      <c r="H73" s="443">
        <v>8.1628182230758684E-2</v>
      </c>
      <c r="I73" s="443">
        <v>2.0660196791880158E-3</v>
      </c>
      <c r="J73" s="443">
        <v>0.18000674894080956</v>
      </c>
      <c r="K73" s="443">
        <v>8.764274361466845E-3</v>
      </c>
      <c r="L73" s="443">
        <v>2.6688167644021781E-4</v>
      </c>
      <c r="M73" s="443">
        <v>4.7836942678938928E-4</v>
      </c>
      <c r="N73" s="443">
        <v>6.6752319077418215E-2</v>
      </c>
      <c r="O73" s="443">
        <v>2.0939472075673423E-2</v>
      </c>
      <c r="P73" s="443">
        <v>2.2411168908929625E-2</v>
      </c>
      <c r="Q73" s="438">
        <v>0.99999999999999978</v>
      </c>
    </row>
    <row r="74" spans="1:17">
      <c r="A74" s="444" t="s">
        <v>520</v>
      </c>
      <c r="B74" s="465" t="s">
        <v>521</v>
      </c>
      <c r="C74" s="446"/>
      <c r="D74" s="446"/>
      <c r="E74" s="440"/>
      <c r="F74" s="443">
        <v>0.47879097261865489</v>
      </c>
      <c r="G74" s="443">
        <v>0.24781330520987482</v>
      </c>
      <c r="H74" s="443">
        <v>6.8341960629206153E-2</v>
      </c>
      <c r="I74" s="443">
        <v>7.7447530835191283E-3</v>
      </c>
      <c r="J74" s="443">
        <v>8.7280321285289508E-2</v>
      </c>
      <c r="K74" s="443">
        <v>1.0514167766503355E-2</v>
      </c>
      <c r="L74" s="443">
        <v>4.0033370414350664E-4</v>
      </c>
      <c r="M74" s="443">
        <v>3.8285447334255468E-4</v>
      </c>
      <c r="N74" s="443">
        <v>7.7735381792992608E-2</v>
      </c>
      <c r="O74" s="443">
        <v>1.0143057417302367E-2</v>
      </c>
      <c r="P74" s="443">
        <v>1.0852892019171088E-2</v>
      </c>
      <c r="Q74" s="438">
        <v>0.99999999999999978</v>
      </c>
    </row>
    <row r="75" spans="1:17">
      <c r="A75" s="462" t="s">
        <v>522</v>
      </c>
      <c r="B75" s="463" t="s">
        <v>488</v>
      </c>
      <c r="C75" s="446"/>
      <c r="D75" s="446"/>
      <c r="E75" s="440"/>
      <c r="F75" s="443">
        <v>0.33997135828733632</v>
      </c>
      <c r="G75" s="443">
        <v>0.27917596807167933</v>
      </c>
      <c r="H75" s="443">
        <v>8.1953902946807544E-2</v>
      </c>
      <c r="I75" s="443">
        <v>2.0742637119581415E-3</v>
      </c>
      <c r="J75" s="443">
        <v>0.17686896195026761</v>
      </c>
      <c r="K75" s="443">
        <v>8.7992464218833756E-3</v>
      </c>
      <c r="L75" s="443">
        <v>2.6794661367604507E-4</v>
      </c>
      <c r="M75" s="443">
        <v>4.8027826302672258E-4</v>
      </c>
      <c r="N75" s="443">
        <v>6.7018680676729017E-2</v>
      </c>
      <c r="O75" s="443">
        <v>2.0888796920675048E-2</v>
      </c>
      <c r="P75" s="443">
        <v>2.2500596135961001E-2</v>
      </c>
      <c r="Q75" s="438">
        <v>0.99999999999999989</v>
      </c>
    </row>
    <row r="76" spans="1:17">
      <c r="A76" s="462" t="s">
        <v>523</v>
      </c>
      <c r="B76" s="463" t="s">
        <v>490</v>
      </c>
      <c r="C76" s="446"/>
      <c r="D76" s="446"/>
      <c r="E76" s="440"/>
      <c r="F76" s="443">
        <v>0.33862016316085986</v>
      </c>
      <c r="G76" s="443">
        <v>0.27806640046166609</v>
      </c>
      <c r="H76" s="443">
        <v>8.1628182230758684E-2</v>
      </c>
      <c r="I76" s="443">
        <v>2.0660196791880158E-3</v>
      </c>
      <c r="J76" s="443">
        <v>0.18000674894080956</v>
      </c>
      <c r="K76" s="443">
        <v>8.764274361466845E-3</v>
      </c>
      <c r="L76" s="443">
        <v>2.6688167644021781E-4</v>
      </c>
      <c r="M76" s="443">
        <v>4.7836942678938928E-4</v>
      </c>
      <c r="N76" s="443">
        <v>6.6752319077418215E-2</v>
      </c>
      <c r="O76" s="443">
        <v>2.0939472075673423E-2</v>
      </c>
      <c r="P76" s="443">
        <v>2.2411168908929625E-2</v>
      </c>
      <c r="Q76" s="438">
        <v>0.99999999999999978</v>
      </c>
    </row>
    <row r="77" spans="1:17">
      <c r="A77" s="462" t="s">
        <v>524</v>
      </c>
      <c r="B77" s="463" t="s">
        <v>492</v>
      </c>
      <c r="C77" s="446"/>
      <c r="D77" s="446"/>
      <c r="E77" s="440"/>
      <c r="F77" s="443">
        <v>0.60938950687580962</v>
      </c>
      <c r="G77" s="443">
        <v>0.2196261961255426</v>
      </c>
      <c r="H77" s="443">
        <v>5.5963056107712628E-2</v>
      </c>
      <c r="I77" s="443">
        <v>1.3035685353308788E-2</v>
      </c>
      <c r="J77" s="443">
        <v>8.8618840158615592E-4</v>
      </c>
      <c r="K77" s="443">
        <v>1.2144560818295217E-2</v>
      </c>
      <c r="L77" s="443">
        <v>5.2467228276134961E-4</v>
      </c>
      <c r="M77" s="443">
        <v>2.938622433051526E-4</v>
      </c>
      <c r="N77" s="443">
        <v>8.7968410323375101E-2</v>
      </c>
      <c r="O77" s="443">
        <v>8.3930734151806721E-5</v>
      </c>
      <c r="P77" s="443">
        <v>8.3930734151806721E-5</v>
      </c>
      <c r="Q77" s="438">
        <v>1.0000000000000002</v>
      </c>
    </row>
    <row r="78" spans="1:17">
      <c r="A78" s="462" t="s">
        <v>525</v>
      </c>
      <c r="B78" s="463" t="s">
        <v>494</v>
      </c>
      <c r="C78" s="446"/>
      <c r="D78" s="446"/>
      <c r="E78" s="440"/>
      <c r="F78" s="443">
        <v>0.60938950687580962</v>
      </c>
      <c r="G78" s="443">
        <v>0.2196261961255426</v>
      </c>
      <c r="H78" s="443">
        <v>5.5963056107712628E-2</v>
      </c>
      <c r="I78" s="443">
        <v>1.3035685353308788E-2</v>
      </c>
      <c r="J78" s="443">
        <v>8.8618840158615592E-4</v>
      </c>
      <c r="K78" s="443">
        <v>1.2144560818295217E-2</v>
      </c>
      <c r="L78" s="443">
        <v>5.2467228276134961E-4</v>
      </c>
      <c r="M78" s="443">
        <v>2.938622433051526E-4</v>
      </c>
      <c r="N78" s="443">
        <v>8.7968410323375101E-2</v>
      </c>
      <c r="O78" s="443">
        <v>8.3930734151806721E-5</v>
      </c>
      <c r="P78" s="443">
        <v>8.3930734151806721E-5</v>
      </c>
      <c r="Q78" s="438">
        <v>1.0000000000000002</v>
      </c>
    </row>
    <row r="79" spans="1:17">
      <c r="A79" s="462" t="s">
        <v>526</v>
      </c>
      <c r="B79" s="463" t="s">
        <v>496</v>
      </c>
      <c r="C79" s="446"/>
      <c r="D79" s="446"/>
      <c r="E79" s="440"/>
      <c r="F79" s="443">
        <v>0.60938950687580962</v>
      </c>
      <c r="G79" s="443">
        <v>0.2196261961255426</v>
      </c>
      <c r="H79" s="443">
        <v>5.5963056107712628E-2</v>
      </c>
      <c r="I79" s="443">
        <v>1.3035685353308788E-2</v>
      </c>
      <c r="J79" s="443">
        <v>8.8618840158615592E-4</v>
      </c>
      <c r="K79" s="443">
        <v>1.2144560818295217E-2</v>
      </c>
      <c r="L79" s="443">
        <v>5.2467228276134961E-4</v>
      </c>
      <c r="M79" s="443">
        <v>2.938622433051526E-4</v>
      </c>
      <c r="N79" s="443">
        <v>8.7968410323375101E-2</v>
      </c>
      <c r="O79" s="443">
        <v>8.3930734151806721E-5</v>
      </c>
      <c r="P79" s="443">
        <v>8.3930734151806721E-5</v>
      </c>
      <c r="Q79" s="438">
        <v>1.0000000000000002</v>
      </c>
    </row>
    <row r="80" spans="1:17">
      <c r="A80" s="439" t="s">
        <v>527</v>
      </c>
      <c r="B80" s="440" t="s">
        <v>528</v>
      </c>
      <c r="C80" s="446"/>
      <c r="D80" s="446"/>
      <c r="E80" s="440"/>
      <c r="F80" s="443">
        <v>0.42947981238979671</v>
      </c>
      <c r="G80" s="443">
        <v>0.25443969460793942</v>
      </c>
      <c r="H80" s="443">
        <v>7.2852311702501768E-2</v>
      </c>
      <c r="I80" s="443">
        <v>6.0457267131623933E-3</v>
      </c>
      <c r="J80" s="443">
        <v>0.12128060863229669</v>
      </c>
      <c r="K80" s="443">
        <v>1.0030473883031592E-2</v>
      </c>
      <c r="L80" s="443">
        <v>4.0049110824425167E-4</v>
      </c>
      <c r="M80" s="443">
        <v>4.6487648730807537E-4</v>
      </c>
      <c r="N80" s="443">
        <v>7.327156698750284E-2</v>
      </c>
      <c r="O80" s="443">
        <v>1.4332107695844323E-2</v>
      </c>
      <c r="P80" s="443">
        <v>1.7402329792371763E-2</v>
      </c>
      <c r="Q80" s="438">
        <v>0.99999999999999989</v>
      </c>
    </row>
    <row r="81" spans="1:17">
      <c r="A81" s="462" t="s">
        <v>529</v>
      </c>
      <c r="B81" s="463" t="s">
        <v>530</v>
      </c>
      <c r="C81" s="446"/>
      <c r="D81" s="446"/>
      <c r="E81" s="440"/>
      <c r="F81" s="443">
        <v>0.31931214799919189</v>
      </c>
      <c r="G81" s="443">
        <v>0.27779324567093994</v>
      </c>
      <c r="H81" s="443">
        <v>8.4461892581366077E-2</v>
      </c>
      <c r="I81" s="443">
        <v>2.7981555859975444E-3</v>
      </c>
      <c r="J81" s="443">
        <v>0.18847929283113313</v>
      </c>
      <c r="K81" s="443">
        <v>9.4593657305252522E-3</v>
      </c>
      <c r="L81" s="443">
        <v>2.8935384950345966E-4</v>
      </c>
      <c r="M81" s="443">
        <v>6.0505143083086524E-4</v>
      </c>
      <c r="N81" s="443">
        <v>6.4280111040430535E-2</v>
      </c>
      <c r="O81" s="443">
        <v>2.2572512678442274E-2</v>
      </c>
      <c r="P81" s="443">
        <v>2.9948870601639067E-2</v>
      </c>
      <c r="Q81" s="438">
        <v>1</v>
      </c>
    </row>
    <row r="82" spans="1:17">
      <c r="A82" s="462" t="s">
        <v>531</v>
      </c>
      <c r="B82" s="463" t="s">
        <v>532</v>
      </c>
      <c r="C82" s="446"/>
      <c r="D82" s="446"/>
      <c r="E82" s="440"/>
      <c r="F82" s="443">
        <v>0.33862956303076092</v>
      </c>
      <c r="G82" s="443">
        <v>0.27807411939949833</v>
      </c>
      <c r="H82" s="443">
        <v>8.1630448174658962E-2</v>
      </c>
      <c r="I82" s="443">
        <v>2.066077030516466E-3</v>
      </c>
      <c r="J82" s="443">
        <v>0.17998492027305432</v>
      </c>
      <c r="K82" s="443">
        <v>8.7645176518781603E-3</v>
      </c>
      <c r="L82" s="443">
        <v>2.6688908489757039E-4</v>
      </c>
      <c r="M82" s="443">
        <v>4.7838270600564892E-4</v>
      </c>
      <c r="N82" s="443">
        <v>6.6754172077278184E-2</v>
      </c>
      <c r="O82" s="443">
        <v>2.0939119543418924E-2</v>
      </c>
      <c r="P82" s="443">
        <v>2.2411791028032362E-2</v>
      </c>
      <c r="Q82" s="438">
        <v>1</v>
      </c>
    </row>
    <row r="83" spans="1:17">
      <c r="A83" s="462" t="s">
        <v>533</v>
      </c>
      <c r="B83" s="463" t="s">
        <v>534</v>
      </c>
      <c r="C83" s="446"/>
      <c r="D83" s="446"/>
      <c r="E83" s="440"/>
      <c r="F83" s="443">
        <v>0.60938950687580951</v>
      </c>
      <c r="G83" s="443">
        <v>0.21962619612554254</v>
      </c>
      <c r="H83" s="443">
        <v>5.5963056107712614E-2</v>
      </c>
      <c r="I83" s="443">
        <v>1.3035685353308787E-2</v>
      </c>
      <c r="J83" s="443">
        <v>8.861884015861556E-4</v>
      </c>
      <c r="K83" s="443">
        <v>1.2144560818295215E-2</v>
      </c>
      <c r="L83" s="443">
        <v>5.2467228276134939E-4</v>
      </c>
      <c r="M83" s="443">
        <v>2.9386224330515249E-4</v>
      </c>
      <c r="N83" s="443">
        <v>8.7968410323375074E-2</v>
      </c>
      <c r="O83" s="443">
        <v>8.393073415180668E-5</v>
      </c>
      <c r="P83" s="443">
        <v>8.393073415180668E-5</v>
      </c>
      <c r="Q83" s="438">
        <v>1</v>
      </c>
    </row>
    <row r="84" spans="1:17">
      <c r="A84" s="462" t="s">
        <v>535</v>
      </c>
      <c r="B84" s="463" t="s">
        <v>536</v>
      </c>
      <c r="C84" s="446"/>
      <c r="D84" s="446"/>
      <c r="E84" s="440"/>
      <c r="F84" s="443">
        <v>0.87062731305797569</v>
      </c>
      <c r="G84" s="443">
        <v>1.9150612573829755E-2</v>
      </c>
      <c r="H84" s="443">
        <v>2.9765273619160635E-4</v>
      </c>
      <c r="I84" s="443">
        <v>9.3531995053689962E-3</v>
      </c>
      <c r="J84" s="443">
        <v>6.6028270901704288E-4</v>
      </c>
      <c r="K84" s="443">
        <v>3.4610910285908319E-3</v>
      </c>
      <c r="L84" s="443">
        <v>2.6980186803346315E-3</v>
      </c>
      <c r="M84" s="443">
        <v>5.8514939584850272E-4</v>
      </c>
      <c r="N84" s="443">
        <v>9.3158772735489587E-2</v>
      </c>
      <c r="O84" s="443">
        <v>3.9537886767487595E-6</v>
      </c>
      <c r="P84" s="443">
        <v>3.9537886767487595E-6</v>
      </c>
      <c r="Q84" s="438">
        <v>1.0000000000000002</v>
      </c>
    </row>
    <row r="85" spans="1:17">
      <c r="A85" s="462" t="s">
        <v>537</v>
      </c>
      <c r="B85" s="463" t="s">
        <v>538</v>
      </c>
      <c r="C85" s="446"/>
      <c r="D85" s="446"/>
      <c r="E85" s="440"/>
      <c r="F85" s="443">
        <v>9.0909090909090912E-2</v>
      </c>
      <c r="G85" s="443">
        <v>9.0909090909090912E-2</v>
      </c>
      <c r="H85" s="443">
        <v>9.0909090909090912E-2</v>
      </c>
      <c r="I85" s="443">
        <v>9.0909090909090912E-2</v>
      </c>
      <c r="J85" s="443">
        <v>9.0909090909090912E-2</v>
      </c>
      <c r="K85" s="443">
        <v>9.0909090909090912E-2</v>
      </c>
      <c r="L85" s="443">
        <v>9.0909090909090912E-2</v>
      </c>
      <c r="M85" s="443">
        <v>9.0909090909090912E-2</v>
      </c>
      <c r="N85" s="443">
        <v>9.0909090909090912E-2</v>
      </c>
      <c r="O85" s="443">
        <v>9.0909090909090912E-2</v>
      </c>
      <c r="P85" s="443">
        <v>9.0909090909090912E-2</v>
      </c>
      <c r="Q85" s="438">
        <v>1.0000000000000002</v>
      </c>
    </row>
    <row r="86" spans="1:17">
      <c r="A86" s="439" t="s">
        <v>539</v>
      </c>
      <c r="B86" s="440" t="s">
        <v>540</v>
      </c>
      <c r="C86" s="446"/>
      <c r="D86" s="446"/>
      <c r="E86" s="440"/>
      <c r="F86" s="443">
        <v>0.47102851746071506</v>
      </c>
      <c r="G86" s="443">
        <v>0.22306775196342926</v>
      </c>
      <c r="H86" s="443">
        <v>6.3493442078096943E-2</v>
      </c>
      <c r="I86" s="443">
        <v>4.7168600928815573E-3</v>
      </c>
      <c r="J86" s="443">
        <v>0.12375699492626543</v>
      </c>
      <c r="K86" s="443">
        <v>8.1755125802665841E-3</v>
      </c>
      <c r="L86" s="443">
        <v>7.5566242040107175E-4</v>
      </c>
      <c r="M86" s="443">
        <v>4.7816384331818545E-4</v>
      </c>
      <c r="N86" s="443">
        <v>7.4331732968715467E-2</v>
      </c>
      <c r="O86" s="443">
        <v>1.4547462791583277E-2</v>
      </c>
      <c r="P86" s="443">
        <v>1.5647898874326951E-2</v>
      </c>
      <c r="Q86" s="438">
        <v>0.99999999999999978</v>
      </c>
    </row>
    <row r="87" spans="1:17">
      <c r="A87" s="439" t="s">
        <v>541</v>
      </c>
      <c r="B87" s="440" t="s">
        <v>542</v>
      </c>
      <c r="C87" s="446"/>
      <c r="D87" s="446"/>
      <c r="E87" s="440"/>
      <c r="F87" s="443">
        <v>0.51944778843452954</v>
      </c>
      <c r="G87" s="443">
        <v>0.30071840245062026</v>
      </c>
      <c r="H87" s="443">
        <v>8.1535054535248799E-2</v>
      </c>
      <c r="I87" s="443">
        <v>6.2590945637530746E-4</v>
      </c>
      <c r="J87" s="443">
        <v>0</v>
      </c>
      <c r="K87" s="443">
        <v>1.5029878009870924E-2</v>
      </c>
      <c r="L87" s="443">
        <v>2.2975761668868325E-4</v>
      </c>
      <c r="M87" s="443">
        <v>1.457043278998949E-4</v>
      </c>
      <c r="N87" s="443">
        <v>8.2267505168766575E-2</v>
      </c>
      <c r="O87" s="443">
        <v>0</v>
      </c>
      <c r="P87" s="443">
        <v>0</v>
      </c>
      <c r="Q87" s="438">
        <v>0.99999999999999989</v>
      </c>
    </row>
    <row r="88" spans="1:17">
      <c r="A88" s="439" t="s">
        <v>543</v>
      </c>
      <c r="B88" s="440" t="s">
        <v>544</v>
      </c>
      <c r="C88" s="446"/>
      <c r="D88" s="446"/>
      <c r="E88" s="440"/>
      <c r="F88" s="443">
        <v>0.51944778843452954</v>
      </c>
      <c r="G88" s="443">
        <v>0.30071840245062031</v>
      </c>
      <c r="H88" s="443">
        <v>8.1535054535248813E-2</v>
      </c>
      <c r="I88" s="443">
        <v>6.2590945637530757E-4</v>
      </c>
      <c r="J88" s="443">
        <v>0</v>
      </c>
      <c r="K88" s="443">
        <v>1.5029878009870924E-2</v>
      </c>
      <c r="L88" s="443">
        <v>2.297576166886833E-4</v>
      </c>
      <c r="M88" s="443">
        <v>1.4570432789989493E-4</v>
      </c>
      <c r="N88" s="443">
        <v>8.2267505168766589E-2</v>
      </c>
      <c r="O88" s="443">
        <v>0</v>
      </c>
      <c r="P88" s="443">
        <v>0</v>
      </c>
      <c r="Q88" s="438">
        <v>0.99999999999999989</v>
      </c>
    </row>
    <row r="89" spans="1:17">
      <c r="A89" s="439" t="s">
        <v>545</v>
      </c>
      <c r="B89" s="440" t="s">
        <v>546</v>
      </c>
      <c r="C89" s="446"/>
      <c r="D89" s="446"/>
      <c r="E89" s="440"/>
      <c r="F89" s="443">
        <v>0.51944778843452954</v>
      </c>
      <c r="G89" s="443">
        <v>0.3007184024506202</v>
      </c>
      <c r="H89" s="443">
        <v>8.1535054535248785E-2</v>
      </c>
      <c r="I89" s="443">
        <v>6.2590945637530735E-4</v>
      </c>
      <c r="J89" s="443">
        <v>0</v>
      </c>
      <c r="K89" s="443">
        <v>1.502987800987092E-2</v>
      </c>
      <c r="L89" s="443">
        <v>2.2975761668868325E-4</v>
      </c>
      <c r="M89" s="443">
        <v>1.457043278998949E-4</v>
      </c>
      <c r="N89" s="443">
        <v>8.2267505168766561E-2</v>
      </c>
      <c r="O89" s="443">
        <v>0</v>
      </c>
      <c r="P89" s="443">
        <v>0</v>
      </c>
      <c r="Q89" s="438">
        <v>0.99999999999999978</v>
      </c>
    </row>
    <row r="90" spans="1:17">
      <c r="A90" s="439" t="s">
        <v>547</v>
      </c>
      <c r="B90" s="440" t="s">
        <v>548</v>
      </c>
      <c r="C90" s="446"/>
      <c r="D90" s="446"/>
      <c r="E90" s="440"/>
      <c r="F90" s="443">
        <v>0.51455926192963453</v>
      </c>
      <c r="G90" s="443">
        <v>0.29674314224674808</v>
      </c>
      <c r="H90" s="443">
        <v>8.0457225393855483E-2</v>
      </c>
      <c r="I90" s="443">
        <v>1.1614892669034408E-2</v>
      </c>
      <c r="J90" s="443">
        <v>0</v>
      </c>
      <c r="K90" s="443">
        <v>1.4831194871643276E-2</v>
      </c>
      <c r="L90" s="443">
        <v>2.2672040212942793E-4</v>
      </c>
      <c r="M90" s="443">
        <v>1.4377823155357135E-4</v>
      </c>
      <c r="N90" s="443">
        <v>8.1423784255401324E-2</v>
      </c>
      <c r="O90" s="443">
        <v>0</v>
      </c>
      <c r="P90" s="443">
        <v>0</v>
      </c>
      <c r="Q90" s="438">
        <v>1</v>
      </c>
    </row>
    <row r="91" spans="1:17">
      <c r="A91" s="439" t="s">
        <v>549</v>
      </c>
      <c r="B91" s="440" t="s">
        <v>550</v>
      </c>
      <c r="C91" s="446"/>
      <c r="D91" s="446"/>
      <c r="E91" s="440"/>
      <c r="F91" s="443">
        <v>0.65572463621416099</v>
      </c>
      <c r="G91" s="443">
        <v>0.18481363650421728</v>
      </c>
      <c r="H91" s="443">
        <v>5.0109304280782717E-2</v>
      </c>
      <c r="I91" s="443">
        <v>7.856466031145733E-3</v>
      </c>
      <c r="J91" s="443">
        <v>0</v>
      </c>
      <c r="K91" s="443">
        <v>9.2369685013710869E-3</v>
      </c>
      <c r="L91" s="443">
        <v>1.4120300024455658E-4</v>
      </c>
      <c r="M91" s="443">
        <v>8.954605529338772E-5</v>
      </c>
      <c r="N91" s="443">
        <v>9.2028239412784138E-2</v>
      </c>
      <c r="O91" s="443">
        <v>0</v>
      </c>
      <c r="P91" s="443">
        <v>0</v>
      </c>
      <c r="Q91" s="438">
        <v>1</v>
      </c>
    </row>
    <row r="92" spans="1:17">
      <c r="A92" s="439" t="s">
        <v>551</v>
      </c>
      <c r="B92" s="440" t="s">
        <v>552</v>
      </c>
      <c r="C92" s="446"/>
      <c r="D92" s="446"/>
      <c r="E92" s="440"/>
      <c r="F92" s="443">
        <v>0.66117952673097447</v>
      </c>
      <c r="G92" s="443">
        <v>0.18568623882184901</v>
      </c>
      <c r="H92" s="443">
        <v>5.0345896644189432E-2</v>
      </c>
      <c r="I92" s="443">
        <v>5.2245586759146981E-4</v>
      </c>
      <c r="J92" s="443">
        <v>0</v>
      </c>
      <c r="K92" s="443">
        <v>9.2805810846990685E-3</v>
      </c>
      <c r="L92" s="443">
        <v>1.4186969382626714E-4</v>
      </c>
      <c r="M92" s="443">
        <v>8.9968849286632913E-5</v>
      </c>
      <c r="N92" s="443">
        <v>9.2753462307583662E-2</v>
      </c>
      <c r="O92" s="443">
        <v>0</v>
      </c>
      <c r="P92" s="443">
        <v>0</v>
      </c>
      <c r="Q92" s="438">
        <v>0.99999999999999989</v>
      </c>
    </row>
    <row r="93" spans="1:17">
      <c r="A93" s="439" t="s">
        <v>553</v>
      </c>
      <c r="B93" s="440" t="s">
        <v>554</v>
      </c>
      <c r="C93" s="446"/>
      <c r="D93" s="446"/>
      <c r="E93" s="440"/>
      <c r="F93" s="443">
        <v>0.63027879025252354</v>
      </c>
      <c r="G93" s="443">
        <v>0.20905688624733848</v>
      </c>
      <c r="H93" s="443">
        <v>5.6682479297039408E-2</v>
      </c>
      <c r="I93" s="443">
        <v>2.9086127807441994E-3</v>
      </c>
      <c r="J93" s="443">
        <v>0</v>
      </c>
      <c r="K93" s="443">
        <v>1.0448643886823357E-2</v>
      </c>
      <c r="L93" s="443">
        <v>1.5972554903563927E-4</v>
      </c>
      <c r="M93" s="443">
        <v>1.0129241461541425E-4</v>
      </c>
      <c r="N93" s="443">
        <v>9.0363569571879881E-2</v>
      </c>
      <c r="O93" s="443">
        <v>0</v>
      </c>
      <c r="P93" s="443">
        <v>0</v>
      </c>
      <c r="Q93" s="438">
        <v>0.99999999999999989</v>
      </c>
    </row>
    <row r="94" spans="1:17">
      <c r="A94" s="439" t="s">
        <v>555</v>
      </c>
      <c r="B94" s="440" t="s">
        <v>556</v>
      </c>
      <c r="C94" s="446"/>
      <c r="D94" s="446"/>
      <c r="E94" s="440"/>
      <c r="F94" s="443">
        <v>0.61737032532355718</v>
      </c>
      <c r="G94" s="443">
        <v>0.23084682021994621</v>
      </c>
      <c r="H94" s="443">
        <v>5.2129169487531136E-2</v>
      </c>
      <c r="I94" s="443">
        <v>3.7138436397409673E-3</v>
      </c>
      <c r="J94" s="443">
        <v>0</v>
      </c>
      <c r="K94" s="443">
        <v>1.8990631476275849E-2</v>
      </c>
      <c r="L94" s="443">
        <v>1.355997234261515E-4</v>
      </c>
      <c r="M94" s="443">
        <v>7.2834559768978724E-4</v>
      </c>
      <c r="N94" s="443">
        <v>7.6085264531832689E-2</v>
      </c>
      <c r="O94" s="443">
        <v>0</v>
      </c>
      <c r="P94" s="443">
        <v>0</v>
      </c>
      <c r="Q94" s="438">
        <v>0.99999999999999989</v>
      </c>
    </row>
    <row r="95" spans="1:17">
      <c r="A95" s="439" t="s">
        <v>557</v>
      </c>
      <c r="B95" s="440" t="s">
        <v>558</v>
      </c>
      <c r="C95" s="446"/>
      <c r="D95" s="446"/>
      <c r="E95" s="440"/>
      <c r="F95" s="443">
        <v>0.80560276380820695</v>
      </c>
      <c r="G95" s="443">
        <v>6.9602966985270479E-2</v>
      </c>
      <c r="H95" s="443">
        <v>5.6886084693546597E-3</v>
      </c>
      <c r="I95" s="443">
        <v>0</v>
      </c>
      <c r="J95" s="443">
        <v>0</v>
      </c>
      <c r="K95" s="443">
        <v>0</v>
      </c>
      <c r="L95" s="443">
        <v>2.9795626659377406E-3</v>
      </c>
      <c r="M95" s="443">
        <v>6.4621097940284835E-4</v>
      </c>
      <c r="N95" s="443">
        <v>0.11547988709182731</v>
      </c>
      <c r="O95" s="443">
        <v>0</v>
      </c>
      <c r="P95" s="443">
        <v>0</v>
      </c>
      <c r="Q95" s="438">
        <v>1</v>
      </c>
    </row>
    <row r="96" spans="1:17">
      <c r="A96" s="439" t="s">
        <v>559</v>
      </c>
      <c r="B96" s="440" t="s">
        <v>560</v>
      </c>
      <c r="C96" s="446"/>
      <c r="D96" s="446"/>
      <c r="E96" s="440"/>
      <c r="F96" s="443">
        <v>0.70178720804664463</v>
      </c>
      <c r="G96" s="443">
        <v>0.10817416378143073</v>
      </c>
      <c r="H96" s="443">
        <v>1.7209254437096384E-2</v>
      </c>
      <c r="I96" s="443">
        <v>0</v>
      </c>
      <c r="J96" s="443">
        <v>3.0335609478729285E-2</v>
      </c>
      <c r="K96" s="443">
        <v>1.1215169348385737E-2</v>
      </c>
      <c r="L96" s="443">
        <v>2.4033072394023846E-3</v>
      </c>
      <c r="M96" s="443">
        <v>5.2123203943132718E-4</v>
      </c>
      <c r="N96" s="443">
        <v>0.12260789607649739</v>
      </c>
      <c r="O96" s="443">
        <v>2.8730797761910478E-3</v>
      </c>
      <c r="P96" s="443">
        <v>2.8730797761910478E-3</v>
      </c>
      <c r="Q96" s="438">
        <v>0.99999999999999989</v>
      </c>
    </row>
    <row r="97" spans="1:17">
      <c r="A97" s="439" t="s">
        <v>561</v>
      </c>
      <c r="B97" s="440" t="s">
        <v>562</v>
      </c>
      <c r="C97" s="446"/>
      <c r="D97" s="446"/>
      <c r="E97" s="440"/>
      <c r="F97" s="443">
        <v>0</v>
      </c>
      <c r="G97" s="443">
        <v>0</v>
      </c>
      <c r="H97" s="443">
        <v>0</v>
      </c>
      <c r="I97" s="443">
        <v>1</v>
      </c>
      <c r="J97" s="443">
        <v>0</v>
      </c>
      <c r="K97" s="443">
        <v>0</v>
      </c>
      <c r="L97" s="443">
        <v>0</v>
      </c>
      <c r="M97" s="443">
        <v>0</v>
      </c>
      <c r="N97" s="443">
        <v>0</v>
      </c>
      <c r="O97" s="443">
        <v>0</v>
      </c>
      <c r="P97" s="443">
        <v>0</v>
      </c>
      <c r="Q97" s="438">
        <v>1</v>
      </c>
    </row>
    <row r="98" spans="1:17">
      <c r="A98" s="439" t="s">
        <v>563</v>
      </c>
      <c r="B98" s="440" t="s">
        <v>564</v>
      </c>
      <c r="C98" s="446"/>
      <c r="D98" s="446"/>
      <c r="E98" s="440"/>
      <c r="F98" s="443">
        <v>9.0909090909090912E-2</v>
      </c>
      <c r="G98" s="443">
        <v>9.0909090909090912E-2</v>
      </c>
      <c r="H98" s="443">
        <v>9.0909090909090912E-2</v>
      </c>
      <c r="I98" s="443">
        <v>9.0909090909090912E-2</v>
      </c>
      <c r="J98" s="443">
        <v>9.0909090909090912E-2</v>
      </c>
      <c r="K98" s="443">
        <v>9.0909090909090912E-2</v>
      </c>
      <c r="L98" s="443">
        <v>9.0909090909090912E-2</v>
      </c>
      <c r="M98" s="443">
        <v>9.0909090909090912E-2</v>
      </c>
      <c r="N98" s="443">
        <v>9.0909090909090912E-2</v>
      </c>
      <c r="O98" s="443">
        <v>9.0909090909090912E-2</v>
      </c>
      <c r="P98" s="443">
        <v>9.0909090909090912E-2</v>
      </c>
      <c r="Q98" s="438">
        <v>1.0000000000000002</v>
      </c>
    </row>
    <row r="99" spans="1:17">
      <c r="A99" s="439" t="s">
        <v>565</v>
      </c>
      <c r="B99" s="440" t="s">
        <v>566</v>
      </c>
      <c r="C99" s="446"/>
      <c r="D99" s="446"/>
      <c r="E99" s="440"/>
      <c r="F99" s="443">
        <v>0</v>
      </c>
      <c r="G99" s="443">
        <v>0</v>
      </c>
      <c r="H99" s="443">
        <v>0</v>
      </c>
      <c r="I99" s="443">
        <v>1</v>
      </c>
      <c r="J99" s="443">
        <v>0</v>
      </c>
      <c r="K99" s="443">
        <v>0</v>
      </c>
      <c r="L99" s="443">
        <v>0</v>
      </c>
      <c r="M99" s="443">
        <v>0</v>
      </c>
      <c r="N99" s="443">
        <v>0</v>
      </c>
      <c r="O99" s="443">
        <v>0</v>
      </c>
      <c r="P99" s="443">
        <v>0</v>
      </c>
      <c r="Q99" s="438">
        <v>1</v>
      </c>
    </row>
    <row r="100" spans="1:17">
      <c r="A100" s="439" t="s">
        <v>567</v>
      </c>
      <c r="B100" s="440" t="s">
        <v>568</v>
      </c>
      <c r="C100" s="446"/>
      <c r="D100" s="446"/>
      <c r="E100" s="440"/>
      <c r="F100" s="443">
        <v>0.58148167695174879</v>
      </c>
      <c r="G100" s="443">
        <v>0.22914319102117736</v>
      </c>
      <c r="H100" s="443">
        <v>6.0414804599068422E-2</v>
      </c>
      <c r="I100" s="443">
        <v>2.8392481109838819E-2</v>
      </c>
      <c r="J100" s="443">
        <v>8.6924581759445616E-4</v>
      </c>
      <c r="K100" s="443">
        <v>1.1333344413291938E-2</v>
      </c>
      <c r="L100" s="443">
        <v>5.2755934038566489E-4</v>
      </c>
      <c r="M100" s="443">
        <v>1.8890079217274007E-4</v>
      </c>
      <c r="N100" s="443">
        <v>8.7484143744201937E-2</v>
      </c>
      <c r="O100" s="443">
        <v>8.2326105259906501E-5</v>
      </c>
      <c r="P100" s="443">
        <v>8.2326105259906501E-5</v>
      </c>
      <c r="Q100" s="438">
        <v>1</v>
      </c>
    </row>
    <row r="101" spans="1:17">
      <c r="A101" s="439" t="s">
        <v>569</v>
      </c>
      <c r="B101" s="440" t="s">
        <v>570</v>
      </c>
      <c r="C101" s="446"/>
      <c r="D101" s="446"/>
      <c r="E101" s="440"/>
      <c r="F101" s="443">
        <v>0.56876273130041355</v>
      </c>
      <c r="G101" s="443">
        <v>0.25376541086643528</v>
      </c>
      <c r="H101" s="443">
        <v>6.8804490997361467E-2</v>
      </c>
      <c r="I101" s="443">
        <v>1.0171764251873765E-2</v>
      </c>
      <c r="J101" s="443">
        <v>0</v>
      </c>
      <c r="K101" s="443">
        <v>1.2683171822428084E-2</v>
      </c>
      <c r="L101" s="443">
        <v>1.9388416380095201E-4</v>
      </c>
      <c r="M101" s="443">
        <v>1.2295462576689535E-4</v>
      </c>
      <c r="N101" s="443">
        <v>8.5495591971920123E-2</v>
      </c>
      <c r="O101" s="443">
        <v>0</v>
      </c>
      <c r="P101" s="443">
        <v>0</v>
      </c>
      <c r="Q101" s="438">
        <v>1.0000000000000002</v>
      </c>
    </row>
    <row r="102" spans="1:17">
      <c r="A102" s="439" t="s">
        <v>571</v>
      </c>
      <c r="B102" s="440" t="s">
        <v>572</v>
      </c>
      <c r="C102" s="446"/>
      <c r="D102" s="446"/>
      <c r="E102" s="440"/>
      <c r="F102" s="443">
        <v>0.63857921679428475</v>
      </c>
      <c r="G102" s="443">
        <v>0.20277916072050661</v>
      </c>
      <c r="H102" s="443">
        <v>5.4980372977584582E-2</v>
      </c>
      <c r="I102" s="443">
        <v>2.2676532945988788E-3</v>
      </c>
      <c r="J102" s="443">
        <v>0</v>
      </c>
      <c r="K102" s="443">
        <v>1.0134883744182172E-2</v>
      </c>
      <c r="L102" s="443">
        <v>1.5492918391958211E-4</v>
      </c>
      <c r="M102" s="443">
        <v>9.8250725875473406E-5</v>
      </c>
      <c r="N102" s="443">
        <v>9.1005532559047891E-2</v>
      </c>
      <c r="O102" s="443">
        <v>0</v>
      </c>
      <c r="P102" s="443">
        <v>0</v>
      </c>
      <c r="Q102" s="438">
        <v>0.99999999999999989</v>
      </c>
    </row>
    <row r="103" spans="1:17">
      <c r="A103" s="439" t="s">
        <v>573</v>
      </c>
      <c r="B103" s="440" t="s">
        <v>574</v>
      </c>
      <c r="C103" s="446"/>
      <c r="D103" s="446"/>
      <c r="E103" s="440"/>
      <c r="F103" s="443">
        <v>0.60006038417009055</v>
      </c>
      <c r="G103" s="443">
        <v>0.22942893286821339</v>
      </c>
      <c r="H103" s="443">
        <v>6.0463928969023327E-2</v>
      </c>
      <c r="I103" s="443">
        <v>8.8275981357976777E-3</v>
      </c>
      <c r="J103" s="443">
        <v>0</v>
      </c>
      <c r="K103" s="443">
        <v>1.100713122750982E-2</v>
      </c>
      <c r="L103" s="443">
        <v>5.6200266911964265E-4</v>
      </c>
      <c r="M103" s="443">
        <v>1.9210127949998893E-4</v>
      </c>
      <c r="N103" s="443">
        <v>8.9457920680745664E-2</v>
      </c>
      <c r="O103" s="443">
        <v>0</v>
      </c>
      <c r="P103" s="443">
        <v>0</v>
      </c>
      <c r="Q103" s="438">
        <v>1.0000000000000002</v>
      </c>
    </row>
    <row r="104" spans="1:17">
      <c r="A104" s="439" t="s">
        <v>575</v>
      </c>
      <c r="B104" s="440" t="s">
        <v>576</v>
      </c>
      <c r="C104" s="446"/>
      <c r="D104" s="446"/>
      <c r="E104" s="440"/>
      <c r="F104" s="443">
        <v>0.6736979811923145</v>
      </c>
      <c r="G104" s="443">
        <v>0.17477722054602157</v>
      </c>
      <c r="H104" s="443">
        <v>4.4616170471554674E-2</v>
      </c>
      <c r="I104" s="443">
        <v>1.7908511717054161E-3</v>
      </c>
      <c r="J104" s="443">
        <v>0</v>
      </c>
      <c r="K104" s="443">
        <v>8.0038992166910367E-3</v>
      </c>
      <c r="L104" s="443">
        <v>7.4884327291634969E-4</v>
      </c>
      <c r="M104" s="443">
        <v>2.1346613943335057E-4</v>
      </c>
      <c r="N104" s="443">
        <v>9.6151567989362932E-2</v>
      </c>
      <c r="O104" s="443">
        <v>0</v>
      </c>
      <c r="P104" s="443">
        <v>0</v>
      </c>
      <c r="Q104" s="438">
        <v>1</v>
      </c>
    </row>
    <row r="105" spans="1:17">
      <c r="A105" s="439" t="s">
        <v>577</v>
      </c>
      <c r="B105" s="440" t="s">
        <v>578</v>
      </c>
      <c r="C105" s="446"/>
      <c r="D105" s="446"/>
      <c r="E105" s="440"/>
      <c r="F105" s="443">
        <v>0.86313154516282442</v>
      </c>
      <c r="G105" s="443">
        <v>2.7991717215622929E-2</v>
      </c>
      <c r="H105" s="443">
        <v>5.7833657013089922E-3</v>
      </c>
      <c r="I105" s="443">
        <v>7.0046101663212542E-3</v>
      </c>
      <c r="J105" s="443">
        <v>7.838128344991719E-3</v>
      </c>
      <c r="K105" s="443">
        <v>1.5633595629062893E-3</v>
      </c>
      <c r="L105" s="443">
        <v>2.3557028595474669E-3</v>
      </c>
      <c r="M105" s="443">
        <v>5.1090754675272481E-4</v>
      </c>
      <c r="N105" s="443">
        <v>8.3793096502562919E-2</v>
      </c>
      <c r="O105" s="443">
        <v>1.3783468580713212E-5</v>
      </c>
      <c r="P105" s="443">
        <v>1.3783468580713212E-5</v>
      </c>
      <c r="Q105" s="438">
        <v>1.0000000000000002</v>
      </c>
    </row>
    <row r="106" spans="1:17">
      <c r="A106" s="419" t="s">
        <v>579</v>
      </c>
      <c r="B106" s="466" t="s">
        <v>580</v>
      </c>
      <c r="C106" s="452"/>
      <c r="D106" s="452"/>
      <c r="E106" s="466"/>
      <c r="F106" s="467">
        <v>0.35953034609293699</v>
      </c>
      <c r="G106" s="467">
        <v>0.26471321962629224</v>
      </c>
      <c r="H106" s="467">
        <v>7.9767380122359413E-2</v>
      </c>
      <c r="I106" s="467">
        <v>5.030815351516141E-3</v>
      </c>
      <c r="J106" s="467">
        <v>0.16692284585657519</v>
      </c>
      <c r="K106" s="467">
        <v>9.4183583572720903E-3</v>
      </c>
      <c r="L106" s="467">
        <v>3.8473619197437362E-4</v>
      </c>
      <c r="M106" s="467">
        <v>5.7651725638676124E-4</v>
      </c>
      <c r="N106" s="467">
        <v>6.6824598879289571E-2</v>
      </c>
      <c r="O106" s="467">
        <v>1.9969162472863247E-2</v>
      </c>
      <c r="P106" s="467">
        <v>2.6862019792534161E-2</v>
      </c>
      <c r="Q106" s="438">
        <v>1.0000000000000002</v>
      </c>
    </row>
    <row r="107" spans="1:17">
      <c r="A107" s="462" t="s">
        <v>581</v>
      </c>
      <c r="B107" s="463" t="s">
        <v>582</v>
      </c>
      <c r="C107" s="446"/>
      <c r="D107" s="446"/>
      <c r="E107" s="440"/>
      <c r="F107" s="467">
        <v>0.31529371245268412</v>
      </c>
      <c r="G107" s="467">
        <v>0.27743022738960588</v>
      </c>
      <c r="H107" s="467">
        <v>8.495563752539402E-2</v>
      </c>
      <c r="I107" s="467">
        <v>2.9613588847045322E-3</v>
      </c>
      <c r="J107" s="467">
        <v>0.19071885432794586</v>
      </c>
      <c r="K107" s="467">
        <v>9.6007077679587747E-3</v>
      </c>
      <c r="L107" s="467">
        <v>2.9419511134844048E-4</v>
      </c>
      <c r="M107" s="467">
        <v>6.3095499344359483E-4</v>
      </c>
      <c r="N107" s="467">
        <v>6.3730102486298901E-2</v>
      </c>
      <c r="O107" s="467">
        <v>2.2902041872727371E-2</v>
      </c>
      <c r="P107" s="467">
        <v>3.1482207187888508E-2</v>
      </c>
      <c r="Q107" s="438">
        <v>1.0000000000000002</v>
      </c>
    </row>
    <row r="108" spans="1:17">
      <c r="A108" s="462" t="s">
        <v>583</v>
      </c>
      <c r="B108" s="463" t="s">
        <v>584</v>
      </c>
      <c r="C108" s="446"/>
      <c r="D108" s="446"/>
      <c r="E108" s="440"/>
      <c r="F108" s="467">
        <v>0.34256536390024783</v>
      </c>
      <c r="G108" s="467">
        <v>0.27776399752814029</v>
      </c>
      <c r="H108" s="467">
        <v>8.1513309005842971E-2</v>
      </c>
      <c r="I108" s="467">
        <v>2.2379547549262967E-3</v>
      </c>
      <c r="J108" s="467">
        <v>0.1761462862208556</v>
      </c>
      <c r="K108" s="467">
        <v>8.8447049488867713E-3</v>
      </c>
      <c r="L108" s="467">
        <v>2.7278069213164055E-4</v>
      </c>
      <c r="M108" s="467">
        <v>4.8084926965119681E-4</v>
      </c>
      <c r="N108" s="467">
        <v>6.711158695862833E-2</v>
      </c>
      <c r="O108" s="467">
        <v>2.0679793571813126E-2</v>
      </c>
      <c r="P108" s="467">
        <v>2.2383373148876142E-2</v>
      </c>
      <c r="Q108" s="438">
        <v>0.99999999999999989</v>
      </c>
    </row>
    <row r="109" spans="1:17">
      <c r="A109" s="462" t="s">
        <v>585</v>
      </c>
      <c r="B109" s="463" t="s">
        <v>586</v>
      </c>
      <c r="C109" s="446"/>
      <c r="D109" s="446"/>
      <c r="E109" s="440"/>
      <c r="F109" s="467">
        <v>0.57810140808249155</v>
      </c>
      <c r="G109" s="467">
        <v>0.229235003501224</v>
      </c>
      <c r="H109" s="467">
        <v>6.0481921466115265E-2</v>
      </c>
      <c r="I109" s="467">
        <v>2.6015498127123234E-2</v>
      </c>
      <c r="J109" s="467">
        <v>5.684491468580106E-3</v>
      </c>
      <c r="K109" s="467">
        <v>1.1359633103730966E-2</v>
      </c>
      <c r="L109" s="467">
        <v>5.2220069156571117E-4</v>
      </c>
      <c r="M109" s="467">
        <v>2.1007376638963325E-4</v>
      </c>
      <c r="N109" s="467">
        <v>8.6962762215931813E-2</v>
      </c>
      <c r="O109" s="467">
        <v>6.5213562610369306E-4</v>
      </c>
      <c r="P109" s="467">
        <v>7.7487195074414845E-4</v>
      </c>
      <c r="Q109" s="438">
        <v>1</v>
      </c>
    </row>
    <row r="110" spans="1:17">
      <c r="A110" s="462" t="s">
        <v>587</v>
      </c>
      <c r="B110" s="463" t="s">
        <v>588</v>
      </c>
      <c r="C110" s="446"/>
      <c r="D110" s="446"/>
      <c r="E110" s="440"/>
      <c r="F110" s="467">
        <v>0.86388017066054446</v>
      </c>
      <c r="G110" s="467">
        <v>2.6534391191776793E-2</v>
      </c>
      <c r="H110" s="467">
        <v>5.048433358794369E-3</v>
      </c>
      <c r="I110" s="467">
        <v>7.4177402941221398E-3</v>
      </c>
      <c r="J110" s="467">
        <v>6.7674346822550625E-3</v>
      </c>
      <c r="K110" s="467">
        <v>1.8101032050575352E-3</v>
      </c>
      <c r="L110" s="467">
        <v>2.4328658100231421E-3</v>
      </c>
      <c r="M110" s="467">
        <v>5.2752006126651917E-4</v>
      </c>
      <c r="N110" s="467">
        <v>8.557771768261313E-2</v>
      </c>
      <c r="O110" s="467">
        <v>-2.4119688625618178E-6</v>
      </c>
      <c r="P110" s="467">
        <v>6.0350224093129186E-6</v>
      </c>
      <c r="Q110" s="438">
        <v>1</v>
      </c>
    </row>
    <row r="111" spans="1:17">
      <c r="A111" s="462" t="s">
        <v>589</v>
      </c>
      <c r="B111" s="463" t="s">
        <v>590</v>
      </c>
      <c r="C111" s="446"/>
      <c r="D111" s="446"/>
      <c r="E111" s="440"/>
      <c r="F111" s="467">
        <v>0.4104350830158896</v>
      </c>
      <c r="G111" s="467">
        <v>0.26325653151875672</v>
      </c>
      <c r="H111" s="467">
        <v>7.5044590014996443E-2</v>
      </c>
      <c r="I111" s="467">
        <v>4.9525587142784022E-3</v>
      </c>
      <c r="J111" s="467">
        <v>0.13139448527036737</v>
      </c>
      <c r="K111" s="467">
        <v>9.6697267653168082E-3</v>
      </c>
      <c r="L111" s="467">
        <v>3.3514524079547461E-4</v>
      </c>
      <c r="M111" s="467">
        <v>4.3082672743944271E-4</v>
      </c>
      <c r="N111" s="467">
        <v>7.2458392356465437E-2</v>
      </c>
      <c r="O111" s="467">
        <v>1.5434345588147701E-2</v>
      </c>
      <c r="P111" s="467">
        <v>1.6588314787546705E-2</v>
      </c>
      <c r="Q111" s="438">
        <v>1</v>
      </c>
    </row>
    <row r="112" spans="1:17">
      <c r="A112" s="419" t="s">
        <v>591</v>
      </c>
      <c r="B112" s="466" t="s">
        <v>592</v>
      </c>
      <c r="C112" s="452"/>
      <c r="D112" s="452"/>
      <c r="E112" s="466"/>
      <c r="F112" s="467">
        <v>0.4622307787750356</v>
      </c>
      <c r="G112" s="467">
        <v>0.23677704480980341</v>
      </c>
      <c r="H112" s="467">
        <v>6.7484914858803285E-2</v>
      </c>
      <c r="I112" s="467">
        <v>9.3944661793906627E-3</v>
      </c>
      <c r="J112" s="467">
        <v>0.11270683226173089</v>
      </c>
      <c r="K112" s="467">
        <v>8.6302882971870821E-3</v>
      </c>
      <c r="L112" s="467">
        <v>5.8738796897312708E-4</v>
      </c>
      <c r="M112" s="467">
        <v>4.1323901097865991E-4</v>
      </c>
      <c r="N112" s="467">
        <v>7.4326901498472431E-2</v>
      </c>
      <c r="O112" s="467">
        <v>1.3185354958199497E-2</v>
      </c>
      <c r="P112" s="467">
        <v>1.4262791381425388E-2</v>
      </c>
      <c r="Q112" s="438">
        <v>0.99999999999999978</v>
      </c>
    </row>
    <row r="113" spans="1:17">
      <c r="A113" s="462" t="s">
        <v>593</v>
      </c>
      <c r="B113" s="463" t="s">
        <v>594</v>
      </c>
      <c r="C113" s="446"/>
      <c r="D113" s="446"/>
      <c r="E113" s="440"/>
      <c r="F113" s="467">
        <v>0.33945097866450608</v>
      </c>
      <c r="G113" s="467">
        <v>0.2791411390268444</v>
      </c>
      <c r="H113" s="467">
        <v>8.2017076063392869E-2</v>
      </c>
      <c r="I113" s="467">
        <v>2.0924976412869194E-3</v>
      </c>
      <c r="J113" s="467">
        <v>0.17716141163834589</v>
      </c>
      <c r="K113" s="467">
        <v>8.8158740001916831E-3</v>
      </c>
      <c r="L113" s="467">
        <v>2.6848583512499363E-4</v>
      </c>
      <c r="M113" s="467">
        <v>4.8342114279296874E-4</v>
      </c>
      <c r="N113" s="467">
        <v>6.694969953879798E-2</v>
      </c>
      <c r="O113" s="467">
        <v>2.0931207611052844E-2</v>
      </c>
      <c r="P113" s="467">
        <v>2.2688208837662836E-2</v>
      </c>
      <c r="Q113" s="438">
        <v>1</v>
      </c>
    </row>
    <row r="114" spans="1:17">
      <c r="A114" s="462" t="s">
        <v>595</v>
      </c>
      <c r="B114" s="463" t="s">
        <v>596</v>
      </c>
      <c r="C114" s="446"/>
      <c r="D114" s="446"/>
      <c r="E114" s="440"/>
      <c r="F114" s="467">
        <v>0.33862016316085969</v>
      </c>
      <c r="G114" s="467">
        <v>0.27806640046166609</v>
      </c>
      <c r="H114" s="467">
        <v>8.1628182230758684E-2</v>
      </c>
      <c r="I114" s="467">
        <v>2.0660196791880141E-3</v>
      </c>
      <c r="J114" s="467">
        <v>0.18000674894080954</v>
      </c>
      <c r="K114" s="467">
        <v>8.7642743614668381E-3</v>
      </c>
      <c r="L114" s="467">
        <v>2.6688167644021776E-4</v>
      </c>
      <c r="M114" s="467">
        <v>4.7836942678938896E-4</v>
      </c>
      <c r="N114" s="467">
        <v>6.6752319077418229E-2</v>
      </c>
      <c r="O114" s="467">
        <v>2.093947207567342E-2</v>
      </c>
      <c r="P114" s="467">
        <v>2.2411168908929625E-2</v>
      </c>
      <c r="Q114" s="438">
        <v>1.0000000000000002</v>
      </c>
    </row>
    <row r="115" spans="1:17">
      <c r="A115" s="462" t="s">
        <v>597</v>
      </c>
      <c r="B115" s="463" t="s">
        <v>586</v>
      </c>
      <c r="C115" s="446"/>
      <c r="D115" s="446"/>
      <c r="E115" s="440"/>
      <c r="F115" s="467">
        <v>0.5814816769517489</v>
      </c>
      <c r="G115" s="467">
        <v>0.22914319102117733</v>
      </c>
      <c r="H115" s="467">
        <v>6.0414804599068422E-2</v>
      </c>
      <c r="I115" s="467">
        <v>2.8392481109838826E-2</v>
      </c>
      <c r="J115" s="467">
        <v>8.6924581759445605E-4</v>
      </c>
      <c r="K115" s="467">
        <v>1.1333344413291939E-2</v>
      </c>
      <c r="L115" s="467">
        <v>5.27559340385665E-4</v>
      </c>
      <c r="M115" s="467">
        <v>1.8890079217274004E-4</v>
      </c>
      <c r="N115" s="467">
        <v>8.748414374420195E-2</v>
      </c>
      <c r="O115" s="467">
        <v>8.2326105259906501E-5</v>
      </c>
      <c r="P115" s="467">
        <v>8.2326105259906501E-5</v>
      </c>
      <c r="Q115" s="438">
        <v>1</v>
      </c>
    </row>
    <row r="116" spans="1:17">
      <c r="A116" s="462" t="s">
        <v>598</v>
      </c>
      <c r="B116" s="463" t="s">
        <v>588</v>
      </c>
      <c r="C116" s="446"/>
      <c r="D116" s="446"/>
      <c r="E116" s="440"/>
      <c r="F116" s="467">
        <v>0.86350662332025241</v>
      </c>
      <c r="G116" s="467">
        <v>2.6728036731290539E-2</v>
      </c>
      <c r="H116" s="467">
        <v>5.1063773558875361E-3</v>
      </c>
      <c r="I116" s="467">
        <v>7.4090113835670879E-3</v>
      </c>
      <c r="J116" s="467">
        <v>6.8978226891248497E-3</v>
      </c>
      <c r="K116" s="467">
        <v>1.8114426706214856E-3</v>
      </c>
      <c r="L116" s="467">
        <v>2.4310034869386874E-3</v>
      </c>
      <c r="M116" s="467">
        <v>5.2723883346550654E-4</v>
      </c>
      <c r="N116" s="467">
        <v>8.5557988601262874E-2</v>
      </c>
      <c r="O116" s="467">
        <v>1.2227463794550103E-5</v>
      </c>
      <c r="P116" s="467">
        <v>1.2227463794550103E-5</v>
      </c>
      <c r="Q116" s="438">
        <v>1</v>
      </c>
    </row>
    <row r="117" spans="1:17">
      <c r="A117" s="462" t="s">
        <v>599</v>
      </c>
      <c r="B117" s="463" t="s">
        <v>590</v>
      </c>
      <c r="C117" s="446"/>
      <c r="D117" s="446"/>
      <c r="E117" s="440"/>
      <c r="F117" s="467">
        <v>9.0909090909090912E-2</v>
      </c>
      <c r="G117" s="467">
        <v>9.0909090909090912E-2</v>
      </c>
      <c r="H117" s="467">
        <v>9.0909090909090912E-2</v>
      </c>
      <c r="I117" s="467">
        <v>9.0909090909090912E-2</v>
      </c>
      <c r="J117" s="467">
        <v>9.0909090909090912E-2</v>
      </c>
      <c r="K117" s="467">
        <v>9.0909090909090912E-2</v>
      </c>
      <c r="L117" s="467">
        <v>9.0909090909090912E-2</v>
      </c>
      <c r="M117" s="467">
        <v>9.0909090909090912E-2</v>
      </c>
      <c r="N117" s="467">
        <v>9.0909090909090912E-2</v>
      </c>
      <c r="O117" s="467">
        <v>9.0909090909090912E-2</v>
      </c>
      <c r="P117" s="467">
        <v>9.0909090909090912E-2</v>
      </c>
      <c r="Q117" s="438">
        <v>1.0000000000000002</v>
      </c>
    </row>
    <row r="118" spans="1:17" s="468" customFormat="1">
      <c r="A118" s="419" t="s">
        <v>600</v>
      </c>
      <c r="B118" s="466" t="s">
        <v>601</v>
      </c>
      <c r="C118" s="452"/>
      <c r="D118" s="452"/>
      <c r="E118" s="466"/>
      <c r="F118" s="443">
        <v>0.37737349446159613</v>
      </c>
      <c r="G118" s="443">
        <v>0.2705388880834102</v>
      </c>
      <c r="H118" s="443">
        <v>7.8131690612068774E-2</v>
      </c>
      <c r="I118" s="443">
        <v>5.0604646901595152E-3</v>
      </c>
      <c r="J118" s="443">
        <v>0.14872867583017424</v>
      </c>
      <c r="K118" s="443">
        <v>9.5121642696328074E-3</v>
      </c>
      <c r="L118" s="443">
        <v>3.7278275675138632E-4</v>
      </c>
      <c r="M118" s="443">
        <v>5.5774191949161701E-4</v>
      </c>
      <c r="N118" s="443">
        <v>6.9495967447210663E-2</v>
      </c>
      <c r="O118" s="443">
        <v>1.7394197754454662E-2</v>
      </c>
      <c r="P118" s="443">
        <v>2.2833932175027046E-2</v>
      </c>
      <c r="Q118" s="438">
        <v>1.0000000000000002</v>
      </c>
    </row>
    <row r="119" spans="1:17">
      <c r="A119" s="462" t="s">
        <v>602</v>
      </c>
      <c r="B119" s="463" t="s">
        <v>601</v>
      </c>
      <c r="C119" s="446"/>
      <c r="D119" s="446"/>
      <c r="E119" s="440"/>
      <c r="F119" s="443">
        <v>0.32202561878606856</v>
      </c>
      <c r="G119" s="443">
        <v>0.28236450744626496</v>
      </c>
      <c r="H119" s="443">
        <v>8.4182336970867758E-2</v>
      </c>
      <c r="I119" s="443">
        <v>2.862772233572672E-3</v>
      </c>
      <c r="J119" s="443">
        <v>0.18238476324550318</v>
      </c>
      <c r="K119" s="443">
        <v>9.328554549909723E-3</v>
      </c>
      <c r="L119" s="443">
        <v>2.9658704770322555E-4</v>
      </c>
      <c r="M119" s="443">
        <v>6.2289778192356861E-4</v>
      </c>
      <c r="N119" s="443">
        <v>6.5727436697176525E-2</v>
      </c>
      <c r="O119" s="443">
        <v>2.1440113624800285E-2</v>
      </c>
      <c r="P119" s="443">
        <v>2.8764411616221813E-2</v>
      </c>
      <c r="Q119" s="438">
        <v>0.9999999999999879</v>
      </c>
    </row>
    <row r="120" spans="1:17">
      <c r="A120" s="462" t="s">
        <v>603</v>
      </c>
      <c r="B120" s="463" t="s">
        <v>601</v>
      </c>
      <c r="C120" s="446"/>
      <c r="D120" s="446"/>
      <c r="E120" s="440"/>
      <c r="F120" s="443">
        <v>0.33672041961280397</v>
      </c>
      <c r="G120" s="443">
        <v>0.28830410635579912</v>
      </c>
      <c r="H120" s="443">
        <v>8.240792523897629E-2</v>
      </c>
      <c r="I120" s="443">
        <v>2.4407085788826794E-3</v>
      </c>
      <c r="J120" s="443">
        <v>0.17153224599474728</v>
      </c>
      <c r="K120" s="443">
        <v>8.7483606060816364E-3</v>
      </c>
      <c r="L120" s="443">
        <v>2.7228676083257885E-4</v>
      </c>
      <c r="M120" s="443">
        <v>5.2824353541824399E-4</v>
      </c>
      <c r="N120" s="443">
        <v>6.6852368382756613E-2</v>
      </c>
      <c r="O120" s="443">
        <v>1.9288287609270014E-2</v>
      </c>
      <c r="P120" s="443">
        <v>2.2905047324457941E-2</v>
      </c>
      <c r="Q120" s="438">
        <v>0.99999999999998135</v>
      </c>
    </row>
    <row r="121" spans="1:17">
      <c r="A121" s="462" t="s">
        <v>604</v>
      </c>
      <c r="B121" s="463" t="s">
        <v>601</v>
      </c>
      <c r="C121" s="446"/>
      <c r="D121" s="446"/>
      <c r="E121" s="440"/>
      <c r="F121" s="443">
        <v>0.59253075626565532</v>
      </c>
      <c r="G121" s="443">
        <v>0.2295057912587668</v>
      </c>
      <c r="H121" s="443">
        <v>5.7362331328572547E-2</v>
      </c>
      <c r="I121" s="443">
        <v>1.6816164713624512E-2</v>
      </c>
      <c r="J121" s="443">
        <v>1.9073236609031667E-3</v>
      </c>
      <c r="K121" s="443">
        <v>1.1947620697757202E-2</v>
      </c>
      <c r="L121" s="443">
        <v>5.4959659170657606E-4</v>
      </c>
      <c r="M121" s="443">
        <v>3.1215136324980891E-4</v>
      </c>
      <c r="N121" s="443">
        <v>8.861001160096045E-2</v>
      </c>
      <c r="O121" s="443">
        <v>2.1646160620080211E-4</v>
      </c>
      <c r="P121" s="443">
        <v>2.4179091255298354E-4</v>
      </c>
      <c r="Q121" s="438">
        <v>0.99999999999991374</v>
      </c>
    </row>
    <row r="122" spans="1:17">
      <c r="A122" s="462" t="s">
        <v>605</v>
      </c>
      <c r="B122" s="463" t="s">
        <v>601</v>
      </c>
      <c r="C122" s="446"/>
      <c r="D122" s="446"/>
      <c r="E122" s="440"/>
      <c r="F122" s="443">
        <v>0.85325005135515808</v>
      </c>
      <c r="G122" s="443">
        <v>6.0301692113452467E-2</v>
      </c>
      <c r="H122" s="443">
        <v>6.46276187338951E-3</v>
      </c>
      <c r="I122" s="443">
        <v>7.718145261858044E-3</v>
      </c>
      <c r="J122" s="443">
        <v>-4.7608568526815269E-3</v>
      </c>
      <c r="K122" s="443">
        <v>2.9470153591492198E-3</v>
      </c>
      <c r="L122" s="443">
        <v>2.29641263488203E-3</v>
      </c>
      <c r="M122" s="443">
        <v>5.5906067987772216E-4</v>
      </c>
      <c r="N122" s="443">
        <v>6.6878635015368074E-2</v>
      </c>
      <c r="O122" s="443">
        <v>1.9768692397510888E-3</v>
      </c>
      <c r="P122" s="443">
        <v>2.3702133197980846E-3</v>
      </c>
      <c r="Q122" s="438">
        <v>0.99999999999999067</v>
      </c>
    </row>
    <row r="123" spans="1:17">
      <c r="A123" s="469" t="s">
        <v>606</v>
      </c>
      <c r="B123" s="470" t="s">
        <v>601</v>
      </c>
      <c r="C123" s="414"/>
      <c r="D123" s="414"/>
      <c r="E123" s="412"/>
      <c r="F123" s="443">
        <v>0.40842360849507992</v>
      </c>
      <c r="G123" s="443">
        <v>0.26478880419312362</v>
      </c>
      <c r="H123" s="443">
        <v>7.5236833655520502E-2</v>
      </c>
      <c r="I123" s="443">
        <v>5.0286167854732078E-3</v>
      </c>
      <c r="J123" s="443">
        <v>0.13128400176252958</v>
      </c>
      <c r="K123" s="443">
        <v>9.6573868098151355E-3</v>
      </c>
      <c r="L123" s="443">
        <v>3.3836004239232398E-4</v>
      </c>
      <c r="M123" s="443">
        <v>4.4519079114449723E-4</v>
      </c>
      <c r="N123" s="443">
        <v>7.2634041450248377E-2</v>
      </c>
      <c r="O123" s="443">
        <v>1.533637911921434E-2</v>
      </c>
      <c r="P123" s="443">
        <v>1.6826776895453154E-2</v>
      </c>
      <c r="Q123" s="438">
        <v>1.0000000000000011</v>
      </c>
    </row>
    <row r="124" spans="1:17">
      <c r="A124" s="469" t="s">
        <v>607</v>
      </c>
      <c r="B124" s="471" t="s">
        <v>608</v>
      </c>
      <c r="C124" s="472"/>
      <c r="D124" s="472"/>
      <c r="E124" s="471"/>
      <c r="F124" s="473">
        <v>0.37369384042709303</v>
      </c>
      <c r="G124" s="473">
        <v>0.28023399001113497</v>
      </c>
      <c r="H124" s="473">
        <v>7.8455804533120482E-2</v>
      </c>
      <c r="I124" s="473">
        <v>6.0080328362339154E-3</v>
      </c>
      <c r="J124" s="473">
        <v>0.14058384883962044</v>
      </c>
      <c r="K124" s="473">
        <v>9.4355592581614606E-3</v>
      </c>
      <c r="L124" s="473">
        <v>4.0360717677896739E-4</v>
      </c>
      <c r="M124" s="473">
        <v>6.4725613258130653E-4</v>
      </c>
      <c r="N124" s="473">
        <v>7.1467711211951543E-2</v>
      </c>
      <c r="O124" s="473">
        <v>1.5775783771144823E-2</v>
      </c>
      <c r="P124" s="473">
        <v>2.3294565802178997E-2</v>
      </c>
      <c r="Q124" s="438">
        <v>1</v>
      </c>
    </row>
    <row r="125" spans="1:17">
      <c r="A125" s="462" t="s">
        <v>609</v>
      </c>
      <c r="B125" s="463" t="s">
        <v>610</v>
      </c>
      <c r="C125" s="474"/>
      <c r="D125" s="475"/>
      <c r="E125" s="476"/>
      <c r="F125" s="477">
        <v>0.35312844799358667</v>
      </c>
      <c r="G125" s="477">
        <v>0.3735994614783778</v>
      </c>
      <c r="H125" s="477">
        <v>8.3110157037234747E-2</v>
      </c>
      <c r="I125" s="477">
        <v>4.8744892653676836E-3</v>
      </c>
      <c r="J125" s="477">
        <v>6.1481990391527061E-2</v>
      </c>
      <c r="K125" s="477">
        <v>1.013358141583808E-2</v>
      </c>
      <c r="L125" s="477">
        <v>5.504778369292458E-4</v>
      </c>
      <c r="M125" s="477">
        <v>1.2461543331674008E-3</v>
      </c>
      <c r="N125" s="477">
        <v>8.8443113625674641E-2</v>
      </c>
      <c r="O125" s="477">
        <v>1.4628084896911621E-3</v>
      </c>
      <c r="P125" s="477">
        <v>2.1969318133006156E-2</v>
      </c>
      <c r="Q125" s="438">
        <v>0.99999999999999734</v>
      </c>
    </row>
    <row r="126" spans="1:17">
      <c r="A126" s="462" t="s">
        <v>611</v>
      </c>
      <c r="B126" s="463" t="s">
        <v>610</v>
      </c>
      <c r="C126" s="474"/>
      <c r="D126" s="475"/>
      <c r="E126" s="476"/>
      <c r="F126" s="477">
        <v>0.29281904981629986</v>
      </c>
      <c r="G126" s="477">
        <v>0.3854920054270618</v>
      </c>
      <c r="H126" s="477">
        <v>8.8816059223931834E-2</v>
      </c>
      <c r="I126" s="477">
        <v>6.7877703687621851E-3</v>
      </c>
      <c r="J126" s="477">
        <v>9.2735285701714895E-2</v>
      </c>
      <c r="K126" s="477">
        <v>8.8976606474956907E-3</v>
      </c>
      <c r="L126" s="477">
        <v>5.4186784347837386E-4</v>
      </c>
      <c r="M126" s="477">
        <v>1.5516067531856914E-3</v>
      </c>
      <c r="N126" s="477">
        <v>8.7656072109942043E-2</v>
      </c>
      <c r="O126" s="477">
        <v>2.5253795481904608E-3</v>
      </c>
      <c r="P126" s="477">
        <v>3.2177242559641044E-2</v>
      </c>
      <c r="Q126" s="438">
        <v>1.0000000000002924</v>
      </c>
    </row>
    <row r="127" spans="1:17">
      <c r="A127" s="462" t="s">
        <v>612</v>
      </c>
      <c r="B127" s="463" t="s">
        <v>610</v>
      </c>
      <c r="C127" s="474"/>
      <c r="D127" s="475"/>
      <c r="E127" s="476"/>
      <c r="F127" s="477">
        <v>0.30163885944052055</v>
      </c>
      <c r="G127" s="477">
        <v>0.3988589870003042</v>
      </c>
      <c r="H127" s="477">
        <v>8.8812797730715431E-2</v>
      </c>
      <c r="I127" s="477">
        <v>6.2992178019289401E-3</v>
      </c>
      <c r="J127" s="477">
        <v>8.2458626606193422E-2</v>
      </c>
      <c r="K127" s="477">
        <v>8.3990441898131266E-3</v>
      </c>
      <c r="L127" s="477">
        <v>4.6002233243647958E-4</v>
      </c>
      <c r="M127" s="477">
        <v>1.3300068180356834E-3</v>
      </c>
      <c r="N127" s="477">
        <v>8.3436199538178532E-2</v>
      </c>
      <c r="O127" s="477">
        <v>3.5128376987189381E-4</v>
      </c>
      <c r="P127" s="477">
        <v>2.7954954771679825E-2</v>
      </c>
      <c r="Q127" s="438">
        <v>1.0000000000002327</v>
      </c>
    </row>
    <row r="128" spans="1:17">
      <c r="A128" s="462" t="s">
        <v>613</v>
      </c>
      <c r="B128" s="463" t="s">
        <v>610</v>
      </c>
      <c r="C128" s="474"/>
      <c r="D128" s="475"/>
      <c r="E128" s="476"/>
      <c r="F128" s="477">
        <v>0.49811619603319535</v>
      </c>
      <c r="G128" s="477">
        <v>0.31898197178127058</v>
      </c>
      <c r="H128" s="477">
        <v>6.8416305228213056E-2</v>
      </c>
      <c r="I128" s="477">
        <v>5.1893170138807504E-4</v>
      </c>
      <c r="J128" s="477">
        <v>-1.442284985913528E-3</v>
      </c>
      <c r="K128" s="477">
        <v>1.2999740562173156E-2</v>
      </c>
      <c r="L128" s="477">
        <v>6.9473601077880954E-4</v>
      </c>
      <c r="M128" s="477">
        <v>6.6524436569967709E-4</v>
      </c>
      <c r="N128" s="477">
        <v>0.10134051227051756</v>
      </c>
      <c r="O128" s="477">
        <v>-1.3970300549333655E-4</v>
      </c>
      <c r="P128" s="477">
        <v>-1.5164996137597488E-4</v>
      </c>
      <c r="Q128" s="438">
        <v>1.0000000000007878</v>
      </c>
    </row>
    <row r="129" spans="1:17">
      <c r="A129" s="462" t="s">
        <v>614</v>
      </c>
      <c r="B129" s="463" t="s">
        <v>610</v>
      </c>
      <c r="C129" s="474"/>
      <c r="D129" s="475"/>
      <c r="E129" s="476"/>
      <c r="F129" s="477">
        <v>2.2423700936713771</v>
      </c>
      <c r="G129" s="477">
        <v>-3.1839976725771408</v>
      </c>
      <c r="H129" s="477">
        <v>-0.17377782819068641</v>
      </c>
      <c r="I129" s="477">
        <v>-3.0665281864040762E-2</v>
      </c>
      <c r="J129" s="477">
        <v>0.82383389495927051</v>
      </c>
      <c r="K129" s="477">
        <v>-8.4513001783015046E-2</v>
      </c>
      <c r="L129" s="477">
        <v>1.3789668721626328E-2</v>
      </c>
      <c r="M129" s="477">
        <v>-4.2700444634542582E-3</v>
      </c>
      <c r="N129" s="477">
        <v>1.7630300548649696</v>
      </c>
      <c r="O129" s="477">
        <v>-0.14663066770666483</v>
      </c>
      <c r="P129" s="477">
        <v>-0.21916921563142391</v>
      </c>
      <c r="Q129" s="438">
        <v>0.99999999999764966</v>
      </c>
    </row>
    <row r="130" spans="1:17">
      <c r="A130" s="469" t="s">
        <v>615</v>
      </c>
      <c r="B130" s="463" t="s">
        <v>610</v>
      </c>
      <c r="C130" s="474"/>
      <c r="D130" s="475"/>
      <c r="E130" s="476"/>
      <c r="F130" s="477">
        <v>0.36473226723450031</v>
      </c>
      <c r="G130" s="477">
        <v>0.32435144877680594</v>
      </c>
      <c r="H130" s="477">
        <v>7.9109548248717507E-2</v>
      </c>
      <c r="I130" s="477">
        <v>9.5581675425401389E-3</v>
      </c>
      <c r="J130" s="477">
        <v>9.8382751408131769E-2</v>
      </c>
      <c r="K130" s="477">
        <v>9.3009391804174269E-3</v>
      </c>
      <c r="L130" s="477">
        <v>5.0543375706632175E-4</v>
      </c>
      <c r="M130" s="477">
        <v>9.9996209281058785E-4</v>
      </c>
      <c r="N130" s="477">
        <v>8.4233256655048841E-2</v>
      </c>
      <c r="O130" s="477">
        <v>7.5580161505741355E-3</v>
      </c>
      <c r="P130" s="477">
        <v>2.1268208953626674E-2</v>
      </c>
      <c r="Q130" s="438">
        <v>0.99999999999994127</v>
      </c>
    </row>
    <row r="131" spans="1:17">
      <c r="A131" s="462" t="s">
        <v>616</v>
      </c>
      <c r="B131" s="463" t="s">
        <v>617</v>
      </c>
      <c r="C131" s="478"/>
      <c r="D131" s="427"/>
      <c r="E131" s="426"/>
      <c r="F131" s="477">
        <v>0.39807489733365486</v>
      </c>
      <c r="G131" s="477">
        <v>0.26020189273800459</v>
      </c>
      <c r="H131" s="477">
        <v>7.4621922575013919E-2</v>
      </c>
      <c r="I131" s="477">
        <v>7.7177664944857467E-3</v>
      </c>
      <c r="J131" s="477">
        <v>0.14306366054988851</v>
      </c>
      <c r="K131" s="477">
        <v>9.1934219196625686E-3</v>
      </c>
      <c r="L131" s="477">
        <v>3.4632375831070334E-4</v>
      </c>
      <c r="M131" s="477">
        <v>4.529882255181599E-4</v>
      </c>
      <c r="N131" s="477">
        <v>7.1395375234262204E-2</v>
      </c>
      <c r="O131" s="477">
        <v>1.6829909333401984E-2</v>
      </c>
      <c r="P131" s="477">
        <v>1.8101841837796818E-2</v>
      </c>
      <c r="Q131" s="438">
        <v>0.99999999999999967</v>
      </c>
    </row>
    <row r="132" spans="1:17">
      <c r="A132" s="462" t="s">
        <v>618</v>
      </c>
      <c r="B132" s="463" t="s">
        <v>617</v>
      </c>
      <c r="C132" s="478"/>
      <c r="D132" s="427"/>
      <c r="E132" s="426"/>
      <c r="F132" s="477">
        <v>0.33995945841863878</v>
      </c>
      <c r="G132" s="477">
        <v>0.2791751716126285</v>
      </c>
      <c r="H132" s="477">
        <v>8.1955347568694312E-2</v>
      </c>
      <c r="I132" s="477">
        <v>2.0746806794090808E-3</v>
      </c>
      <c r="J132" s="477">
        <v>0.17687564959278101</v>
      </c>
      <c r="K132" s="477">
        <v>8.7996266558317202E-3</v>
      </c>
      <c r="L132" s="477">
        <v>2.6795894441337573E-4</v>
      </c>
      <c r="M132" s="477">
        <v>4.8035013335928297E-4</v>
      </c>
      <c r="N132" s="477">
        <v>6.701710323893556E-2</v>
      </c>
      <c r="O132" s="477">
        <v>2.0889766754282522E-2</v>
      </c>
      <c r="P132" s="477">
        <v>2.2504886401025756E-2</v>
      </c>
      <c r="Q132" s="438">
        <v>0.99999999999999989</v>
      </c>
    </row>
    <row r="133" spans="1:17">
      <c r="A133" s="462" t="s">
        <v>619</v>
      </c>
      <c r="B133" s="463" t="s">
        <v>617</v>
      </c>
      <c r="C133" s="478"/>
      <c r="D133" s="427"/>
      <c r="E133" s="426"/>
      <c r="F133" s="477">
        <v>0.33862117054856611</v>
      </c>
      <c r="G133" s="477">
        <v>0.27806722770323</v>
      </c>
      <c r="H133" s="477">
        <v>8.1628425072846109E-2</v>
      </c>
      <c r="I133" s="477">
        <v>2.0660258255521492E-3</v>
      </c>
      <c r="J133" s="477">
        <v>0.18000440955401256</v>
      </c>
      <c r="K133" s="477">
        <v>8.7643004349946697E-3</v>
      </c>
      <c r="L133" s="477">
        <v>2.6688247040746826E-4</v>
      </c>
      <c r="M133" s="477">
        <v>4.7837084992815074E-4</v>
      </c>
      <c r="N133" s="477">
        <v>6.6752517664132538E-2</v>
      </c>
      <c r="O133" s="477">
        <v>2.0939434294654863E-2</v>
      </c>
      <c r="P133" s="477">
        <v>2.2411235581675366E-2</v>
      </c>
      <c r="Q133" s="438">
        <v>1.0000000000000002</v>
      </c>
    </row>
    <row r="134" spans="1:17">
      <c r="A134" s="462" t="s">
        <v>620</v>
      </c>
      <c r="B134" s="463" t="s">
        <v>617</v>
      </c>
      <c r="C134" s="478"/>
      <c r="D134" s="427"/>
      <c r="E134" s="426"/>
      <c r="F134" s="477">
        <v>0.63457631646711132</v>
      </c>
      <c r="G134" s="477">
        <v>0.18536050226515377</v>
      </c>
      <c r="H134" s="477">
        <v>4.5398194852551067E-2</v>
      </c>
      <c r="I134" s="477">
        <v>3.1043844318314952E-2</v>
      </c>
      <c r="J134" s="477">
        <v>1.8535108621369387E-3</v>
      </c>
      <c r="K134" s="477">
        <v>1.0916264513485369E-2</v>
      </c>
      <c r="L134" s="477">
        <v>6.4616526252252941E-4</v>
      </c>
      <c r="M134" s="477">
        <v>3.4026763650968253E-4</v>
      </c>
      <c r="N134" s="477">
        <v>8.9513842503169669E-2</v>
      </c>
      <c r="O134" s="477">
        <v>1.7554565952235284E-4</v>
      </c>
      <c r="P134" s="477">
        <v>1.7554565952235284E-4</v>
      </c>
      <c r="Q134" s="438">
        <v>0.99999999999999989</v>
      </c>
    </row>
    <row r="135" spans="1:17">
      <c r="A135" s="462" t="s">
        <v>621</v>
      </c>
      <c r="B135" s="463" t="s">
        <v>617</v>
      </c>
      <c r="C135" s="478"/>
      <c r="D135" s="427"/>
      <c r="E135" s="426"/>
      <c r="F135" s="477">
        <v>0.87062731305797569</v>
      </c>
      <c r="G135" s="477">
        <v>1.9150612573829755E-2</v>
      </c>
      <c r="H135" s="477">
        <v>2.9765273619160635E-4</v>
      </c>
      <c r="I135" s="477">
        <v>9.3531995053689979E-3</v>
      </c>
      <c r="J135" s="477">
        <v>6.6028270901704288E-4</v>
      </c>
      <c r="K135" s="477">
        <v>3.4610910285908319E-3</v>
      </c>
      <c r="L135" s="477">
        <v>2.6980186803346319E-3</v>
      </c>
      <c r="M135" s="477">
        <v>5.8514939584850272E-4</v>
      </c>
      <c r="N135" s="477">
        <v>9.3158772735489573E-2</v>
      </c>
      <c r="O135" s="477">
        <v>3.9537886767487595E-6</v>
      </c>
      <c r="P135" s="477">
        <v>3.9537886767487595E-6</v>
      </c>
      <c r="Q135" s="438">
        <v>1.0000000000000002</v>
      </c>
    </row>
    <row r="136" spans="1:17">
      <c r="A136" s="469" t="s">
        <v>622</v>
      </c>
      <c r="B136" s="463" t="s">
        <v>617</v>
      </c>
      <c r="C136" s="478"/>
      <c r="D136" s="427"/>
      <c r="E136" s="426"/>
      <c r="F136" s="477">
        <v>9.0909090909090912E-2</v>
      </c>
      <c r="G136" s="477">
        <v>9.0909090909090912E-2</v>
      </c>
      <c r="H136" s="477">
        <v>9.0909090909090912E-2</v>
      </c>
      <c r="I136" s="477">
        <v>9.0909090909090912E-2</v>
      </c>
      <c r="J136" s="477">
        <v>9.0909090909090912E-2</v>
      </c>
      <c r="K136" s="477">
        <v>9.0909090909090912E-2</v>
      </c>
      <c r="L136" s="477">
        <v>9.0909090909090912E-2</v>
      </c>
      <c r="M136" s="477">
        <v>9.0909090909090912E-2</v>
      </c>
      <c r="N136" s="477">
        <v>9.0909090909090912E-2</v>
      </c>
      <c r="O136" s="477">
        <v>9.0909090909090912E-2</v>
      </c>
      <c r="P136" s="477">
        <v>9.0909090909090912E-2</v>
      </c>
      <c r="Q136" s="438">
        <v>1.0000000000000002</v>
      </c>
    </row>
    <row r="137" spans="1:17" ht="13.5" thickBot="1">
      <c r="A137" s="479"/>
      <c r="B137" s="480"/>
      <c r="C137" s="481"/>
      <c r="D137" s="482"/>
      <c r="E137" s="483"/>
      <c r="F137" s="484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6"/>
    </row>
    <row r="138" spans="1:17" ht="14.25" thickTop="1" thickBot="1"/>
    <row r="139" spans="1:17" ht="13.5" thickBot="1">
      <c r="A139" s="487">
        <v>1</v>
      </c>
      <c r="B139" s="488">
        <v>2</v>
      </c>
      <c r="C139" s="488">
        <v>3</v>
      </c>
      <c r="D139" s="488">
        <v>4</v>
      </c>
      <c r="E139" s="488">
        <v>5</v>
      </c>
      <c r="F139" s="488">
        <v>6</v>
      </c>
      <c r="G139" s="488">
        <v>7</v>
      </c>
      <c r="H139" s="488">
        <v>8</v>
      </c>
      <c r="I139" s="488">
        <v>9</v>
      </c>
      <c r="J139" s="488">
        <v>10</v>
      </c>
      <c r="K139" s="488">
        <v>11</v>
      </c>
      <c r="L139" s="488">
        <v>12</v>
      </c>
      <c r="M139" s="488">
        <v>13</v>
      </c>
      <c r="N139" s="488">
        <v>14</v>
      </c>
      <c r="O139" s="488">
        <v>15</v>
      </c>
      <c r="P139" s="488">
        <v>16</v>
      </c>
      <c r="Q139" s="489">
        <v>1</v>
      </c>
    </row>
    <row r="145" spans="6:17">
      <c r="F145" s="490"/>
      <c r="Q145" s="395"/>
    </row>
    <row r="147" spans="6:17"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395"/>
    </row>
    <row r="148" spans="6:17">
      <c r="F148" s="491"/>
      <c r="G148" s="491"/>
      <c r="H148" s="491"/>
      <c r="I148" s="491"/>
      <c r="J148" s="491"/>
      <c r="K148" s="491"/>
      <c r="L148" s="491"/>
      <c r="M148" s="491"/>
      <c r="N148" s="491"/>
      <c r="O148" s="491"/>
      <c r="P148" s="491"/>
      <c r="Q148" s="395"/>
    </row>
    <row r="149" spans="6:17">
      <c r="F149" s="468"/>
      <c r="G149" s="468"/>
      <c r="H149" s="468"/>
      <c r="I149" s="468"/>
      <c r="J149" s="468"/>
      <c r="K149" s="468"/>
      <c r="L149" s="468"/>
      <c r="M149" s="468"/>
      <c r="N149" s="468"/>
      <c r="O149" s="468"/>
      <c r="P149" s="468"/>
      <c r="Q149" s="395"/>
    </row>
    <row r="150" spans="6:17">
      <c r="F150" s="468"/>
      <c r="G150" s="468"/>
      <c r="H150" s="468"/>
      <c r="I150" s="468"/>
      <c r="J150" s="468"/>
      <c r="K150" s="468"/>
      <c r="L150" s="468"/>
      <c r="M150" s="468"/>
      <c r="N150" s="468"/>
      <c r="O150" s="468"/>
      <c r="P150" s="468"/>
      <c r="Q150" s="395"/>
    </row>
    <row r="151" spans="6:17"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  <c r="Q151" s="39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 B p1 - Rate Spread</vt:lpstr>
      <vt:lpstr>Ex B p2 - Billing Determinants</vt:lpstr>
      <vt:lpstr>Ex B p3 - Table A</vt:lpstr>
      <vt:lpstr>Sch1 Bill Impact</vt:lpstr>
      <vt:lpstr>COS Factor</vt:lpstr>
      <vt:lpstr>'Ex B p1 - Rate Spread'!Print_Area</vt:lpstr>
      <vt:lpstr>'Ex B p2 - Billing Determinants'!Print_Area</vt:lpstr>
      <vt:lpstr>'Ex B p3 - Table A'!Print_Area</vt:lpstr>
      <vt:lpstr>'Sch1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2018-03-16T20:58:39Z</dcterms:created>
  <dcterms:modified xsi:type="dcterms:W3CDTF">2018-03-19T15:49:47Z</dcterms:modified>
  <cp:contentStatus/>
</cp:coreProperties>
</file>