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Combined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AB06" hidden="1">[2]WORKD!#REF!</definedName>
    <definedName name="__123Graph_B" hidden="1">[1]Inputs!#REF!</definedName>
    <definedName name="__123Graph_D" hidden="1">[1]Inputs!#REF!</definedName>
    <definedName name="__123Graph_E" hidden="1">[3]Input!$E$22:$E$37</definedName>
    <definedName name="__123Graph_F" hidden="1">[3]Input!$D$22:$D$37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nofill" hidden="1">[4]A!#REF!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IQWBGuid" hidden="1">"PRW Allocation Spreadsheet_November - 11312014 Shutdown.xlsx"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fd" hidden="1">{#N/A,#N/A,FALSE,"CHECKREQ"}</definedName>
    <definedName name="dfdfdfd" hidden="1">{#N/A,#N/A,FALSE,"CHECKREQ"}</definedName>
    <definedName name="dsd" hidden="1">[1]Inputs!#REF!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hidden="1">{#N/A,#N/A,FALSE,"CHECKREQ"}</definedName>
    <definedName name="fdf" hidden="1">{#N/A,#N/A,FALSE,"CHECKREQ"}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hidden="1">[4]A!#REF!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3" hidden="1">{#N/A,#N/A,FALSE,"Wld 2";#N/A,#N/A,FALSE,"MAFunding 2";#N/A,#N/A,FALSE,"MEC 2"}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[5]Inputs!#REF!</definedName>
    <definedName name="_xlnm.Print_Area" localSheetId="0">Combined!$A$1:$S$60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est" hidden="1">#REF!</definedName>
    <definedName name="TP_Footer_User" hidden="1">"Dylan Moser"</definedName>
    <definedName name="TP_Footer_Version" hidden="1">"v4.00"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[6]Inputs!#REF!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{#N/A,#N/A,FALSE,"Summary 1";#N/A,#N/A,FALSE,"Domestic";#N/A,#N/A,FALSE,"Australia";#N/A,#N/A,FALSE,"Other"}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" hidden="1">{"FC",#N/A,FALSE,"CALENDAR";"P",#N/A,FALSE,"CALENDAR"}</definedName>
    <definedName name="wrn.Print._.Option._.1." hidden="1">{#N/A,#N/A,FALSE,"Wld 1";#N/A,#N/A,FALSE,"MAFunding 1";#N/A,#N/A,FALSE,"MEC 1"}</definedName>
    <definedName name="wrn.Print._.Option._.2." hidden="1">{#N/A,#N/A,FALSE,"Wld 2";#N/A,#N/A,FALSE,"MAFunding 2";#N/A,#N/A,FALSE,"MEC 2"}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4" l="1"/>
  <c r="R10" i="4"/>
  <c r="N52" i="4" l="1"/>
  <c r="N38" i="4"/>
  <c r="H43" i="4"/>
  <c r="H42" i="4"/>
  <c r="H41" i="4"/>
  <c r="H30" i="4"/>
  <c r="H29" i="4"/>
  <c r="H28" i="4"/>
  <c r="H27" i="4"/>
  <c r="B15" i="4"/>
  <c r="L24" i="4"/>
  <c r="J24" i="4"/>
  <c r="R8" i="4"/>
  <c r="P53" i="4"/>
  <c r="P50" i="4" s="1"/>
  <c r="P39" i="4"/>
  <c r="P36" i="4" s="1"/>
  <c r="P25" i="4"/>
  <c r="P22" i="4" s="1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D25" i="4"/>
  <c r="D38" i="4" s="1"/>
  <c r="F24" i="4"/>
  <c r="F23" i="4"/>
  <c r="F22" i="4"/>
  <c r="F21" i="4"/>
  <c r="F20" i="4"/>
  <c r="F19" i="4"/>
  <c r="F18" i="4"/>
  <c r="F17" i="4"/>
  <c r="H44" i="4" l="1"/>
  <c r="H31" i="4"/>
  <c r="H32" i="4" s="1"/>
  <c r="L25" i="4"/>
  <c r="N24" i="4"/>
  <c r="N25" i="4" s="1"/>
  <c r="J25" i="4"/>
  <c r="P37" i="4"/>
  <c r="P43" i="4"/>
  <c r="P47" i="4"/>
  <c r="P27" i="4"/>
  <c r="P15" i="4"/>
  <c r="P19" i="4"/>
  <c r="P30" i="4"/>
  <c r="P23" i="4"/>
  <c r="P33" i="4"/>
  <c r="P51" i="4"/>
  <c r="P41" i="4"/>
  <c r="P44" i="4"/>
  <c r="P48" i="4"/>
  <c r="P52" i="4"/>
  <c r="P42" i="4"/>
  <c r="P45" i="4"/>
  <c r="P49" i="4"/>
  <c r="P46" i="4"/>
  <c r="P28" i="4"/>
  <c r="P31" i="4"/>
  <c r="P34" i="4"/>
  <c r="P38" i="4"/>
  <c r="P35" i="4"/>
  <c r="P29" i="4"/>
  <c r="P32" i="4"/>
  <c r="P16" i="4"/>
  <c r="P20" i="4"/>
  <c r="P24" i="4"/>
  <c r="P13" i="4"/>
  <c r="P17" i="4"/>
  <c r="P21" i="4"/>
  <c r="P14" i="4"/>
  <c r="P18" i="4"/>
  <c r="D48" i="4"/>
  <c r="D19" i="4"/>
  <c r="D31" i="4"/>
  <c r="D34" i="4"/>
  <c r="D52" i="4"/>
  <c r="D23" i="4"/>
  <c r="D27" i="4"/>
  <c r="D30" i="4"/>
  <c r="D35" i="4"/>
  <c r="D51" i="4"/>
  <c r="D47" i="4"/>
  <c r="D43" i="4"/>
  <c r="D37" i="4"/>
  <c r="D33" i="4"/>
  <c r="D29" i="4"/>
  <c r="D22" i="4"/>
  <c r="D18" i="4"/>
  <c r="D50" i="4"/>
  <c r="D46" i="4"/>
  <c r="D42" i="4"/>
  <c r="D36" i="4"/>
  <c r="D32" i="4"/>
  <c r="D28" i="4"/>
  <c r="D21" i="4"/>
  <c r="D17" i="4"/>
  <c r="D16" i="4"/>
  <c r="D15" i="4"/>
  <c r="D14" i="4"/>
  <c r="D13" i="4"/>
  <c r="D49" i="4"/>
  <c r="D41" i="4"/>
  <c r="D45" i="4"/>
  <c r="D53" i="4"/>
  <c r="D20" i="4"/>
  <c r="D24" i="4"/>
  <c r="D39" i="4"/>
  <c r="D44" i="4"/>
  <c r="H46" i="4" l="1"/>
  <c r="H45" i="4"/>
  <c r="H47" i="4" s="1"/>
  <c r="H33" i="4"/>
  <c r="H34" i="4" s="1"/>
  <c r="H13" i="4"/>
  <c r="R13" i="4"/>
  <c r="B14" i="4" s="1"/>
  <c r="N39" i="4"/>
  <c r="N53" i="4"/>
  <c r="H48" i="4" l="1"/>
  <c r="H49" i="4" s="1"/>
  <c r="H35" i="4"/>
  <c r="H36" i="4" s="1"/>
  <c r="H37" i="4" s="1"/>
  <c r="H38" i="4" s="1"/>
  <c r="H14" i="4"/>
  <c r="H50" i="4" l="1"/>
  <c r="H51" i="4" s="1"/>
  <c r="H52" i="4" s="1"/>
  <c r="H15" i="4"/>
  <c r="H17" i="4" l="1"/>
  <c r="H19" i="4"/>
  <c r="H16" i="4"/>
  <c r="H20" i="4" s="1"/>
  <c r="H18" i="4"/>
  <c r="H21" i="4" l="1"/>
  <c r="H22" i="4" s="1"/>
  <c r="H23" i="4" l="1"/>
  <c r="H24" i="4" s="1"/>
  <c r="R14" i="4" l="1"/>
  <c r="R15" i="4" l="1"/>
  <c r="B16" i="4" s="1"/>
  <c r="R16" i="4" s="1"/>
  <c r="B17" i="4" s="1"/>
  <c r="R17" i="4" l="1"/>
  <c r="B18" i="4" s="1"/>
  <c r="R18" i="4" l="1"/>
  <c r="B19" i="4" s="1"/>
  <c r="R19" i="4" l="1"/>
  <c r="B20" i="4" s="1"/>
  <c r="R20" i="4" l="1"/>
  <c r="B21" i="4" s="1"/>
  <c r="R21" i="4" l="1"/>
  <c r="B22" i="4" s="1"/>
  <c r="R22" i="4" s="1"/>
  <c r="B23" i="4" s="1"/>
  <c r="R23" i="4" l="1"/>
  <c r="B24" i="4" s="1"/>
  <c r="H25" i="4" l="1"/>
  <c r="R24" i="4" l="1"/>
  <c r="R25" i="4" l="1"/>
  <c r="B27" i="4"/>
  <c r="R27" i="4" s="1"/>
  <c r="B28" i="4" s="1"/>
  <c r="R28" i="4"/>
  <c r="B29" i="4" s="1"/>
  <c r="R29" i="4" l="1"/>
  <c r="B30" i="4" s="1"/>
  <c r="R30" i="4" l="1"/>
  <c r="B31" i="4" s="1"/>
  <c r="R31" i="4" l="1"/>
  <c r="B32" i="4" s="1"/>
  <c r="R32" i="4" l="1"/>
  <c r="B33" i="4" s="1"/>
  <c r="R33" i="4" l="1"/>
  <c r="B34" i="4" s="1"/>
  <c r="R34" i="4" l="1"/>
  <c r="B35" i="4" s="1"/>
  <c r="R35" i="4" l="1"/>
  <c r="B36" i="4" s="1"/>
  <c r="R36" i="4" l="1"/>
  <c r="B37" i="4" s="1"/>
  <c r="R37" i="4" l="1"/>
  <c r="B38" i="4" s="1"/>
  <c r="H39" i="4" l="1"/>
  <c r="R38" i="4" l="1"/>
  <c r="R39" i="4" l="1"/>
  <c r="B41" i="4"/>
  <c r="R41" i="4" s="1"/>
  <c r="B42" i="4" s="1"/>
  <c r="R42" i="4"/>
  <c r="B43" i="4" s="1"/>
  <c r="R43" i="4" l="1"/>
  <c r="B44" i="4" s="1"/>
  <c r="R44" i="4" l="1"/>
  <c r="B45" i="4" s="1"/>
  <c r="R45" i="4" l="1"/>
  <c r="B46" i="4" s="1"/>
  <c r="R46" i="4" l="1"/>
  <c r="B47" i="4" s="1"/>
  <c r="R47" i="4" l="1"/>
  <c r="B48" i="4" s="1"/>
  <c r="R48" i="4" l="1"/>
  <c r="B49" i="4" s="1"/>
  <c r="R49" i="4" l="1"/>
  <c r="B50" i="4" s="1"/>
  <c r="R50" i="4" l="1"/>
  <c r="B51" i="4" s="1"/>
  <c r="R51" i="4" l="1"/>
  <c r="B52" i="4" s="1"/>
  <c r="H53" i="4" l="1"/>
  <c r="R52" i="4" l="1"/>
  <c r="R53" i="4" s="1"/>
</calcChain>
</file>

<file path=xl/sharedStrings.xml><?xml version="1.0" encoding="utf-8"?>
<sst xmlns="http://schemas.openxmlformats.org/spreadsheetml/2006/main" count="38" uniqueCount="32">
  <si>
    <t>Rocky Mountain Power</t>
  </si>
  <si>
    <t>State of Utah</t>
  </si>
  <si>
    <t>$ - Thousands</t>
  </si>
  <si>
    <t xml:space="preserve"> </t>
  </si>
  <si>
    <t>Beginning Balance</t>
  </si>
  <si>
    <t>Refund</t>
  </si>
  <si>
    <t>Ending Balance</t>
  </si>
  <si>
    <t>Ref</t>
  </si>
  <si>
    <t>(2)</t>
  </si>
  <si>
    <t>Total</t>
  </si>
  <si>
    <t>(1)</t>
  </si>
  <si>
    <t>Beginning April 1, 2018, the carrying charge rate decreased from 4.19% to 4.09% per Docket No. 18-035-T01.</t>
  </si>
  <si>
    <t>Currently, tariff schedule 197 is refunding $61.0m effective May 1, 2018 per the Commission's April 27, 2018 order.</t>
  </si>
  <si>
    <t>ARAM Protected Property</t>
  </si>
  <si>
    <t>Estimated Federal Tax Deferral and Amortization Table</t>
  </si>
  <si>
    <r>
      <t xml:space="preserve">Rate </t>
    </r>
    <r>
      <rPr>
        <vertAlign val="superscript"/>
        <sz val="10"/>
        <color theme="1"/>
        <rFont val="Arial"/>
        <family val="2"/>
      </rPr>
      <t>1</t>
    </r>
  </si>
  <si>
    <t>Current Tax</t>
  </si>
  <si>
    <t>(3)</t>
  </si>
  <si>
    <t>Revenue Requirement</t>
  </si>
  <si>
    <t>(4)</t>
  </si>
  <si>
    <r>
      <t xml:space="preserve">Current Tax Carrying Charge </t>
    </r>
    <r>
      <rPr>
        <u/>
        <vertAlign val="superscript"/>
        <sz val="10"/>
        <color theme="1"/>
        <rFont val="Arial"/>
        <family val="2"/>
      </rPr>
      <t>(2)</t>
    </r>
  </si>
  <si>
    <r>
      <t>Depreciation Buy Down</t>
    </r>
    <r>
      <rPr>
        <u/>
        <vertAlign val="superscript"/>
        <sz val="10"/>
        <color theme="1"/>
        <rFont val="Arial"/>
        <family val="2"/>
      </rPr>
      <t xml:space="preserve"> (4)</t>
    </r>
  </si>
  <si>
    <r>
      <t xml:space="preserve">ARAM Protected Property </t>
    </r>
    <r>
      <rPr>
        <u/>
        <vertAlign val="superscript"/>
        <sz val="10"/>
        <color theme="1"/>
        <rFont val="Arial"/>
        <family val="2"/>
      </rPr>
      <t>(5)</t>
    </r>
  </si>
  <si>
    <t>(5)</t>
  </si>
  <si>
    <t>Pre-Tax Gross Up Amount</t>
  </si>
  <si>
    <t>Settlement Attachment 1</t>
  </si>
  <si>
    <t>Utah Allocated Tax EDIT</t>
  </si>
  <si>
    <t>EDIT Non-Protected Property</t>
  </si>
  <si>
    <t>EDIT Non-Protected Non-Property</t>
  </si>
  <si>
    <t xml:space="preserve">Carrying Charge is calculated on full balance of current tax </t>
  </si>
  <si>
    <t xml:space="preserve">Depreciation buy down in December 2018 includes full amount of EDIT Non-Protected Property, EDIT Non-Protected Non-Property, and $4.9m difference in current tax and refund. </t>
  </si>
  <si>
    <t>ARAM Protected Property amortization amount to be trued up to actual ARAM annually.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</si>
</sst>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3333FF"/>
      <name val="Arial"/>
      <family val="2"/>
    </font>
    <font>
      <b/>
      <sz val="10"/>
      <name val="Arial"/>
      <family val="2"/>
    </font>
    <font>
      <u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/>
    <xf numFmtId="0" fontId="3" fillId="0" borderId="0" xfId="1" applyFont="1"/>
    <xf numFmtId="0" fontId="3" fillId="0" borderId="0" xfId="1" applyFont="1" applyAlignment="1">
      <alignment horizontal="right"/>
    </xf>
    <xf numFmtId="10" fontId="4" fillId="0" borderId="0" xfId="2" applyNumberFormat="1" applyFont="1" applyAlignment="1">
      <alignment horizontal="center"/>
    </xf>
    <xf numFmtId="0" fontId="3" fillId="0" borderId="0" xfId="1" applyFont="1" applyAlignment="1">
      <alignment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wrapText="1"/>
    </xf>
    <xf numFmtId="10" fontId="6" fillId="0" borderId="1" xfId="1" applyNumberFormat="1" applyFont="1" applyFill="1" applyBorder="1" applyAlignment="1">
      <alignment horizontal="right"/>
    </xf>
    <xf numFmtId="0" fontId="3" fillId="0" borderId="0" xfId="1" applyFont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6" fillId="0" borderId="0" xfId="1" quotePrefix="1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right"/>
    </xf>
    <xf numFmtId="164" fontId="6" fillId="0" borderId="0" xfId="1" applyNumberFormat="1" applyFont="1"/>
    <xf numFmtId="165" fontId="6" fillId="0" borderId="0" xfId="3" applyNumberFormat="1" applyFont="1" applyFill="1" applyBorder="1"/>
    <xf numFmtId="165" fontId="3" fillId="0" borderId="0" xfId="3" applyNumberFormat="1" applyFont="1" applyBorder="1"/>
    <xf numFmtId="165" fontId="3" fillId="0" borderId="0" xfId="3" applyNumberFormat="1" applyFont="1" applyBorder="1" applyAlignment="1">
      <alignment horizontal="right"/>
    </xf>
    <xf numFmtId="165" fontId="6" fillId="0" borderId="0" xfId="3" applyNumberFormat="1" applyFont="1" applyFill="1" applyBorder="1" applyAlignment="1"/>
    <xf numFmtId="0" fontId="8" fillId="0" borderId="0" xfId="1" quotePrefix="1" applyFont="1" applyBorder="1" applyAlignment="1">
      <alignment horizontal="center"/>
    </xf>
    <xf numFmtId="166" fontId="3" fillId="0" borderId="0" xfId="4" applyNumberFormat="1" applyFont="1" applyBorder="1"/>
    <xf numFmtId="166" fontId="6" fillId="0" borderId="0" xfId="4" applyNumberFormat="1" applyFont="1" applyFill="1" applyBorder="1" applyAlignment="1"/>
    <xf numFmtId="166" fontId="3" fillId="0" borderId="0" xfId="4" applyNumberFormat="1" applyFont="1" applyBorder="1" applyAlignment="1">
      <alignment horizontal="right"/>
    </xf>
    <xf numFmtId="164" fontId="6" fillId="0" borderId="0" xfId="1" applyNumberFormat="1" applyFont="1" applyBorder="1"/>
    <xf numFmtId="164" fontId="9" fillId="0" borderId="0" xfId="1" applyNumberFormat="1" applyFont="1" applyBorder="1" applyAlignment="1">
      <alignment horizontal="right"/>
    </xf>
    <xf numFmtId="5" fontId="9" fillId="0" borderId="2" xfId="1" applyNumberFormat="1" applyFont="1" applyFill="1" applyBorder="1"/>
    <xf numFmtId="0" fontId="9" fillId="0" borderId="2" xfId="1" applyFont="1" applyFill="1" applyBorder="1"/>
    <xf numFmtId="165" fontId="9" fillId="0" borderId="2" xfId="3" applyNumberFormat="1" applyFont="1" applyFill="1" applyBorder="1"/>
    <xf numFmtId="165" fontId="9" fillId="0" borderId="2" xfId="3" applyNumberFormat="1" applyFont="1" applyFill="1" applyBorder="1" applyAlignment="1">
      <alignment horizontal="right"/>
    </xf>
    <xf numFmtId="165" fontId="9" fillId="0" borderId="2" xfId="3" applyNumberFormat="1" applyFont="1" applyFill="1" applyBorder="1" applyAlignment="1"/>
    <xf numFmtId="164" fontId="8" fillId="0" borderId="0" xfId="1" applyNumberFormat="1" applyFont="1" applyBorder="1"/>
    <xf numFmtId="37" fontId="3" fillId="0" borderId="0" xfId="1" applyNumberFormat="1" applyFont="1" applyBorder="1"/>
    <xf numFmtId="166" fontId="3" fillId="0" borderId="0" xfId="4" applyNumberFormat="1" applyFont="1"/>
    <xf numFmtId="0" fontId="6" fillId="0" borderId="0" xfId="1" quotePrefix="1" applyFont="1" applyAlignment="1">
      <alignment horizontal="center"/>
    </xf>
    <xf numFmtId="165" fontId="9" fillId="0" borderId="0" xfId="3" applyNumberFormat="1" applyFont="1" applyFill="1" applyBorder="1"/>
    <xf numFmtId="0" fontId="3" fillId="0" borderId="1" xfId="1" applyFont="1" applyBorder="1" applyAlignment="1">
      <alignment horizontal="centerContinuous" wrapText="1"/>
    </xf>
    <xf numFmtId="10" fontId="6" fillId="0" borderId="0" xfId="1" applyNumberFormat="1" applyFont="1" applyFill="1" applyBorder="1" applyAlignment="1">
      <alignment horizontal="right"/>
    </xf>
    <xf numFmtId="0" fontId="3" fillId="0" borderId="0" xfId="0" applyFont="1"/>
    <xf numFmtId="0" fontId="3" fillId="0" borderId="4" xfId="1" applyFont="1" applyBorder="1"/>
    <xf numFmtId="0" fontId="3" fillId="0" borderId="5" xfId="1" applyFont="1" applyBorder="1"/>
    <xf numFmtId="0" fontId="3" fillId="0" borderId="0" xfId="1" applyFont="1" applyAlignment="1">
      <alignment horizontal="center"/>
    </xf>
    <xf numFmtId="0" fontId="3" fillId="0" borderId="6" xfId="1" applyFont="1" applyBorder="1"/>
    <xf numFmtId="0" fontId="3" fillId="0" borderId="2" xfId="1" applyFont="1" applyBorder="1"/>
    <xf numFmtId="0" fontId="3" fillId="0" borderId="7" xfId="1" applyFont="1" applyBorder="1"/>
    <xf numFmtId="0" fontId="3" fillId="0" borderId="3" xfId="1" applyFont="1" applyBorder="1" applyAlignment="1">
      <alignment horizontal="left" indent="2"/>
    </xf>
    <xf numFmtId="0" fontId="3" fillId="0" borderId="4" xfId="1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166" fontId="6" fillId="0" borderId="1" xfId="4" applyNumberFormat="1" applyFont="1" applyFill="1" applyBorder="1" applyAlignment="1">
      <alignment horizontal="center"/>
    </xf>
    <xf numFmtId="0" fontId="1" fillId="0" borderId="0" xfId="1" applyAlignment="1">
      <alignment horizontal="centerContinuous"/>
    </xf>
    <xf numFmtId="0" fontId="6" fillId="0" borderId="0" xfId="1" quotePrefix="1" applyFont="1" applyAlignment="1">
      <alignment horizontal="center" vertical="center"/>
    </xf>
    <xf numFmtId="0" fontId="3" fillId="0" borderId="8" xfId="1" applyFont="1" applyBorder="1" applyAlignment="1">
      <alignment horizontal="center" wrapText="1"/>
    </xf>
    <xf numFmtId="0" fontId="6" fillId="0" borderId="0" xfId="1" quotePrefix="1" applyFont="1" applyAlignment="1">
      <alignment horizontal="center" vertical="top"/>
    </xf>
    <xf numFmtId="0" fontId="3" fillId="0" borderId="0" xfId="1" applyFont="1" applyAlignment="1">
      <alignment horizontal="left" wrapText="1"/>
    </xf>
  </cellXfs>
  <cellStyles count="5">
    <cellStyle name="Comma 3" xfId="4"/>
    <cellStyle name="Currency 2" xfId="3"/>
    <cellStyle name="Normal" xfId="0" builtinId="0"/>
    <cellStyle name="Normal 2" xfId="1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P3\ClientFiles\ExcelWKS\MidAmericanFlexPlan%201-30-04%20NNG%20APBO%20fix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eBySide"/>
      <sheetName val="AccountingDetail"/>
      <sheetName val="Pension Allocation"/>
      <sheetName val="Nonunion Ret Welfare Alloc"/>
      <sheetName val="Not Applicable"/>
      <sheetName val="ContribDetail"/>
      <sheetName val="QuarterlyDetail"/>
      <sheetName val="STable"/>
      <sheetName val="Notes"/>
      <sheetName val="Home"/>
      <sheetName val="Summary"/>
      <sheetName val="3way"/>
      <sheetName val="Monthly"/>
      <sheetName val="ADJ"/>
      <sheetName val="S"/>
      <sheetName val="S1"/>
      <sheetName val="S2"/>
      <sheetName val="S3"/>
      <sheetName val="S4"/>
      <sheetName val="WORKD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A2">
            <v>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zoomScaleNormal="100" workbookViewId="0">
      <selection activeCell="E4" sqref="E4"/>
    </sheetView>
  </sheetViews>
  <sheetFormatPr defaultRowHeight="15" x14ac:dyDescent="0.25"/>
  <cols>
    <col min="1" max="1" width="8.5703125" style="2" customWidth="1"/>
    <col min="2" max="2" width="11.7109375" style="2" customWidth="1"/>
    <col min="3" max="3" width="1.42578125" style="2" customWidth="1"/>
    <col min="4" max="4" width="11.7109375" style="2" customWidth="1"/>
    <col min="5" max="5" width="1.42578125" style="2" customWidth="1"/>
    <col min="6" max="6" width="11.7109375" style="2" customWidth="1"/>
    <col min="7" max="7" width="1.42578125" style="2" customWidth="1"/>
    <col min="8" max="8" width="11.7109375" style="2" customWidth="1"/>
    <col min="9" max="9" width="1.42578125" style="2" customWidth="1"/>
    <col min="10" max="10" width="12" style="2" customWidth="1"/>
    <col min="11" max="11" width="1.42578125" style="2" customWidth="1"/>
    <col min="12" max="12" width="12" style="2" customWidth="1"/>
    <col min="13" max="13" width="1.42578125" style="2" customWidth="1"/>
    <col min="14" max="14" width="12" style="2" customWidth="1"/>
    <col min="15" max="15" width="1.42578125" style="2" customWidth="1"/>
    <col min="16" max="16" width="12" style="2" customWidth="1"/>
    <col min="17" max="17" width="1.42578125" style="2" customWidth="1"/>
    <col min="18" max="18" width="12.85546875" style="2" bestFit="1" customWidth="1"/>
    <col min="19" max="19" width="5" style="2" customWidth="1"/>
    <col min="20" max="20" width="11.85546875" bestFit="1" customWidth="1"/>
    <col min="22" max="22" width="12" style="2" customWidth="1"/>
  </cols>
  <sheetData>
    <row r="1" spans="1:22" x14ac:dyDescent="0.25">
      <c r="S1" s="4" t="s">
        <v>25</v>
      </c>
    </row>
    <row r="2" spans="1:22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1"/>
      <c r="S2" s="51"/>
      <c r="V2" s="1"/>
    </row>
    <row r="3" spans="1:22" x14ac:dyDescent="0.25">
      <c r="A3" s="1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51"/>
      <c r="S3" s="51"/>
      <c r="V3" s="1"/>
    </row>
    <row r="4" spans="1:22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51"/>
      <c r="S4" s="51"/>
      <c r="V4" s="1"/>
    </row>
    <row r="5" spans="1:22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1"/>
      <c r="S5" s="51"/>
      <c r="V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V6" s="1"/>
    </row>
    <row r="7" spans="1:22" ht="39" x14ac:dyDescent="0.25">
      <c r="A7" s="3"/>
      <c r="B7" s="3"/>
      <c r="C7" s="3"/>
      <c r="D7" s="3"/>
      <c r="E7" s="3"/>
      <c r="F7" s="3"/>
      <c r="G7" s="4"/>
      <c r="H7" s="5"/>
      <c r="J7" s="44" t="s">
        <v>26</v>
      </c>
      <c r="K7" s="45"/>
      <c r="L7" s="45"/>
      <c r="M7" s="45"/>
      <c r="N7" s="46"/>
      <c r="O7" s="3"/>
      <c r="P7" s="53" t="s">
        <v>24</v>
      </c>
      <c r="Q7" s="43"/>
      <c r="R7" s="49" t="s">
        <v>18</v>
      </c>
      <c r="S7" s="3"/>
      <c r="V7" s="3"/>
    </row>
    <row r="8" spans="1:22" x14ac:dyDescent="0.25">
      <c r="A8" s="6"/>
      <c r="B8" s="7" t="s">
        <v>3</v>
      </c>
      <c r="C8" s="8"/>
      <c r="D8"/>
      <c r="E8"/>
      <c r="F8"/>
      <c r="G8" s="4"/>
      <c r="H8" s="38" t="s">
        <v>15</v>
      </c>
      <c r="J8" s="47" t="s">
        <v>13</v>
      </c>
      <c r="K8" s="41"/>
      <c r="L8" s="41"/>
      <c r="M8" s="41"/>
      <c r="N8" s="42"/>
      <c r="O8" s="40"/>
      <c r="P8" s="50">
        <v>-615974.88740000001</v>
      </c>
      <c r="Q8" s="40"/>
      <c r="R8" s="50">
        <f>P8*1.326</f>
        <v>-816782.7006924001</v>
      </c>
      <c r="S8" s="3"/>
      <c r="V8" s="7"/>
    </row>
    <row r="9" spans="1:22" x14ac:dyDescent="0.25">
      <c r="A9" s="6"/>
      <c r="B9" s="7"/>
      <c r="C9" s="8"/>
      <c r="D9"/>
      <c r="E9"/>
      <c r="F9"/>
      <c r="G9" s="4"/>
      <c r="H9" s="11">
        <v>4.19E-2</v>
      </c>
      <c r="J9" s="47" t="s">
        <v>27</v>
      </c>
      <c r="K9" s="41"/>
      <c r="L9" s="41"/>
      <c r="M9" s="41"/>
      <c r="N9" s="42"/>
      <c r="O9" s="40"/>
      <c r="P9" s="50">
        <v>-104732.41499999999</v>
      </c>
      <c r="Q9" s="40"/>
      <c r="R9" s="50">
        <f>P9*1.326</f>
        <v>-138875.18229</v>
      </c>
      <c r="S9" s="3"/>
      <c r="V9" s="7"/>
    </row>
    <row r="10" spans="1:22" x14ac:dyDescent="0.25">
      <c r="A10" s="12"/>
      <c r="B10" s="13"/>
      <c r="C10" s="9"/>
      <c r="D10" s="13"/>
      <c r="E10" s="13"/>
      <c r="F10" s="13"/>
      <c r="G10" s="9"/>
      <c r="H10" s="11">
        <v>4.0899999999999999E-2</v>
      </c>
      <c r="J10" s="47" t="s">
        <v>28</v>
      </c>
      <c r="K10" s="41"/>
      <c r="L10" s="48"/>
      <c r="M10" s="41"/>
      <c r="N10" s="42"/>
      <c r="O10" s="13"/>
      <c r="P10" s="50">
        <v>-22560.698</v>
      </c>
      <c r="Q10" s="13"/>
      <c r="R10" s="50">
        <f>P10*1.326</f>
        <v>-29915.485548000001</v>
      </c>
      <c r="S10" s="3"/>
      <c r="V10" s="13"/>
    </row>
    <row r="11" spans="1:22" x14ac:dyDescent="0.25">
      <c r="A11" s="12"/>
      <c r="B11" s="13"/>
      <c r="C11" s="9"/>
      <c r="D11" s="13"/>
      <c r="E11" s="13"/>
      <c r="F11" s="13"/>
      <c r="G11" s="9"/>
      <c r="H11" s="39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0"/>
      <c r="T11" s="40"/>
      <c r="V11" s="13"/>
    </row>
    <row r="12" spans="1:22" ht="46.5" customHeight="1" x14ac:dyDescent="0.25">
      <c r="A12" s="6"/>
      <c r="B12" s="15" t="s">
        <v>4</v>
      </c>
      <c r="C12" s="8"/>
      <c r="D12" s="15" t="s">
        <v>16</v>
      </c>
      <c r="E12" s="15"/>
      <c r="F12" s="15" t="s">
        <v>5</v>
      </c>
      <c r="G12" s="16"/>
      <c r="H12" s="15" t="s">
        <v>20</v>
      </c>
      <c r="I12" s="15"/>
      <c r="J12" s="15" t="s">
        <v>27</v>
      </c>
      <c r="K12" s="15"/>
      <c r="L12" s="15" t="s">
        <v>28</v>
      </c>
      <c r="M12" s="15"/>
      <c r="N12" s="15" t="s">
        <v>21</v>
      </c>
      <c r="O12" s="15"/>
      <c r="P12" s="15" t="s">
        <v>22</v>
      </c>
      <c r="Q12" s="15"/>
      <c r="R12" s="15" t="s">
        <v>6</v>
      </c>
      <c r="S12" s="15" t="s">
        <v>7</v>
      </c>
      <c r="V12"/>
    </row>
    <row r="13" spans="1:22" x14ac:dyDescent="0.25">
      <c r="A13" s="17">
        <v>43101</v>
      </c>
      <c r="B13" s="18">
        <v>0</v>
      </c>
      <c r="C13" s="19"/>
      <c r="D13" s="18">
        <f>$D$25/12</f>
        <v>5490.8678333333337</v>
      </c>
      <c r="E13" s="19"/>
      <c r="F13" s="19">
        <v>0</v>
      </c>
      <c r="G13" s="20"/>
      <c r="H13" s="21">
        <f>(SUM(D13:F13)/2)*($H$9/12)</f>
        <v>9.5861400923611129</v>
      </c>
      <c r="I13" s="19"/>
      <c r="J13" s="18"/>
      <c r="K13" s="19"/>
      <c r="L13" s="18"/>
      <c r="M13" s="19"/>
      <c r="N13" s="19"/>
      <c r="O13" s="19"/>
      <c r="P13" s="18">
        <f t="shared" ref="P13:P24" si="0">$P$25/12</f>
        <v>1532.8392040000001</v>
      </c>
      <c r="Q13" s="19"/>
      <c r="R13" s="19">
        <f t="shared" ref="R13:R24" si="1">B13+D13+F13+H13+J13+L13+N13+P13</f>
        <v>7033.2931774256949</v>
      </c>
      <c r="S13" s="14"/>
      <c r="V13"/>
    </row>
    <row r="14" spans="1:22" x14ac:dyDescent="0.25">
      <c r="A14" s="17">
        <v>43132</v>
      </c>
      <c r="B14" s="23">
        <f>R13</f>
        <v>7033.2931774256949</v>
      </c>
      <c r="C14" s="23"/>
      <c r="D14" s="24">
        <f t="shared" ref="D14:D24" si="2">$D$25/12</f>
        <v>5490.8678333333337</v>
      </c>
      <c r="E14" s="23"/>
      <c r="F14" s="24">
        <v>0</v>
      </c>
      <c r="G14" s="25"/>
      <c r="H14" s="24">
        <f>(SUM(D$13:H13)+SUM(D14:F14)/2)*($H$9/12)</f>
        <v>28.791891882905833</v>
      </c>
      <c r="I14" s="23"/>
      <c r="J14" s="24"/>
      <c r="K14" s="23"/>
      <c r="L14" s="24"/>
      <c r="M14" s="23"/>
      <c r="N14" s="24"/>
      <c r="O14" s="23"/>
      <c r="P14" s="24">
        <f t="shared" si="0"/>
        <v>1532.8392040000001</v>
      </c>
      <c r="Q14" s="23"/>
      <c r="R14" s="24">
        <f t="shared" si="1"/>
        <v>14085.792106641933</v>
      </c>
      <c r="V14"/>
    </row>
    <row r="15" spans="1:22" x14ac:dyDescent="0.25">
      <c r="A15" s="17">
        <v>43160</v>
      </c>
      <c r="B15" s="23">
        <f t="shared" ref="B15:B24" si="3">R14</f>
        <v>14085.792106641933</v>
      </c>
      <c r="C15" s="23"/>
      <c r="D15" s="24">
        <f t="shared" si="2"/>
        <v>5490.8678333333337</v>
      </c>
      <c r="E15" s="23"/>
      <c r="F15" s="24">
        <v>0</v>
      </c>
      <c r="G15" s="25"/>
      <c r="H15" s="24">
        <f>(SUM(D$13:H14)+SUM(D15:F15)/2)*($H$9/12)</f>
        <v>48.06470375678586</v>
      </c>
      <c r="I15" s="23"/>
      <c r="J15" s="24"/>
      <c r="K15" s="23"/>
      <c r="L15" s="24"/>
      <c r="M15" s="23"/>
      <c r="N15" s="24"/>
      <c r="O15" s="23"/>
      <c r="P15" s="24">
        <f t="shared" si="0"/>
        <v>1532.8392040000001</v>
      </c>
      <c r="Q15" s="23"/>
      <c r="R15" s="24">
        <f t="shared" si="1"/>
        <v>21157.563847732054</v>
      </c>
      <c r="S15" s="22"/>
      <c r="V15"/>
    </row>
    <row r="16" spans="1:22" x14ac:dyDescent="0.25">
      <c r="A16" s="17">
        <v>43191</v>
      </c>
      <c r="B16" s="23">
        <f t="shared" si="3"/>
        <v>21157.563847732054</v>
      </c>
      <c r="C16" s="23"/>
      <c r="D16" s="24">
        <f t="shared" si="2"/>
        <v>5490.8678333333337</v>
      </c>
      <c r="E16" s="23"/>
      <c r="F16" s="24">
        <v>0</v>
      </c>
      <c r="G16" s="25"/>
      <c r="H16" s="24">
        <f>(SUM(D$13:H15)+SUM(D16:F16)/2)*($H$10/12)</f>
        <v>65.796103186092296</v>
      </c>
      <c r="I16" s="23"/>
      <c r="J16" s="24"/>
      <c r="K16" s="23"/>
      <c r="L16" s="24"/>
      <c r="M16" s="23"/>
      <c r="N16" s="24"/>
      <c r="O16" s="23"/>
      <c r="P16" s="24">
        <f t="shared" si="0"/>
        <v>1532.8392040000001</v>
      </c>
      <c r="Q16" s="23"/>
      <c r="R16" s="24">
        <f t="shared" si="1"/>
        <v>28247.066988251481</v>
      </c>
      <c r="S16" s="22"/>
      <c r="V16"/>
    </row>
    <row r="17" spans="1:22" x14ac:dyDescent="0.25">
      <c r="A17" s="17">
        <v>43221</v>
      </c>
      <c r="B17" s="23">
        <f t="shared" si="3"/>
        <v>28247.066988251481</v>
      </c>
      <c r="C17" s="23"/>
      <c r="D17" s="24">
        <f t="shared" si="2"/>
        <v>5490.8678333333337</v>
      </c>
      <c r="E17" s="23"/>
      <c r="F17" s="24">
        <f>$F$25/8</f>
        <v>-7625</v>
      </c>
      <c r="G17" s="25"/>
      <c r="H17" s="24">
        <f>(SUM(D$13:H16)+SUM(D17:F17)/2)*($H$10/12)</f>
        <v>71.740795269729347</v>
      </c>
      <c r="I17" s="23"/>
      <c r="J17" s="24"/>
      <c r="K17" s="23"/>
      <c r="L17" s="24"/>
      <c r="M17" s="23"/>
      <c r="N17" s="24"/>
      <c r="O17" s="23"/>
      <c r="P17" s="24">
        <f t="shared" si="0"/>
        <v>1532.8392040000001</v>
      </c>
      <c r="Q17" s="23"/>
      <c r="R17" s="24">
        <f t="shared" si="1"/>
        <v>27717.514820854543</v>
      </c>
      <c r="S17" s="22"/>
      <c r="V17"/>
    </row>
    <row r="18" spans="1:22" x14ac:dyDescent="0.25">
      <c r="A18" s="17">
        <v>43252</v>
      </c>
      <c r="B18" s="23">
        <f t="shared" si="3"/>
        <v>27717.514820854543</v>
      </c>
      <c r="C18" s="23"/>
      <c r="D18" s="24">
        <f t="shared" si="2"/>
        <v>5490.8678333333337</v>
      </c>
      <c r="E18" s="23"/>
      <c r="F18" s="24">
        <f t="shared" ref="F18:F24" si="4">$F$25/8</f>
        <v>-7625</v>
      </c>
      <c r="G18" s="25"/>
      <c r="H18" s="24">
        <f>(SUM(D$13:H17)+SUM(D18:F18)/2)*($H$10/12)</f>
        <v>64.711478012218123</v>
      </c>
      <c r="I18" s="23"/>
      <c r="J18" s="24"/>
      <c r="K18" s="23"/>
      <c r="L18" s="24"/>
      <c r="M18" s="23"/>
      <c r="N18" s="24"/>
      <c r="O18" s="23"/>
      <c r="P18" s="24">
        <f t="shared" si="0"/>
        <v>1532.8392040000001</v>
      </c>
      <c r="Q18" s="23"/>
      <c r="R18" s="24">
        <f t="shared" si="1"/>
        <v>27180.933336200098</v>
      </c>
      <c r="S18" s="22"/>
      <c r="V18"/>
    </row>
    <row r="19" spans="1:22" x14ac:dyDescent="0.25">
      <c r="A19" s="17">
        <v>43282</v>
      </c>
      <c r="B19" s="23">
        <f t="shared" si="3"/>
        <v>27180.933336200098</v>
      </c>
      <c r="C19" s="23"/>
      <c r="D19" s="24">
        <f t="shared" si="2"/>
        <v>5490.8678333333337</v>
      </c>
      <c r="E19" s="23"/>
      <c r="F19" s="24">
        <f t="shared" si="4"/>
        <v>-7625</v>
      </c>
      <c r="G19" s="25"/>
      <c r="H19" s="24">
        <f>(SUM(D$13:H18)+SUM(D19:F19)/2)*($H$10/12)</f>
        <v>57.658202498387539</v>
      </c>
      <c r="I19" s="23"/>
      <c r="J19" s="24"/>
      <c r="K19" s="23"/>
      <c r="L19" s="24"/>
      <c r="M19" s="23"/>
      <c r="N19" s="24"/>
      <c r="O19" s="23"/>
      <c r="P19" s="24">
        <f t="shared" si="0"/>
        <v>1532.8392040000001</v>
      </c>
      <c r="Q19" s="23"/>
      <c r="R19" s="24">
        <f t="shared" si="1"/>
        <v>26637.298576031819</v>
      </c>
      <c r="S19" s="14" t="s">
        <v>17</v>
      </c>
      <c r="V19"/>
    </row>
    <row r="20" spans="1:22" x14ac:dyDescent="0.25">
      <c r="A20" s="17">
        <v>43313</v>
      </c>
      <c r="B20" s="23">
        <f t="shared" si="3"/>
        <v>26637.298576031819</v>
      </c>
      <c r="C20" s="23"/>
      <c r="D20" s="24">
        <f t="shared" si="2"/>
        <v>5490.8678333333337</v>
      </c>
      <c r="E20" s="23"/>
      <c r="F20" s="24">
        <f t="shared" si="4"/>
        <v>-7625</v>
      </c>
      <c r="G20" s="25"/>
      <c r="H20" s="24">
        <f>(SUM(D$13:H19)+SUM(D20:F20)/2)*($H$10/12)</f>
        <v>50.580887070513981</v>
      </c>
      <c r="I20" s="23"/>
      <c r="J20" s="24"/>
      <c r="K20" s="23"/>
      <c r="L20" s="24"/>
      <c r="M20" s="23"/>
      <c r="N20" s="24"/>
      <c r="O20" s="23"/>
      <c r="P20" s="24">
        <f t="shared" si="0"/>
        <v>1532.8392040000001</v>
      </c>
      <c r="Q20" s="23"/>
      <c r="R20" s="24">
        <f t="shared" si="1"/>
        <v>26086.586500435667</v>
      </c>
      <c r="S20" s="22"/>
      <c r="V20"/>
    </row>
    <row r="21" spans="1:22" x14ac:dyDescent="0.25">
      <c r="A21" s="17">
        <v>43344</v>
      </c>
      <c r="B21" s="23">
        <f t="shared" si="3"/>
        <v>26086.586500435667</v>
      </c>
      <c r="C21" s="23"/>
      <c r="D21" s="24">
        <f t="shared" si="2"/>
        <v>5490.8678333333337</v>
      </c>
      <c r="E21" s="23"/>
      <c r="F21" s="24">
        <f t="shared" si="4"/>
        <v>-7625</v>
      </c>
      <c r="G21" s="25"/>
      <c r="H21" s="24">
        <f>(SUM(D$13:H20)+SUM(D21:F21)/2)*($H$10/12)</f>
        <v>43.479449792557091</v>
      </c>
      <c r="I21" s="23"/>
      <c r="J21" s="24"/>
      <c r="K21" s="23"/>
      <c r="L21" s="24"/>
      <c r="M21" s="23"/>
      <c r="N21" s="24"/>
      <c r="O21" s="23"/>
      <c r="P21" s="24">
        <f t="shared" si="0"/>
        <v>1532.8392040000001</v>
      </c>
      <c r="Q21" s="23"/>
      <c r="R21" s="24">
        <f t="shared" si="1"/>
        <v>25528.772987561559</v>
      </c>
      <c r="S21" s="22"/>
      <c r="V21"/>
    </row>
    <row r="22" spans="1:22" x14ac:dyDescent="0.25">
      <c r="A22" s="17">
        <v>43374</v>
      </c>
      <c r="B22" s="23">
        <f t="shared" si="3"/>
        <v>25528.772987561559</v>
      </c>
      <c r="C22" s="23"/>
      <c r="D22" s="24">
        <f t="shared" si="2"/>
        <v>5490.8678333333337</v>
      </c>
      <c r="E22" s="23"/>
      <c r="F22" s="24">
        <f t="shared" si="4"/>
        <v>-7625</v>
      </c>
      <c r="G22" s="25"/>
      <c r="H22" s="24">
        <f>(SUM(D$13:H21)+SUM(D22:F22)/2)*($H$10/12)</f>
        <v>36.353808449211165</v>
      </c>
      <c r="I22" s="23"/>
      <c r="J22" s="24"/>
      <c r="K22" s="23"/>
      <c r="L22" s="24"/>
      <c r="M22" s="23"/>
      <c r="N22" s="24"/>
      <c r="O22" s="23"/>
      <c r="P22" s="24">
        <f t="shared" si="0"/>
        <v>1532.8392040000001</v>
      </c>
      <c r="Q22" s="23"/>
      <c r="R22" s="24">
        <f t="shared" si="1"/>
        <v>24963.833833344102</v>
      </c>
      <c r="S22" s="22"/>
      <c r="V22"/>
    </row>
    <row r="23" spans="1:22" x14ac:dyDescent="0.25">
      <c r="A23" s="17">
        <v>43405</v>
      </c>
      <c r="B23" s="23">
        <f t="shared" si="3"/>
        <v>24963.833833344102</v>
      </c>
      <c r="C23" s="23"/>
      <c r="D23" s="24">
        <f t="shared" si="2"/>
        <v>5490.8678333333337</v>
      </c>
      <c r="E23" s="23"/>
      <c r="F23" s="24">
        <f t="shared" si="4"/>
        <v>-7625</v>
      </c>
      <c r="G23" s="25"/>
      <c r="H23" s="24">
        <f>(SUM(D$13:H22)+SUM(D23:F23)/2)*($H$10/12)</f>
        <v>29.203880544953343</v>
      </c>
      <c r="I23" s="23"/>
      <c r="J23" s="24"/>
      <c r="K23" s="23"/>
      <c r="L23" s="24"/>
      <c r="M23" s="23"/>
      <c r="N23" s="24"/>
      <c r="O23" s="23"/>
      <c r="P23" s="24">
        <f t="shared" si="0"/>
        <v>1532.8392040000001</v>
      </c>
      <c r="Q23" s="23"/>
      <c r="R23" s="24">
        <f t="shared" si="1"/>
        <v>24391.744751222388</v>
      </c>
      <c r="S23" s="22"/>
      <c r="V23"/>
    </row>
    <row r="24" spans="1:22" x14ac:dyDescent="0.25">
      <c r="A24" s="26">
        <v>43435</v>
      </c>
      <c r="B24" s="23">
        <f t="shared" si="3"/>
        <v>24391.744751222388</v>
      </c>
      <c r="C24" s="23"/>
      <c r="D24" s="24">
        <f t="shared" si="2"/>
        <v>5490.8678333333337</v>
      </c>
      <c r="E24" s="23"/>
      <c r="F24" s="24">
        <f t="shared" si="4"/>
        <v>-7625</v>
      </c>
      <c r="G24" s="25"/>
      <c r="H24" s="24">
        <f>(SUM(D$13:H23)+SUM(D24:F24)/2)*($H$10/12)</f>
        <v>22.029583303088508</v>
      </c>
      <c r="I24" s="23"/>
      <c r="J24" s="24">
        <f>-R9</f>
        <v>138875.18229</v>
      </c>
      <c r="K24" s="23"/>
      <c r="L24" s="24">
        <f>-R10</f>
        <v>29915.485548000001</v>
      </c>
      <c r="M24" s="23"/>
      <c r="N24" s="24">
        <f>-D25-F25-J24-L24</f>
        <v>-173681.08183800001</v>
      </c>
      <c r="O24" s="23"/>
      <c r="P24" s="24">
        <f t="shared" si="0"/>
        <v>1532.8392040000001</v>
      </c>
      <c r="Q24" s="23"/>
      <c r="R24" s="24">
        <f t="shared" si="1"/>
        <v>18922.06737185879</v>
      </c>
      <c r="S24" s="14"/>
      <c r="V24"/>
    </row>
    <row r="25" spans="1:22" x14ac:dyDescent="0.25">
      <c r="A25" s="27" t="s">
        <v>9</v>
      </c>
      <c r="B25" s="28"/>
      <c r="C25" s="29"/>
      <c r="D25" s="30">
        <f>65890.414</f>
        <v>65890.414000000004</v>
      </c>
      <c r="E25" s="30"/>
      <c r="F25" s="30">
        <v>-61000</v>
      </c>
      <c r="G25" s="31"/>
      <c r="H25" s="32">
        <f>SUM(H13:H24)</f>
        <v>527.99692385880417</v>
      </c>
      <c r="I25" s="30"/>
      <c r="J25" s="30">
        <f>SUM(J13:J24)</f>
        <v>138875.18229</v>
      </c>
      <c r="K25" s="30"/>
      <c r="L25" s="30">
        <f>SUM(L13:L24)</f>
        <v>29915.485548000001</v>
      </c>
      <c r="M25" s="30"/>
      <c r="N25" s="30">
        <f>SUM(N13:N24)</f>
        <v>-173681.08183800001</v>
      </c>
      <c r="O25" s="30"/>
      <c r="P25" s="30">
        <f>13871.848*1.326</f>
        <v>18394.070448000002</v>
      </c>
      <c r="Q25" s="30"/>
      <c r="R25" s="30">
        <f>R24</f>
        <v>18922.06737185879</v>
      </c>
      <c r="S25" s="22"/>
      <c r="V25"/>
    </row>
    <row r="26" spans="1:22" x14ac:dyDescent="0.25">
      <c r="A26" s="33"/>
      <c r="B26" s="34"/>
      <c r="C26" s="8"/>
      <c r="D26" s="23"/>
      <c r="E26" s="34"/>
      <c r="F26" s="23"/>
      <c r="G26" s="16"/>
      <c r="H26" s="24"/>
      <c r="I26" s="34"/>
      <c r="J26" s="23"/>
      <c r="K26" s="34"/>
      <c r="L26" s="23"/>
      <c r="M26" s="34"/>
      <c r="N26" s="23"/>
      <c r="O26" s="34"/>
      <c r="P26" s="23"/>
      <c r="Q26" s="34"/>
      <c r="R26" s="23"/>
      <c r="S26" s="22"/>
      <c r="V26"/>
    </row>
    <row r="27" spans="1:22" x14ac:dyDescent="0.25">
      <c r="A27" s="17">
        <v>43466</v>
      </c>
      <c r="B27" s="18">
        <f>R24</f>
        <v>18922.06737185879</v>
      </c>
      <c r="C27" s="19"/>
      <c r="D27" s="18">
        <f>$D$25/12</f>
        <v>5490.8678333333337</v>
      </c>
      <c r="E27" s="19"/>
      <c r="F27" s="19">
        <f t="shared" ref="F27:F30" si="5">$F$25/12</f>
        <v>-5083.333333333333</v>
      </c>
      <c r="G27" s="20"/>
      <c r="H27" s="21">
        <f>(SUM(D$13:H24)+SUM(D27:F27)/2)*($H$10/12)</f>
        <v>19.162257275902093</v>
      </c>
      <c r="I27" s="19"/>
      <c r="J27" s="18"/>
      <c r="K27" s="19"/>
      <c r="L27" s="18"/>
      <c r="M27" s="19"/>
      <c r="N27" s="19"/>
      <c r="O27" s="19"/>
      <c r="P27" s="18">
        <f t="shared" ref="P27:P38" si="6">$P$39/12</f>
        <v>2022.9465944999999</v>
      </c>
      <c r="Q27" s="19"/>
      <c r="R27" s="19">
        <f t="shared" ref="R27:R38" si="7">B27+D27+F27+H27+J27+L27+N27+P27</f>
        <v>21371.710723634693</v>
      </c>
      <c r="S27" s="22"/>
      <c r="V27"/>
    </row>
    <row r="28" spans="1:22" x14ac:dyDescent="0.25">
      <c r="A28" s="17">
        <v>43497</v>
      </c>
      <c r="B28" s="23">
        <f>R27</f>
        <v>21371.710723634693</v>
      </c>
      <c r="C28" s="23"/>
      <c r="D28" s="24">
        <f t="shared" ref="D28:D38" si="8">$D$25/12</f>
        <v>5490.8678333333337</v>
      </c>
      <c r="E28" s="23"/>
      <c r="F28" s="24">
        <f t="shared" si="5"/>
        <v>-5083.333333333333</v>
      </c>
      <c r="G28" s="25"/>
      <c r="H28" s="24">
        <f>(SUM($D$13:$H$24)+SUM(D$27:H27)+SUM(D28:F28)/2)*($H$10/12)</f>
        <v>20.616582056950794</v>
      </c>
      <c r="I28" s="23"/>
      <c r="J28" s="24"/>
      <c r="K28" s="23"/>
      <c r="L28" s="24"/>
      <c r="M28" s="23"/>
      <c r="N28" s="24"/>
      <c r="O28" s="23"/>
      <c r="P28" s="24">
        <f t="shared" si="6"/>
        <v>2022.9465944999999</v>
      </c>
      <c r="Q28" s="23"/>
      <c r="R28" s="24">
        <f t="shared" si="7"/>
        <v>23822.808400191647</v>
      </c>
      <c r="S28" s="22"/>
      <c r="V28"/>
    </row>
    <row r="29" spans="1:22" x14ac:dyDescent="0.25">
      <c r="A29" s="17">
        <v>43525</v>
      </c>
      <c r="B29" s="23">
        <f t="shared" ref="B29:B38" si="9">R28</f>
        <v>23822.808400191647</v>
      </c>
      <c r="C29" s="23"/>
      <c r="D29" s="24">
        <f t="shared" si="8"/>
        <v>5490.8678333333337</v>
      </c>
      <c r="E29" s="23"/>
      <c r="F29" s="24">
        <f t="shared" si="5"/>
        <v>-5083.333333333333</v>
      </c>
      <c r="G29" s="25"/>
      <c r="H29" s="24">
        <f>(SUM($D$13:$H$24)+SUM(D$27:H28)+SUM(D29:F29)/2)*($H$10/12)</f>
        <v>22.07586366162824</v>
      </c>
      <c r="I29" s="23"/>
      <c r="J29" s="24"/>
      <c r="K29" s="23"/>
      <c r="L29" s="24"/>
      <c r="M29" s="23"/>
      <c r="N29" s="24"/>
      <c r="O29" s="23"/>
      <c r="P29" s="24">
        <f t="shared" si="6"/>
        <v>2022.9465944999999</v>
      </c>
      <c r="Q29" s="23"/>
      <c r="R29" s="24">
        <f t="shared" si="7"/>
        <v>26275.365358353276</v>
      </c>
      <c r="S29" s="14"/>
      <c r="V29"/>
    </row>
    <row r="30" spans="1:22" x14ac:dyDescent="0.25">
      <c r="A30" s="17">
        <v>43556</v>
      </c>
      <c r="B30" s="23">
        <f t="shared" si="9"/>
        <v>26275.365358353276</v>
      </c>
      <c r="C30" s="23"/>
      <c r="D30" s="24">
        <f t="shared" si="8"/>
        <v>5490.8678333333337</v>
      </c>
      <c r="E30" s="23"/>
      <c r="F30" s="24">
        <f t="shared" si="5"/>
        <v>-5083.333333333333</v>
      </c>
      <c r="G30" s="25"/>
      <c r="H30" s="24">
        <f>(SUM($D$13:$H$24)+SUM(D$27:H29)+SUM(D30:F30)/2)*($H$10/12)</f>
        <v>23.540118984441623</v>
      </c>
      <c r="I30" s="23"/>
      <c r="J30" s="24"/>
      <c r="K30" s="23"/>
      <c r="L30" s="24"/>
      <c r="M30" s="23"/>
      <c r="N30" s="24"/>
      <c r="O30" s="23"/>
      <c r="P30" s="24">
        <f t="shared" si="6"/>
        <v>2022.9465944999999</v>
      </c>
      <c r="Q30" s="23"/>
      <c r="R30" s="24">
        <f t="shared" si="7"/>
        <v>28729.38657183772</v>
      </c>
      <c r="S30" s="22"/>
      <c r="V30"/>
    </row>
    <row r="31" spans="1:22" x14ac:dyDescent="0.25">
      <c r="A31" s="17">
        <v>43586</v>
      </c>
      <c r="B31" s="23">
        <f t="shared" si="9"/>
        <v>28729.38657183772</v>
      </c>
      <c r="C31" s="23"/>
      <c r="D31" s="24">
        <f t="shared" si="8"/>
        <v>5490.8678333333337</v>
      </c>
      <c r="E31" s="23"/>
      <c r="F31" s="23">
        <f>$F$25/12</f>
        <v>-5083.333333333333</v>
      </c>
      <c r="G31" s="25"/>
      <c r="H31" s="24">
        <f>(SUM($D$13:$H$24)+SUM(D$27:H30)+SUM(D31:F31)/2)*($H$10/12)</f>
        <v>25.009364977480267</v>
      </c>
      <c r="I31" s="23"/>
      <c r="J31" s="24"/>
      <c r="K31" s="23"/>
      <c r="L31" s="24"/>
      <c r="M31" s="23"/>
      <c r="N31" s="24"/>
      <c r="O31" s="23"/>
      <c r="P31" s="24">
        <f t="shared" si="6"/>
        <v>2022.9465944999999</v>
      </c>
      <c r="Q31" s="23"/>
      <c r="R31" s="24">
        <f t="shared" si="7"/>
        <v>31184.877031315205</v>
      </c>
      <c r="S31" s="22"/>
      <c r="V31"/>
    </row>
    <row r="32" spans="1:22" x14ac:dyDescent="0.25">
      <c r="A32" s="17">
        <v>43617</v>
      </c>
      <c r="B32" s="23">
        <f t="shared" si="9"/>
        <v>31184.877031315205</v>
      </c>
      <c r="C32" s="23"/>
      <c r="D32" s="24">
        <f t="shared" si="8"/>
        <v>5490.8678333333337</v>
      </c>
      <c r="E32" s="23"/>
      <c r="F32" s="23">
        <f t="shared" ref="F32:F38" si="10">$F$25/12</f>
        <v>-5083.333333333333</v>
      </c>
      <c r="G32" s="25"/>
      <c r="H32" s="24">
        <f>(SUM($D$13:$H$24)+SUM(D$27:H31)+SUM(D32:F32)/2)*($H$10/12)</f>
        <v>26.483618650611845</v>
      </c>
      <c r="I32" s="23"/>
      <c r="J32" s="24"/>
      <c r="K32" s="23"/>
      <c r="L32" s="24"/>
      <c r="M32" s="23"/>
      <c r="N32" s="24"/>
      <c r="O32" s="23"/>
      <c r="P32" s="24">
        <f t="shared" si="6"/>
        <v>2022.9465944999999</v>
      </c>
      <c r="Q32" s="23"/>
      <c r="R32" s="24">
        <f t="shared" si="7"/>
        <v>33641.841744465819</v>
      </c>
      <c r="S32" s="22"/>
      <c r="V32"/>
    </row>
    <row r="33" spans="1:22" x14ac:dyDescent="0.25">
      <c r="A33" s="17">
        <v>43647</v>
      </c>
      <c r="B33" s="23">
        <f t="shared" si="9"/>
        <v>33641.841744465819</v>
      </c>
      <c r="C33" s="23"/>
      <c r="D33" s="24">
        <f t="shared" si="8"/>
        <v>5490.8678333333337</v>
      </c>
      <c r="E33" s="23"/>
      <c r="F33" s="23">
        <f t="shared" si="10"/>
        <v>-5083.333333333333</v>
      </c>
      <c r="G33" s="25"/>
      <c r="H33" s="24">
        <f>(SUM($D$13:$H$24)+SUM(D$27:H32)+SUM(D33:F33)/2)*($H$10/12)</f>
        <v>27.96289707167935</v>
      </c>
      <c r="I33" s="23"/>
      <c r="J33" s="24"/>
      <c r="K33" s="23"/>
      <c r="L33" s="24"/>
      <c r="M33" s="23"/>
      <c r="N33" s="24"/>
      <c r="O33" s="23"/>
      <c r="P33" s="24">
        <f t="shared" si="6"/>
        <v>2022.9465944999999</v>
      </c>
      <c r="Q33" s="23"/>
      <c r="R33" s="24">
        <f t="shared" si="7"/>
        <v>36100.285736037491</v>
      </c>
      <c r="V33"/>
    </row>
    <row r="34" spans="1:22" x14ac:dyDescent="0.25">
      <c r="A34" s="17">
        <v>43678</v>
      </c>
      <c r="B34" s="23">
        <f t="shared" si="9"/>
        <v>36100.285736037491</v>
      </c>
      <c r="C34" s="23"/>
      <c r="D34" s="24">
        <f t="shared" si="8"/>
        <v>5490.8678333333337</v>
      </c>
      <c r="E34" s="23"/>
      <c r="F34" s="23">
        <f t="shared" si="10"/>
        <v>-5083.333333333333</v>
      </c>
      <c r="G34" s="25"/>
      <c r="H34" s="24">
        <f>(SUM($D$13:$H$24)+SUM(D$27:H33)+SUM(D34:F34)/2)*($H$10/12)</f>
        <v>29.447217366698659</v>
      </c>
      <c r="I34" s="23"/>
      <c r="J34" s="24"/>
      <c r="K34" s="23"/>
      <c r="L34" s="24"/>
      <c r="M34" s="23"/>
      <c r="N34" s="24"/>
      <c r="O34" s="23"/>
      <c r="P34" s="24">
        <f t="shared" si="6"/>
        <v>2022.9465944999999</v>
      </c>
      <c r="Q34" s="23"/>
      <c r="R34" s="24">
        <f t="shared" si="7"/>
        <v>38560.214047904192</v>
      </c>
      <c r="S34" s="22"/>
      <c r="V34"/>
    </row>
    <row r="35" spans="1:22" x14ac:dyDescent="0.25">
      <c r="A35" s="17">
        <v>43709</v>
      </c>
      <c r="B35" s="23">
        <f t="shared" si="9"/>
        <v>38560.214047904192</v>
      </c>
      <c r="C35" s="23"/>
      <c r="D35" s="24">
        <f t="shared" si="8"/>
        <v>5490.8678333333337</v>
      </c>
      <c r="E35" s="23"/>
      <c r="F35" s="23">
        <f t="shared" si="10"/>
        <v>-5083.333333333333</v>
      </c>
      <c r="G35" s="25"/>
      <c r="H35" s="24">
        <f>(SUM($D$13:$H$24)+SUM(D$27:H34)+SUM(D35:F35)/2)*($H$10/12)</f>
        <v>30.936596720056826</v>
      </c>
      <c r="I35" s="23"/>
      <c r="J35" s="24"/>
      <c r="K35" s="23"/>
      <c r="L35" s="24"/>
      <c r="M35" s="23"/>
      <c r="N35" s="24"/>
      <c r="O35" s="23"/>
      <c r="P35" s="24">
        <f t="shared" si="6"/>
        <v>2022.9465944999999</v>
      </c>
      <c r="Q35" s="23"/>
      <c r="R35" s="24">
        <f t="shared" si="7"/>
        <v>41021.631739124241</v>
      </c>
      <c r="S35" s="22"/>
      <c r="V35"/>
    </row>
    <row r="36" spans="1:22" x14ac:dyDescent="0.25">
      <c r="A36" s="17">
        <v>43739</v>
      </c>
      <c r="B36" s="23">
        <f t="shared" si="9"/>
        <v>41021.631739124241</v>
      </c>
      <c r="C36" s="23"/>
      <c r="D36" s="24">
        <f t="shared" si="8"/>
        <v>5490.8678333333337</v>
      </c>
      <c r="E36" s="23"/>
      <c r="F36" s="23">
        <f t="shared" si="10"/>
        <v>-5083.333333333333</v>
      </c>
      <c r="G36" s="25"/>
      <c r="H36" s="24">
        <f>(SUM($D$13:$H$24)+SUM(D$27:H35)+SUM(D36:F36)/2)*($H$10/12)</f>
        <v>32.431052374711022</v>
      </c>
      <c r="I36" s="23"/>
      <c r="J36" s="24"/>
      <c r="K36" s="23"/>
      <c r="L36" s="24"/>
      <c r="M36" s="23"/>
      <c r="N36" s="24"/>
      <c r="O36" s="23"/>
      <c r="P36" s="24">
        <f t="shared" si="6"/>
        <v>2022.9465944999999</v>
      </c>
      <c r="Q36" s="23"/>
      <c r="R36" s="24">
        <f t="shared" si="7"/>
        <v>43484.543885998944</v>
      </c>
      <c r="S36" s="22"/>
      <c r="V36"/>
    </row>
    <row r="37" spans="1:22" x14ac:dyDescent="0.25">
      <c r="A37" s="17">
        <v>43770</v>
      </c>
      <c r="B37" s="23">
        <f t="shared" si="9"/>
        <v>43484.543885998944</v>
      </c>
      <c r="C37" s="23"/>
      <c r="D37" s="24">
        <f t="shared" si="8"/>
        <v>5490.8678333333337</v>
      </c>
      <c r="E37" s="23"/>
      <c r="F37" s="23">
        <f t="shared" si="10"/>
        <v>-5083.333333333333</v>
      </c>
      <c r="G37" s="25"/>
      <c r="H37" s="24">
        <f>(SUM($D$13:$H$24)+SUM(D$27:H36)+SUM(D37:F37)/2)*($H$10/12)</f>
        <v>33.930601632388161</v>
      </c>
      <c r="I37" s="23"/>
      <c r="J37" s="24"/>
      <c r="K37" s="23"/>
      <c r="L37" s="24"/>
      <c r="M37" s="23"/>
      <c r="N37" s="24"/>
      <c r="O37" s="23"/>
      <c r="P37" s="24">
        <f t="shared" si="6"/>
        <v>2022.9465944999999</v>
      </c>
      <c r="Q37" s="23"/>
      <c r="R37" s="24">
        <f t="shared" si="7"/>
        <v>45948.955582131326</v>
      </c>
      <c r="S37" s="22"/>
      <c r="V37"/>
    </row>
    <row r="38" spans="1:22" x14ac:dyDescent="0.25">
      <c r="A38" s="26">
        <v>43800</v>
      </c>
      <c r="B38" s="23">
        <f t="shared" si="9"/>
        <v>45948.955582131326</v>
      </c>
      <c r="C38" s="23"/>
      <c r="D38" s="24">
        <f t="shared" si="8"/>
        <v>5490.8678333333337</v>
      </c>
      <c r="E38" s="23"/>
      <c r="F38" s="23">
        <f t="shared" si="10"/>
        <v>-5083.333333333333</v>
      </c>
      <c r="G38" s="25"/>
      <c r="H38" s="24">
        <f>(SUM($D$13:$H$24)+SUM(D$27:H37)+SUM(D38:F38)/2)*($H$10/12)</f>
        <v>35.435261853785221</v>
      </c>
      <c r="I38" s="23"/>
      <c r="J38" s="24"/>
      <c r="K38" s="23"/>
      <c r="L38" s="24"/>
      <c r="M38" s="23"/>
      <c r="N38" s="24">
        <f>-D39-F39-J38-L38</f>
        <v>-4890.4140000000043</v>
      </c>
      <c r="O38" s="23"/>
      <c r="P38" s="24">
        <f t="shared" si="6"/>
        <v>2022.9465944999999</v>
      </c>
      <c r="Q38" s="23"/>
      <c r="R38" s="24">
        <f t="shared" si="7"/>
        <v>43524.457938485109</v>
      </c>
      <c r="S38" s="22"/>
      <c r="V38"/>
    </row>
    <row r="39" spans="1:22" x14ac:dyDescent="0.25">
      <c r="A39" s="27" t="s">
        <v>9</v>
      </c>
      <c r="B39" s="28"/>
      <c r="C39" s="29"/>
      <c r="D39" s="30">
        <f>D25</f>
        <v>65890.414000000004</v>
      </c>
      <c r="E39" s="30"/>
      <c r="F39" s="30">
        <f>F25</f>
        <v>-61000</v>
      </c>
      <c r="G39" s="31"/>
      <c r="H39" s="32">
        <f>SUM(H27:H38)</f>
        <v>327.03143262633409</v>
      </c>
      <c r="I39" s="30"/>
      <c r="J39" s="30"/>
      <c r="K39" s="30"/>
      <c r="L39" s="30"/>
      <c r="M39" s="30"/>
      <c r="N39" s="30">
        <f>SUM(N27:N38)</f>
        <v>-4890.4140000000043</v>
      </c>
      <c r="O39" s="30"/>
      <c r="P39" s="30">
        <f>18307.209*1.326</f>
        <v>24275.359133999998</v>
      </c>
      <c r="Q39" s="30"/>
      <c r="R39" s="30">
        <f>R38</f>
        <v>43524.457938485109</v>
      </c>
      <c r="S39" s="22"/>
      <c r="V39"/>
    </row>
    <row r="40" spans="1:22" x14ac:dyDescent="0.25">
      <c r="A40" s="33"/>
      <c r="B40" s="34"/>
      <c r="C40" s="8"/>
      <c r="D40" s="23"/>
      <c r="E40" s="34"/>
      <c r="F40" s="23"/>
      <c r="G40" s="16"/>
      <c r="H40" s="24"/>
      <c r="I40" s="34"/>
      <c r="J40" s="23"/>
      <c r="K40" s="34"/>
      <c r="L40" s="23"/>
      <c r="M40" s="34"/>
      <c r="N40" s="23"/>
      <c r="O40" s="34"/>
      <c r="P40" s="23"/>
      <c r="Q40" s="34"/>
      <c r="R40" s="23"/>
      <c r="S40" s="14"/>
      <c r="V40"/>
    </row>
    <row r="41" spans="1:22" x14ac:dyDescent="0.25">
      <c r="A41" s="17">
        <v>43831</v>
      </c>
      <c r="B41" s="18">
        <f>R38</f>
        <v>43524.457938485109</v>
      </c>
      <c r="C41" s="19"/>
      <c r="D41" s="18">
        <f>$D$25/12</f>
        <v>5490.8678333333337</v>
      </c>
      <c r="E41" s="19"/>
      <c r="F41" s="19">
        <f t="shared" ref="F41:F52" si="11">$F$25/12</f>
        <v>-5083.333333333333</v>
      </c>
      <c r="G41" s="20"/>
      <c r="H41" s="21">
        <f>(SUM($D$13:$H$24)+SUM($D$27:$H$38)+SUM(D41:F41)/2)*($H$10/12)</f>
        <v>36.945050458770211</v>
      </c>
      <c r="I41" s="19"/>
      <c r="J41" s="18"/>
      <c r="K41" s="19"/>
      <c r="L41" s="18"/>
      <c r="M41" s="19"/>
      <c r="N41" s="19"/>
      <c r="O41" s="19"/>
      <c r="P41" s="18">
        <f t="shared" ref="P41:P52" si="12">$P$53/12</f>
        <v>1714.5634155</v>
      </c>
      <c r="Q41" s="19"/>
      <c r="R41" s="19">
        <f t="shared" ref="R41:R52" si="13">B41+D41+F41+H41+J41+L41+N41+P41</f>
        <v>45683.500904443885</v>
      </c>
      <c r="S41" s="22"/>
      <c r="V41"/>
    </row>
    <row r="42" spans="1:22" x14ac:dyDescent="0.25">
      <c r="A42" s="17">
        <v>43862</v>
      </c>
      <c r="B42" s="23">
        <f>R41</f>
        <v>45683.500904443885</v>
      </c>
      <c r="C42" s="23"/>
      <c r="D42" s="23">
        <f t="shared" ref="D42:D52" si="14">$D$25/12</f>
        <v>5490.8678333333337</v>
      </c>
      <c r="E42" s="23"/>
      <c r="F42" s="24">
        <f t="shared" si="11"/>
        <v>-5083.333333333333</v>
      </c>
      <c r="G42" s="25"/>
      <c r="H42" s="24">
        <f>(SUM($D$13:$H$24)+SUM($D$27:$H$38)+SUM(D$41:H41)+SUM(D42:F42)/2)*($H$10/12)</f>
        <v>38.45998492658385</v>
      </c>
      <c r="I42" s="23"/>
      <c r="J42" s="23"/>
      <c r="K42" s="23"/>
      <c r="L42" s="23"/>
      <c r="M42" s="23"/>
      <c r="N42" s="24"/>
      <c r="O42" s="23"/>
      <c r="P42" s="23">
        <f t="shared" si="12"/>
        <v>1714.5634155</v>
      </c>
      <c r="Q42" s="23"/>
      <c r="R42" s="24">
        <f t="shared" si="13"/>
        <v>47844.058804870467</v>
      </c>
      <c r="S42" s="22"/>
      <c r="V42"/>
    </row>
    <row r="43" spans="1:22" x14ac:dyDescent="0.25">
      <c r="A43" s="17">
        <v>43891</v>
      </c>
      <c r="B43" s="23">
        <f t="shared" ref="B43:B52" si="15">R42</f>
        <v>47844.058804870467</v>
      </c>
      <c r="C43" s="23"/>
      <c r="D43" s="23">
        <f t="shared" si="14"/>
        <v>5490.8678333333337</v>
      </c>
      <c r="E43" s="23"/>
      <c r="F43" s="24">
        <f t="shared" si="11"/>
        <v>-5083.333333333333</v>
      </c>
      <c r="G43" s="25"/>
      <c r="H43" s="24">
        <f>(SUM($D$13:$H$24)+SUM($D$27:$H$38)+SUM(D$41:H42)+SUM(D43:F43)/2)*($H$10/12)</f>
        <v>39.980082796041962</v>
      </c>
      <c r="I43" s="23"/>
      <c r="J43" s="23"/>
      <c r="K43" s="23"/>
      <c r="L43" s="23"/>
      <c r="M43" s="23"/>
      <c r="N43" s="24"/>
      <c r="O43" s="23"/>
      <c r="P43" s="23">
        <f t="shared" si="12"/>
        <v>1714.5634155</v>
      </c>
      <c r="Q43" s="23"/>
      <c r="R43" s="24">
        <f t="shared" si="13"/>
        <v>50006.136803166512</v>
      </c>
      <c r="S43" s="22"/>
      <c r="V43"/>
    </row>
    <row r="44" spans="1:22" x14ac:dyDescent="0.25">
      <c r="A44" s="17">
        <v>43922</v>
      </c>
      <c r="B44" s="23">
        <f t="shared" si="15"/>
        <v>50006.136803166512</v>
      </c>
      <c r="C44" s="23"/>
      <c r="D44" s="23">
        <f t="shared" si="14"/>
        <v>5490.8678333333337</v>
      </c>
      <c r="E44" s="23"/>
      <c r="F44" s="24">
        <f t="shared" si="11"/>
        <v>-5083.333333333333</v>
      </c>
      <c r="G44" s="25"/>
      <c r="H44" s="24">
        <f>(SUM($D$13:$H$24)+SUM($D$27:$H$38)+SUM(D$41:H43)+SUM(D44:F44)/2)*($H$10/12)</f>
        <v>41.505361665738469</v>
      </c>
      <c r="I44" s="23"/>
      <c r="J44" s="23"/>
      <c r="K44" s="23"/>
      <c r="L44" s="23"/>
      <c r="M44" s="23"/>
      <c r="N44" s="24"/>
      <c r="O44" s="23"/>
      <c r="P44" s="23">
        <f t="shared" si="12"/>
        <v>1714.5634155</v>
      </c>
      <c r="Q44" s="23"/>
      <c r="R44" s="24">
        <f t="shared" si="13"/>
        <v>52169.740080332245</v>
      </c>
      <c r="S44" s="22"/>
      <c r="V44"/>
    </row>
    <row r="45" spans="1:22" x14ac:dyDescent="0.25">
      <c r="A45" s="17">
        <v>43952</v>
      </c>
      <c r="B45" s="23">
        <f t="shared" si="15"/>
        <v>52169.740080332245</v>
      </c>
      <c r="C45" s="23"/>
      <c r="D45" s="23">
        <f t="shared" si="14"/>
        <v>5490.8678333333337</v>
      </c>
      <c r="E45" s="23"/>
      <c r="F45" s="23">
        <f t="shared" si="11"/>
        <v>-5083.333333333333</v>
      </c>
      <c r="G45" s="25"/>
      <c r="H45" s="24">
        <f>(SUM($D$13:$H$24)+SUM($D$27:$H$38)+SUM(D$41:H44)+SUM(D45:F45)/2)*($H$10/12)</f>
        <v>43.035839194249199</v>
      </c>
      <c r="I45" s="23"/>
      <c r="J45" s="23"/>
      <c r="K45" s="23"/>
      <c r="L45" s="23"/>
      <c r="M45" s="23"/>
      <c r="N45" s="24"/>
      <c r="O45" s="23"/>
      <c r="P45" s="23">
        <f t="shared" si="12"/>
        <v>1714.5634155</v>
      </c>
      <c r="Q45" s="23"/>
      <c r="R45" s="24">
        <f t="shared" si="13"/>
        <v>54334.87383502649</v>
      </c>
      <c r="S45" s="22"/>
      <c r="V45"/>
    </row>
    <row r="46" spans="1:22" x14ac:dyDescent="0.25">
      <c r="A46" s="17">
        <v>43983</v>
      </c>
      <c r="B46" s="23">
        <f t="shared" si="15"/>
        <v>54334.87383502649</v>
      </c>
      <c r="C46" s="23"/>
      <c r="D46" s="23">
        <f t="shared" si="14"/>
        <v>5490.8678333333337</v>
      </c>
      <c r="E46" s="23"/>
      <c r="F46" s="23">
        <f t="shared" si="11"/>
        <v>-5083.333333333333</v>
      </c>
      <c r="G46" s="25"/>
      <c r="H46" s="24">
        <f>(SUM($D$13:$H$24)+SUM($D$27:$H$38)+SUM(D$41:H45)+SUM(D46:F46)/2)*($H$10/12)</f>
        <v>44.571533100336275</v>
      </c>
      <c r="I46" s="23"/>
      <c r="J46" s="23"/>
      <c r="K46" s="23"/>
      <c r="L46" s="23"/>
      <c r="M46" s="23"/>
      <c r="N46" s="24"/>
      <c r="O46" s="23"/>
      <c r="P46" s="23">
        <f t="shared" si="12"/>
        <v>1714.5634155</v>
      </c>
      <c r="Q46" s="23"/>
      <c r="R46" s="24">
        <f t="shared" si="13"/>
        <v>56501.54328362683</v>
      </c>
      <c r="S46" s="22"/>
      <c r="V46"/>
    </row>
    <row r="47" spans="1:22" x14ac:dyDescent="0.25">
      <c r="A47" s="17">
        <v>44013</v>
      </c>
      <c r="B47" s="23">
        <f t="shared" si="15"/>
        <v>56501.54328362683</v>
      </c>
      <c r="C47" s="23"/>
      <c r="D47" s="23">
        <f t="shared" si="14"/>
        <v>5490.8678333333337</v>
      </c>
      <c r="E47" s="23"/>
      <c r="F47" s="23">
        <f t="shared" si="11"/>
        <v>-5083.333333333333</v>
      </c>
      <c r="G47" s="25"/>
      <c r="H47" s="24">
        <f>(SUM($D$13:$H$24)+SUM($D$27:$H$38)+SUM(D$41:H46)+SUM(D47:F47)/2)*($H$10/12)</f>
        <v>46.112461163153249</v>
      </c>
      <c r="I47" s="23"/>
      <c r="J47" s="23"/>
      <c r="K47" s="23"/>
      <c r="L47" s="23"/>
      <c r="M47" s="23"/>
      <c r="N47" s="24"/>
      <c r="O47" s="23"/>
      <c r="P47" s="23">
        <f t="shared" si="12"/>
        <v>1714.5634155</v>
      </c>
      <c r="Q47" s="23"/>
      <c r="R47" s="24">
        <f t="shared" si="13"/>
        <v>58669.753660289985</v>
      </c>
      <c r="V47"/>
    </row>
    <row r="48" spans="1:22" x14ac:dyDescent="0.25">
      <c r="A48" s="17">
        <v>44044</v>
      </c>
      <c r="B48" s="23">
        <f t="shared" si="15"/>
        <v>58669.753660289985</v>
      </c>
      <c r="C48" s="23"/>
      <c r="D48" s="23">
        <f t="shared" si="14"/>
        <v>5490.8678333333337</v>
      </c>
      <c r="E48" s="23"/>
      <c r="F48" s="23">
        <f t="shared" si="11"/>
        <v>-5083.333333333333</v>
      </c>
      <c r="G48" s="25"/>
      <c r="H48" s="24">
        <f>(SUM($D$13:$H$24)+SUM($D$27:$H$38)+SUM(D$41:H47)+SUM(D48:F48)/2)*($H$10/12)</f>
        <v>47.658641222451003</v>
      </c>
      <c r="I48" s="23"/>
      <c r="J48" s="23"/>
      <c r="K48" s="23"/>
      <c r="L48" s="23"/>
      <c r="M48" s="23"/>
      <c r="N48" s="24"/>
      <c r="O48" s="23"/>
      <c r="P48" s="23">
        <f t="shared" si="12"/>
        <v>1714.5634155</v>
      </c>
      <c r="Q48" s="23"/>
      <c r="R48" s="24">
        <f t="shared" si="13"/>
        <v>60839.51021701243</v>
      </c>
      <c r="S48" s="22"/>
      <c r="V48"/>
    </row>
    <row r="49" spans="1:22" x14ac:dyDescent="0.25">
      <c r="A49" s="17">
        <v>44075</v>
      </c>
      <c r="B49" s="23">
        <f t="shared" si="15"/>
        <v>60839.51021701243</v>
      </c>
      <c r="C49" s="23"/>
      <c r="D49" s="23">
        <f t="shared" si="14"/>
        <v>5490.8678333333337</v>
      </c>
      <c r="E49" s="23"/>
      <c r="F49" s="23">
        <f t="shared" si="11"/>
        <v>-5083.333333333333</v>
      </c>
      <c r="G49" s="25"/>
      <c r="H49" s="24">
        <f>(SUM($D$13:$H$24)+SUM($D$27:$H$38)+SUM(D$41:H48)+SUM(D49:F49)/2)*($H$10/12)</f>
        <v>49.210091178784189</v>
      </c>
      <c r="I49" s="23"/>
      <c r="J49" s="23"/>
      <c r="K49" s="23"/>
      <c r="L49" s="23"/>
      <c r="M49" s="23"/>
      <c r="N49" s="24"/>
      <c r="O49" s="23"/>
      <c r="P49" s="23">
        <f t="shared" si="12"/>
        <v>1714.5634155</v>
      </c>
      <c r="Q49" s="23"/>
      <c r="R49" s="24">
        <f t="shared" si="13"/>
        <v>63010.818223691218</v>
      </c>
      <c r="S49" s="22"/>
      <c r="V49"/>
    </row>
    <row r="50" spans="1:22" x14ac:dyDescent="0.25">
      <c r="A50" s="17">
        <v>44105</v>
      </c>
      <c r="B50" s="23">
        <f t="shared" si="15"/>
        <v>63010.818223691218</v>
      </c>
      <c r="C50" s="23"/>
      <c r="D50" s="23">
        <f t="shared" si="14"/>
        <v>5490.8678333333337</v>
      </c>
      <c r="E50" s="23"/>
      <c r="F50" s="23">
        <f t="shared" si="11"/>
        <v>-5083.333333333333</v>
      </c>
      <c r="G50" s="25"/>
      <c r="H50" s="24">
        <f>(SUM($D$13:$H$24)+SUM($D$27:$H$38)+SUM(D$41:H49)+SUM(D50:F50)/2)*($H$10/12)</f>
        <v>50.766828993718548</v>
      </c>
      <c r="I50" s="23"/>
      <c r="J50" s="23"/>
      <c r="K50" s="23"/>
      <c r="L50" s="23"/>
      <c r="M50" s="23"/>
      <c r="N50" s="24"/>
      <c r="O50" s="23"/>
      <c r="P50" s="23">
        <f t="shared" si="12"/>
        <v>1714.5634155</v>
      </c>
      <c r="Q50" s="23"/>
      <c r="R50" s="24">
        <f t="shared" si="13"/>
        <v>65183.682968184934</v>
      </c>
      <c r="S50" s="22"/>
      <c r="V50"/>
    </row>
    <row r="51" spans="1:22" x14ac:dyDescent="0.25">
      <c r="A51" s="17">
        <v>44136</v>
      </c>
      <c r="B51" s="23">
        <f t="shared" si="15"/>
        <v>65183.682968184934</v>
      </c>
      <c r="C51" s="23"/>
      <c r="D51" s="23">
        <f t="shared" si="14"/>
        <v>5490.8678333333337</v>
      </c>
      <c r="E51" s="23"/>
      <c r="F51" s="23">
        <f t="shared" si="11"/>
        <v>-5083.333333333333</v>
      </c>
      <c r="G51" s="25"/>
      <c r="H51" s="24">
        <f>(SUM($D$13:$H$24)+SUM($D$27:$H$38)+SUM(D$41:H50)+SUM(D51:F51)/2)*($H$10/12)</f>
        <v>52.328872690038807</v>
      </c>
      <c r="I51" s="23"/>
      <c r="J51" s="23"/>
      <c r="K51" s="23"/>
      <c r="L51" s="23"/>
      <c r="M51" s="23"/>
      <c r="N51" s="24"/>
      <c r="O51" s="23"/>
      <c r="P51" s="23">
        <f t="shared" si="12"/>
        <v>1714.5634155</v>
      </c>
      <c r="Q51" s="23"/>
      <c r="R51" s="24">
        <f t="shared" si="13"/>
        <v>67358.109756374979</v>
      </c>
      <c r="S51" s="22"/>
      <c r="V51"/>
    </row>
    <row r="52" spans="1:22" x14ac:dyDescent="0.25">
      <c r="A52" s="26">
        <v>44166</v>
      </c>
      <c r="B52" s="23">
        <f t="shared" si="15"/>
        <v>67358.109756374979</v>
      </c>
      <c r="C52" s="23"/>
      <c r="D52" s="23">
        <f t="shared" si="14"/>
        <v>5490.8678333333337</v>
      </c>
      <c r="E52" s="23"/>
      <c r="F52" s="23">
        <f t="shared" si="11"/>
        <v>-5083.333333333333</v>
      </c>
      <c r="G52" s="25"/>
      <c r="H52" s="24">
        <f>(SUM($D$13:$H$24)+SUM($D$27:$H$38)+SUM(D$41:H51)+SUM(D52:F52)/2)*($H$10/12)</f>
        <v>53.89624035195736</v>
      </c>
      <c r="I52" s="23"/>
      <c r="J52" s="23"/>
      <c r="K52" s="23"/>
      <c r="L52" s="23"/>
      <c r="M52" s="23"/>
      <c r="N52" s="24">
        <f>-D53-F53-J52-L52</f>
        <v>-4890.4140000000043</v>
      </c>
      <c r="O52" s="23"/>
      <c r="P52" s="23">
        <f t="shared" si="12"/>
        <v>1714.5634155</v>
      </c>
      <c r="Q52" s="23"/>
      <c r="R52" s="24">
        <f t="shared" si="13"/>
        <v>64643.689912226939</v>
      </c>
      <c r="S52" s="22"/>
      <c r="V52"/>
    </row>
    <row r="53" spans="1:22" x14ac:dyDescent="0.25">
      <c r="A53" s="27" t="s">
        <v>9</v>
      </c>
      <c r="B53" s="28"/>
      <c r="C53" s="29"/>
      <c r="D53" s="30">
        <f>D25</f>
        <v>65890.414000000004</v>
      </c>
      <c r="E53" s="30"/>
      <c r="F53" s="30">
        <f>F25</f>
        <v>-61000</v>
      </c>
      <c r="G53" s="31"/>
      <c r="H53" s="32">
        <f>SUM(H41:H52)</f>
        <v>544.47098774182314</v>
      </c>
      <c r="I53" s="30"/>
      <c r="J53" s="30"/>
      <c r="K53" s="30"/>
      <c r="L53" s="30"/>
      <c r="M53" s="30"/>
      <c r="N53" s="30">
        <f>SUM(N41:N52)</f>
        <v>-4890.4140000000043</v>
      </c>
      <c r="O53" s="30"/>
      <c r="P53" s="30">
        <f>15516.411*1.326</f>
        <v>20574.760986000001</v>
      </c>
      <c r="Q53" s="30"/>
      <c r="R53" s="30">
        <f>R52</f>
        <v>64643.689912226939</v>
      </c>
      <c r="S53" s="22"/>
      <c r="V53"/>
    </row>
    <row r="54" spans="1:22" x14ac:dyDescent="0.25">
      <c r="A54" s="33"/>
      <c r="B54" s="34"/>
      <c r="C54" s="8"/>
      <c r="D54" s="23"/>
      <c r="E54" s="34"/>
      <c r="F54" s="23"/>
      <c r="G54" s="16"/>
      <c r="H54" s="24"/>
      <c r="I54" s="34"/>
      <c r="J54" s="37"/>
      <c r="K54" s="34"/>
      <c r="L54" s="37"/>
      <c r="M54" s="34"/>
      <c r="N54" s="37"/>
      <c r="O54" s="34"/>
      <c r="P54" s="37"/>
      <c r="Q54" s="34"/>
      <c r="R54" s="37"/>
      <c r="S54" s="14"/>
      <c r="V54"/>
    </row>
    <row r="55" spans="1:22" x14ac:dyDescent="0.25">
      <c r="A55" s="3"/>
      <c r="B55" s="3"/>
      <c r="C55" s="3"/>
      <c r="D55" s="35" t="s">
        <v>3</v>
      </c>
      <c r="E55" s="3"/>
      <c r="F55" s="3"/>
      <c r="G55" s="3"/>
      <c r="H55" s="3"/>
      <c r="I55" s="3"/>
      <c r="J55" s="37"/>
      <c r="K55" s="3"/>
      <c r="L55" s="37"/>
      <c r="M55" s="3"/>
      <c r="N55" s="37"/>
      <c r="O55" s="3"/>
      <c r="P55" s="37"/>
      <c r="Q55" s="3"/>
      <c r="R55" s="37"/>
      <c r="S55" s="22"/>
      <c r="V55"/>
    </row>
    <row r="56" spans="1:22" x14ac:dyDescent="0.25">
      <c r="A56" s="52" t="s">
        <v>10</v>
      </c>
      <c r="B56" s="55" t="s">
        <v>11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V56"/>
    </row>
    <row r="57" spans="1:22" x14ac:dyDescent="0.25">
      <c r="A57" s="52" t="s">
        <v>8</v>
      </c>
      <c r="B57" s="55" t="s">
        <v>29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V57"/>
    </row>
    <row r="58" spans="1:22" x14ac:dyDescent="0.25">
      <c r="A58" s="52" t="s">
        <v>17</v>
      </c>
      <c r="B58" s="55" t="s">
        <v>12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V58"/>
    </row>
    <row r="59" spans="1:22" ht="39" customHeight="1" x14ac:dyDescent="0.25">
      <c r="A59" s="54" t="s">
        <v>19</v>
      </c>
      <c r="B59" s="55" t="s">
        <v>30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</row>
    <row r="60" spans="1:22" x14ac:dyDescent="0.25">
      <c r="A60" s="36" t="s">
        <v>23</v>
      </c>
      <c r="B60" s="3" t="s">
        <v>31</v>
      </c>
      <c r="S60" s="3"/>
    </row>
  </sheetData>
  <mergeCells count="4">
    <mergeCell ref="B59:S59"/>
    <mergeCell ref="B56:S56"/>
    <mergeCell ref="B57:S57"/>
    <mergeCell ref="B58:S58"/>
  </mergeCells>
  <pageMargins left="0.7" right="0.7" top="0.75" bottom="0.75" header="0.3" footer="0.3"/>
  <pageSetup scale="68" orientation="portrait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Combined</vt:lpstr>
      <vt:lpstr>Combined!Print_Area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2018-07-10T18:11:19Z</dcterms:created>
  <dcterms:modified xsi:type="dcterms:W3CDTF">2018-10-24T21:38:01Z</dcterms:modified>
  <cp:contentStatus/>
</cp:coreProperties>
</file>