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-15" yWindow="-15" windowWidth="14370" windowHeight="12720" tabRatio="860" activeTab="2"/>
  </bookViews>
  <sheets>
    <sheet name="Summary (Energy PMT)" sheetId="19" r:id="rId1"/>
    <sheet name="Monthly Energy Prices" sheetId="25" r:id="rId2"/>
    <sheet name="SourceEnergy" sheetId="20" r:id="rId3"/>
    <sheet name="MWH-Split" sheetId="17" r:id="rId4"/>
    <sheet name="Monthly Levelized" sheetId="18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1">'Monthly Energy Prices'!$A$1:$T$78</definedName>
    <definedName name="_xlnm.Print_Area" localSheetId="2">SourceEnergy!$A$1:$L$274</definedName>
    <definedName name="_xlnm.Print_Area" localSheetId="0">'Summary (Energy PMT)'!$A$1:$J$42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 calcOnSave="0"/>
</workbook>
</file>

<file path=xl/calcChain.xml><?xml version="1.0" encoding="utf-8"?>
<calcChain xmlns="http://schemas.openxmlformats.org/spreadsheetml/2006/main">
  <c r="M4" i="20" l="1"/>
  <c r="B20" i="20"/>
  <c r="B13" i="20"/>
  <c r="D1" i="25"/>
  <c r="B1" i="19"/>
  <c r="M3" i="20"/>
  <c r="V10" i="25"/>
  <c r="F30" i="20" l="1"/>
  <c r="F270" i="20" s="1"/>
  <c r="F26" i="20"/>
  <c r="F266" i="20" s="1"/>
  <c r="F22" i="20"/>
  <c r="F262" i="20" s="1"/>
  <c r="F27" i="20"/>
  <c r="F267" i="20" s="1"/>
  <c r="F23" i="20"/>
  <c r="F263" i="20" s="1"/>
  <c r="F28" i="20"/>
  <c r="F268" i="20" s="1"/>
  <c r="F25" i="20"/>
  <c r="F265" i="20" s="1"/>
  <c r="F20" i="20"/>
  <c r="F260" i="20" s="1"/>
  <c r="F31" i="20"/>
  <c r="F271" i="20" s="1"/>
  <c r="F29" i="20"/>
  <c r="F269" i="20" s="1"/>
  <c r="F24" i="20"/>
  <c r="F264" i="20" s="1"/>
  <c r="F21" i="20"/>
  <c r="F261" i="20" s="1"/>
  <c r="G6" i="19" l="1"/>
  <c r="W46" i="17" l="1"/>
  <c r="W22" i="17"/>
  <c r="W106" i="17"/>
  <c r="W34" i="17"/>
  <c r="W70" i="17"/>
  <c r="W10" i="17"/>
  <c r="W58" i="17"/>
  <c r="W94" i="17"/>
  <c r="W82" i="17"/>
  <c r="W118" i="17"/>
  <c r="C21" i="20" l="1"/>
  <c r="C22" i="20"/>
  <c r="C24" i="20"/>
  <c r="C23" i="20"/>
  <c r="C29" i="20" l="1"/>
  <c r="C17" i="20" s="1"/>
  <c r="C25" i="20"/>
  <c r="C13" i="20" s="1"/>
  <c r="C28" i="20"/>
  <c r="C16" i="20" s="1"/>
  <c r="C31" i="20"/>
  <c r="C19" i="20" s="1"/>
  <c r="C26" i="20"/>
  <c r="C14" i="20" s="1"/>
  <c r="C30" i="20"/>
  <c r="C18" i="20" s="1"/>
  <c r="C27" i="20"/>
  <c r="C15" i="20" s="1"/>
  <c r="W117" i="17"/>
  <c r="W21" i="17"/>
  <c r="W9" i="17"/>
  <c r="C20" i="20"/>
  <c r="W81" i="17"/>
  <c r="W69" i="17"/>
  <c r="W105" i="17"/>
  <c r="W93" i="17"/>
  <c r="W45" i="17"/>
  <c r="W33" i="17"/>
  <c r="W57" i="17"/>
  <c r="H19" i="20" l="1"/>
  <c r="G19" i="20"/>
  <c r="F19" i="20" s="1"/>
  <c r="H18" i="20"/>
  <c r="G18" i="20"/>
  <c r="F18" i="20"/>
  <c r="H17" i="20"/>
  <c r="G17" i="20"/>
  <c r="F17" i="20" s="1"/>
  <c r="H16" i="20"/>
  <c r="F16" i="20" s="1"/>
  <c r="G16" i="20"/>
  <c r="H15" i="20"/>
  <c r="G15" i="20"/>
  <c r="F15" i="20" s="1"/>
  <c r="H14" i="20"/>
  <c r="G14" i="20"/>
  <c r="F14" i="20"/>
  <c r="F13" i="20"/>
  <c r="E4" i="17" l="1"/>
  <c r="H13" i="20" l="1"/>
  <c r="G13" i="20"/>
  <c r="M13" i="20" l="1"/>
  <c r="B14" i="20" l="1"/>
  <c r="B15" i="20" s="1"/>
  <c r="M14" i="20" l="1"/>
  <c r="B16" i="20"/>
  <c r="M15" i="20"/>
  <c r="B17" i="20" l="1"/>
  <c r="M16" i="20"/>
  <c r="B18" i="20" l="1"/>
  <c r="M17" i="20"/>
  <c r="B19" i="20" l="1"/>
  <c r="B8" i="19" s="1"/>
  <c r="I8" i="19" s="1"/>
  <c r="M18" i="20"/>
  <c r="B9" i="19" l="1"/>
  <c r="I9" i="19" s="1"/>
  <c r="M19" i="20"/>
  <c r="Q274" i="20" l="1"/>
  <c r="Q273" i="20"/>
  <c r="Q272" i="20"/>
  <c r="R271" i="20"/>
  <c r="R272" i="20" s="1"/>
  <c r="R273" i="20" l="1"/>
  <c r="R274" i="20" l="1"/>
  <c r="B35" i="19" l="1"/>
  <c r="B33" i="19"/>
  <c r="B275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P128" i="17" l="1"/>
  <c r="N129" i="17"/>
  <c r="O129" i="17"/>
  <c r="M130" i="17"/>
  <c r="P129" i="17" l="1"/>
  <c r="O130" i="17"/>
  <c r="N130" i="17"/>
  <c r="M131" i="17"/>
  <c r="P130" i="17" l="1"/>
  <c r="N131" i="17"/>
  <c r="O131" i="17"/>
  <c r="M132" i="17"/>
  <c r="P131" i="17" l="1"/>
  <c r="O132" i="17"/>
  <c r="N132" i="17"/>
  <c r="M133" i="17"/>
  <c r="P132" i="17" l="1"/>
  <c r="N133" i="17"/>
  <c r="O133" i="17"/>
  <c r="M134" i="17"/>
  <c r="K1" i="19"/>
  <c r="O134" i="17" l="1"/>
  <c r="N134" i="17"/>
  <c r="P133" i="17"/>
  <c r="M135" i="17"/>
  <c r="P134" i="17" l="1"/>
  <c r="O135" i="17"/>
  <c r="N135" i="17"/>
  <c r="M136" i="17"/>
  <c r="C11" i="20"/>
  <c r="B4" i="20"/>
  <c r="P135" i="17" l="1"/>
  <c r="N136" i="17"/>
  <c r="O136" i="17"/>
  <c r="M137" i="17"/>
  <c r="B274" i="20"/>
  <c r="P136" i="17" l="1"/>
  <c r="O137" i="17"/>
  <c r="N137" i="17"/>
  <c r="M138" i="17"/>
  <c r="C6" i="20"/>
  <c r="N4" i="20"/>
  <c r="P137" i="17" l="1"/>
  <c r="W138" i="17"/>
  <c r="N138" i="17"/>
  <c r="O138" i="17"/>
  <c r="M139" i="1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F41" i="18"/>
  <c r="F40" i="18"/>
  <c r="F39" i="18"/>
  <c r="F38" i="18"/>
  <c r="F37" i="18"/>
  <c r="F36" i="18"/>
  <c r="F35" i="18"/>
  <c r="F34" i="18"/>
  <c r="F33" i="18"/>
  <c r="F32" i="18"/>
  <c r="F31" i="18"/>
  <c r="F3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P197" i="17" l="1"/>
  <c r="W198" i="17"/>
  <c r="N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P209" i="17" l="1"/>
  <c r="W210" i="17"/>
  <c r="N210" i="17"/>
  <c r="O210" i="17"/>
  <c r="M211" i="17"/>
  <c r="P210" i="17" l="1"/>
  <c r="N211" i="17"/>
  <c r="O211" i="17"/>
  <c r="M212" i="17"/>
  <c r="P211" i="17" l="1"/>
  <c r="O212" i="17"/>
  <c r="N212" i="17"/>
  <c r="M213" i="17"/>
  <c r="P212" i="17" l="1"/>
  <c r="N213" i="17"/>
  <c r="O213" i="17"/>
  <c r="M214" i="17"/>
  <c r="P213" i="17" l="1"/>
  <c r="O214" i="17"/>
  <c r="N214" i="17"/>
  <c r="M215" i="17"/>
  <c r="P214" i="17" l="1"/>
  <c r="N215" i="17"/>
  <c r="O215" i="17"/>
  <c r="M216" i="17"/>
  <c r="P215" i="17" l="1"/>
  <c r="O216" i="17"/>
  <c r="N216" i="17"/>
  <c r="M217" i="17"/>
  <c r="P216" i="17" l="1"/>
  <c r="N217" i="17"/>
  <c r="O217" i="17"/>
  <c r="M218" i="17"/>
  <c r="P217" i="17" l="1"/>
  <c r="N218" i="17"/>
  <c r="O218" i="17"/>
  <c r="M219" i="17"/>
  <c r="P218" i="17" l="1"/>
  <c r="O219" i="17"/>
  <c r="N219" i="17"/>
  <c r="M220" i="17"/>
  <c r="P219" i="17" l="1"/>
  <c r="N220" i="17"/>
  <c r="O220" i="17"/>
  <c r="M221" i="17"/>
  <c r="P220" i="17" l="1"/>
  <c r="O221" i="17"/>
  <c r="N221" i="17"/>
  <c r="M222" i="17"/>
  <c r="W222" i="17" l="1"/>
  <c r="N222" i="17"/>
  <c r="O222" i="17"/>
  <c r="P221" i="17"/>
  <c r="M223" i="17"/>
  <c r="N223" i="17" l="1"/>
  <c r="O223" i="17"/>
  <c r="P222" i="17"/>
  <c r="M224" i="17"/>
  <c r="O224" i="17" l="1"/>
  <c r="N224" i="17"/>
  <c r="P223" i="17"/>
  <c r="M225" i="17"/>
  <c r="P224" i="17" l="1"/>
  <c r="N225" i="17"/>
  <c r="O225" i="17"/>
  <c r="M226" i="17"/>
  <c r="P225" i="17" l="1"/>
  <c r="O226" i="17"/>
  <c r="N226" i="17"/>
  <c r="M227" i="17"/>
  <c r="P226" i="17" l="1"/>
  <c r="O227" i="17"/>
  <c r="N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O234" i="17"/>
  <c r="N234" i="17"/>
  <c r="M235" i="17"/>
  <c r="P234" i="17" l="1"/>
  <c r="N235" i="17"/>
  <c r="O235" i="17"/>
  <c r="M236" i="17"/>
  <c r="O236" i="17" l="1"/>
  <c r="N236" i="17"/>
  <c r="P235" i="17"/>
  <c r="M237" i="17"/>
  <c r="N237" i="17" l="1"/>
  <c r="O237" i="17"/>
  <c r="P236" i="17"/>
  <c r="M238" i="17"/>
  <c r="P237" i="17" l="1"/>
  <c r="O238" i="17"/>
  <c r="N238" i="17"/>
  <c r="M239" i="17"/>
  <c r="P238" i="17" l="1"/>
  <c r="O239" i="17"/>
  <c r="N239" i="17"/>
  <c r="M240" i="17"/>
  <c r="P239" i="17" l="1"/>
  <c r="N240" i="17"/>
  <c r="O240" i="17"/>
  <c r="M241" i="17"/>
  <c r="P240" i="17" l="1"/>
  <c r="O241" i="17"/>
  <c r="N241" i="17"/>
  <c r="M242" i="17"/>
  <c r="P241" i="17" l="1"/>
  <c r="N242" i="17"/>
  <c r="O242" i="17"/>
  <c r="M243" i="17"/>
  <c r="P242" i="17" l="1"/>
  <c r="N243" i="17"/>
  <c r="O243" i="17"/>
  <c r="M244" i="17"/>
  <c r="P243" i="17" l="1"/>
  <c r="O244" i="17"/>
  <c r="N244" i="17"/>
  <c r="M245" i="17"/>
  <c r="P244" i="17" l="1"/>
  <c r="N245" i="17"/>
  <c r="O245" i="17"/>
  <c r="M246" i="17"/>
  <c r="W246" i="17" s="1"/>
  <c r="P245" i="17" l="1"/>
  <c r="M247" i="17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P177" i="20" l="1"/>
  <c r="P225" i="20"/>
  <c r="P201" i="20"/>
  <c r="P189" i="20"/>
  <c r="P165" i="20"/>
  <c r="G189" i="20" l="1"/>
  <c r="H189" i="20"/>
  <c r="H201" i="20"/>
  <c r="G201" i="20"/>
  <c r="P202" i="20"/>
  <c r="P237" i="20"/>
  <c r="P190" i="20"/>
  <c r="P226" i="20"/>
  <c r="P203" i="20"/>
  <c r="P178" i="20"/>
  <c r="P191" i="20"/>
  <c r="P213" i="20"/>
  <c r="G191" i="20" l="1"/>
  <c r="H191" i="20"/>
  <c r="H190" i="20"/>
  <c r="G190" i="20"/>
  <c r="G202" i="20"/>
  <c r="H202" i="20"/>
  <c r="P192" i="20"/>
  <c r="P238" i="20"/>
  <c r="P193" i="20"/>
  <c r="P214" i="20"/>
  <c r="P227" i="20"/>
  <c r="P204" i="20"/>
  <c r="P179" i="20"/>
  <c r="P239" i="20"/>
  <c r="H192" i="20" l="1"/>
  <c r="G192" i="20"/>
  <c r="H193" i="20"/>
  <c r="G193" i="20"/>
  <c r="P215" i="20"/>
  <c r="P194" i="20"/>
  <c r="P228" i="20"/>
  <c r="P180" i="20"/>
  <c r="P205" i="20"/>
  <c r="P240" i="20"/>
  <c r="G194" i="20" l="1"/>
  <c r="H194" i="20"/>
  <c r="P229" i="20"/>
  <c r="P206" i="20"/>
  <c r="P216" i="20"/>
  <c r="P181" i="20"/>
  <c r="P195" i="20"/>
  <c r="P241" i="20"/>
  <c r="H195" i="20" l="1"/>
  <c r="G195" i="20"/>
  <c r="P230" i="20"/>
  <c r="P217" i="20"/>
  <c r="P196" i="20"/>
  <c r="P207" i="20"/>
  <c r="P182" i="20"/>
  <c r="P231" i="20"/>
  <c r="P242" i="20"/>
  <c r="G196" i="20" l="1"/>
  <c r="H196" i="20"/>
  <c r="P218" i="20"/>
  <c r="P183" i="20"/>
  <c r="P208" i="20"/>
  <c r="P197" i="20"/>
  <c r="P243" i="20"/>
  <c r="P249" i="20"/>
  <c r="P232" i="20"/>
  <c r="H197" i="20" l="1"/>
  <c r="G197" i="20"/>
  <c r="P209" i="20"/>
  <c r="P219" i="20"/>
  <c r="P198" i="20"/>
  <c r="P184" i="20"/>
  <c r="P233" i="20"/>
  <c r="P244" i="20"/>
  <c r="P250" i="20"/>
  <c r="G198" i="20" l="1"/>
  <c r="H198" i="20"/>
  <c r="P210" i="20"/>
  <c r="P199" i="20"/>
  <c r="P220" i="20"/>
  <c r="P185" i="20"/>
  <c r="P245" i="20"/>
  <c r="P234" i="20"/>
  <c r="P251" i="20"/>
  <c r="H199" i="20" l="1"/>
  <c r="G199" i="20"/>
  <c r="P186" i="20"/>
  <c r="P211" i="20"/>
  <c r="P221" i="20"/>
  <c r="P235" i="20"/>
  <c r="P252" i="20"/>
  <c r="P246" i="20"/>
  <c r="P187" i="20" l="1"/>
  <c r="P222" i="20"/>
  <c r="P247" i="20"/>
  <c r="P253" i="20"/>
  <c r="G187" i="20" l="1"/>
  <c r="H187" i="20"/>
  <c r="P223" i="20"/>
  <c r="P254" i="20"/>
  <c r="P255" i="20" l="1"/>
  <c r="P256" i="20" l="1"/>
  <c r="P257" i="20" l="1"/>
  <c r="P258" i="20" l="1"/>
  <c r="P260" i="20" l="1"/>
  <c r="P259" i="20"/>
  <c r="P261" i="20" l="1"/>
  <c r="P141" i="20"/>
  <c r="P153" i="20"/>
  <c r="P166" i="20"/>
  <c r="P57" i="20"/>
  <c r="P271" i="20"/>
  <c r="F57" i="20" l="1"/>
  <c r="C57" i="20"/>
  <c r="P154" i="20"/>
  <c r="P142" i="20"/>
  <c r="P262" i="20"/>
  <c r="P144" i="20"/>
  <c r="P167" i="20"/>
  <c r="P155" i="20"/>
  <c r="P58" i="20"/>
  <c r="F58" i="20" l="1"/>
  <c r="C58" i="20"/>
  <c r="P143" i="20"/>
  <c r="P263" i="20"/>
  <c r="P145" i="20"/>
  <c r="P156" i="20"/>
  <c r="P168" i="20"/>
  <c r="P59" i="20"/>
  <c r="F59" i="20" l="1"/>
  <c r="C59" i="20"/>
  <c r="P264" i="20"/>
  <c r="P169" i="20"/>
  <c r="P146" i="20"/>
  <c r="P157" i="20"/>
  <c r="P60" i="20"/>
  <c r="F60" i="20" l="1"/>
  <c r="C60" i="20"/>
  <c r="P265" i="20"/>
  <c r="P170" i="20"/>
  <c r="P158" i="20"/>
  <c r="P147" i="20"/>
  <c r="P61" i="20"/>
  <c r="F61" i="20" l="1"/>
  <c r="C61" i="20"/>
  <c r="P266" i="20"/>
  <c r="C266" i="20" s="1"/>
  <c r="P171" i="20"/>
  <c r="P159" i="20"/>
  <c r="P148" i="20"/>
  <c r="P62" i="20"/>
  <c r="F62" i="20" l="1"/>
  <c r="C62" i="20"/>
  <c r="P267" i="20"/>
  <c r="C267" i="20" s="1"/>
  <c r="P160" i="20"/>
  <c r="P149" i="20"/>
  <c r="P172" i="20"/>
  <c r="P63" i="20"/>
  <c r="F63" i="20" l="1"/>
  <c r="C63" i="20"/>
  <c r="P268" i="20"/>
  <c r="C268" i="20" s="1"/>
  <c r="P173" i="20"/>
  <c r="P150" i="20"/>
  <c r="P161" i="20"/>
  <c r="P64" i="20"/>
  <c r="F64" i="20" l="1"/>
  <c r="C64" i="20"/>
  <c r="P269" i="20"/>
  <c r="C269" i="20" s="1"/>
  <c r="P151" i="20"/>
  <c r="P174" i="20"/>
  <c r="P162" i="20"/>
  <c r="P65" i="20"/>
  <c r="F65" i="20" l="1"/>
  <c r="C65" i="20"/>
  <c r="P270" i="20"/>
  <c r="C270" i="20" s="1"/>
  <c r="P163" i="20"/>
  <c r="P175" i="20"/>
  <c r="P66" i="20"/>
  <c r="F66" i="20" l="1"/>
  <c r="C66" i="20"/>
  <c r="P67" i="20"/>
  <c r="F67" i="20" l="1"/>
  <c r="C67" i="20"/>
  <c r="P68" i="20"/>
  <c r="F68" i="20" l="1"/>
  <c r="C68" i="20"/>
  <c r="P69" i="20"/>
  <c r="F69" i="20" l="1"/>
  <c r="C69" i="20"/>
  <c r="P70" i="20"/>
  <c r="F70" i="20" l="1"/>
  <c r="C70" i="20"/>
  <c r="P71" i="20"/>
  <c r="F71" i="20" l="1"/>
  <c r="C71" i="20"/>
  <c r="P72" i="20"/>
  <c r="F72" i="20" l="1"/>
  <c r="C72" i="20"/>
  <c r="P73" i="20"/>
  <c r="F73" i="20" l="1"/>
  <c r="C73" i="20"/>
  <c r="P74" i="20"/>
  <c r="F74" i="20" l="1"/>
  <c r="C74" i="20"/>
  <c r="P75" i="20"/>
  <c r="F75" i="20" l="1"/>
  <c r="C75" i="20"/>
  <c r="P76" i="20"/>
  <c r="F76" i="20" l="1"/>
  <c r="C76" i="20"/>
  <c r="P77" i="20"/>
  <c r="F77" i="20" l="1"/>
  <c r="C77" i="20"/>
  <c r="P78" i="20"/>
  <c r="F78" i="20" l="1"/>
  <c r="C78" i="20"/>
  <c r="P79" i="20"/>
  <c r="F79" i="20" l="1"/>
  <c r="C79" i="20"/>
  <c r="P81" i="20"/>
  <c r="F81" i="20" l="1"/>
  <c r="C81" i="20"/>
  <c r="P82" i="20"/>
  <c r="F82" i="20" l="1"/>
  <c r="C82" i="20"/>
  <c r="P83" i="20"/>
  <c r="F83" i="20" l="1"/>
  <c r="C83" i="20"/>
  <c r="P84" i="20"/>
  <c r="F84" i="20" l="1"/>
  <c r="C84" i="20"/>
  <c r="P85" i="20"/>
  <c r="F85" i="20" l="1"/>
  <c r="C85" i="20"/>
  <c r="P86" i="20"/>
  <c r="F86" i="20" l="1"/>
  <c r="C86" i="20"/>
  <c r="P87" i="20"/>
  <c r="F87" i="20" l="1"/>
  <c r="C87" i="20"/>
  <c r="P88" i="20"/>
  <c r="F88" i="20" l="1"/>
  <c r="C88" i="20"/>
  <c r="P89" i="20"/>
  <c r="F89" i="20" l="1"/>
  <c r="C89" i="20"/>
  <c r="P90" i="20"/>
  <c r="F90" i="20" l="1"/>
  <c r="C90" i="20"/>
  <c r="P91" i="20"/>
  <c r="F91" i="20" l="1"/>
  <c r="C91" i="20"/>
  <c r="P92" i="20"/>
  <c r="F92" i="20" l="1"/>
  <c r="C92" i="20"/>
  <c r="P93" i="20"/>
  <c r="F93" i="20" l="1"/>
  <c r="C93" i="20"/>
  <c r="P94" i="20"/>
  <c r="F94" i="20" l="1"/>
  <c r="C94" i="20"/>
  <c r="P95" i="20"/>
  <c r="F95" i="20" l="1"/>
  <c r="C95" i="20"/>
  <c r="P96" i="20"/>
  <c r="F96" i="20" l="1"/>
  <c r="C96" i="20"/>
  <c r="P97" i="20"/>
  <c r="F97" i="20" l="1"/>
  <c r="C97" i="20"/>
  <c r="P98" i="20"/>
  <c r="F98" i="20" l="1"/>
  <c r="C98" i="20"/>
  <c r="P99" i="20"/>
  <c r="F99" i="20" l="1"/>
  <c r="C99" i="20"/>
  <c r="P100" i="20"/>
  <c r="F100" i="20" l="1"/>
  <c r="C100" i="20"/>
  <c r="P101" i="20"/>
  <c r="P105" i="20"/>
  <c r="F105" i="20" l="1"/>
  <c r="C105" i="20"/>
  <c r="F101" i="20"/>
  <c r="C101" i="20"/>
  <c r="P102" i="20"/>
  <c r="P106" i="20"/>
  <c r="F106" i="20" l="1"/>
  <c r="C106" i="20"/>
  <c r="F102" i="20"/>
  <c r="C102" i="20"/>
  <c r="P103" i="20"/>
  <c r="P107" i="20"/>
  <c r="F107" i="20" l="1"/>
  <c r="C107" i="20"/>
  <c r="F103" i="20"/>
  <c r="C103" i="20"/>
  <c r="P108" i="20"/>
  <c r="F108" i="20" l="1"/>
  <c r="C108" i="20"/>
  <c r="P109" i="20"/>
  <c r="F109" i="20" l="1"/>
  <c r="C109" i="20"/>
  <c r="P110" i="20"/>
  <c r="F110" i="20" l="1"/>
  <c r="C110" i="20"/>
  <c r="P111" i="20"/>
  <c r="F111" i="20" l="1"/>
  <c r="C111" i="20"/>
  <c r="P112" i="20"/>
  <c r="F112" i="20" l="1"/>
  <c r="C112" i="20"/>
  <c r="P113" i="20"/>
  <c r="F113" i="20" l="1"/>
  <c r="C113" i="20"/>
  <c r="P114" i="20"/>
  <c r="F114" i="20" l="1"/>
  <c r="C114" i="20"/>
  <c r="P115" i="20"/>
  <c r="F115" i="20" l="1"/>
  <c r="C115" i="20"/>
  <c r="P117" i="20"/>
  <c r="F117" i="20" l="1"/>
  <c r="C117" i="20"/>
  <c r="P118" i="20"/>
  <c r="F118" i="20" l="1"/>
  <c r="C118" i="20"/>
  <c r="P119" i="20"/>
  <c r="F119" i="20" l="1"/>
  <c r="C119" i="20"/>
  <c r="P120" i="20"/>
  <c r="F120" i="20" l="1"/>
  <c r="C120" i="20"/>
  <c r="P121" i="20"/>
  <c r="F121" i="20" l="1"/>
  <c r="C121" i="20"/>
  <c r="P122" i="20"/>
  <c r="F122" i="20" l="1"/>
  <c r="C122" i="20"/>
  <c r="P123" i="20"/>
  <c r="F123" i="20" l="1"/>
  <c r="C123" i="20"/>
  <c r="P124" i="20"/>
  <c r="F124" i="20" l="1"/>
  <c r="C124" i="20"/>
  <c r="P125" i="20"/>
  <c r="F125" i="20" l="1"/>
  <c r="C125" i="20"/>
  <c r="P126" i="20"/>
  <c r="F126" i="20" l="1"/>
  <c r="C126" i="20"/>
  <c r="P127" i="20"/>
  <c r="F127" i="20" l="1"/>
  <c r="C127" i="20"/>
  <c r="P129" i="20"/>
  <c r="F129" i="20" l="1"/>
  <c r="C129" i="20"/>
  <c r="P130" i="20"/>
  <c r="F130" i="20" l="1"/>
  <c r="C130" i="20"/>
  <c r="P131" i="20"/>
  <c r="F131" i="20" l="1"/>
  <c r="C131" i="20"/>
  <c r="P132" i="20"/>
  <c r="F132" i="20" l="1"/>
  <c r="C132" i="20"/>
  <c r="P133" i="20"/>
  <c r="F133" i="20" l="1"/>
  <c r="C133" i="20"/>
  <c r="P134" i="20"/>
  <c r="F134" i="20" l="1"/>
  <c r="C134" i="20"/>
  <c r="P135" i="20"/>
  <c r="F135" i="20" l="1"/>
  <c r="C135" i="20"/>
  <c r="P136" i="20"/>
  <c r="F136" i="20" l="1"/>
  <c r="C136" i="20"/>
  <c r="P137" i="20"/>
  <c r="F137" i="20" l="1"/>
  <c r="C137" i="20"/>
  <c r="P138" i="20"/>
  <c r="F138" i="20" l="1"/>
  <c r="C138" i="20"/>
  <c r="P139" i="20"/>
  <c r="F139" i="20" l="1"/>
  <c r="C139" i="20"/>
  <c r="P32" i="20"/>
  <c r="F32" i="20" l="1"/>
  <c r="C32" i="20"/>
  <c r="P33" i="20"/>
  <c r="F33" i="20" l="1"/>
  <c r="C33" i="20"/>
  <c r="P34" i="20"/>
  <c r="F34" i="20" l="1"/>
  <c r="C34" i="20"/>
  <c r="P35" i="20"/>
  <c r="F35" i="20" l="1"/>
  <c r="C35" i="20"/>
  <c r="P36" i="20"/>
  <c r="F36" i="20" l="1"/>
  <c r="C36" i="20"/>
  <c r="P37" i="20"/>
  <c r="F37" i="20" l="1"/>
  <c r="C37" i="20"/>
  <c r="P38" i="20"/>
  <c r="F38" i="20" l="1"/>
  <c r="C38" i="20"/>
  <c r="P39" i="20"/>
  <c r="F39" i="20" l="1"/>
  <c r="C39" i="20"/>
  <c r="P40" i="20"/>
  <c r="F40" i="20" l="1"/>
  <c r="C40" i="20"/>
  <c r="P41" i="20"/>
  <c r="F41" i="20" l="1"/>
  <c r="C41" i="20"/>
  <c r="P42" i="20"/>
  <c r="F42" i="20" l="1"/>
  <c r="C42" i="20"/>
  <c r="P43" i="20"/>
  <c r="F43" i="20" l="1"/>
  <c r="C43" i="20"/>
  <c r="P45" i="20"/>
  <c r="F45" i="20" l="1"/>
  <c r="C45" i="20"/>
  <c r="P46" i="20"/>
  <c r="F46" i="20" l="1"/>
  <c r="C46" i="20"/>
  <c r="P47" i="20"/>
  <c r="F47" i="20" l="1"/>
  <c r="C47" i="20"/>
  <c r="P48" i="20"/>
  <c r="F48" i="20" l="1"/>
  <c r="C48" i="20"/>
  <c r="P49" i="20"/>
  <c r="F49" i="20" l="1"/>
  <c r="C49" i="20"/>
  <c r="P50" i="20"/>
  <c r="F50" i="20" l="1"/>
  <c r="C50" i="20"/>
  <c r="P51" i="20"/>
  <c r="F51" i="20" l="1"/>
  <c r="C51" i="20"/>
  <c r="P52" i="20"/>
  <c r="F52" i="20" l="1"/>
  <c r="C52" i="20"/>
  <c r="P53" i="20"/>
  <c r="F53" i="20" l="1"/>
  <c r="C53" i="20"/>
  <c r="P54" i="20"/>
  <c r="F54" i="20" l="1"/>
  <c r="C54" i="20"/>
  <c r="P55" i="20"/>
  <c r="F55" i="20" l="1"/>
  <c r="C55" i="20"/>
  <c r="P248" i="20"/>
  <c r="P236" i="20"/>
  <c r="P224" i="20"/>
  <c r="P212" i="20"/>
  <c r="P200" i="20"/>
  <c r="P188" i="20"/>
  <c r="P176" i="20"/>
  <c r="P164" i="20"/>
  <c r="P152" i="20"/>
  <c r="P140" i="20"/>
  <c r="P128" i="20"/>
  <c r="P116" i="20"/>
  <c r="P104" i="20"/>
  <c r="P80" i="20"/>
  <c r="P56" i="20"/>
  <c r="P44" i="20"/>
  <c r="F44" i="20" l="1"/>
  <c r="C44" i="20"/>
  <c r="F80" i="20"/>
  <c r="C80" i="20"/>
  <c r="F104" i="20"/>
  <c r="C104" i="20"/>
  <c r="F116" i="20"/>
  <c r="C116" i="20"/>
  <c r="F56" i="20"/>
  <c r="C56" i="20"/>
  <c r="F128" i="20"/>
  <c r="C128" i="20"/>
  <c r="H188" i="20"/>
  <c r="G188" i="20"/>
  <c r="G200" i="20"/>
  <c r="H200" i="20"/>
  <c r="H259" i="20"/>
  <c r="H139" i="20"/>
  <c r="H258" i="20"/>
  <c r="H138" i="20"/>
  <c r="H257" i="20"/>
  <c r="H137" i="20"/>
  <c r="H256" i="20"/>
  <c r="H136" i="20"/>
  <c r="H255" i="20"/>
  <c r="H135" i="20"/>
  <c r="H254" i="20"/>
  <c r="H134" i="20"/>
  <c r="H253" i="20"/>
  <c r="H133" i="20"/>
  <c r="H252" i="20"/>
  <c r="H132" i="20"/>
  <c r="H251" i="20"/>
  <c r="H131" i="20"/>
  <c r="H250" i="20"/>
  <c r="H130" i="20"/>
  <c r="H249" i="20"/>
  <c r="H129" i="20"/>
  <c r="H248" i="20"/>
  <c r="H128" i="20"/>
  <c r="H247" i="20"/>
  <c r="H127" i="20"/>
  <c r="H246" i="20"/>
  <c r="H126" i="20"/>
  <c r="H245" i="20"/>
  <c r="H125" i="20"/>
  <c r="H244" i="20"/>
  <c r="H124" i="20"/>
  <c r="H243" i="20"/>
  <c r="H123" i="20"/>
  <c r="H242" i="20"/>
  <c r="H122" i="20"/>
  <c r="H241" i="20"/>
  <c r="H121" i="20"/>
  <c r="H240" i="20"/>
  <c r="H120" i="20"/>
  <c r="H239" i="20"/>
  <c r="H119" i="20"/>
  <c r="H238" i="20"/>
  <c r="H118" i="20"/>
  <c r="H237" i="20"/>
  <c r="H117" i="20"/>
  <c r="H236" i="20"/>
  <c r="H116" i="20"/>
  <c r="H235" i="20"/>
  <c r="H115" i="20"/>
  <c r="H234" i="20"/>
  <c r="H114" i="20"/>
  <c r="H233" i="20"/>
  <c r="H113" i="20"/>
  <c r="H232" i="20"/>
  <c r="H112" i="20"/>
  <c r="H231" i="20"/>
  <c r="H111" i="20"/>
  <c r="H230" i="20"/>
  <c r="H110" i="20"/>
  <c r="H229" i="20"/>
  <c r="H109" i="20"/>
  <c r="H228" i="20"/>
  <c r="H108" i="20"/>
  <c r="H227" i="20"/>
  <c r="H107" i="20"/>
  <c r="H226" i="20"/>
  <c r="H106" i="20"/>
  <c r="H225" i="20"/>
  <c r="H105" i="20"/>
  <c r="H224" i="20"/>
  <c r="H104" i="20"/>
  <c r="H223" i="20"/>
  <c r="H103" i="20"/>
  <c r="H222" i="20"/>
  <c r="H102" i="20"/>
  <c r="H221" i="20"/>
  <c r="H101" i="20"/>
  <c r="H220" i="20"/>
  <c r="H100" i="20"/>
  <c r="H219" i="20"/>
  <c r="H99" i="20"/>
  <c r="H218" i="20"/>
  <c r="H98" i="20"/>
  <c r="H217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86" i="20"/>
  <c r="H205" i="20"/>
  <c r="H85" i="20"/>
  <c r="H204" i="20"/>
  <c r="H84" i="20"/>
  <c r="H203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186" i="20"/>
  <c r="H66" i="20"/>
  <c r="H185" i="20"/>
  <c r="H65" i="20"/>
  <c r="H184" i="20"/>
  <c r="H64" i="20"/>
  <c r="H183" i="20"/>
  <c r="H63" i="20"/>
  <c r="H182" i="20"/>
  <c r="H62" i="20"/>
  <c r="H181" i="20"/>
  <c r="H61" i="20"/>
  <c r="H180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0" i="20" l="1"/>
  <c r="H5" i="20"/>
  <c r="G142" i="20"/>
  <c r="G144" i="20"/>
  <c r="G146" i="20"/>
  <c r="G29" i="20"/>
  <c r="G152" i="20"/>
  <c r="G156" i="20"/>
  <c r="G39" i="20"/>
  <c r="G140" i="20"/>
  <c r="G141" i="20"/>
  <c r="G22" i="20"/>
  <c r="G143" i="20"/>
  <c r="G24" i="20"/>
  <c r="G145" i="20"/>
  <c r="G26" i="20"/>
  <c r="G147" i="20"/>
  <c r="G28" i="20"/>
  <c r="G149" i="20"/>
  <c r="G30" i="20"/>
  <c r="G151" i="20"/>
  <c r="G32" i="20"/>
  <c r="G153" i="20"/>
  <c r="G34" i="20"/>
  <c r="G155" i="20"/>
  <c r="G36" i="20"/>
  <c r="G157" i="20"/>
  <c r="G38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5" i="20"/>
  <c r="G148" i="20"/>
  <c r="G31" i="20"/>
  <c r="G154" i="20"/>
  <c r="G37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180" i="20"/>
  <c r="G61" i="20"/>
  <c r="G182" i="20"/>
  <c r="G63" i="20"/>
  <c r="G184" i="20"/>
  <c r="G65" i="20"/>
  <c r="G186" i="20"/>
  <c r="G67" i="20"/>
  <c r="G69" i="20"/>
  <c r="G71" i="20"/>
  <c r="G73" i="20"/>
  <c r="G75" i="20"/>
  <c r="G77" i="20"/>
  <c r="G79" i="20"/>
  <c r="G81" i="20"/>
  <c r="G83" i="20"/>
  <c r="G204" i="20"/>
  <c r="G85" i="20"/>
  <c r="G206" i="20"/>
  <c r="G87" i="20"/>
  <c r="G208" i="20"/>
  <c r="G89" i="20"/>
  <c r="G210" i="20"/>
  <c r="G91" i="20"/>
  <c r="G21" i="20"/>
  <c r="G23" i="20"/>
  <c r="G27" i="20"/>
  <c r="G150" i="20"/>
  <c r="G33" i="20"/>
  <c r="G35" i="20"/>
  <c r="G15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181" i="20"/>
  <c r="G62" i="20"/>
  <c r="G183" i="20"/>
  <c r="G64" i="20"/>
  <c r="G185" i="20"/>
  <c r="G66" i="20"/>
  <c r="G68" i="20"/>
  <c r="G70" i="20"/>
  <c r="G72" i="20"/>
  <c r="G74" i="20"/>
  <c r="G76" i="20"/>
  <c r="G78" i="20"/>
  <c r="G80" i="20"/>
  <c r="G82" i="20"/>
  <c r="G203" i="20"/>
  <c r="G84" i="20"/>
  <c r="G205" i="20"/>
  <c r="G86" i="20"/>
  <c r="G207" i="20"/>
  <c r="G88" i="20"/>
  <c r="G209" i="20"/>
  <c r="G90" i="20"/>
  <c r="G21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20" i="20"/>
  <c r="G5" i="20" l="1"/>
  <c r="G10" i="20"/>
  <c r="B1" i="20" l="1"/>
  <c r="B10" i="19" l="1"/>
  <c r="I10" i="19" s="1"/>
  <c r="B11" i="19" l="1"/>
  <c r="I11" i="19" s="1"/>
  <c r="B12" i="19" l="1"/>
  <c r="I12" i="19" s="1"/>
  <c r="B13" i="19" l="1"/>
  <c r="I13" i="19" s="1"/>
  <c r="B14" i="19" l="1"/>
  <c r="I14" i="19" s="1"/>
  <c r="B15" i="19" l="1"/>
  <c r="I15" i="19" s="1"/>
  <c r="B16" i="19" l="1"/>
  <c r="I16" i="19" s="1"/>
  <c r="B17" i="19" l="1"/>
  <c r="I17" i="19" s="1"/>
  <c r="B18" i="19" l="1"/>
  <c r="I18" i="19" s="1"/>
  <c r="B19" i="19" l="1"/>
  <c r="B20" i="19" l="1"/>
  <c r="B21" i="19" l="1"/>
  <c r="B22" i="19" l="1"/>
  <c r="B23" i="19" l="1"/>
  <c r="B24" i="19" l="1"/>
  <c r="B25" i="19" l="1"/>
  <c r="B26" i="19" l="1"/>
  <c r="B27" i="19" l="1"/>
  <c r="B28" i="19" l="1"/>
  <c r="D2" i="25" l="1"/>
  <c r="B2" i="20"/>
  <c r="V9" i="25" l="1"/>
  <c r="A1" i="17" l="1"/>
  <c r="V11" i="25" l="1"/>
  <c r="N13" i="20" l="1"/>
  <c r="N16" i="20"/>
  <c r="Q16" i="20" s="1"/>
  <c r="N15" i="20"/>
  <c r="Q15" i="20" s="1"/>
  <c r="N19" i="20"/>
  <c r="Q19" i="20" s="1"/>
  <c r="N18" i="20"/>
  <c r="Q18" i="20" s="1"/>
  <c r="N14" i="20"/>
  <c r="Q14" i="20" s="1"/>
  <c r="N17" i="20"/>
  <c r="Q17" i="20" s="1"/>
  <c r="Q13" i="20" l="1"/>
  <c r="B21" i="20" l="1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R6" i="17"/>
  <c r="M20" i="20"/>
  <c r="I35" i="25" l="1"/>
  <c r="B22" i="20"/>
  <c r="R7" i="17"/>
  <c r="M21" i="20"/>
  <c r="M22" i="20" l="1"/>
  <c r="R8" i="17"/>
  <c r="B23" i="20"/>
  <c r="L35" i="25"/>
  <c r="O35" i="25" l="1"/>
  <c r="R9" i="17"/>
  <c r="B24" i="20"/>
  <c r="M23" i="20"/>
  <c r="R10" i="17" l="1"/>
  <c r="B25" i="20"/>
  <c r="M24" i="20"/>
  <c r="R35" i="25"/>
  <c r="F50" i="25" l="1"/>
  <c r="M25" i="20"/>
  <c r="R11" i="17"/>
  <c r="B26" i="20"/>
  <c r="M26" i="20" l="1"/>
  <c r="R12" i="17"/>
  <c r="B27" i="20"/>
  <c r="I50" i="25"/>
  <c r="B28" i="20" l="1"/>
  <c r="M27" i="20"/>
  <c r="R13" i="17"/>
  <c r="L50" i="25"/>
  <c r="M28" i="20" l="1"/>
  <c r="B29" i="20"/>
  <c r="R14" i="17"/>
  <c r="O50" i="25"/>
  <c r="R50" i="25" l="1"/>
  <c r="F65" i="25" s="1"/>
  <c r="R15" i="17"/>
  <c r="B30" i="20"/>
  <c r="M29" i="20"/>
  <c r="R16" i="17" l="1"/>
  <c r="M30" i="20"/>
  <c r="B31" i="20"/>
  <c r="B32" i="20" l="1"/>
  <c r="R17" i="17"/>
  <c r="M31" i="20"/>
  <c r="B33" i="20" l="1"/>
  <c r="R18" i="17"/>
  <c r="M32" i="20"/>
  <c r="B34" i="20" l="1"/>
  <c r="R19" i="17"/>
  <c r="M33" i="20"/>
  <c r="W7" i="17"/>
  <c r="B35" i="20" l="1"/>
  <c r="R20" i="17"/>
  <c r="M34" i="20"/>
  <c r="B36" i="20" l="1"/>
  <c r="M35" i="20"/>
  <c r="R21" i="17"/>
  <c r="R22" i="17" l="1"/>
  <c r="M36" i="20"/>
  <c r="B37" i="20"/>
  <c r="R23" i="17" l="1"/>
  <c r="B38" i="20"/>
  <c r="M37" i="20"/>
  <c r="B39" i="20" l="1"/>
  <c r="M38" i="20"/>
  <c r="R24" i="17"/>
  <c r="R25" i="17" l="1"/>
  <c r="M39" i="20"/>
  <c r="B40" i="20"/>
  <c r="B41" i="20" l="1"/>
  <c r="M40" i="20"/>
  <c r="R26" i="17"/>
  <c r="M41" i="20" l="1"/>
  <c r="R27" i="17"/>
  <c r="B42" i="20"/>
  <c r="B43" i="20" l="1"/>
  <c r="R28" i="17"/>
  <c r="M42" i="20"/>
  <c r="B44" i="20" l="1"/>
  <c r="R29" i="17"/>
  <c r="M43" i="20"/>
  <c r="R30" i="17" l="1"/>
  <c r="M44" i="20"/>
  <c r="B45" i="20"/>
  <c r="W19" i="17" l="1"/>
  <c r="B46" i="20"/>
  <c r="M45" i="20"/>
  <c r="R31" i="17"/>
  <c r="B47" i="20" l="1"/>
  <c r="R32" i="17"/>
  <c r="M46" i="20"/>
  <c r="B48" i="20" l="1"/>
  <c r="R33" i="17"/>
  <c r="M47" i="20"/>
  <c r="R34" i="17" l="1"/>
  <c r="B49" i="20"/>
  <c r="M48" i="20"/>
  <c r="B50" i="20" l="1"/>
  <c r="R35" i="17"/>
  <c r="M49" i="20"/>
  <c r="R36" i="17" l="1"/>
  <c r="M50" i="20"/>
  <c r="B51" i="20"/>
  <c r="M51" i="20" l="1"/>
  <c r="R37" i="17"/>
  <c r="B52" i="20"/>
  <c r="B53" i="20" l="1"/>
  <c r="R38" i="17"/>
  <c r="M52" i="20"/>
  <c r="M53" i="20" l="1"/>
  <c r="R39" i="17"/>
  <c r="B54" i="20"/>
  <c r="R40" i="17" l="1"/>
  <c r="M54" i="20"/>
  <c r="B55" i="20"/>
  <c r="R41" i="17" l="1"/>
  <c r="M55" i="20"/>
  <c r="B56" i="20"/>
  <c r="M56" i="20" l="1"/>
  <c r="R42" i="17"/>
  <c r="B57" i="20"/>
  <c r="R43" i="17" l="1"/>
  <c r="B58" i="20"/>
  <c r="M57" i="20"/>
  <c r="W31" i="17"/>
  <c r="R44" i="17" l="1"/>
  <c r="M58" i="20"/>
  <c r="B59" i="20"/>
  <c r="M59" i="20" l="1"/>
  <c r="R45" i="17"/>
  <c r="B60" i="20"/>
  <c r="B61" i="20" l="1"/>
  <c r="M60" i="20"/>
  <c r="R46" i="17"/>
  <c r="R47" i="17" l="1"/>
  <c r="M61" i="20"/>
  <c r="B62" i="20"/>
  <c r="B63" i="20" l="1"/>
  <c r="R48" i="17"/>
  <c r="M62" i="20"/>
  <c r="M63" i="20" l="1"/>
  <c r="R49" i="17"/>
  <c r="B64" i="20"/>
  <c r="R50" i="17" l="1"/>
  <c r="M64" i="20"/>
  <c r="B65" i="20"/>
  <c r="B66" i="20" l="1"/>
  <c r="M65" i="20"/>
  <c r="R51" i="17"/>
  <c r="B67" i="20" l="1"/>
  <c r="R52" i="17"/>
  <c r="M66" i="20"/>
  <c r="B68" i="20" l="1"/>
  <c r="R53" i="17"/>
  <c r="M67" i="20"/>
  <c r="B69" i="20" l="1"/>
  <c r="M68" i="20"/>
  <c r="R54" i="17"/>
  <c r="W43" i="17" l="1"/>
  <c r="M69" i="20"/>
  <c r="B70" i="20"/>
  <c r="R55" i="17"/>
  <c r="R56" i="17" l="1"/>
  <c r="B71" i="20"/>
  <c r="M70" i="20"/>
  <c r="B72" i="20" l="1"/>
  <c r="M71" i="20"/>
  <c r="R57" i="17"/>
  <c r="R58" i="17" l="1"/>
  <c r="B73" i="20"/>
  <c r="M72" i="20"/>
  <c r="B74" i="20" l="1"/>
  <c r="R59" i="17"/>
  <c r="M73" i="20"/>
  <c r="B75" i="20" l="1"/>
  <c r="M74" i="20"/>
  <c r="R60" i="17"/>
  <c r="M75" i="20" l="1"/>
  <c r="B76" i="20"/>
  <c r="R61" i="17"/>
  <c r="R62" i="17" l="1"/>
  <c r="B77" i="20"/>
  <c r="M76" i="20"/>
  <c r="R63" i="17" l="1"/>
  <c r="M77" i="20"/>
  <c r="B78" i="20"/>
  <c r="M78" i="20" l="1"/>
  <c r="R64" i="17"/>
  <c r="B79" i="20"/>
  <c r="R65" i="17" l="1"/>
  <c r="B80" i="20"/>
  <c r="M79" i="20"/>
  <c r="B81" i="20" l="1"/>
  <c r="M80" i="20"/>
  <c r="R66" i="17"/>
  <c r="W55" i="17" l="1"/>
  <c r="B82" i="20"/>
  <c r="M81" i="20"/>
  <c r="R67" i="17"/>
  <c r="B83" i="20" l="1"/>
  <c r="M82" i="20"/>
  <c r="R68" i="17"/>
  <c r="R69" i="17" l="1"/>
  <c r="M83" i="20"/>
  <c r="B84" i="20"/>
  <c r="R70" i="17" l="1"/>
  <c r="M84" i="20"/>
  <c r="B85" i="20"/>
  <c r="R71" i="17" l="1"/>
  <c r="M85" i="20"/>
  <c r="B86" i="20"/>
  <c r="R72" i="17" l="1"/>
  <c r="M86" i="20"/>
  <c r="B87" i="20"/>
  <c r="B88" i="20" l="1"/>
  <c r="M87" i="20"/>
  <c r="R73" i="17"/>
  <c r="B89" i="20" l="1"/>
  <c r="R74" i="17"/>
  <c r="M88" i="20"/>
  <c r="M89" i="20" l="1"/>
  <c r="R75" i="17"/>
  <c r="B90" i="20"/>
  <c r="M90" i="20" l="1"/>
  <c r="B91" i="20"/>
  <c r="R76" i="17"/>
  <c r="R77" i="17" l="1"/>
  <c r="M91" i="20"/>
  <c r="B92" i="20"/>
  <c r="B93" i="20" l="1"/>
  <c r="R78" i="17"/>
  <c r="M92" i="20"/>
  <c r="W67" i="17" l="1"/>
  <c r="R79" i="17"/>
  <c r="M93" i="20"/>
  <c r="B94" i="20"/>
  <c r="R80" i="17" l="1"/>
  <c r="B95" i="20"/>
  <c r="M94" i="20"/>
  <c r="R81" i="17" l="1"/>
  <c r="B96" i="20"/>
  <c r="M95" i="20"/>
  <c r="B97" i="20" l="1"/>
  <c r="R82" i="17"/>
  <c r="M96" i="20"/>
  <c r="M97" i="20" l="1"/>
  <c r="R83" i="17"/>
  <c r="B98" i="20"/>
  <c r="R84" i="17" l="1"/>
  <c r="M98" i="20"/>
  <c r="B99" i="20"/>
  <c r="R85" i="17" l="1"/>
  <c r="B100" i="20"/>
  <c r="M99" i="20"/>
  <c r="B101" i="20" l="1"/>
  <c r="M100" i="20"/>
  <c r="R86" i="17"/>
  <c r="B102" i="20" l="1"/>
  <c r="R87" i="17"/>
  <c r="M101" i="20"/>
  <c r="R88" i="17" l="1"/>
  <c r="M102" i="20"/>
  <c r="B103" i="20"/>
  <c r="B104" i="20" l="1"/>
  <c r="R89" i="17"/>
  <c r="M103" i="20"/>
  <c r="M104" i="20" l="1"/>
  <c r="R90" i="17"/>
  <c r="B105" i="20"/>
  <c r="W79" i="17" l="1"/>
  <c r="M105" i="20"/>
  <c r="B106" i="20"/>
  <c r="R91" i="17"/>
  <c r="M106" i="20" l="1"/>
  <c r="R92" i="17"/>
  <c r="B107" i="20"/>
  <c r="R93" i="17" l="1"/>
  <c r="B108" i="20"/>
  <c r="M107" i="20"/>
  <c r="M108" i="20" l="1"/>
  <c r="R94" i="17"/>
  <c r="B109" i="20"/>
  <c r="R95" i="17" l="1"/>
  <c r="M109" i="20"/>
  <c r="B110" i="20"/>
  <c r="R96" i="17" l="1"/>
  <c r="B111" i="20"/>
  <c r="M110" i="20"/>
  <c r="B112" i="20" l="1"/>
  <c r="R97" i="17"/>
  <c r="M111" i="20"/>
  <c r="B113" i="20" l="1"/>
  <c r="R98" i="17"/>
  <c r="M112" i="20"/>
  <c r="R99" i="17" l="1"/>
  <c r="M113" i="20"/>
  <c r="B114" i="20"/>
  <c r="R100" i="17" l="1"/>
  <c r="M114" i="20"/>
  <c r="B115" i="20"/>
  <c r="R101" i="17" l="1"/>
  <c r="B116" i="20"/>
  <c r="M115" i="20"/>
  <c r="R102" i="17" l="1"/>
  <c r="M116" i="20"/>
  <c r="B117" i="20"/>
  <c r="W91" i="17" l="1"/>
  <c r="B118" i="20"/>
  <c r="M117" i="20"/>
  <c r="R103" i="17"/>
  <c r="B119" i="20" l="1"/>
  <c r="R104" i="17"/>
  <c r="M118" i="20"/>
  <c r="B120" i="20" l="1"/>
  <c r="M119" i="20"/>
  <c r="R105" i="17"/>
  <c r="B121" i="20" l="1"/>
  <c r="M120" i="20"/>
  <c r="R106" i="17"/>
  <c r="M121" i="20" l="1"/>
  <c r="B122" i="20"/>
  <c r="R107" i="17"/>
  <c r="R108" i="17" l="1"/>
  <c r="M122" i="20"/>
  <c r="B123" i="20"/>
  <c r="R109" i="17" l="1"/>
  <c r="M123" i="20"/>
  <c r="B124" i="20"/>
  <c r="B125" i="20" l="1"/>
  <c r="M124" i="20"/>
  <c r="R110" i="17"/>
  <c r="R111" i="17" l="1"/>
  <c r="M125" i="20"/>
  <c r="B126" i="20"/>
  <c r="R112" i="17" l="1"/>
  <c r="B127" i="20"/>
  <c r="M126" i="20"/>
  <c r="M127" i="20" l="1"/>
  <c r="R113" i="17"/>
  <c r="B128" i="20"/>
  <c r="R114" i="17" l="1"/>
  <c r="M128" i="20"/>
  <c r="B129" i="20"/>
  <c r="W103" i="17" l="1"/>
  <c r="R115" i="17"/>
  <c r="M129" i="20"/>
  <c r="B130" i="20"/>
  <c r="R116" i="17" l="1"/>
  <c r="B131" i="20"/>
  <c r="M130" i="20"/>
  <c r="M131" i="20" l="1"/>
  <c r="B132" i="20"/>
  <c r="R117" i="17"/>
  <c r="M132" i="20" l="1"/>
  <c r="B133" i="20"/>
  <c r="R118" i="17"/>
  <c r="R119" i="17" l="1"/>
  <c r="M133" i="20"/>
  <c r="B134" i="20"/>
  <c r="R120" i="17" l="1"/>
  <c r="B135" i="20"/>
  <c r="M134" i="20"/>
  <c r="B136" i="20" l="1"/>
  <c r="R121" i="17"/>
  <c r="M135" i="20"/>
  <c r="B137" i="20" l="1"/>
  <c r="R122" i="17"/>
  <c r="M136" i="20"/>
  <c r="M137" i="20" l="1"/>
  <c r="B138" i="20"/>
  <c r="R123" i="17"/>
  <c r="M138" i="20" l="1"/>
  <c r="R124" i="17"/>
  <c r="B139" i="20"/>
  <c r="M139" i="20" l="1"/>
  <c r="R125" i="17"/>
  <c r="B140" i="20"/>
  <c r="R126" i="17" l="1"/>
  <c r="M140" i="20"/>
  <c r="B141" i="20"/>
  <c r="R127" i="17" l="1"/>
  <c r="B142" i="20"/>
  <c r="M141" i="20"/>
  <c r="W115" i="17"/>
  <c r="M142" i="20" l="1"/>
  <c r="B143" i="20"/>
  <c r="R128" i="17"/>
  <c r="M143" i="20" l="1"/>
  <c r="R129" i="17"/>
  <c r="B144" i="20"/>
  <c r="R130" i="17" l="1"/>
  <c r="M144" i="20"/>
  <c r="B145" i="20"/>
  <c r="M145" i="20" l="1"/>
  <c r="B146" i="20"/>
  <c r="R131" i="17"/>
  <c r="R132" i="17" l="1"/>
  <c r="M146" i="20"/>
  <c r="B147" i="20"/>
  <c r="M147" i="20" l="1"/>
  <c r="R133" i="17"/>
  <c r="B148" i="20"/>
  <c r="R134" i="17" l="1"/>
  <c r="M148" i="20"/>
  <c r="B149" i="20"/>
  <c r="R135" i="17" l="1"/>
  <c r="B150" i="20"/>
  <c r="M149" i="20"/>
  <c r="R136" i="17" l="1"/>
  <c r="B151" i="20"/>
  <c r="M150" i="20"/>
  <c r="B152" i="20" l="1"/>
  <c r="M151" i="20"/>
  <c r="R137" i="17"/>
  <c r="R138" i="17" l="1"/>
  <c r="B153" i="20"/>
  <c r="M152" i="20"/>
  <c r="R139" i="17" l="1"/>
  <c r="M153" i="20"/>
  <c r="B154" i="20"/>
  <c r="W127" i="17"/>
  <c r="R140" i="17" l="1"/>
  <c r="M154" i="20"/>
  <c r="B155" i="20"/>
  <c r="R141" i="17" l="1"/>
  <c r="B156" i="20"/>
  <c r="M155" i="20"/>
  <c r="B157" i="20" l="1"/>
  <c r="R142" i="17"/>
  <c r="M156" i="20"/>
  <c r="M157" i="20" l="1"/>
  <c r="R143" i="17"/>
  <c r="B158" i="20"/>
  <c r="B159" i="20" l="1"/>
  <c r="M158" i="20"/>
  <c r="R144" i="17"/>
  <c r="B160" i="20" l="1"/>
  <c r="M159" i="20"/>
  <c r="R145" i="17"/>
  <c r="M160" i="20" l="1"/>
  <c r="R146" i="17"/>
  <c r="B161" i="20"/>
  <c r="B162" i="20" l="1"/>
  <c r="R147" i="17"/>
  <c r="M161" i="20"/>
  <c r="R148" i="17" l="1"/>
  <c r="M162" i="20"/>
  <c r="B163" i="20"/>
  <c r="B164" i="20" l="1"/>
  <c r="R149" i="17"/>
  <c r="M163" i="20"/>
  <c r="M164" i="20" l="1"/>
  <c r="R150" i="17"/>
  <c r="B165" i="20"/>
  <c r="R151" i="17" l="1"/>
  <c r="B166" i="20"/>
  <c r="M165" i="20"/>
  <c r="W139" i="17"/>
  <c r="B167" i="20" l="1"/>
  <c r="R152" i="17"/>
  <c r="M166" i="20"/>
  <c r="R153" i="17" l="1"/>
  <c r="B168" i="20"/>
  <c r="M167" i="20"/>
  <c r="M168" i="20" l="1"/>
  <c r="R154" i="17"/>
  <c r="B169" i="20"/>
  <c r="B170" i="20" l="1"/>
  <c r="R155" i="17"/>
  <c r="M169" i="20"/>
  <c r="M170" i="20" l="1"/>
  <c r="B171" i="20"/>
  <c r="R156" i="17"/>
  <c r="M171" i="20" l="1"/>
  <c r="B172" i="20"/>
  <c r="R157" i="17"/>
  <c r="B173" i="20" l="1"/>
  <c r="R158" i="17"/>
  <c r="M172" i="20"/>
  <c r="M173" i="20" l="1"/>
  <c r="R159" i="17"/>
  <c r="B174" i="20"/>
  <c r="B175" i="20" l="1"/>
  <c r="R160" i="17"/>
  <c r="M174" i="20"/>
  <c r="M175" i="20" l="1"/>
  <c r="R161" i="17"/>
  <c r="B176" i="20"/>
  <c r="B177" i="20" l="1"/>
  <c r="R162" i="17"/>
  <c r="M176" i="20"/>
  <c r="W151" i="17" l="1"/>
  <c r="B178" i="20"/>
  <c r="M177" i="20"/>
  <c r="R163" i="17"/>
  <c r="R164" i="17" l="1"/>
  <c r="M178" i="20"/>
  <c r="B179" i="20"/>
  <c r="R165" i="17" l="1"/>
  <c r="M179" i="20"/>
  <c r="B180" i="20"/>
  <c r="B181" i="20" l="1"/>
  <c r="R166" i="17"/>
  <c r="M180" i="20"/>
  <c r="B182" i="20" l="1"/>
  <c r="M181" i="20"/>
  <c r="R167" i="17"/>
  <c r="R168" i="17" l="1"/>
  <c r="M182" i="20"/>
  <c r="B183" i="20"/>
  <c r="R169" i="17" l="1"/>
  <c r="M183" i="20"/>
  <c r="B184" i="20"/>
  <c r="R170" i="17" l="1"/>
  <c r="B185" i="20"/>
  <c r="M184" i="20"/>
  <c r="M185" i="20" l="1"/>
  <c r="B186" i="20"/>
  <c r="R171" i="17"/>
  <c r="M186" i="20" l="1"/>
  <c r="R172" i="17"/>
  <c r="B187" i="20"/>
  <c r="B188" i="20" l="1"/>
  <c r="R173" i="17"/>
  <c r="M187" i="20"/>
  <c r="B189" i="20" l="1"/>
  <c r="R174" i="17"/>
  <c r="M188" i="20"/>
  <c r="W163" i="17" l="1"/>
  <c r="B190" i="20"/>
  <c r="M189" i="20"/>
  <c r="R175" i="17"/>
  <c r="R176" i="17" l="1"/>
  <c r="B191" i="20"/>
  <c r="M190" i="20"/>
  <c r="M191" i="20" l="1"/>
  <c r="R177" i="17"/>
  <c r="B192" i="20"/>
  <c r="B193" i="20" l="1"/>
  <c r="M192" i="20"/>
  <c r="R178" i="17"/>
  <c r="M193" i="20" l="1"/>
  <c r="B194" i="20"/>
  <c r="R179" i="17"/>
  <c r="M194" i="20" l="1"/>
  <c r="B195" i="20"/>
  <c r="R180" i="17"/>
  <c r="M195" i="20" l="1"/>
  <c r="B196" i="20"/>
  <c r="R181" i="17"/>
  <c r="R182" i="17" l="1"/>
  <c r="M196" i="20"/>
  <c r="B197" i="20"/>
  <c r="B198" i="20" l="1"/>
  <c r="R183" i="17"/>
  <c r="M197" i="20"/>
  <c r="R184" i="17" l="1"/>
  <c r="B199" i="20"/>
  <c r="M198" i="20"/>
  <c r="B200" i="20" l="1"/>
  <c r="M199" i="20"/>
  <c r="R185" i="17"/>
  <c r="B201" i="20" l="1"/>
  <c r="R186" i="17"/>
  <c r="M200" i="20"/>
  <c r="W175" i="17" l="1"/>
  <c r="R187" i="17"/>
  <c r="M201" i="20"/>
  <c r="B202" i="20"/>
  <c r="B203" i="20" l="1"/>
  <c r="R188" i="17"/>
  <c r="M202" i="20"/>
  <c r="R189" i="17" l="1"/>
  <c r="M203" i="20"/>
  <c r="B204" i="20"/>
  <c r="B205" i="20" l="1"/>
  <c r="M204" i="20"/>
  <c r="R190" i="17"/>
  <c r="M205" i="20" l="1"/>
  <c r="B206" i="20"/>
  <c r="R191" i="17"/>
  <c r="B207" i="20" l="1"/>
  <c r="R192" i="17"/>
  <c r="M206" i="20"/>
  <c r="R193" i="17" l="1"/>
  <c r="B208" i="20"/>
  <c r="M207" i="20"/>
  <c r="M208" i="20" l="1"/>
  <c r="R194" i="17"/>
  <c r="B209" i="20"/>
  <c r="R195" i="17" l="1"/>
  <c r="M209" i="20"/>
  <c r="B210" i="20"/>
  <c r="R196" i="17" l="1"/>
  <c r="M210" i="20"/>
  <c r="B211" i="20"/>
  <c r="B212" i="20" l="1"/>
  <c r="R197" i="17"/>
  <c r="M211" i="20"/>
  <c r="R198" i="17" l="1"/>
  <c r="M212" i="20"/>
  <c r="B213" i="20"/>
  <c r="W187" i="17" l="1"/>
  <c r="B214" i="20"/>
  <c r="M213" i="20"/>
  <c r="R199" i="17"/>
  <c r="B215" i="20" l="1"/>
  <c r="R200" i="17"/>
  <c r="M214" i="20"/>
  <c r="M215" i="20" l="1"/>
  <c r="R201" i="17"/>
  <c r="B216" i="20"/>
  <c r="B217" i="20" l="1"/>
  <c r="M216" i="20"/>
  <c r="R202" i="17"/>
  <c r="R203" i="17" l="1"/>
  <c r="B218" i="20"/>
  <c r="M217" i="20"/>
  <c r="B219" i="20" l="1"/>
  <c r="M218" i="20"/>
  <c r="R204" i="17"/>
  <c r="M219" i="20" l="1"/>
  <c r="B220" i="20"/>
  <c r="R205" i="17"/>
  <c r="M220" i="20" l="1"/>
  <c r="B221" i="20"/>
  <c r="R206" i="17"/>
  <c r="M221" i="20" l="1"/>
  <c r="B222" i="20"/>
  <c r="R207" i="17"/>
  <c r="R208" i="17" l="1"/>
  <c r="M222" i="20"/>
  <c r="B223" i="20"/>
  <c r="R209" i="17" l="1"/>
  <c r="M223" i="20"/>
  <c r="B224" i="20"/>
  <c r="B225" i="20" l="1"/>
  <c r="R210" i="17"/>
  <c r="M224" i="20"/>
  <c r="W199" i="17" l="1"/>
  <c r="R211" i="17"/>
  <c r="B226" i="20"/>
  <c r="M225" i="20"/>
  <c r="M226" i="20" l="1"/>
  <c r="R212" i="17"/>
  <c r="B227" i="20"/>
  <c r="R213" i="17" l="1"/>
  <c r="B228" i="20"/>
  <c r="M227" i="20"/>
  <c r="R214" i="17" l="1"/>
  <c r="M228" i="20"/>
  <c r="B229" i="20"/>
  <c r="B230" i="20" l="1"/>
  <c r="R215" i="17"/>
  <c r="M229" i="20"/>
  <c r="R216" i="17" l="1"/>
  <c r="M230" i="20"/>
  <c r="B231" i="20"/>
  <c r="B232" i="20" l="1"/>
  <c r="R217" i="17"/>
  <c r="M231" i="20"/>
  <c r="B233" i="20" l="1"/>
  <c r="M232" i="20"/>
  <c r="R218" i="17"/>
  <c r="M233" i="20" l="1"/>
  <c r="B234" i="20"/>
  <c r="R219" i="17"/>
  <c r="R220" i="17" l="1"/>
  <c r="M234" i="20"/>
  <c r="B235" i="20"/>
  <c r="B236" i="20" l="1"/>
  <c r="R221" i="17"/>
  <c r="M235" i="20"/>
  <c r="B237" i="20" l="1"/>
  <c r="R222" i="17"/>
  <c r="M236" i="20"/>
  <c r="W211" i="17" l="1"/>
  <c r="M237" i="20"/>
  <c r="R223" i="17"/>
  <c r="B238" i="20"/>
  <c r="M238" i="20" l="1"/>
  <c r="B239" i="20"/>
  <c r="R224" i="17"/>
  <c r="B240" i="20" l="1"/>
  <c r="R225" i="17"/>
  <c r="M239" i="20"/>
  <c r="R226" i="17" l="1"/>
  <c r="M240" i="20"/>
  <c r="B241" i="20"/>
  <c r="B242" i="20" l="1"/>
  <c r="M241" i="20"/>
  <c r="R227" i="17"/>
  <c r="R228" i="17" l="1"/>
  <c r="M242" i="20"/>
  <c r="B243" i="20"/>
  <c r="M243" i="20" l="1"/>
  <c r="B244" i="20"/>
  <c r="R229" i="17"/>
  <c r="R230" i="17" l="1"/>
  <c r="B245" i="20"/>
  <c r="M244" i="20"/>
  <c r="R231" i="17" l="1"/>
  <c r="M245" i="20"/>
  <c r="B246" i="20"/>
  <c r="B247" i="20" l="1"/>
  <c r="R232" i="17"/>
  <c r="M246" i="20"/>
  <c r="R233" i="17" l="1"/>
  <c r="M247" i="20"/>
  <c r="B248" i="20"/>
  <c r="M248" i="20" l="1"/>
  <c r="R234" i="17"/>
  <c r="B249" i="20"/>
  <c r="W223" i="17" l="1"/>
  <c r="M249" i="20"/>
  <c r="B250" i="20"/>
  <c r="R235" i="17"/>
  <c r="B251" i="20" l="1"/>
  <c r="M250" i="20"/>
  <c r="R236" i="17"/>
  <c r="R237" i="17" l="1"/>
  <c r="B252" i="20"/>
  <c r="M251" i="20"/>
  <c r="R238" i="17" l="1"/>
  <c r="B253" i="20"/>
  <c r="M252" i="20"/>
  <c r="M253" i="20" l="1"/>
  <c r="R239" i="17"/>
  <c r="B254" i="20"/>
  <c r="B255" i="20" l="1"/>
  <c r="R240" i="17"/>
  <c r="M254" i="20"/>
  <c r="B256" i="20" l="1"/>
  <c r="M255" i="20"/>
  <c r="R241" i="17"/>
  <c r="R242" i="17" l="1"/>
  <c r="B257" i="20"/>
  <c r="M256" i="20"/>
  <c r="B258" i="20" l="1"/>
  <c r="R243" i="17"/>
  <c r="M257" i="20"/>
  <c r="B259" i="20" l="1"/>
  <c r="R244" i="17"/>
  <c r="M258" i="20"/>
  <c r="M259" i="20" l="1"/>
  <c r="B260" i="20"/>
  <c r="R245" i="17"/>
  <c r="M260" i="20" l="1"/>
  <c r="B261" i="20"/>
  <c r="R246" i="17"/>
  <c r="W235" i="17" l="1"/>
  <c r="M261" i="20"/>
  <c r="R247" i="17"/>
  <c r="B262" i="20"/>
  <c r="B263" i="20" l="1"/>
  <c r="M262" i="20"/>
  <c r="R248" i="17"/>
  <c r="B264" i="20" l="1"/>
  <c r="M263" i="20"/>
  <c r="R249" i="17"/>
  <c r="M264" i="20" l="1"/>
  <c r="B265" i="20"/>
  <c r="R250" i="17"/>
  <c r="R251" i="17" l="1"/>
  <c r="B266" i="20"/>
  <c r="M265" i="20"/>
  <c r="R252" i="17" l="1"/>
  <c r="M266" i="20"/>
  <c r="B267" i="20"/>
  <c r="R253" i="17" l="1"/>
  <c r="B268" i="20"/>
  <c r="M267" i="20"/>
  <c r="R254" i="17" l="1"/>
  <c r="B269" i="20"/>
  <c r="M268" i="20"/>
  <c r="M269" i="20" l="1"/>
  <c r="R255" i="17"/>
  <c r="B270" i="20"/>
  <c r="M270" i="20" l="1"/>
  <c r="B271" i="20"/>
  <c r="M271" i="20" s="1"/>
  <c r="R256" i="17"/>
  <c r="N21" i="20" l="1"/>
  <c r="Q21" i="20" s="1"/>
  <c r="N35" i="20"/>
  <c r="Q35" i="20" s="1"/>
  <c r="N73" i="20"/>
  <c r="Q73" i="20" s="1"/>
  <c r="N106" i="20"/>
  <c r="Q106" i="20" s="1"/>
  <c r="N28" i="20"/>
  <c r="Q28" i="20" s="1"/>
  <c r="N50" i="20"/>
  <c r="Q50" i="20" s="1"/>
  <c r="N78" i="20"/>
  <c r="Q78" i="20" s="1"/>
  <c r="N98" i="20"/>
  <c r="Q98" i="20" s="1"/>
  <c r="N113" i="20"/>
  <c r="Q113" i="20" s="1"/>
  <c r="N44" i="20"/>
  <c r="Q44" i="20" s="1"/>
  <c r="N72" i="20"/>
  <c r="Q72" i="20" s="1"/>
  <c r="N101" i="20"/>
  <c r="Q101" i="20" s="1"/>
  <c r="N22" i="20"/>
  <c r="Q22" i="20" s="1"/>
  <c r="N33" i="20"/>
  <c r="Q33" i="20" s="1"/>
  <c r="N70" i="20"/>
  <c r="Q70" i="20" s="1"/>
  <c r="N99" i="20"/>
  <c r="Q99" i="20" s="1"/>
  <c r="N128" i="20"/>
  <c r="Q128" i="20" s="1"/>
  <c r="N112" i="20"/>
  <c r="Q112" i="20" s="1"/>
  <c r="N126" i="20"/>
  <c r="Q126" i="20" s="1"/>
  <c r="N40" i="20"/>
  <c r="Q40" i="20" s="1"/>
  <c r="N76" i="20"/>
  <c r="Q76" i="20" s="1"/>
  <c r="N88" i="20"/>
  <c r="Q88" i="20" s="1"/>
  <c r="N136" i="20"/>
  <c r="Q136" i="20" s="1"/>
  <c r="N54" i="20"/>
  <c r="Q54" i="20" s="1"/>
  <c r="N67" i="20"/>
  <c r="Q67" i="20" s="1"/>
  <c r="N102" i="20"/>
  <c r="Q102" i="20" s="1"/>
  <c r="N34" i="20"/>
  <c r="Q34" i="20" s="1"/>
  <c r="N46" i="20"/>
  <c r="Q46" i="20" s="1"/>
  <c r="N75" i="20"/>
  <c r="Q75" i="20" s="1"/>
  <c r="N103" i="20"/>
  <c r="Q103" i="20" s="1"/>
  <c r="N26" i="20"/>
  <c r="Q26" i="20" s="1"/>
  <c r="N38" i="20"/>
  <c r="Q38" i="20" s="1"/>
  <c r="N74" i="20"/>
  <c r="Q74" i="20" s="1"/>
  <c r="N89" i="20"/>
  <c r="Q89" i="20" s="1"/>
  <c r="N105" i="20"/>
  <c r="Q105" i="20" s="1"/>
  <c r="N131" i="20"/>
  <c r="Q131" i="20" s="1"/>
  <c r="N133" i="20"/>
  <c r="Q133" i="20" s="1"/>
  <c r="N114" i="20"/>
  <c r="Q114" i="20" s="1"/>
  <c r="N129" i="20"/>
  <c r="Q129" i="20" s="1"/>
  <c r="N29" i="20"/>
  <c r="Q29" i="20" s="1"/>
  <c r="N47" i="20"/>
  <c r="Q47" i="20" s="1"/>
  <c r="N66" i="20"/>
  <c r="Q66" i="20" s="1"/>
  <c r="N79" i="20"/>
  <c r="Q79" i="20" s="1"/>
  <c r="N95" i="20"/>
  <c r="Q95" i="20" s="1"/>
  <c r="N115" i="20"/>
  <c r="Q115" i="20" s="1"/>
  <c r="G260" i="20"/>
  <c r="N20" i="20"/>
  <c r="N39" i="20"/>
  <c r="Q39" i="20" s="1"/>
  <c r="N58" i="20"/>
  <c r="Q58" i="20" s="1"/>
  <c r="N68" i="20"/>
  <c r="Q68" i="20" s="1"/>
  <c r="N87" i="20"/>
  <c r="Q87" i="20" s="1"/>
  <c r="N107" i="20"/>
  <c r="Q107" i="20" s="1"/>
  <c r="N135" i="20"/>
  <c r="Q135" i="20" s="1"/>
  <c r="N37" i="20"/>
  <c r="Q37" i="20" s="1"/>
  <c r="N49" i="20"/>
  <c r="Q49" i="20" s="1"/>
  <c r="N60" i="20"/>
  <c r="Q60" i="20" s="1"/>
  <c r="N81" i="20"/>
  <c r="Q81" i="20" s="1"/>
  <c r="N93" i="20"/>
  <c r="Q93" i="20" s="1"/>
  <c r="N104" i="20"/>
  <c r="Q104" i="20" s="1"/>
  <c r="N127" i="20"/>
  <c r="Q127" i="20" s="1"/>
  <c r="N30" i="20"/>
  <c r="Q30" i="20" s="1"/>
  <c r="N42" i="20"/>
  <c r="Q42" i="20" s="1"/>
  <c r="N59" i="20"/>
  <c r="Q59" i="20" s="1"/>
  <c r="N77" i="20"/>
  <c r="Q77" i="20" s="1"/>
  <c r="N91" i="20"/>
  <c r="Q91" i="20" s="1"/>
  <c r="N116" i="20"/>
  <c r="Q116" i="20" s="1"/>
  <c r="N118" i="20"/>
  <c r="Q118" i="20" s="1"/>
  <c r="N137" i="20"/>
  <c r="Q137" i="20" s="1"/>
  <c r="N119" i="20"/>
  <c r="Q119" i="20" s="1"/>
  <c r="N134" i="20"/>
  <c r="Q134" i="20" s="1"/>
  <c r="N57" i="20"/>
  <c r="Q57" i="20" s="1"/>
  <c r="N84" i="20"/>
  <c r="Q84" i="20" s="1"/>
  <c r="N130" i="20"/>
  <c r="Q130" i="20" s="1"/>
  <c r="N65" i="20"/>
  <c r="Q65" i="20" s="1"/>
  <c r="N27" i="20"/>
  <c r="Q27" i="20" s="1"/>
  <c r="N55" i="20"/>
  <c r="Q55" i="20" s="1"/>
  <c r="N90" i="20"/>
  <c r="Q90" i="20" s="1"/>
  <c r="N111" i="20"/>
  <c r="Q111" i="20" s="1"/>
  <c r="N48" i="20"/>
  <c r="Q48" i="20" s="1"/>
  <c r="N85" i="20"/>
  <c r="Q85" i="20" s="1"/>
  <c r="N125" i="20"/>
  <c r="Q125" i="20" s="1"/>
  <c r="N24" i="20"/>
  <c r="Q24" i="20" s="1"/>
  <c r="N61" i="20"/>
  <c r="Q61" i="20" s="1"/>
  <c r="N109" i="20"/>
  <c r="Q109" i="20" s="1"/>
  <c r="N36" i="20"/>
  <c r="Q36" i="20" s="1"/>
  <c r="N83" i="20"/>
  <c r="Q83" i="20" s="1"/>
  <c r="N120" i="20"/>
  <c r="Q120" i="20" s="1"/>
  <c r="N56" i="20"/>
  <c r="Q56" i="20" s="1"/>
  <c r="N92" i="20"/>
  <c r="Q92" i="20" s="1"/>
  <c r="N117" i="20"/>
  <c r="Q117" i="20" s="1"/>
  <c r="N52" i="20"/>
  <c r="Q52" i="20" s="1"/>
  <c r="H271" i="20"/>
  <c r="N31" i="20"/>
  <c r="Q31" i="20" s="1"/>
  <c r="G271" i="20"/>
  <c r="N51" i="20"/>
  <c r="Q51" i="20" s="1"/>
  <c r="N69" i="20"/>
  <c r="Q69" i="20" s="1"/>
  <c r="N80" i="20"/>
  <c r="Q80" i="20" s="1"/>
  <c r="N100" i="20"/>
  <c r="Q100" i="20" s="1"/>
  <c r="N122" i="20"/>
  <c r="Q122" i="20" s="1"/>
  <c r="N25" i="20"/>
  <c r="Q25" i="20" s="1"/>
  <c r="N45" i="20"/>
  <c r="Q45" i="20" s="1"/>
  <c r="N62" i="20"/>
  <c r="Q62" i="20" s="1"/>
  <c r="N71" i="20"/>
  <c r="Q71" i="20" s="1"/>
  <c r="N94" i="20"/>
  <c r="Q94" i="20" s="1"/>
  <c r="N110" i="20"/>
  <c r="Q110" i="20" s="1"/>
  <c r="N23" i="20"/>
  <c r="Q23" i="20" s="1"/>
  <c r="N41" i="20"/>
  <c r="Q41" i="20" s="1"/>
  <c r="N53" i="20"/>
  <c r="Q53" i="20" s="1"/>
  <c r="N64" i="20"/>
  <c r="Q64" i="20" s="1"/>
  <c r="N86" i="20"/>
  <c r="Q86" i="20" s="1"/>
  <c r="N97" i="20"/>
  <c r="Q97" i="20" s="1"/>
  <c r="N108" i="20"/>
  <c r="Q108" i="20" s="1"/>
  <c r="N132" i="20"/>
  <c r="Q132" i="20" s="1"/>
  <c r="N32" i="20"/>
  <c r="Q32" i="20" s="1"/>
  <c r="N43" i="20"/>
  <c r="Q43" i="20" s="1"/>
  <c r="N63" i="20"/>
  <c r="Q63" i="20" s="1"/>
  <c r="N82" i="20"/>
  <c r="Q82" i="20" s="1"/>
  <c r="N96" i="20"/>
  <c r="Q96" i="20" s="1"/>
  <c r="N124" i="20"/>
  <c r="Q124" i="20" s="1"/>
  <c r="N121" i="20"/>
  <c r="Q121" i="20" s="1"/>
  <c r="N139" i="20"/>
  <c r="Q139" i="20" s="1"/>
  <c r="N123" i="20"/>
  <c r="Q123" i="20" s="1"/>
  <c r="N138" i="20"/>
  <c r="Q138" i="20" s="1"/>
  <c r="G5" i="18" l="1"/>
  <c r="B2" i="18"/>
  <c r="N270" i="20"/>
  <c r="Q270" i="20" s="1"/>
  <c r="P256" i="17"/>
  <c r="I270" i="20"/>
  <c r="P246" i="17"/>
  <c r="B276" i="20"/>
  <c r="I260" i="20"/>
  <c r="N260" i="20"/>
  <c r="Q260" i="20" s="1"/>
  <c r="N271" i="20"/>
  <c r="Q271" i="20" s="1"/>
  <c r="I271" i="20"/>
  <c r="P250" i="17"/>
  <c r="N264" i="20"/>
  <c r="Q264" i="20" s="1"/>
  <c r="I264" i="20"/>
  <c r="Q20" i="20"/>
  <c r="N1" i="20"/>
  <c r="I265" i="20"/>
  <c r="N265" i="20"/>
  <c r="Q265" i="20" s="1"/>
  <c r="P251" i="17"/>
  <c r="D28" i="18"/>
  <c r="E271" i="20"/>
  <c r="K271" i="20" s="1"/>
  <c r="J260" i="20"/>
  <c r="D5" i="18"/>
  <c r="I266" i="20"/>
  <c r="P252" i="17"/>
  <c r="N266" i="20"/>
  <c r="Q266" i="20" s="1"/>
  <c r="P248" i="17"/>
  <c r="N262" i="20"/>
  <c r="Q262" i="20" s="1"/>
  <c r="I262" i="20"/>
  <c r="N261" i="20"/>
  <c r="Q261" i="20" s="1"/>
  <c r="I261" i="20"/>
  <c r="P247" i="17"/>
  <c r="I267" i="20"/>
  <c r="N267" i="20"/>
  <c r="Q267" i="20" s="1"/>
  <c r="P253" i="17"/>
  <c r="P249" i="17"/>
  <c r="I263" i="20"/>
  <c r="N263" i="20"/>
  <c r="Q263" i="20" s="1"/>
  <c r="D16" i="18"/>
  <c r="D271" i="20"/>
  <c r="J271" i="20" s="1"/>
  <c r="P255" i="17"/>
  <c r="I269" i="20"/>
  <c r="N269" i="20"/>
  <c r="Q269" i="20" s="1"/>
  <c r="N268" i="20"/>
  <c r="Q268" i="20" s="1"/>
  <c r="P254" i="17"/>
  <c r="I268" i="20"/>
  <c r="N253" i="17" l="1"/>
  <c r="G267" i="20" s="1"/>
  <c r="O253" i="17"/>
  <c r="H267" i="20" s="1"/>
  <c r="N248" i="17"/>
  <c r="G262" i="20" s="1"/>
  <c r="O248" i="17"/>
  <c r="H262" i="20" s="1"/>
  <c r="O254" i="17"/>
  <c r="H268" i="20" s="1"/>
  <c r="N254" i="17"/>
  <c r="G268" i="20" s="1"/>
  <c r="N255" i="17"/>
  <c r="G269" i="20" s="1"/>
  <c r="O255" i="17"/>
  <c r="H269" i="20" s="1"/>
  <c r="O252" i="17"/>
  <c r="H266" i="20" s="1"/>
  <c r="N252" i="17"/>
  <c r="G266" i="20" s="1"/>
  <c r="O251" i="17"/>
  <c r="H265" i="20" s="1"/>
  <c r="N251" i="17"/>
  <c r="G265" i="20" s="1"/>
  <c r="R20" i="20"/>
  <c r="N250" i="17"/>
  <c r="G264" i="20" s="1"/>
  <c r="O250" i="17"/>
  <c r="H264" i="20" s="1"/>
  <c r="N256" i="17"/>
  <c r="G270" i="20" s="1"/>
  <c r="O256" i="17"/>
  <c r="H270" i="20" s="1"/>
  <c r="O246" i="17"/>
  <c r="H260" i="20" s="1"/>
  <c r="N246" i="17"/>
  <c r="O249" i="17"/>
  <c r="H263" i="20" s="1"/>
  <c r="N249" i="17"/>
  <c r="G263" i="20" s="1"/>
  <c r="O247" i="17"/>
  <c r="H261" i="20" s="1"/>
  <c r="N247" i="17"/>
  <c r="G261" i="20" s="1"/>
  <c r="D6" i="18" l="1"/>
  <c r="J261" i="20"/>
  <c r="W247" i="17"/>
  <c r="D21" i="18"/>
  <c r="K264" i="20"/>
  <c r="D22" i="18"/>
  <c r="K265" i="20"/>
  <c r="D23" i="18"/>
  <c r="K266" i="20"/>
  <c r="K268" i="20"/>
  <c r="D25" i="18"/>
  <c r="D7" i="18"/>
  <c r="J262" i="20"/>
  <c r="K261" i="20"/>
  <c r="D18" i="18"/>
  <c r="K260" i="20"/>
  <c r="D17" i="18"/>
  <c r="J264" i="20"/>
  <c r="D9" i="18"/>
  <c r="K269" i="20"/>
  <c r="D26" i="18"/>
  <c r="D24" i="18"/>
  <c r="K267" i="20"/>
  <c r="D8" i="18"/>
  <c r="J263" i="20"/>
  <c r="K270" i="20"/>
  <c r="D27" i="18"/>
  <c r="R21" i="20"/>
  <c r="J269" i="20"/>
  <c r="D14" i="18"/>
  <c r="D12" i="18"/>
  <c r="J267" i="20"/>
  <c r="K263" i="20"/>
  <c r="D20" i="18"/>
  <c r="J270" i="20"/>
  <c r="D15" i="18"/>
  <c r="H5" i="18"/>
  <c r="I5" i="18" s="1"/>
  <c r="G6" i="18"/>
  <c r="D10" i="18"/>
  <c r="J265" i="20"/>
  <c r="J266" i="20"/>
  <c r="D11" i="18"/>
  <c r="D13" i="18"/>
  <c r="J268" i="20"/>
  <c r="D19" i="18"/>
  <c r="K262" i="20"/>
  <c r="D39" i="18" l="1"/>
  <c r="D37" i="18"/>
  <c r="L15" i="18"/>
  <c r="I86" i="20"/>
  <c r="I66" i="20"/>
  <c r="D36" i="18"/>
  <c r="R22" i="20"/>
  <c r="D33" i="18"/>
  <c r="D32" i="18"/>
  <c r="D31" i="18"/>
  <c r="D41" i="18"/>
  <c r="L14" i="18"/>
  <c r="D30" i="18"/>
  <c r="G7" i="18"/>
  <c r="H6" i="18"/>
  <c r="I6" i="18" s="1"/>
  <c r="D34" i="18"/>
  <c r="D38" i="18"/>
  <c r="D35" i="18"/>
  <c r="D40" i="18"/>
  <c r="R23" i="20" l="1"/>
  <c r="I50" i="20"/>
  <c r="L16" i="18"/>
  <c r="M14" i="18" s="1"/>
  <c r="I67" i="20"/>
  <c r="I124" i="20"/>
  <c r="H7" i="18"/>
  <c r="I7" i="18" s="1"/>
  <c r="G8" i="18"/>
  <c r="I94" i="20" l="1"/>
  <c r="I78" i="20"/>
  <c r="I132" i="20"/>
  <c r="I57" i="20"/>
  <c r="I53" i="20"/>
  <c r="I33" i="20"/>
  <c r="I38" i="20"/>
  <c r="I47" i="20"/>
  <c r="I101" i="20"/>
  <c r="H8" i="18"/>
  <c r="I8" i="18" s="1"/>
  <c r="G9" i="18"/>
  <c r="M16" i="18"/>
  <c r="M15" i="18"/>
  <c r="R24" i="20"/>
  <c r="I123" i="20" l="1"/>
  <c r="I91" i="20"/>
  <c r="I60" i="20"/>
  <c r="I61" i="20"/>
  <c r="I100" i="20"/>
  <c r="I120" i="20"/>
  <c r="I90" i="20"/>
  <c r="I46" i="20"/>
  <c r="I113" i="20"/>
  <c r="I72" i="20"/>
  <c r="I139" i="20"/>
  <c r="I62" i="20"/>
  <c r="I98" i="20"/>
  <c r="I24" i="20"/>
  <c r="I102" i="20"/>
  <c r="I136" i="20"/>
  <c r="I52" i="20"/>
  <c r="I51" i="20"/>
  <c r="I83" i="20"/>
  <c r="I88" i="20"/>
  <c r="I48" i="20"/>
  <c r="I75" i="20"/>
  <c r="I115" i="20"/>
  <c r="I138" i="20"/>
  <c r="I70" i="20"/>
  <c r="I125" i="20"/>
  <c r="I107" i="20"/>
  <c r="I110" i="20"/>
  <c r="I89" i="20"/>
  <c r="I127" i="20"/>
  <c r="I104" i="20"/>
  <c r="G10" i="18"/>
  <c r="H9" i="18"/>
  <c r="I9" i="18" s="1"/>
  <c r="I22" i="20"/>
  <c r="I63" i="20"/>
  <c r="I55" i="20"/>
  <c r="I112" i="20"/>
  <c r="I137" i="20"/>
  <c r="I35" i="20"/>
  <c r="I65" i="20"/>
  <c r="I121" i="20"/>
  <c r="I54" i="20"/>
  <c r="I133" i="20"/>
  <c r="I43" i="20"/>
  <c r="I37" i="20"/>
  <c r="I117" i="20"/>
  <c r="I76" i="20"/>
  <c r="I114" i="20"/>
  <c r="I119" i="20"/>
  <c r="I40" i="20"/>
  <c r="I84" i="20"/>
  <c r="I96" i="20"/>
  <c r="I111" i="20"/>
  <c r="I130" i="20"/>
  <c r="I80" i="20"/>
  <c r="R25" i="20"/>
  <c r="I97" i="20"/>
  <c r="I69" i="20"/>
  <c r="I87" i="20"/>
  <c r="I126" i="20"/>
  <c r="I131" i="20"/>
  <c r="I108" i="20"/>
  <c r="I41" i="20"/>
  <c r="I128" i="20"/>
  <c r="I21" i="20"/>
  <c r="I79" i="20"/>
  <c r="I99" i="20"/>
  <c r="I36" i="20"/>
  <c r="I64" i="20"/>
  <c r="I23" i="20"/>
  <c r="I106" i="20"/>
  <c r="I71" i="20"/>
  <c r="I45" i="20"/>
  <c r="I73" i="20"/>
  <c r="I109" i="20"/>
  <c r="I85" i="20"/>
  <c r="I93" i="20"/>
  <c r="I34" i="20"/>
  <c r="I74" i="20"/>
  <c r="I122" i="20"/>
  <c r="I42" i="20"/>
  <c r="I49" i="20"/>
  <c r="I103" i="20"/>
  <c r="I39" i="20"/>
  <c r="I118" i="20"/>
  <c r="I134" i="20"/>
  <c r="I58" i="20"/>
  <c r="I82" i="20"/>
  <c r="I95" i="20"/>
  <c r="I135" i="20"/>
  <c r="I56" i="20"/>
  <c r="G12" i="19" l="1"/>
  <c r="K12" i="19" s="1"/>
  <c r="I59" i="20"/>
  <c r="I16" i="20"/>
  <c r="I28" i="20"/>
  <c r="I18" i="20"/>
  <c r="I30" i="20"/>
  <c r="I14" i="20"/>
  <c r="I26" i="20"/>
  <c r="I77" i="20"/>
  <c r="I15" i="20"/>
  <c r="I27" i="20"/>
  <c r="I17" i="20"/>
  <c r="I29" i="20"/>
  <c r="I19" i="20"/>
  <c r="I31" i="20"/>
  <c r="R26" i="20"/>
  <c r="G11" i="18"/>
  <c r="H10" i="18"/>
  <c r="I10" i="18" s="1"/>
  <c r="I25" i="20"/>
  <c r="W11" i="17"/>
  <c r="W13" i="17" s="1"/>
  <c r="W83" i="17"/>
  <c r="W85" i="17" s="1"/>
  <c r="W71" i="17"/>
  <c r="W73" i="17" s="1"/>
  <c r="W23" i="17"/>
  <c r="W25" i="17" s="1"/>
  <c r="W47" i="17"/>
  <c r="W49" i="17" s="1"/>
  <c r="W119" i="17"/>
  <c r="W121" i="17" s="1"/>
  <c r="W35" i="17"/>
  <c r="W37" i="17" s="1"/>
  <c r="W107" i="17"/>
  <c r="W109" i="17" s="1"/>
  <c r="W95" i="17"/>
  <c r="W97" i="17" s="1"/>
  <c r="W59" i="17"/>
  <c r="W61" i="17" s="1"/>
  <c r="U106" i="17" l="1"/>
  <c r="U103" i="17"/>
  <c r="U113" i="17"/>
  <c r="U108" i="17"/>
  <c r="U104" i="17"/>
  <c r="U110" i="17"/>
  <c r="U111" i="17"/>
  <c r="U109" i="17"/>
  <c r="U102" i="17"/>
  <c r="U107" i="17"/>
  <c r="U105" i="17"/>
  <c r="U112" i="17"/>
  <c r="U118" i="17"/>
  <c r="U119" i="17"/>
  <c r="U121" i="17"/>
  <c r="U114" i="17"/>
  <c r="U115" i="17"/>
  <c r="U125" i="17"/>
  <c r="U122" i="17"/>
  <c r="U120" i="17"/>
  <c r="U124" i="17"/>
  <c r="U116" i="17"/>
  <c r="U123" i="17"/>
  <c r="U117" i="17"/>
  <c r="U19" i="17"/>
  <c r="U27" i="17"/>
  <c r="U28" i="17"/>
  <c r="U21" i="17"/>
  <c r="U29" i="17"/>
  <c r="U26" i="17"/>
  <c r="U25" i="17"/>
  <c r="U23" i="17"/>
  <c r="U24" i="17"/>
  <c r="U18" i="17"/>
  <c r="U20" i="17"/>
  <c r="U22" i="17"/>
  <c r="U17" i="17"/>
  <c r="U9" i="17"/>
  <c r="U10" i="17"/>
  <c r="U8" i="17"/>
  <c r="U7" i="17"/>
  <c r="G13" i="19"/>
  <c r="K13" i="19" s="1"/>
  <c r="I68" i="20"/>
  <c r="I105" i="20"/>
  <c r="G16" i="19"/>
  <c r="K16" i="19" s="1"/>
  <c r="U37" i="17"/>
  <c r="U38" i="17"/>
  <c r="U33" i="17"/>
  <c r="U32" i="17"/>
  <c r="U34" i="17"/>
  <c r="U36" i="17"/>
  <c r="U30" i="17"/>
  <c r="U39" i="17"/>
  <c r="U31" i="17"/>
  <c r="U41" i="17"/>
  <c r="U40" i="17"/>
  <c r="U35" i="17"/>
  <c r="U73" i="17"/>
  <c r="U76" i="17"/>
  <c r="U70" i="17"/>
  <c r="U72" i="17"/>
  <c r="U68" i="17"/>
  <c r="U74" i="17"/>
  <c r="U69" i="17"/>
  <c r="U66" i="17"/>
  <c r="U77" i="17"/>
  <c r="U75" i="17"/>
  <c r="U71" i="17"/>
  <c r="U67" i="17"/>
  <c r="U84" i="17"/>
  <c r="U86" i="17"/>
  <c r="U83" i="17"/>
  <c r="U80" i="17"/>
  <c r="U88" i="17"/>
  <c r="U81" i="17"/>
  <c r="U89" i="17"/>
  <c r="U87" i="17"/>
  <c r="U85" i="17"/>
  <c r="U82" i="17"/>
  <c r="U78" i="17"/>
  <c r="U79" i="17"/>
  <c r="U11" i="17"/>
  <c r="U12" i="17"/>
  <c r="U16" i="17"/>
  <c r="U14" i="17"/>
  <c r="U55" i="17"/>
  <c r="U60" i="17"/>
  <c r="U63" i="17"/>
  <c r="U58" i="17"/>
  <c r="U56" i="17"/>
  <c r="U57" i="17"/>
  <c r="U54" i="17"/>
  <c r="U61" i="17"/>
  <c r="U62" i="17"/>
  <c r="U65" i="17"/>
  <c r="U64" i="17"/>
  <c r="U59" i="17"/>
  <c r="G17" i="19"/>
  <c r="K17" i="19" s="1"/>
  <c r="I116" i="20"/>
  <c r="G11" i="19"/>
  <c r="K11" i="19" s="1"/>
  <c r="I44" i="20"/>
  <c r="I129" i="20"/>
  <c r="G18" i="19"/>
  <c r="K18" i="19" s="1"/>
  <c r="G10" i="19"/>
  <c r="K10" i="19" s="1"/>
  <c r="I32" i="20"/>
  <c r="I81" i="20"/>
  <c r="G14" i="19"/>
  <c r="K14" i="19" s="1"/>
  <c r="U6" i="17"/>
  <c r="I20" i="20"/>
  <c r="G9" i="19"/>
  <c r="K9" i="19" s="1"/>
  <c r="G8" i="19"/>
  <c r="K8" i="19" s="1"/>
  <c r="I13" i="20"/>
  <c r="G12" i="18"/>
  <c r="H11" i="18"/>
  <c r="I11" i="18" s="1"/>
  <c r="U15" i="17"/>
  <c r="U13" i="17"/>
  <c r="U100" i="17"/>
  <c r="U96" i="17"/>
  <c r="U101" i="17"/>
  <c r="U94" i="17"/>
  <c r="U98" i="17"/>
  <c r="U92" i="17"/>
  <c r="U90" i="17"/>
  <c r="U91" i="17"/>
  <c r="U99" i="17"/>
  <c r="U95" i="17"/>
  <c r="U97" i="17"/>
  <c r="U93" i="17"/>
  <c r="U44" i="17"/>
  <c r="U51" i="17"/>
  <c r="U47" i="17"/>
  <c r="U50" i="17"/>
  <c r="U49" i="17"/>
  <c r="U48" i="17"/>
  <c r="U52" i="17"/>
  <c r="U43" i="17"/>
  <c r="U46" i="17"/>
  <c r="U53" i="17"/>
  <c r="U42" i="17"/>
  <c r="U45" i="17"/>
  <c r="G15" i="19"/>
  <c r="K15" i="19" s="1"/>
  <c r="I92" i="20"/>
  <c r="R27" i="20"/>
  <c r="E57" i="20" l="1"/>
  <c r="D57" i="20"/>
  <c r="D107" i="20"/>
  <c r="E107" i="20"/>
  <c r="E105" i="20"/>
  <c r="D105" i="20"/>
  <c r="E108" i="20"/>
  <c r="D108" i="20"/>
  <c r="E29" i="20"/>
  <c r="D29" i="20"/>
  <c r="E56" i="20"/>
  <c r="D56" i="20"/>
  <c r="E66" i="20"/>
  <c r="D66" i="20"/>
  <c r="E61" i="20"/>
  <c r="D61" i="20"/>
  <c r="D111" i="20"/>
  <c r="E111" i="20"/>
  <c r="E104" i="20"/>
  <c r="D104" i="20"/>
  <c r="D115" i="20"/>
  <c r="E115" i="20"/>
  <c r="D90" i="20"/>
  <c r="E90" i="20"/>
  <c r="D59" i="20"/>
  <c r="E59" i="20"/>
  <c r="E64" i="20"/>
  <c r="D64" i="20"/>
  <c r="D79" i="20"/>
  <c r="E79" i="20"/>
  <c r="D71" i="20"/>
  <c r="E71" i="20"/>
  <c r="D74" i="20"/>
  <c r="E74" i="20"/>
  <c r="D26" i="20"/>
  <c r="E26" i="20"/>
  <c r="D92" i="20"/>
  <c r="E92" i="20"/>
  <c r="E103" i="20"/>
  <c r="D103" i="20"/>
  <c r="D97" i="20"/>
  <c r="E97" i="20"/>
  <c r="E85" i="20"/>
  <c r="D85" i="20"/>
  <c r="E83" i="20"/>
  <c r="D83" i="20"/>
  <c r="E84" i="20"/>
  <c r="D84" i="20"/>
  <c r="D54" i="20"/>
  <c r="E54" i="20"/>
  <c r="E44" i="20"/>
  <c r="D44" i="20"/>
  <c r="E47" i="20"/>
  <c r="D47" i="20"/>
  <c r="E22" i="20"/>
  <c r="D22" i="20"/>
  <c r="D36" i="20"/>
  <c r="E36" i="20"/>
  <c r="E37" i="20"/>
  <c r="D37" i="20"/>
  <c r="D35" i="20"/>
  <c r="E35" i="20"/>
  <c r="E131" i="20"/>
  <c r="D131" i="20"/>
  <c r="D134" i="20"/>
  <c r="E134" i="20"/>
  <c r="E128" i="20"/>
  <c r="D128" i="20"/>
  <c r="D126" i="20"/>
  <c r="E126" i="20"/>
  <c r="E123" i="20"/>
  <c r="D123" i="20"/>
  <c r="E122" i="20"/>
  <c r="D122" i="20"/>
  <c r="D76" i="20"/>
  <c r="E76" i="20"/>
  <c r="D70" i="20"/>
  <c r="E70" i="20"/>
  <c r="D69" i="20"/>
  <c r="E69" i="20"/>
  <c r="D96" i="20"/>
  <c r="E96" i="20"/>
  <c r="D95" i="20"/>
  <c r="E95" i="20"/>
  <c r="E100" i="20"/>
  <c r="D100" i="20"/>
  <c r="D89" i="20"/>
  <c r="E89" i="20"/>
  <c r="E88" i="20"/>
  <c r="D88" i="20"/>
  <c r="E55" i="20"/>
  <c r="D55" i="20"/>
  <c r="E50" i="20"/>
  <c r="D50" i="20"/>
  <c r="D52" i="20"/>
  <c r="E52" i="20"/>
  <c r="D24" i="20"/>
  <c r="E24" i="20"/>
  <c r="E34" i="20"/>
  <c r="D34" i="20"/>
  <c r="D39" i="20"/>
  <c r="E39" i="20"/>
  <c r="E42" i="20"/>
  <c r="D42" i="20"/>
  <c r="E137" i="20"/>
  <c r="D137" i="20"/>
  <c r="E136" i="20"/>
  <c r="D136" i="20"/>
  <c r="D135" i="20"/>
  <c r="E135" i="20"/>
  <c r="D119" i="20"/>
  <c r="E119" i="20"/>
  <c r="E125" i="20"/>
  <c r="D125" i="20"/>
  <c r="D127" i="20"/>
  <c r="E127" i="20"/>
  <c r="D67" i="20"/>
  <c r="E67" i="20"/>
  <c r="E62" i="20"/>
  <c r="D62" i="20"/>
  <c r="D65" i="20"/>
  <c r="E65" i="20"/>
  <c r="E109" i="20"/>
  <c r="D109" i="20"/>
  <c r="E106" i="20"/>
  <c r="D106" i="20"/>
  <c r="D110" i="20"/>
  <c r="E110" i="20"/>
  <c r="G13" i="18"/>
  <c r="H12" i="18"/>
  <c r="I12" i="18" s="1"/>
  <c r="D73" i="20"/>
  <c r="E73" i="20"/>
  <c r="E75" i="20"/>
  <c r="D75" i="20"/>
  <c r="D72" i="20"/>
  <c r="E72" i="20"/>
  <c r="D28" i="20"/>
  <c r="E28" i="20"/>
  <c r="E25" i="20"/>
  <c r="D25" i="20"/>
  <c r="D99" i="20"/>
  <c r="E99" i="20"/>
  <c r="D102" i="20"/>
  <c r="E102" i="20"/>
  <c r="D98" i="20"/>
  <c r="E98" i="20"/>
  <c r="D91" i="20"/>
  <c r="E91" i="20"/>
  <c r="E82" i="20"/>
  <c r="D82" i="20"/>
  <c r="E87" i="20"/>
  <c r="D87" i="20"/>
  <c r="E45" i="20"/>
  <c r="D45" i="20"/>
  <c r="E48" i="20"/>
  <c r="D48" i="20"/>
  <c r="D51" i="20"/>
  <c r="E51" i="20"/>
  <c r="D23" i="20"/>
  <c r="E23" i="20"/>
  <c r="D32" i="20"/>
  <c r="E32" i="20"/>
  <c r="E40" i="20"/>
  <c r="D40" i="20"/>
  <c r="D41" i="20"/>
  <c r="E41" i="20"/>
  <c r="E130" i="20"/>
  <c r="D130" i="20"/>
  <c r="E139" i="20"/>
  <c r="D139" i="20"/>
  <c r="D133" i="20"/>
  <c r="E133" i="20"/>
  <c r="E121" i="20"/>
  <c r="D121" i="20"/>
  <c r="E124" i="20"/>
  <c r="D124" i="20"/>
  <c r="E117" i="20"/>
  <c r="D117" i="20"/>
  <c r="R28" i="20"/>
  <c r="D60" i="20"/>
  <c r="E60" i="20"/>
  <c r="D63" i="20"/>
  <c r="E63" i="20"/>
  <c r="E58" i="20"/>
  <c r="D58" i="20"/>
  <c r="D113" i="20"/>
  <c r="E113" i="20"/>
  <c r="E112" i="20"/>
  <c r="D112" i="20"/>
  <c r="D114" i="20"/>
  <c r="E114" i="20"/>
  <c r="D27" i="20"/>
  <c r="E27" i="20"/>
  <c r="E20" i="20"/>
  <c r="D20" i="20"/>
  <c r="D78" i="20"/>
  <c r="E78" i="20"/>
  <c r="E68" i="20"/>
  <c r="D68" i="20"/>
  <c r="E77" i="20"/>
  <c r="D77" i="20"/>
  <c r="D30" i="20"/>
  <c r="E30" i="20"/>
  <c r="E93" i="20"/>
  <c r="D93" i="20"/>
  <c r="E101" i="20"/>
  <c r="D101" i="20"/>
  <c r="D94" i="20"/>
  <c r="E94" i="20"/>
  <c r="D81" i="20"/>
  <c r="E81" i="20"/>
  <c r="E80" i="20"/>
  <c r="D80" i="20"/>
  <c r="E86" i="20"/>
  <c r="D86" i="20"/>
  <c r="E49" i="20"/>
  <c r="D49" i="20"/>
  <c r="D53" i="20"/>
  <c r="E53" i="20"/>
  <c r="E46" i="20"/>
  <c r="D46" i="20"/>
  <c r="D21" i="20"/>
  <c r="E21" i="20"/>
  <c r="E31" i="20"/>
  <c r="D31" i="20"/>
  <c r="E38" i="20"/>
  <c r="D38" i="20"/>
  <c r="E43" i="20"/>
  <c r="D43" i="20"/>
  <c r="D33" i="20"/>
  <c r="E33" i="20"/>
  <c r="D138" i="20"/>
  <c r="E138" i="20"/>
  <c r="D129" i="20"/>
  <c r="E129" i="20"/>
  <c r="D132" i="20"/>
  <c r="E132" i="20"/>
  <c r="E116" i="20"/>
  <c r="D116" i="20"/>
  <c r="D118" i="20"/>
  <c r="E118" i="20"/>
  <c r="D120" i="20"/>
  <c r="E120" i="20"/>
  <c r="R29" i="20" l="1"/>
  <c r="J117" i="20"/>
  <c r="J121" i="20"/>
  <c r="J139" i="20"/>
  <c r="K41" i="20"/>
  <c r="K32" i="20"/>
  <c r="E10" i="19"/>
  <c r="K51" i="20"/>
  <c r="J45" i="20"/>
  <c r="J82" i="20"/>
  <c r="K98" i="20"/>
  <c r="K99" i="20"/>
  <c r="E16" i="20"/>
  <c r="K16" i="20" s="1"/>
  <c r="K28" i="20"/>
  <c r="J75" i="20"/>
  <c r="E15" i="20"/>
  <c r="K15" i="20" s="1"/>
  <c r="K27" i="20"/>
  <c r="J112" i="20"/>
  <c r="J58" i="20"/>
  <c r="K60" i="20"/>
  <c r="J120" i="20"/>
  <c r="K116" i="20"/>
  <c r="E17" i="19"/>
  <c r="J129" i="20"/>
  <c r="J33" i="20"/>
  <c r="K38" i="20"/>
  <c r="J21" i="20"/>
  <c r="K46" i="20"/>
  <c r="K49" i="20"/>
  <c r="K80" i="20"/>
  <c r="E14" i="19"/>
  <c r="J94" i="20"/>
  <c r="K93" i="20"/>
  <c r="K77" i="20"/>
  <c r="J78" i="20"/>
  <c r="J106" i="20"/>
  <c r="K65" i="20"/>
  <c r="K67" i="20"/>
  <c r="J127" i="20"/>
  <c r="J119" i="20"/>
  <c r="K136" i="20"/>
  <c r="K42" i="20"/>
  <c r="K34" i="20"/>
  <c r="K52" i="20"/>
  <c r="J55" i="20"/>
  <c r="K89" i="20"/>
  <c r="K95" i="20"/>
  <c r="K69" i="20"/>
  <c r="K76" i="20"/>
  <c r="K122" i="20"/>
  <c r="J126" i="20"/>
  <c r="J134" i="20"/>
  <c r="J35" i="20"/>
  <c r="J36" i="20"/>
  <c r="J47" i="20"/>
  <c r="K54" i="20"/>
  <c r="J83" i="20"/>
  <c r="K97" i="20"/>
  <c r="K92" i="20"/>
  <c r="E15" i="19"/>
  <c r="K74" i="20"/>
  <c r="K79" i="20"/>
  <c r="J64" i="20"/>
  <c r="K90" i="20"/>
  <c r="J115" i="20"/>
  <c r="J111" i="20"/>
  <c r="K66" i="20"/>
  <c r="D17" i="20"/>
  <c r="J29" i="20"/>
  <c r="J105" i="20"/>
  <c r="J57" i="20"/>
  <c r="K118" i="20"/>
  <c r="K132" i="20"/>
  <c r="K138" i="20"/>
  <c r="J43" i="20"/>
  <c r="D19" i="20"/>
  <c r="J19" i="20" s="1"/>
  <c r="J31" i="20"/>
  <c r="K53" i="20"/>
  <c r="J86" i="20"/>
  <c r="K81" i="20"/>
  <c r="J101" i="20"/>
  <c r="E18" i="20"/>
  <c r="K18" i="20" s="1"/>
  <c r="K30" i="20"/>
  <c r="J68" i="20"/>
  <c r="D13" i="19"/>
  <c r="D15" i="20"/>
  <c r="J15" i="20" s="1"/>
  <c r="J27" i="20"/>
  <c r="K112" i="20"/>
  <c r="K58" i="20"/>
  <c r="J60" i="20"/>
  <c r="K117" i="20"/>
  <c r="K121" i="20"/>
  <c r="K139" i="20"/>
  <c r="J41" i="20"/>
  <c r="J32" i="20"/>
  <c r="D10" i="19"/>
  <c r="J51" i="20"/>
  <c r="K45" i="20"/>
  <c r="K82" i="20"/>
  <c r="J98" i="20"/>
  <c r="J99" i="20"/>
  <c r="D16" i="20"/>
  <c r="J16" i="20" s="1"/>
  <c r="J28" i="20"/>
  <c r="K75" i="20"/>
  <c r="H13" i="18"/>
  <c r="I13" i="18" s="1"/>
  <c r="G14" i="18"/>
  <c r="K106" i="20"/>
  <c r="J65" i="20"/>
  <c r="J67" i="20"/>
  <c r="J125" i="20"/>
  <c r="K135" i="20"/>
  <c r="J137" i="20"/>
  <c r="K39" i="20"/>
  <c r="K24" i="20"/>
  <c r="J52" i="20"/>
  <c r="K55" i="20"/>
  <c r="J89" i="20"/>
  <c r="J95" i="20"/>
  <c r="J69" i="20"/>
  <c r="J76" i="20"/>
  <c r="J123" i="20"/>
  <c r="J128" i="20"/>
  <c r="D18" i="19"/>
  <c r="J131" i="20"/>
  <c r="J37" i="20"/>
  <c r="J22" i="20"/>
  <c r="K47" i="20"/>
  <c r="J54" i="20"/>
  <c r="K83" i="20"/>
  <c r="J97" i="20"/>
  <c r="J92" i="20"/>
  <c r="D15" i="19"/>
  <c r="J74" i="20"/>
  <c r="J79" i="20"/>
  <c r="K64" i="20"/>
  <c r="J90" i="20"/>
  <c r="J104" i="20"/>
  <c r="D16" i="19"/>
  <c r="J61" i="20"/>
  <c r="J56" i="20"/>
  <c r="D12" i="19"/>
  <c r="E17" i="20"/>
  <c r="K29" i="20"/>
  <c r="K105" i="20"/>
  <c r="K57" i="20"/>
  <c r="J118" i="20"/>
  <c r="J132" i="20"/>
  <c r="J138" i="20"/>
  <c r="K43" i="20"/>
  <c r="E19" i="20"/>
  <c r="K19" i="20" s="1"/>
  <c r="K31" i="20"/>
  <c r="J53" i="20"/>
  <c r="K86" i="20"/>
  <c r="J81" i="20"/>
  <c r="K101" i="20"/>
  <c r="D18" i="20"/>
  <c r="J18" i="20" s="1"/>
  <c r="J30" i="20"/>
  <c r="K68" i="20"/>
  <c r="E13" i="19"/>
  <c r="J20" i="20"/>
  <c r="D9" i="19"/>
  <c r="K114" i="20"/>
  <c r="K113" i="20"/>
  <c r="K63" i="20"/>
  <c r="J124" i="20"/>
  <c r="K133" i="20"/>
  <c r="J130" i="20"/>
  <c r="J40" i="20"/>
  <c r="K23" i="20"/>
  <c r="J48" i="20"/>
  <c r="J87" i="20"/>
  <c r="K91" i="20"/>
  <c r="K102" i="20"/>
  <c r="D13" i="20"/>
  <c r="J25" i="20"/>
  <c r="K72" i="20"/>
  <c r="K73" i="20"/>
  <c r="K110" i="20"/>
  <c r="J109" i="20"/>
  <c r="J62" i="20"/>
  <c r="K125" i="20"/>
  <c r="J135" i="20"/>
  <c r="K137" i="20"/>
  <c r="J39" i="20"/>
  <c r="J24" i="20"/>
  <c r="J50" i="20"/>
  <c r="J88" i="20"/>
  <c r="J100" i="20"/>
  <c r="K96" i="20"/>
  <c r="K70" i="20"/>
  <c r="K123" i="20"/>
  <c r="K128" i="20"/>
  <c r="E18" i="19"/>
  <c r="K131" i="20"/>
  <c r="K37" i="20"/>
  <c r="K22" i="20"/>
  <c r="J44" i="20"/>
  <c r="D11" i="19"/>
  <c r="J84" i="20"/>
  <c r="J85" i="20"/>
  <c r="J103" i="20"/>
  <c r="E14" i="20"/>
  <c r="K14" i="20" s="1"/>
  <c r="K26" i="20"/>
  <c r="K71" i="20"/>
  <c r="K59" i="20"/>
  <c r="K104" i="20"/>
  <c r="E16" i="19"/>
  <c r="K61" i="20"/>
  <c r="K56" i="20"/>
  <c r="E12" i="19"/>
  <c r="J108" i="20"/>
  <c r="K107" i="20"/>
  <c r="K120" i="20"/>
  <c r="J116" i="20"/>
  <c r="D17" i="19"/>
  <c r="K129" i="20"/>
  <c r="K33" i="20"/>
  <c r="J38" i="20"/>
  <c r="K21" i="20"/>
  <c r="J46" i="20"/>
  <c r="J49" i="20"/>
  <c r="J80" i="20"/>
  <c r="D14" i="19"/>
  <c r="K94" i="20"/>
  <c r="J93" i="20"/>
  <c r="J77" i="20"/>
  <c r="K78" i="20"/>
  <c r="K20" i="20"/>
  <c r="E9" i="19"/>
  <c r="J114" i="20"/>
  <c r="J113" i="20"/>
  <c r="J63" i="20"/>
  <c r="K124" i="20"/>
  <c r="J133" i="20"/>
  <c r="K130" i="20"/>
  <c r="K40" i="20"/>
  <c r="J23" i="20"/>
  <c r="K48" i="20"/>
  <c r="K87" i="20"/>
  <c r="J91" i="20"/>
  <c r="J102" i="20"/>
  <c r="E13" i="20"/>
  <c r="K25" i="20"/>
  <c r="J72" i="20"/>
  <c r="J73" i="20"/>
  <c r="J110" i="20"/>
  <c r="K109" i="20"/>
  <c r="K62" i="20"/>
  <c r="K127" i="20"/>
  <c r="K119" i="20"/>
  <c r="J136" i="20"/>
  <c r="J42" i="20"/>
  <c r="J34" i="20"/>
  <c r="K50" i="20"/>
  <c r="K88" i="20"/>
  <c r="K100" i="20"/>
  <c r="J96" i="20"/>
  <c r="J70" i="20"/>
  <c r="J122" i="20"/>
  <c r="K126" i="20"/>
  <c r="K134" i="20"/>
  <c r="K35" i="20"/>
  <c r="K36" i="20"/>
  <c r="K44" i="20"/>
  <c r="E11" i="19"/>
  <c r="K84" i="20"/>
  <c r="K85" i="20"/>
  <c r="K103" i="20"/>
  <c r="D14" i="20"/>
  <c r="J14" i="20" s="1"/>
  <c r="J26" i="20"/>
  <c r="J71" i="20"/>
  <c r="J59" i="20"/>
  <c r="K115" i="20"/>
  <c r="K111" i="20"/>
  <c r="J66" i="20"/>
  <c r="K108" i="20"/>
  <c r="J107" i="20"/>
  <c r="K17" i="20" l="1"/>
  <c r="H14" i="18"/>
  <c r="I14" i="18" s="1"/>
  <c r="G15" i="18"/>
  <c r="R30" i="20"/>
  <c r="K13" i="20"/>
  <c r="E8" i="19"/>
  <c r="D8" i="19"/>
  <c r="J13" i="20"/>
  <c r="J17" i="20"/>
  <c r="H15" i="18" l="1"/>
  <c r="I15" i="18" s="1"/>
  <c r="G16" i="18"/>
  <c r="R31" i="20"/>
  <c r="R32" i="20" l="1"/>
  <c r="H16" i="18"/>
  <c r="I16" i="18" s="1"/>
  <c r="G17" i="18"/>
  <c r="R33" i="20" l="1"/>
  <c r="G18" i="18"/>
  <c r="H17" i="18"/>
  <c r="I17" i="18" s="1"/>
  <c r="R34" i="20" l="1"/>
  <c r="H18" i="18"/>
  <c r="I18" i="18" s="1"/>
  <c r="G19" i="18"/>
  <c r="H19" i="18" l="1"/>
  <c r="I19" i="18" s="1"/>
  <c r="G20" i="18"/>
  <c r="R35" i="20"/>
  <c r="G21" i="18" l="1"/>
  <c r="H20" i="18"/>
  <c r="I20" i="18" s="1"/>
  <c r="R36" i="20"/>
  <c r="R37" i="20" l="1"/>
  <c r="H21" i="18"/>
  <c r="I21" i="18" s="1"/>
  <c r="G22" i="18"/>
  <c r="H22" i="18" l="1"/>
  <c r="I22" i="18" s="1"/>
  <c r="G23" i="18"/>
  <c r="R38" i="20"/>
  <c r="R39" i="20" l="1"/>
  <c r="H23" i="18"/>
  <c r="I23" i="18" s="1"/>
  <c r="G24" i="18"/>
  <c r="G25" i="18" l="1"/>
  <c r="H25" i="18" s="1"/>
  <c r="I25" i="18" s="1"/>
  <c r="H24" i="18"/>
  <c r="I24" i="18" s="1"/>
  <c r="R40" i="20"/>
  <c r="I19" i="19" l="1"/>
  <c r="I20" i="19" l="1"/>
  <c r="I21" i="19" l="1"/>
  <c r="I22" i="19" l="1"/>
  <c r="I23" i="19" l="1"/>
  <c r="I24" i="19" l="1"/>
  <c r="I25" i="19" l="1"/>
  <c r="I26" i="19" l="1"/>
  <c r="I27" i="19" l="1"/>
  <c r="I28" i="19" l="1"/>
  <c r="F147" i="20" l="1"/>
  <c r="F223" i="20"/>
  <c r="N223" i="20" s="1"/>
  <c r="Q223" i="20" s="1"/>
  <c r="F217" i="20"/>
  <c r="N217" i="20" s="1"/>
  <c r="Q217" i="20" s="1"/>
  <c r="F161" i="20"/>
  <c r="F240" i="20"/>
  <c r="N240" i="20" s="1"/>
  <c r="Q240" i="20" s="1"/>
  <c r="F245" i="20"/>
  <c r="N245" i="20" s="1"/>
  <c r="Q245" i="20" s="1"/>
  <c r="F158" i="20"/>
  <c r="F253" i="20"/>
  <c r="N253" i="20" s="1"/>
  <c r="Q253" i="20" s="1"/>
  <c r="F242" i="20"/>
  <c r="N242" i="20" s="1"/>
  <c r="Q242" i="20" s="1"/>
  <c r="F157" i="20"/>
  <c r="F183" i="20"/>
  <c r="F205" i="20"/>
  <c r="N205" i="20" s="1"/>
  <c r="Q205" i="20" s="1"/>
  <c r="F228" i="20"/>
  <c r="N228" i="20" s="1"/>
  <c r="Q228" i="20" s="1"/>
  <c r="F213" i="20"/>
  <c r="N213" i="20" s="1"/>
  <c r="Q213" i="20" s="1"/>
  <c r="F219" i="20"/>
  <c r="N219" i="20" s="1"/>
  <c r="Q219" i="20" s="1"/>
  <c r="F146" i="20"/>
  <c r="F177" i="20"/>
  <c r="F221" i="20"/>
  <c r="N221" i="20" s="1"/>
  <c r="Q221" i="20" s="1"/>
  <c r="F190" i="20"/>
  <c r="F249" i="20"/>
  <c r="N249" i="20" s="1"/>
  <c r="Q249" i="20" s="1"/>
  <c r="F168" i="20"/>
  <c r="F206" i="20"/>
  <c r="N206" i="20" s="1"/>
  <c r="Q206" i="20" s="1"/>
  <c r="F207" i="20"/>
  <c r="N207" i="20" s="1"/>
  <c r="Q207" i="20" s="1"/>
  <c r="F196" i="20"/>
  <c r="F195" i="20"/>
  <c r="F202" i="20"/>
  <c r="N202" i="20" s="1"/>
  <c r="Q202" i="20" s="1"/>
  <c r="F144" i="20"/>
  <c r="F181" i="20"/>
  <c r="F142" i="20"/>
  <c r="F176" i="20"/>
  <c r="F257" i="20"/>
  <c r="N257" i="20" s="1"/>
  <c r="Q257" i="20" s="1"/>
  <c r="F255" i="20"/>
  <c r="N255" i="20" s="1"/>
  <c r="Q255" i="20" s="1"/>
  <c r="F140" i="20"/>
  <c r="F234" i="20"/>
  <c r="N234" i="20" s="1"/>
  <c r="Q234" i="20" s="1"/>
  <c r="F250" i="20"/>
  <c r="N250" i="20" s="1"/>
  <c r="Q250" i="20" s="1"/>
  <c r="F185" i="20"/>
  <c r="F178" i="20"/>
  <c r="F246" i="20"/>
  <c r="N246" i="20" s="1"/>
  <c r="Q246" i="20" s="1"/>
  <c r="F214" i="20"/>
  <c r="N214" i="20" s="1"/>
  <c r="Q214" i="20" s="1"/>
  <c r="F200" i="20"/>
  <c r="N200" i="20" s="1"/>
  <c r="Q200" i="20" s="1"/>
  <c r="F143" i="20"/>
  <c r="F231" i="20"/>
  <c r="N231" i="20" s="1"/>
  <c r="Q231" i="20" s="1"/>
  <c r="F171" i="20"/>
  <c r="F159" i="20"/>
  <c r="F186" i="20"/>
  <c r="F191" i="20"/>
  <c r="F199" i="20"/>
  <c r="F179" i="20"/>
  <c r="F180" i="20"/>
  <c r="F254" i="20"/>
  <c r="N254" i="20" s="1"/>
  <c r="Q254" i="20" s="1"/>
  <c r="F152" i="20"/>
  <c r="F172" i="20"/>
  <c r="F252" i="20"/>
  <c r="N252" i="20" s="1"/>
  <c r="Q252" i="20" s="1"/>
  <c r="F259" i="20"/>
  <c r="N259" i="20" s="1"/>
  <c r="Q259" i="20" s="1"/>
  <c r="F203" i="20"/>
  <c r="N203" i="20" s="1"/>
  <c r="Q203" i="20" s="1"/>
  <c r="F189" i="20"/>
  <c r="F248" i="20"/>
  <c r="N248" i="20" s="1"/>
  <c r="Q248" i="20" s="1"/>
  <c r="F145" i="20"/>
  <c r="F192" i="20"/>
  <c r="F193" i="20"/>
  <c r="F149" i="20"/>
  <c r="F153" i="20"/>
  <c r="F210" i="20"/>
  <c r="N210" i="20" s="1"/>
  <c r="Q210" i="20" s="1"/>
  <c r="F188" i="20"/>
  <c r="F197" i="20"/>
  <c r="F244" i="20"/>
  <c r="N244" i="20" s="1"/>
  <c r="Q244" i="20" s="1"/>
  <c r="F225" i="20"/>
  <c r="N225" i="20" s="1"/>
  <c r="Q225" i="20" s="1"/>
  <c r="F251" i="20"/>
  <c r="N251" i="20" s="1"/>
  <c r="Q251" i="20" s="1"/>
  <c r="F226" i="20"/>
  <c r="N226" i="20" s="1"/>
  <c r="Q226" i="20" s="1"/>
  <c r="F155" i="20"/>
  <c r="F173" i="20"/>
  <c r="F163" i="20"/>
  <c r="F209" i="20"/>
  <c r="N209" i="20" s="1"/>
  <c r="Q209" i="20" s="1"/>
  <c r="F187" i="20"/>
  <c r="F258" i="20"/>
  <c r="N258" i="20" s="1"/>
  <c r="Q258" i="20" s="1"/>
  <c r="F216" i="20"/>
  <c r="N216" i="20" s="1"/>
  <c r="Q216" i="20" s="1"/>
  <c r="F243" i="20"/>
  <c r="N243" i="20" s="1"/>
  <c r="Q243" i="20" s="1"/>
  <c r="F148" i="20"/>
  <c r="F154" i="20"/>
  <c r="F150" i="20"/>
  <c r="F141" i="20"/>
  <c r="F194" i="20"/>
  <c r="F233" i="20"/>
  <c r="N233" i="20" s="1"/>
  <c r="Q233" i="20" s="1"/>
  <c r="F230" i="20"/>
  <c r="N230" i="20" s="1"/>
  <c r="Q230" i="20" s="1"/>
  <c r="F166" i="20"/>
  <c r="F211" i="20"/>
  <c r="N211" i="20" s="1"/>
  <c r="Q211" i="20" s="1"/>
  <c r="F229" i="20"/>
  <c r="N229" i="20" s="1"/>
  <c r="Q229" i="20" s="1"/>
  <c r="F222" i="20"/>
  <c r="N222" i="20" s="1"/>
  <c r="Q222" i="20" s="1"/>
  <c r="F224" i="20"/>
  <c r="N224" i="20" s="1"/>
  <c r="Q224" i="20" s="1"/>
  <c r="F165" i="20"/>
  <c r="F162" i="20"/>
  <c r="F164" i="20"/>
  <c r="F235" i="20"/>
  <c r="N235" i="20" s="1"/>
  <c r="Q235" i="20" s="1"/>
  <c r="F175" i="20"/>
  <c r="F182" i="20"/>
  <c r="F160" i="20"/>
  <c r="F247" i="20"/>
  <c r="N247" i="20" s="1"/>
  <c r="Q247" i="20" s="1"/>
  <c r="F232" i="20"/>
  <c r="N232" i="20" s="1"/>
  <c r="Q232" i="20" s="1"/>
  <c r="F236" i="20"/>
  <c r="N236" i="20" s="1"/>
  <c r="Q236" i="20" s="1"/>
  <c r="F201" i="20"/>
  <c r="N201" i="20" s="1"/>
  <c r="Q201" i="20" s="1"/>
  <c r="F170" i="20"/>
  <c r="F220" i="20"/>
  <c r="N220" i="20" s="1"/>
  <c r="Q220" i="20" s="1"/>
  <c r="F241" i="20"/>
  <c r="N241" i="20" s="1"/>
  <c r="Q241" i="20" s="1"/>
  <c r="F208" i="20"/>
  <c r="N208" i="20" s="1"/>
  <c r="Q208" i="20" s="1"/>
  <c r="F212" i="20"/>
  <c r="N212" i="20" s="1"/>
  <c r="Q212" i="20" s="1"/>
  <c r="F156" i="20"/>
  <c r="F256" i="20"/>
  <c r="N256" i="20" s="1"/>
  <c r="Q256" i="20" s="1"/>
  <c r="F218" i="20"/>
  <c r="N218" i="20" s="1"/>
  <c r="Q218" i="20" s="1"/>
  <c r="F169" i="20"/>
  <c r="F167" i="20"/>
  <c r="F238" i="20"/>
  <c r="N238" i="20" s="1"/>
  <c r="Q238" i="20" s="1"/>
  <c r="F151" i="20"/>
  <c r="F237" i="20"/>
  <c r="N237" i="20" s="1"/>
  <c r="Q237" i="20" s="1"/>
  <c r="F239" i="20"/>
  <c r="N239" i="20" s="1"/>
  <c r="Q239" i="20" s="1"/>
  <c r="F215" i="20"/>
  <c r="N215" i="20" s="1"/>
  <c r="Q215" i="20" s="1"/>
  <c r="F204" i="20"/>
  <c r="N204" i="20" s="1"/>
  <c r="Q204" i="20" s="1"/>
  <c r="F227" i="20"/>
  <c r="N227" i="20" s="1"/>
  <c r="Q227" i="20" s="1"/>
  <c r="F184" i="20"/>
  <c r="F174" i="20"/>
  <c r="F198" i="20"/>
  <c r="N169" i="20" l="1"/>
  <c r="Q169" i="20" s="1"/>
  <c r="N175" i="20"/>
  <c r="Q175" i="20" s="1"/>
  <c r="N141" i="20"/>
  <c r="Q141" i="20" s="1"/>
  <c r="N154" i="20"/>
  <c r="Q154" i="20" s="1"/>
  <c r="N173" i="20"/>
  <c r="Q173" i="20" s="1"/>
  <c r="N188" i="20"/>
  <c r="Q188" i="20" s="1"/>
  <c r="N153" i="20"/>
  <c r="Q153" i="20" s="1"/>
  <c r="N149" i="20"/>
  <c r="Q149" i="20" s="1"/>
  <c r="N192" i="20"/>
  <c r="Q192" i="20" s="1"/>
  <c r="N180" i="20"/>
  <c r="Q180" i="20" s="1"/>
  <c r="N171" i="20"/>
  <c r="Q171" i="20" s="1"/>
  <c r="N143" i="20"/>
  <c r="Q143" i="20" s="1"/>
  <c r="N178" i="20"/>
  <c r="Q178" i="20" s="1"/>
  <c r="N185" i="20"/>
  <c r="Q185" i="20" s="1"/>
  <c r="N176" i="20"/>
  <c r="Q176" i="20" s="1"/>
  <c r="N181" i="20"/>
  <c r="Q181" i="20" s="1"/>
  <c r="N157" i="20"/>
  <c r="Q157" i="20" s="1"/>
  <c r="N158" i="20"/>
  <c r="Q158" i="20" s="1"/>
  <c r="N174" i="20"/>
  <c r="Q174" i="20" s="1"/>
  <c r="N156" i="20"/>
  <c r="Q156" i="20" s="1"/>
  <c r="N160" i="20"/>
  <c r="Q160" i="20" s="1"/>
  <c r="N164" i="20"/>
  <c r="Q164" i="20" s="1"/>
  <c r="N165" i="20"/>
  <c r="Q165" i="20" s="1"/>
  <c r="N150" i="20"/>
  <c r="Q150" i="20" s="1"/>
  <c r="N148" i="20"/>
  <c r="Q148" i="20" s="1"/>
  <c r="N187" i="20"/>
  <c r="Q187" i="20" s="1"/>
  <c r="N163" i="20"/>
  <c r="Q163" i="20" s="1"/>
  <c r="N155" i="20"/>
  <c r="Q155" i="20" s="1"/>
  <c r="N199" i="20"/>
  <c r="Q199" i="20" s="1"/>
  <c r="N186" i="20"/>
  <c r="Q186" i="20" s="1"/>
  <c r="N195" i="20"/>
  <c r="Q195" i="20" s="1"/>
  <c r="N196" i="20"/>
  <c r="Q196" i="20" s="1"/>
  <c r="N146" i="20"/>
  <c r="Q146" i="20" s="1"/>
  <c r="N147" i="20"/>
  <c r="Q147" i="20" s="1"/>
  <c r="N198" i="20"/>
  <c r="Q198" i="20" s="1"/>
  <c r="N167" i="20"/>
  <c r="Q167" i="20" s="1"/>
  <c r="N182" i="20"/>
  <c r="Q182" i="20" s="1"/>
  <c r="N162" i="20"/>
  <c r="Q162" i="20" s="1"/>
  <c r="N194" i="20"/>
  <c r="Q194" i="20" s="1"/>
  <c r="N197" i="20"/>
  <c r="Q197" i="20" s="1"/>
  <c r="N193" i="20"/>
  <c r="Q193" i="20" s="1"/>
  <c r="N145" i="20"/>
  <c r="Q145" i="20" s="1"/>
  <c r="N189" i="20"/>
  <c r="Q189" i="20" s="1"/>
  <c r="N172" i="20"/>
  <c r="Q172" i="20" s="1"/>
  <c r="N179" i="20"/>
  <c r="Q179" i="20" s="1"/>
  <c r="N140" i="20"/>
  <c r="F5" i="20"/>
  <c r="F10" i="20"/>
  <c r="M9" i="20"/>
  <c r="N9" i="20"/>
  <c r="N142" i="20"/>
  <c r="Q142" i="20" s="1"/>
  <c r="N144" i="20"/>
  <c r="Q144" i="20" s="1"/>
  <c r="N168" i="20"/>
  <c r="Q168" i="20" s="1"/>
  <c r="N177" i="20"/>
  <c r="Q177" i="20" s="1"/>
  <c r="N161" i="20"/>
  <c r="Q161" i="20" s="1"/>
  <c r="N184" i="20"/>
  <c r="Q184" i="20" s="1"/>
  <c r="N151" i="20"/>
  <c r="Q151" i="20" s="1"/>
  <c r="N170" i="20"/>
  <c r="Q170" i="20" s="1"/>
  <c r="N166" i="20"/>
  <c r="Q166" i="20" s="1"/>
  <c r="N152" i="20"/>
  <c r="Q152" i="20" s="1"/>
  <c r="N191" i="20"/>
  <c r="Q191" i="20" s="1"/>
  <c r="N159" i="20"/>
  <c r="Q159" i="20" s="1"/>
  <c r="N190" i="20"/>
  <c r="Q190" i="20" s="1"/>
  <c r="N183" i="20"/>
  <c r="Q183" i="20" s="1"/>
  <c r="Q140" i="20" l="1"/>
  <c r="N2" i="20"/>
  <c r="B3" i="20" s="1"/>
  <c r="C263" i="20"/>
  <c r="C264" i="20"/>
  <c r="C260" i="20"/>
  <c r="C265" i="20"/>
  <c r="C261" i="20"/>
  <c r="C262" i="20"/>
  <c r="W249" i="17"/>
  <c r="W178" i="17" l="1"/>
  <c r="W190" i="17"/>
  <c r="W238" i="17"/>
  <c r="W130" i="17"/>
  <c r="W214" i="17"/>
  <c r="W202" i="17"/>
  <c r="W166" i="17"/>
  <c r="W142" i="17"/>
  <c r="F69" i="25"/>
  <c r="G74" i="25"/>
  <c r="R13" i="25"/>
  <c r="S15" i="25"/>
  <c r="G8" i="25"/>
  <c r="L13" i="25"/>
  <c r="M29" i="25"/>
  <c r="P33" i="25"/>
  <c r="O15" i="25"/>
  <c r="I14" i="25"/>
  <c r="O24" i="25"/>
  <c r="M22" i="25"/>
  <c r="R14" i="25"/>
  <c r="J32" i="25"/>
  <c r="R25" i="25"/>
  <c r="P23" i="25"/>
  <c r="G15" i="25"/>
  <c r="F70" i="25"/>
  <c r="I26" i="25"/>
  <c r="G17" i="25"/>
  <c r="O33" i="25"/>
  <c r="I33" i="25"/>
  <c r="F31" i="25"/>
  <c r="I9" i="25"/>
  <c r="S7" i="25"/>
  <c r="G31" i="25"/>
  <c r="S27" i="25"/>
  <c r="I27" i="25"/>
  <c r="P14" i="25"/>
  <c r="M26" i="25"/>
  <c r="R26" i="25"/>
  <c r="J10" i="25"/>
  <c r="F29" i="25"/>
  <c r="F71" i="25"/>
  <c r="G73" i="25"/>
  <c r="S26" i="25"/>
  <c r="F22" i="25"/>
  <c r="M28" i="25"/>
  <c r="P28" i="25"/>
  <c r="L14" i="25"/>
  <c r="M27" i="25"/>
  <c r="J9" i="25"/>
  <c r="L23" i="25"/>
  <c r="S28" i="25"/>
  <c r="R12" i="25"/>
  <c r="R24" i="25"/>
  <c r="O13" i="25"/>
  <c r="P27" i="25"/>
  <c r="M12" i="25"/>
  <c r="G33" i="25"/>
  <c r="G68" i="25"/>
  <c r="M9" i="25"/>
  <c r="S8" i="25"/>
  <c r="R16" i="25"/>
  <c r="O30" i="25"/>
  <c r="I12" i="25"/>
  <c r="S30" i="25"/>
  <c r="G12" i="25"/>
  <c r="O9" i="25"/>
  <c r="L8" i="25"/>
  <c r="S14" i="25"/>
  <c r="G24" i="25"/>
  <c r="F9" i="25"/>
  <c r="G30" i="25"/>
  <c r="I18" i="25"/>
  <c r="M33" i="25"/>
  <c r="G71" i="25"/>
  <c r="I17" i="25"/>
  <c r="O25" i="25"/>
  <c r="G18" i="25"/>
  <c r="M16" i="25"/>
  <c r="G26" i="25"/>
  <c r="G7" i="25"/>
  <c r="M7" i="25"/>
  <c r="G23" i="25"/>
  <c r="I31" i="25"/>
  <c r="O14" i="25"/>
  <c r="J23" i="25"/>
  <c r="N8" i="20"/>
  <c r="R27" i="25"/>
  <c r="G10" i="25"/>
  <c r="F32" i="25"/>
  <c r="L28" i="25"/>
  <c r="I15" i="25"/>
  <c r="S10" i="25"/>
  <c r="S18" i="25"/>
  <c r="F25" i="25"/>
  <c r="P12" i="25"/>
  <c r="M32" i="25"/>
  <c r="F77" i="25"/>
  <c r="I13" i="25"/>
  <c r="R7" i="25"/>
  <c r="G27" i="25"/>
  <c r="L31" i="25"/>
  <c r="M17" i="25"/>
  <c r="L17" i="25"/>
  <c r="P31" i="25"/>
  <c r="F13" i="25"/>
  <c r="P32" i="25"/>
  <c r="O23" i="25"/>
  <c r="P24" i="25"/>
  <c r="G67" i="25"/>
  <c r="O10" i="25"/>
  <c r="G14" i="25"/>
  <c r="S32" i="25"/>
  <c r="O26" i="25"/>
  <c r="I30" i="25"/>
  <c r="P11" i="25"/>
  <c r="R11" i="25"/>
  <c r="F7" i="25"/>
  <c r="P9" i="25"/>
  <c r="G70" i="25"/>
  <c r="R31" i="25"/>
  <c r="R10" i="25"/>
  <c r="M30" i="25"/>
  <c r="P25" i="25"/>
  <c r="R8" i="25"/>
  <c r="R33" i="25"/>
  <c r="M23" i="25"/>
  <c r="F16" i="25"/>
  <c r="G76" i="25"/>
  <c r="M11" i="25"/>
  <c r="L29" i="25"/>
  <c r="P8" i="25"/>
  <c r="O31" i="25"/>
  <c r="J7" i="25"/>
  <c r="S29" i="25"/>
  <c r="J17" i="25"/>
  <c r="P7" i="25"/>
  <c r="R9" i="25"/>
  <c r="J12" i="25"/>
  <c r="L24" i="25"/>
  <c r="F28" i="25"/>
  <c r="O28" i="25"/>
  <c r="M8" i="25"/>
  <c r="F78" i="25"/>
  <c r="S9" i="25"/>
  <c r="J31" i="25"/>
  <c r="J26" i="25"/>
  <c r="J30" i="25"/>
  <c r="F23" i="25"/>
  <c r="I16" i="25"/>
  <c r="J24" i="25"/>
  <c r="P30" i="25"/>
  <c r="S23" i="25"/>
  <c r="J25" i="25"/>
  <c r="R18" i="25"/>
  <c r="R23" i="25"/>
  <c r="S16" i="25"/>
  <c r="R22" i="25"/>
  <c r="F73" i="25"/>
  <c r="L32" i="25"/>
  <c r="M18" i="25"/>
  <c r="M14" i="25"/>
  <c r="O18" i="25"/>
  <c r="P16" i="25"/>
  <c r="S33" i="25"/>
  <c r="I11" i="25"/>
  <c r="S12" i="25"/>
  <c r="G69" i="25"/>
  <c r="J16" i="25"/>
  <c r="L26" i="25"/>
  <c r="F26" i="25"/>
  <c r="S11" i="25"/>
  <c r="L18" i="25"/>
  <c r="L27" i="25"/>
  <c r="G75" i="25"/>
  <c r="G72" i="25"/>
  <c r="F33" i="25"/>
  <c r="J29" i="25"/>
  <c r="F18" i="25"/>
  <c r="I32" i="25"/>
  <c r="P29" i="25"/>
  <c r="R15" i="25"/>
  <c r="G9" i="25"/>
  <c r="J11" i="25"/>
  <c r="O16" i="25"/>
  <c r="F11" i="25"/>
  <c r="G78" i="25"/>
  <c r="F8" i="25"/>
  <c r="L30" i="25"/>
  <c r="J15" i="25"/>
  <c r="S13" i="25"/>
  <c r="L9" i="25"/>
  <c r="N7" i="20"/>
  <c r="R28" i="25"/>
  <c r="M13" i="25"/>
  <c r="M15" i="25"/>
  <c r="L11" i="25"/>
  <c r="L22" i="25"/>
  <c r="M24" i="25"/>
  <c r="I29" i="25"/>
  <c r="G28" i="25"/>
  <c r="J13" i="25"/>
  <c r="J33" i="25"/>
  <c r="F67" i="25"/>
  <c r="G13" i="25"/>
  <c r="F14" i="25"/>
  <c r="I23" i="25"/>
  <c r="S17" i="25"/>
  <c r="I7" i="25"/>
  <c r="L15" i="25"/>
  <c r="I28" i="25"/>
  <c r="O22" i="25"/>
  <c r="F75" i="25"/>
  <c r="S31" i="25"/>
  <c r="L25" i="25"/>
  <c r="M10" i="25"/>
  <c r="J18" i="25"/>
  <c r="I10" i="25"/>
  <c r="I8" i="25"/>
  <c r="J22" i="25"/>
  <c r="F17" i="25"/>
  <c r="O7" i="25"/>
  <c r="F12" i="25"/>
  <c r="P22" i="25"/>
  <c r="R29" i="25"/>
  <c r="I25" i="25"/>
  <c r="L12" i="25"/>
  <c r="R17" i="25"/>
  <c r="J14" i="25"/>
  <c r="G32" i="25"/>
  <c r="J28" i="25"/>
  <c r="M31" i="25"/>
  <c r="R32" i="25"/>
  <c r="R30" i="25"/>
  <c r="G25" i="25"/>
  <c r="P13" i="25"/>
  <c r="F76" i="25"/>
  <c r="F10" i="25"/>
  <c r="L33" i="25"/>
  <c r="M25" i="25"/>
  <c r="P10" i="25"/>
  <c r="P17" i="25"/>
  <c r="O32" i="25"/>
  <c r="G11" i="25"/>
  <c r="G29" i="25"/>
  <c r="F68" i="25"/>
  <c r="L10" i="25"/>
  <c r="S24" i="25"/>
  <c r="J27" i="25"/>
  <c r="F72" i="25"/>
  <c r="G77" i="25"/>
  <c r="O27" i="25"/>
  <c r="I22" i="25"/>
  <c r="O29" i="25"/>
  <c r="F24" i="25"/>
  <c r="L16" i="25"/>
  <c r="P26" i="25"/>
  <c r="O8" i="25"/>
  <c r="S22" i="25"/>
  <c r="F74" i="25"/>
  <c r="F15" i="25"/>
  <c r="O12" i="25"/>
  <c r="F27" i="25"/>
  <c r="O17" i="25"/>
  <c r="O11" i="25"/>
  <c r="G16" i="25"/>
  <c r="P15" i="25"/>
  <c r="P18" i="25"/>
  <c r="S25" i="25"/>
  <c r="F30" i="25"/>
  <c r="L7" i="25"/>
  <c r="J8" i="25"/>
  <c r="G22" i="25"/>
  <c r="I24" i="25"/>
  <c r="W226" i="17"/>
  <c r="W154" i="17"/>
  <c r="T271" i="20"/>
  <c r="T28" i="20"/>
  <c r="T27" i="20"/>
  <c r="V20" i="20"/>
  <c r="V274" i="20"/>
  <c r="S26" i="20"/>
  <c r="V27" i="20"/>
  <c r="T29" i="20"/>
  <c r="V271" i="20"/>
  <c r="T24" i="20"/>
  <c r="U22" i="20"/>
  <c r="T30" i="20"/>
  <c r="U274" i="20"/>
  <c r="U25" i="20"/>
  <c r="S24" i="20"/>
  <c r="T272" i="20"/>
  <c r="S28" i="20"/>
  <c r="T20" i="20"/>
  <c r="T26" i="20"/>
  <c r="U273" i="20"/>
  <c r="U20" i="20"/>
  <c r="V272" i="20"/>
  <c r="S20" i="20"/>
  <c r="U28" i="20"/>
  <c r="V30" i="20"/>
  <c r="U272" i="20"/>
  <c r="V22" i="20"/>
  <c r="V21" i="20"/>
  <c r="U29" i="20"/>
  <c r="T273" i="20"/>
  <c r="T22" i="20"/>
  <c r="U23" i="20"/>
  <c r="S30" i="20"/>
  <c r="T274" i="20"/>
  <c r="V26" i="20"/>
  <c r="U26" i="20"/>
  <c r="V23" i="20"/>
  <c r="S273" i="20"/>
  <c r="S21" i="20"/>
  <c r="S22" i="20"/>
  <c r="S23" i="20"/>
  <c r="S272" i="20"/>
  <c r="S25" i="20"/>
  <c r="T23" i="20"/>
  <c r="U30" i="20"/>
  <c r="U271" i="20"/>
  <c r="U24" i="20"/>
  <c r="U27" i="20"/>
  <c r="S274" i="20"/>
  <c r="V25" i="20"/>
  <c r="U21" i="20"/>
  <c r="V29" i="20"/>
  <c r="V273" i="20"/>
  <c r="T25" i="20"/>
  <c r="S27" i="20"/>
  <c r="S29" i="20"/>
  <c r="V24" i="20"/>
  <c r="T21" i="20"/>
  <c r="V28" i="20"/>
  <c r="S271" i="20"/>
  <c r="W250" i="17"/>
  <c r="W251" i="17" s="1"/>
  <c r="W253" i="17" s="1"/>
  <c r="H7" i="20"/>
  <c r="F7" i="20"/>
  <c r="C7" i="20"/>
  <c r="G8" i="20"/>
  <c r="G7" i="20"/>
  <c r="E7" i="20"/>
  <c r="D7" i="20"/>
  <c r="H8" i="20"/>
  <c r="F8" i="20"/>
  <c r="K7" i="20" l="1"/>
  <c r="I7" i="20"/>
  <c r="J7" i="20"/>
  <c r="U255" i="17"/>
  <c r="U248" i="17"/>
  <c r="U247" i="17"/>
  <c r="U246" i="17"/>
  <c r="U256" i="17"/>
  <c r="U253" i="17"/>
  <c r="U254" i="17"/>
  <c r="U251" i="17"/>
  <c r="U249" i="17"/>
  <c r="U252" i="17"/>
  <c r="U250" i="17"/>
  <c r="E263" i="20" l="1"/>
  <c r="D263" i="20"/>
  <c r="E270" i="20"/>
  <c r="D270" i="20"/>
  <c r="E269" i="20"/>
  <c r="D269" i="20"/>
  <c r="E265" i="20"/>
  <c r="D265" i="20"/>
  <c r="D260" i="20"/>
  <c r="E260" i="20"/>
  <c r="D264" i="20"/>
  <c r="E264" i="20"/>
  <c r="E268" i="20"/>
  <c r="D268" i="20"/>
  <c r="E261" i="20"/>
  <c r="D261" i="20"/>
  <c r="D266" i="20"/>
  <c r="E266" i="20"/>
  <c r="E267" i="20"/>
  <c r="D267" i="20"/>
  <c r="D262" i="20"/>
  <c r="E262" i="20"/>
  <c r="C211" i="20" l="1"/>
  <c r="I211" i="20" s="1"/>
  <c r="C159" i="20"/>
  <c r="I159" i="20" s="1"/>
  <c r="C208" i="20"/>
  <c r="I208" i="20" s="1"/>
  <c r="C223" i="20"/>
  <c r="I223" i="20" s="1"/>
  <c r="C190" i="20"/>
  <c r="I190" i="20" s="1"/>
  <c r="C238" i="20"/>
  <c r="I238" i="20" s="1"/>
  <c r="C214" i="20"/>
  <c r="I214" i="20" s="1"/>
  <c r="C197" i="20"/>
  <c r="I197" i="20" s="1"/>
  <c r="C226" i="20"/>
  <c r="I226" i="20" s="1"/>
  <c r="C240" i="20"/>
  <c r="I240" i="20" s="1"/>
  <c r="C198" i="20"/>
  <c r="I198" i="20" s="1"/>
  <c r="C182" i="20"/>
  <c r="I182" i="20" s="1"/>
  <c r="C193" i="20"/>
  <c r="I193" i="20" s="1"/>
  <c r="C141" i="20"/>
  <c r="I141" i="20" s="1"/>
  <c r="C192" i="20"/>
  <c r="I192" i="20" s="1"/>
  <c r="C201" i="20"/>
  <c r="I201" i="20" s="1"/>
  <c r="C244" i="20"/>
  <c r="I244" i="20" s="1"/>
  <c r="C160" i="20"/>
  <c r="I160" i="20" s="1"/>
  <c r="C154" i="20"/>
  <c r="I154" i="20" s="1"/>
  <c r="C157" i="20"/>
  <c r="I157" i="20" s="1"/>
  <c r="C232" i="20"/>
  <c r="I232" i="20" s="1"/>
  <c r="C231" i="20"/>
  <c r="I231" i="20" s="1"/>
  <c r="C217" i="20"/>
  <c r="I217" i="20" s="1"/>
  <c r="C171" i="20"/>
  <c r="I171" i="20" s="1"/>
  <c r="C203" i="20"/>
  <c r="I203" i="20" s="1"/>
  <c r="C170" i="20"/>
  <c r="I170" i="20" s="1"/>
  <c r="C163" i="20"/>
  <c r="I163" i="20" s="1"/>
  <c r="C143" i="20"/>
  <c r="I143" i="20" s="1"/>
  <c r="C185" i="20"/>
  <c r="I185" i="20" s="1"/>
  <c r="C174" i="20"/>
  <c r="I174" i="20" s="1"/>
  <c r="C215" i="20"/>
  <c r="I215" i="20" s="1"/>
  <c r="C216" i="20"/>
  <c r="I216" i="20" s="1"/>
  <c r="C205" i="20"/>
  <c r="I205" i="20" s="1"/>
  <c r="C187" i="20"/>
  <c r="I187" i="20" s="1"/>
  <c r="C239" i="20"/>
  <c r="I239" i="20" s="1"/>
  <c r="C242" i="20"/>
  <c r="I242" i="20" s="1"/>
  <c r="C241" i="20"/>
  <c r="I241" i="20" s="1"/>
  <c r="C165" i="20"/>
  <c r="I165" i="20" s="1"/>
  <c r="C246" i="20"/>
  <c r="I246" i="20" s="1"/>
  <c r="C179" i="20"/>
  <c r="I179" i="20" s="1"/>
  <c r="C168" i="20"/>
  <c r="I168" i="20" s="1"/>
  <c r="C234" i="20"/>
  <c r="I234" i="20" s="1"/>
  <c r="C178" i="20"/>
  <c r="I178" i="20" s="1"/>
  <c r="C206" i="20"/>
  <c r="I206" i="20" s="1"/>
  <c r="C254" i="20"/>
  <c r="I254" i="20" s="1"/>
  <c r="C245" i="20"/>
  <c r="I245" i="20" s="1"/>
  <c r="C256" i="20"/>
  <c r="I256" i="20" s="1"/>
  <c r="C195" i="20"/>
  <c r="I195" i="20" s="1"/>
  <c r="C184" i="20"/>
  <c r="I184" i="20" s="1"/>
  <c r="C230" i="20"/>
  <c r="I230" i="20" s="1"/>
  <c r="C235" i="20"/>
  <c r="I235" i="20" s="1"/>
  <c r="C162" i="20"/>
  <c r="I162" i="20" s="1"/>
  <c r="C144" i="20"/>
  <c r="I144" i="20" s="1"/>
  <c r="C175" i="20"/>
  <c r="I175" i="20" s="1"/>
  <c r="C153" i="20"/>
  <c r="I153" i="20" s="1"/>
  <c r="C191" i="20"/>
  <c r="I191" i="20" s="1"/>
  <c r="C228" i="20"/>
  <c r="I228" i="20" s="1"/>
  <c r="C250" i="20"/>
  <c r="I250" i="20" s="1"/>
  <c r="C229" i="20"/>
  <c r="I229" i="20" s="1"/>
  <c r="C207" i="20"/>
  <c r="I207" i="20" s="1"/>
  <c r="C237" i="20"/>
  <c r="I237" i="20" s="1"/>
  <c r="C172" i="20"/>
  <c r="I172" i="20" s="1"/>
  <c r="C189" i="20"/>
  <c r="I189" i="20" s="1"/>
  <c r="C169" i="20"/>
  <c r="I169" i="20" s="1"/>
  <c r="C220" i="20"/>
  <c r="I220" i="20" s="1"/>
  <c r="C155" i="20"/>
  <c r="I155" i="20" s="1"/>
  <c r="C255" i="20"/>
  <c r="I255" i="20" s="1"/>
  <c r="C199" i="20"/>
  <c r="I199" i="20" s="1"/>
  <c r="C142" i="20"/>
  <c r="I142" i="20" s="1"/>
  <c r="C147" i="20"/>
  <c r="I147" i="20" s="1"/>
  <c r="C204" i="20"/>
  <c r="I204" i="20" s="1"/>
  <c r="C213" i="20"/>
  <c r="I213" i="20" s="1"/>
  <c r="C218" i="20"/>
  <c r="I218" i="20" s="1"/>
  <c r="C167" i="20"/>
  <c r="I167" i="20" s="1"/>
  <c r="C247" i="20"/>
  <c r="I247" i="20" s="1"/>
  <c r="C150" i="20"/>
  <c r="I150" i="20" s="1"/>
  <c r="C257" i="20"/>
  <c r="I257" i="20" s="1"/>
  <c r="C227" i="20"/>
  <c r="I227" i="20" s="1"/>
  <c r="C249" i="20"/>
  <c r="I249" i="20" s="1"/>
  <c r="C253" i="20"/>
  <c r="I253" i="20" s="1"/>
  <c r="C233" i="20"/>
  <c r="I233" i="20" s="1"/>
  <c r="C243" i="20"/>
  <c r="I243" i="20" s="1"/>
  <c r="C186" i="20"/>
  <c r="I186" i="20" s="1"/>
  <c r="C202" i="20"/>
  <c r="I202" i="20" s="1"/>
  <c r="C166" i="20"/>
  <c r="I166" i="20" s="1"/>
  <c r="C145" i="20"/>
  <c r="I145" i="20" s="1"/>
  <c r="C183" i="20"/>
  <c r="I183" i="20" s="1"/>
  <c r="C177" i="20"/>
  <c r="I177" i="20" s="1"/>
  <c r="C173" i="20"/>
  <c r="I173" i="20" s="1"/>
  <c r="C149" i="20"/>
  <c r="I149" i="20" s="1"/>
  <c r="C148" i="20"/>
  <c r="I148" i="20" s="1"/>
  <c r="C161" i="20"/>
  <c r="I161" i="20" s="1"/>
  <c r="C210" i="20"/>
  <c r="I210" i="20" s="1"/>
  <c r="C146" i="20"/>
  <c r="I146" i="20" s="1"/>
  <c r="C258" i="20"/>
  <c r="I258" i="20" s="1"/>
  <c r="C158" i="20"/>
  <c r="I158" i="20" s="1"/>
  <c r="C225" i="20"/>
  <c r="I225" i="20" s="1"/>
  <c r="C180" i="20"/>
  <c r="I180" i="20" s="1"/>
  <c r="C156" i="20"/>
  <c r="I156" i="20" s="1"/>
  <c r="C181" i="20"/>
  <c r="I181" i="20" s="1"/>
  <c r="C222" i="20"/>
  <c r="I222" i="20" s="1"/>
  <c r="C221" i="20"/>
  <c r="I221" i="20" s="1"/>
  <c r="C251" i="20"/>
  <c r="I251" i="20" s="1"/>
  <c r="C259" i="20"/>
  <c r="I259" i="20" s="1"/>
  <c r="C151" i="20"/>
  <c r="I151" i="20" s="1"/>
  <c r="C194" i="20"/>
  <c r="I194" i="20" s="1"/>
  <c r="C209" i="20"/>
  <c r="I209" i="20" s="1"/>
  <c r="C196" i="20"/>
  <c r="I196" i="20" s="1"/>
  <c r="C252" i="20"/>
  <c r="I252" i="20" s="1"/>
  <c r="C219" i="20"/>
  <c r="I219" i="20" s="1"/>
  <c r="W213" i="17" l="1"/>
  <c r="W215" i="17" s="1"/>
  <c r="W217" i="17" s="1"/>
  <c r="C224" i="20"/>
  <c r="W153" i="17"/>
  <c r="W155" i="17" s="1"/>
  <c r="W157" i="17" s="1"/>
  <c r="C164" i="20"/>
  <c r="W141" i="17"/>
  <c r="W143" i="17" s="1"/>
  <c r="W145" i="17" s="1"/>
  <c r="C152" i="20"/>
  <c r="C212" i="20"/>
  <c r="W201" i="17"/>
  <c r="W203" i="17" s="1"/>
  <c r="W205" i="17" s="1"/>
  <c r="W129" i="17"/>
  <c r="W131" i="17" s="1"/>
  <c r="W133" i="17" s="1"/>
  <c r="C140" i="20"/>
  <c r="W225" i="17"/>
  <c r="W227" i="17" s="1"/>
  <c r="W229" i="17" s="1"/>
  <c r="C236" i="20"/>
  <c r="C248" i="20"/>
  <c r="W237" i="17"/>
  <c r="W239" i="17" s="1"/>
  <c r="W241" i="17" s="1"/>
  <c r="W177" i="17"/>
  <c r="W179" i="17" s="1"/>
  <c r="W181" i="17" s="1"/>
  <c r="C188" i="20"/>
  <c r="W189" i="17"/>
  <c r="W191" i="17" s="1"/>
  <c r="W193" i="17" s="1"/>
  <c r="C200" i="20"/>
  <c r="W165" i="17"/>
  <c r="W167" i="17" s="1"/>
  <c r="W169" i="17" s="1"/>
  <c r="C176" i="20"/>
  <c r="C8" i="20"/>
  <c r="I8" i="20" l="1"/>
  <c r="G22" i="19"/>
  <c r="I176" i="20"/>
  <c r="G24" i="19"/>
  <c r="I200" i="20"/>
  <c r="U175" i="17"/>
  <c r="U178" i="17"/>
  <c r="U176" i="17"/>
  <c r="U184" i="17"/>
  <c r="U180" i="17"/>
  <c r="U185" i="17"/>
  <c r="U181" i="17"/>
  <c r="U177" i="17"/>
  <c r="U183" i="17"/>
  <c r="U174" i="17"/>
  <c r="U182" i="17"/>
  <c r="U179" i="17"/>
  <c r="I236" i="20"/>
  <c r="G27" i="19"/>
  <c r="C10" i="20"/>
  <c r="I10" i="20" s="1"/>
  <c r="C5" i="20"/>
  <c r="I5" i="20" s="1"/>
  <c r="G19" i="19"/>
  <c r="I140" i="20"/>
  <c r="G20" i="19"/>
  <c r="I152" i="20"/>
  <c r="U239" i="17"/>
  <c r="U244" i="17"/>
  <c r="U235" i="17"/>
  <c r="U238" i="17"/>
  <c r="U242" i="17"/>
  <c r="U237" i="17"/>
  <c r="U240" i="17"/>
  <c r="U234" i="17"/>
  <c r="U241" i="17"/>
  <c r="U243" i="17"/>
  <c r="U245" i="17"/>
  <c r="U236" i="17"/>
  <c r="U207" i="17"/>
  <c r="U208" i="17"/>
  <c r="U206" i="17"/>
  <c r="U205" i="17"/>
  <c r="U200" i="17"/>
  <c r="U198" i="17"/>
  <c r="U201" i="17"/>
  <c r="U199" i="17"/>
  <c r="U203" i="17"/>
  <c r="U204" i="17"/>
  <c r="U202" i="17"/>
  <c r="U209" i="17"/>
  <c r="U145" i="17"/>
  <c r="U140" i="17"/>
  <c r="U144" i="17"/>
  <c r="U138" i="17"/>
  <c r="U139" i="17"/>
  <c r="U142" i="17"/>
  <c r="U148" i="17"/>
  <c r="U149" i="17"/>
  <c r="U147" i="17"/>
  <c r="U146" i="17"/>
  <c r="U141" i="17"/>
  <c r="U143" i="17"/>
  <c r="I224" i="20"/>
  <c r="G26" i="19"/>
  <c r="U193" i="17"/>
  <c r="U189" i="17"/>
  <c r="U192" i="17"/>
  <c r="U197" i="17"/>
  <c r="U186" i="17"/>
  <c r="U187" i="17"/>
  <c r="U196" i="17"/>
  <c r="U190" i="17"/>
  <c r="U191" i="17"/>
  <c r="U195" i="17"/>
  <c r="U194" i="17"/>
  <c r="U188" i="17"/>
  <c r="U163" i="17"/>
  <c r="U171" i="17"/>
  <c r="U166" i="17"/>
  <c r="U162" i="17"/>
  <c r="U169" i="17"/>
  <c r="U167" i="17"/>
  <c r="U164" i="17"/>
  <c r="U165" i="17"/>
  <c r="U170" i="17"/>
  <c r="U172" i="17"/>
  <c r="U168" i="17"/>
  <c r="U173" i="17"/>
  <c r="G23" i="19"/>
  <c r="I188" i="20"/>
  <c r="U229" i="17"/>
  <c r="U225" i="17"/>
  <c r="U222" i="17"/>
  <c r="U233" i="17"/>
  <c r="U226" i="17"/>
  <c r="U231" i="17"/>
  <c r="U224" i="17"/>
  <c r="U230" i="17"/>
  <c r="U228" i="17"/>
  <c r="U223" i="17"/>
  <c r="U232" i="17"/>
  <c r="U227" i="17"/>
  <c r="G25" i="19"/>
  <c r="I212" i="20"/>
  <c r="G21" i="19"/>
  <c r="I164" i="20"/>
  <c r="I248" i="20"/>
  <c r="G28" i="19"/>
  <c r="U135" i="17"/>
  <c r="U128" i="17"/>
  <c r="U126" i="17"/>
  <c r="U132" i="17"/>
  <c r="U133" i="17"/>
  <c r="U136" i="17"/>
  <c r="U131" i="17"/>
  <c r="U134" i="17"/>
  <c r="U127" i="17"/>
  <c r="U130" i="17"/>
  <c r="U137" i="17"/>
  <c r="U129" i="17"/>
  <c r="U161" i="17"/>
  <c r="U158" i="17"/>
  <c r="U160" i="17"/>
  <c r="U150" i="17"/>
  <c r="U153" i="17"/>
  <c r="U156" i="17"/>
  <c r="U159" i="17"/>
  <c r="U154" i="17"/>
  <c r="U155" i="17"/>
  <c r="U157" i="17"/>
  <c r="U151" i="17"/>
  <c r="U152" i="17"/>
  <c r="U214" i="17"/>
  <c r="U211" i="17"/>
  <c r="U219" i="17"/>
  <c r="U217" i="17"/>
  <c r="U213" i="17"/>
  <c r="U218" i="17"/>
  <c r="U221" i="17"/>
  <c r="U220" i="17"/>
  <c r="U215" i="17"/>
  <c r="U216" i="17"/>
  <c r="U210" i="17"/>
  <c r="U212" i="17"/>
  <c r="G36" i="19"/>
  <c r="K36" i="19" s="1"/>
  <c r="G34" i="19"/>
  <c r="K34" i="19" s="1"/>
  <c r="E229" i="20" l="1"/>
  <c r="D229" i="20"/>
  <c r="D227" i="20"/>
  <c r="J227" i="20" s="1"/>
  <c r="L55" i="25" s="1"/>
  <c r="E227" i="20"/>
  <c r="K227" i="20" s="1"/>
  <c r="M55" i="25" s="1"/>
  <c r="E228" i="20"/>
  <c r="K228" i="20" s="1"/>
  <c r="M56" i="25" s="1"/>
  <c r="D228" i="20"/>
  <c r="J228" i="20" s="1"/>
  <c r="L56" i="25" s="1"/>
  <c r="E169" i="20"/>
  <c r="D169" i="20"/>
  <c r="E167" i="20"/>
  <c r="K167" i="20" s="1"/>
  <c r="M40" i="25" s="1"/>
  <c r="D167" i="20"/>
  <c r="J167" i="20" s="1"/>
  <c r="L40" i="25" s="1"/>
  <c r="D175" i="20"/>
  <c r="J175" i="20" s="1"/>
  <c r="L48" i="25" s="1"/>
  <c r="E175" i="20"/>
  <c r="K175" i="20" s="1"/>
  <c r="M48" i="25" s="1"/>
  <c r="E141" i="20"/>
  <c r="D141" i="20"/>
  <c r="E147" i="20"/>
  <c r="D147" i="20"/>
  <c r="E149" i="20"/>
  <c r="D149" i="20"/>
  <c r="K21" i="19"/>
  <c r="D246" i="20"/>
  <c r="J246" i="20" s="1"/>
  <c r="O62" i="25" s="1"/>
  <c r="E246" i="20"/>
  <c r="K246" i="20" s="1"/>
  <c r="P62" i="25" s="1"/>
  <c r="D238" i="20"/>
  <c r="J238" i="20" s="1"/>
  <c r="O54" i="25" s="1"/>
  <c r="E238" i="20"/>
  <c r="K238" i="20" s="1"/>
  <c r="P54" i="25" s="1"/>
  <c r="D236" i="20"/>
  <c r="E236" i="20"/>
  <c r="K23" i="19"/>
  <c r="D184" i="20"/>
  <c r="J184" i="20" s="1"/>
  <c r="O45" i="25" s="1"/>
  <c r="E184" i="20"/>
  <c r="K184" i="20" s="1"/>
  <c r="P45" i="25" s="1"/>
  <c r="D183" i="20"/>
  <c r="J183" i="20" s="1"/>
  <c r="O44" i="25" s="1"/>
  <c r="E183" i="20"/>
  <c r="K183" i="20" s="1"/>
  <c r="P44" i="25" s="1"/>
  <c r="D177" i="20"/>
  <c r="J177" i="20" s="1"/>
  <c r="O38" i="25" s="1"/>
  <c r="E177" i="20"/>
  <c r="K177" i="20" s="1"/>
  <c r="P38" i="25" s="1"/>
  <c r="D205" i="20"/>
  <c r="E205" i="20"/>
  <c r="D200" i="20"/>
  <c r="E200" i="20"/>
  <c r="E207" i="20"/>
  <c r="K207" i="20" s="1"/>
  <c r="G59" i="25" s="1"/>
  <c r="D207" i="20"/>
  <c r="J207" i="20" s="1"/>
  <c r="F59" i="25" s="1"/>
  <c r="E155" i="20"/>
  <c r="K155" i="20" s="1"/>
  <c r="J40" i="25" s="1"/>
  <c r="D155" i="20"/>
  <c r="J155" i="20" s="1"/>
  <c r="I40" i="25" s="1"/>
  <c r="E162" i="20"/>
  <c r="K162" i="20" s="1"/>
  <c r="J47" i="25" s="1"/>
  <c r="D162" i="20"/>
  <c r="J162" i="20" s="1"/>
  <c r="I47" i="25" s="1"/>
  <c r="D158" i="20"/>
  <c r="J158" i="20" s="1"/>
  <c r="I43" i="25" s="1"/>
  <c r="E158" i="20"/>
  <c r="K158" i="20" s="1"/>
  <c r="J43" i="25" s="1"/>
  <c r="D216" i="20"/>
  <c r="J216" i="20" s="1"/>
  <c r="I56" i="25" s="1"/>
  <c r="E216" i="20"/>
  <c r="K216" i="20" s="1"/>
  <c r="J56" i="25" s="1"/>
  <c r="E215" i="20"/>
  <c r="K215" i="20" s="1"/>
  <c r="J55" i="25" s="1"/>
  <c r="D215" i="20"/>
  <c r="J215" i="20" s="1"/>
  <c r="I55" i="25" s="1"/>
  <c r="E220" i="20"/>
  <c r="K220" i="20" s="1"/>
  <c r="J60" i="25" s="1"/>
  <c r="D220" i="20"/>
  <c r="J220" i="20" s="1"/>
  <c r="I60" i="25" s="1"/>
  <c r="E259" i="20"/>
  <c r="K259" i="20" s="1"/>
  <c r="S63" i="25" s="1"/>
  <c r="D259" i="20"/>
  <c r="J259" i="20" s="1"/>
  <c r="R63" i="25" s="1"/>
  <c r="D254" i="20"/>
  <c r="J254" i="20" s="1"/>
  <c r="R58" i="25" s="1"/>
  <c r="E254" i="20"/>
  <c r="K254" i="20" s="1"/>
  <c r="S58" i="25" s="1"/>
  <c r="E249" i="20"/>
  <c r="K249" i="20" s="1"/>
  <c r="S53" i="25" s="1"/>
  <c r="D249" i="20"/>
  <c r="J249" i="20" s="1"/>
  <c r="R53" i="25" s="1"/>
  <c r="K20" i="19"/>
  <c r="E196" i="20"/>
  <c r="K196" i="20" s="1"/>
  <c r="S45" i="25" s="1"/>
  <c r="D196" i="20"/>
  <c r="J196" i="20" s="1"/>
  <c r="R45" i="25" s="1"/>
  <c r="D195" i="20"/>
  <c r="J195" i="20" s="1"/>
  <c r="R44" i="25" s="1"/>
  <c r="E195" i="20"/>
  <c r="K195" i="20" s="1"/>
  <c r="S44" i="25" s="1"/>
  <c r="D190" i="20"/>
  <c r="J190" i="20" s="1"/>
  <c r="R39" i="25" s="1"/>
  <c r="E190" i="20"/>
  <c r="K190" i="20" s="1"/>
  <c r="S39" i="25" s="1"/>
  <c r="K24" i="19"/>
  <c r="D226" i="20"/>
  <c r="J226" i="20" s="1"/>
  <c r="L54" i="25" s="1"/>
  <c r="E226" i="20"/>
  <c r="K226" i="20" s="1"/>
  <c r="M54" i="25" s="1"/>
  <c r="E234" i="20"/>
  <c r="K234" i="20" s="1"/>
  <c r="M62" i="25" s="1"/>
  <c r="D234" i="20"/>
  <c r="J234" i="20" s="1"/>
  <c r="L62" i="25" s="1"/>
  <c r="E231" i="20"/>
  <c r="K231" i="20" s="1"/>
  <c r="M59" i="25" s="1"/>
  <c r="D231" i="20"/>
  <c r="J231" i="20" s="1"/>
  <c r="L59" i="25" s="1"/>
  <c r="E166" i="20"/>
  <c r="K166" i="20" s="1"/>
  <c r="M39" i="25" s="1"/>
  <c r="D166" i="20"/>
  <c r="J166" i="20" s="1"/>
  <c r="L39" i="25" s="1"/>
  <c r="D168" i="20"/>
  <c r="J168" i="20" s="1"/>
  <c r="L41" i="25" s="1"/>
  <c r="E168" i="20"/>
  <c r="K168" i="20" s="1"/>
  <c r="M41" i="25" s="1"/>
  <c r="E164" i="20"/>
  <c r="D164" i="20"/>
  <c r="E143" i="20"/>
  <c r="D143" i="20"/>
  <c r="E148" i="20"/>
  <c r="D148" i="20"/>
  <c r="D146" i="20"/>
  <c r="E146" i="20"/>
  <c r="K28" i="19"/>
  <c r="D237" i="20"/>
  <c r="J237" i="20" s="1"/>
  <c r="O53" i="25" s="1"/>
  <c r="E237" i="20"/>
  <c r="K237" i="20" s="1"/>
  <c r="P53" i="25" s="1"/>
  <c r="E245" i="20"/>
  <c r="K245" i="20" s="1"/>
  <c r="P61" i="25" s="1"/>
  <c r="D245" i="20"/>
  <c r="J245" i="20" s="1"/>
  <c r="O61" i="25" s="1"/>
  <c r="E239" i="20"/>
  <c r="K239" i="20" s="1"/>
  <c r="P55" i="25" s="1"/>
  <c r="D239" i="20"/>
  <c r="J239" i="20" s="1"/>
  <c r="O55" i="25" s="1"/>
  <c r="E187" i="20"/>
  <c r="K187" i="20" s="1"/>
  <c r="P48" i="25" s="1"/>
  <c r="D187" i="20"/>
  <c r="J187" i="20" s="1"/>
  <c r="O48" i="25" s="1"/>
  <c r="E179" i="20"/>
  <c r="K179" i="20" s="1"/>
  <c r="P40" i="25" s="1"/>
  <c r="D179" i="20"/>
  <c r="J179" i="20" s="1"/>
  <c r="O40" i="25" s="1"/>
  <c r="E176" i="20"/>
  <c r="D176" i="20"/>
  <c r="E202" i="20"/>
  <c r="K202" i="20" s="1"/>
  <c r="G54" i="25" s="1"/>
  <c r="D202" i="20"/>
  <c r="J202" i="20" s="1"/>
  <c r="F54" i="25" s="1"/>
  <c r="D204" i="20"/>
  <c r="J204" i="20" s="1"/>
  <c r="F56" i="25" s="1"/>
  <c r="E204" i="20"/>
  <c r="K204" i="20" s="1"/>
  <c r="G56" i="25" s="1"/>
  <c r="E211" i="20"/>
  <c r="K211" i="20" s="1"/>
  <c r="G63" i="25" s="1"/>
  <c r="D211" i="20"/>
  <c r="J211" i="20" s="1"/>
  <c r="F63" i="25" s="1"/>
  <c r="K26" i="19"/>
  <c r="E160" i="20"/>
  <c r="K160" i="20" s="1"/>
  <c r="J45" i="25" s="1"/>
  <c r="D160" i="20"/>
  <c r="J160" i="20" s="1"/>
  <c r="I45" i="25" s="1"/>
  <c r="D156" i="20"/>
  <c r="J156" i="20" s="1"/>
  <c r="I41" i="25" s="1"/>
  <c r="E156" i="20"/>
  <c r="K156" i="20" s="1"/>
  <c r="J41" i="25" s="1"/>
  <c r="D154" i="20"/>
  <c r="J154" i="20" s="1"/>
  <c r="I39" i="25" s="1"/>
  <c r="E154" i="20"/>
  <c r="K154" i="20" s="1"/>
  <c r="J39" i="25" s="1"/>
  <c r="E218" i="20"/>
  <c r="K218" i="20" s="1"/>
  <c r="J58" i="25" s="1"/>
  <c r="D218" i="20"/>
  <c r="J218" i="20" s="1"/>
  <c r="I58" i="25" s="1"/>
  <c r="D212" i="20"/>
  <c r="E212" i="20"/>
  <c r="E222" i="20"/>
  <c r="K222" i="20" s="1"/>
  <c r="J62" i="25" s="1"/>
  <c r="D222" i="20"/>
  <c r="J222" i="20" s="1"/>
  <c r="I62" i="25" s="1"/>
  <c r="D257" i="20"/>
  <c r="J257" i="20" s="1"/>
  <c r="R61" i="25" s="1"/>
  <c r="E257" i="20"/>
  <c r="K257" i="20" s="1"/>
  <c r="S61" i="25" s="1"/>
  <c r="E251" i="20"/>
  <c r="K251" i="20" s="1"/>
  <c r="S55" i="25" s="1"/>
  <c r="D251" i="20"/>
  <c r="J251" i="20" s="1"/>
  <c r="R55" i="25" s="1"/>
  <c r="E258" i="20"/>
  <c r="K258" i="20" s="1"/>
  <c r="S62" i="25" s="1"/>
  <c r="D258" i="20"/>
  <c r="J258" i="20" s="1"/>
  <c r="R62" i="25" s="1"/>
  <c r="K27" i="19"/>
  <c r="D188" i="20"/>
  <c r="E188" i="20"/>
  <c r="D199" i="20"/>
  <c r="J199" i="20" s="1"/>
  <c r="R48" i="25" s="1"/>
  <c r="E199" i="20"/>
  <c r="K199" i="20" s="1"/>
  <c r="S48" i="25" s="1"/>
  <c r="D192" i="20"/>
  <c r="J192" i="20" s="1"/>
  <c r="R41" i="25" s="1"/>
  <c r="E192" i="20"/>
  <c r="K192" i="20" s="1"/>
  <c r="S41" i="25" s="1"/>
  <c r="E224" i="20"/>
  <c r="D224" i="20"/>
  <c r="D235" i="20"/>
  <c r="J235" i="20" s="1"/>
  <c r="L63" i="25" s="1"/>
  <c r="E235" i="20"/>
  <c r="K235" i="20" s="1"/>
  <c r="M63" i="25" s="1"/>
  <c r="D233" i="20"/>
  <c r="J233" i="20" s="1"/>
  <c r="L61" i="25" s="1"/>
  <c r="E233" i="20"/>
  <c r="K233" i="20" s="1"/>
  <c r="M61" i="25" s="1"/>
  <c r="E165" i="20"/>
  <c r="K165" i="20" s="1"/>
  <c r="M38" i="25" s="1"/>
  <c r="D165" i="20"/>
  <c r="J165" i="20" s="1"/>
  <c r="L38" i="25" s="1"/>
  <c r="E173" i="20"/>
  <c r="K173" i="20" s="1"/>
  <c r="M46" i="25" s="1"/>
  <c r="D173" i="20"/>
  <c r="J173" i="20" s="1"/>
  <c r="L46" i="25" s="1"/>
  <c r="D174" i="20"/>
  <c r="J174" i="20" s="1"/>
  <c r="L47" i="25" s="1"/>
  <c r="E174" i="20"/>
  <c r="K174" i="20" s="1"/>
  <c r="M47" i="25" s="1"/>
  <c r="D151" i="20"/>
  <c r="E151" i="20"/>
  <c r="E145" i="20"/>
  <c r="D145" i="20"/>
  <c r="D140" i="20"/>
  <c r="E140" i="20"/>
  <c r="E242" i="20"/>
  <c r="K242" i="20" s="1"/>
  <c r="P58" i="25" s="1"/>
  <c r="D242" i="20"/>
  <c r="J242" i="20" s="1"/>
  <c r="O58" i="25" s="1"/>
  <c r="D240" i="20"/>
  <c r="J240" i="20" s="1"/>
  <c r="O56" i="25" s="1"/>
  <c r="E240" i="20"/>
  <c r="K240" i="20" s="1"/>
  <c r="P56" i="25" s="1"/>
  <c r="D182" i="20"/>
  <c r="J182" i="20" s="1"/>
  <c r="O43" i="25" s="1"/>
  <c r="E182" i="20"/>
  <c r="K182" i="20" s="1"/>
  <c r="P43" i="25" s="1"/>
  <c r="E178" i="20"/>
  <c r="K178" i="20" s="1"/>
  <c r="P39" i="25" s="1"/>
  <c r="D178" i="20"/>
  <c r="E180" i="20"/>
  <c r="K180" i="20" s="1"/>
  <c r="P41" i="25" s="1"/>
  <c r="D180" i="20"/>
  <c r="J180" i="20" s="1"/>
  <c r="O41" i="25" s="1"/>
  <c r="E208" i="20"/>
  <c r="K208" i="20" s="1"/>
  <c r="G60" i="25" s="1"/>
  <c r="D208" i="20"/>
  <c r="J208" i="20" s="1"/>
  <c r="F60" i="25" s="1"/>
  <c r="D210" i="20"/>
  <c r="J210" i="20" s="1"/>
  <c r="F62" i="25" s="1"/>
  <c r="E210" i="20"/>
  <c r="K210" i="20" s="1"/>
  <c r="G62" i="25" s="1"/>
  <c r="E206" i="20"/>
  <c r="K206" i="20" s="1"/>
  <c r="G58" i="25" s="1"/>
  <c r="D206" i="20"/>
  <c r="J206" i="20" s="1"/>
  <c r="F58" i="25" s="1"/>
  <c r="E161" i="20"/>
  <c r="K161" i="20" s="1"/>
  <c r="J46" i="25" s="1"/>
  <c r="D161" i="20"/>
  <c r="J161" i="20" s="1"/>
  <c r="I46" i="25" s="1"/>
  <c r="D153" i="20"/>
  <c r="J153" i="20" s="1"/>
  <c r="I38" i="25" s="1"/>
  <c r="E153" i="20"/>
  <c r="K153" i="20" s="1"/>
  <c r="J38" i="25" s="1"/>
  <c r="D159" i="20"/>
  <c r="J159" i="20" s="1"/>
  <c r="I44" i="25" s="1"/>
  <c r="E159" i="20"/>
  <c r="K159" i="20" s="1"/>
  <c r="J44" i="25" s="1"/>
  <c r="D217" i="20"/>
  <c r="E217" i="20"/>
  <c r="D214" i="20"/>
  <c r="J214" i="20" s="1"/>
  <c r="I54" i="25" s="1"/>
  <c r="E214" i="20"/>
  <c r="K214" i="20" s="1"/>
  <c r="J54" i="25" s="1"/>
  <c r="E221" i="20"/>
  <c r="K221" i="20" s="1"/>
  <c r="J61" i="25" s="1"/>
  <c r="D221" i="20"/>
  <c r="J221" i="20" s="1"/>
  <c r="I61" i="25" s="1"/>
  <c r="E255" i="20"/>
  <c r="K255" i="20" s="1"/>
  <c r="S59" i="25" s="1"/>
  <c r="D255" i="20"/>
  <c r="J255" i="20" s="1"/>
  <c r="R59" i="25" s="1"/>
  <c r="E256" i="20"/>
  <c r="K256" i="20" s="1"/>
  <c r="S60" i="25" s="1"/>
  <c r="D256" i="20"/>
  <c r="J256" i="20" s="1"/>
  <c r="R60" i="25" s="1"/>
  <c r="E253" i="20"/>
  <c r="D253" i="20"/>
  <c r="K19" i="19"/>
  <c r="K39" i="19"/>
  <c r="E197" i="20"/>
  <c r="K197" i="20" s="1"/>
  <c r="S46" i="25" s="1"/>
  <c r="D197" i="20"/>
  <c r="J197" i="20" s="1"/>
  <c r="R46" i="25" s="1"/>
  <c r="D194" i="20"/>
  <c r="J194" i="20" s="1"/>
  <c r="R43" i="25" s="1"/>
  <c r="E194" i="20"/>
  <c r="K194" i="20" s="1"/>
  <c r="S43" i="25" s="1"/>
  <c r="E189" i="20"/>
  <c r="K189" i="20" s="1"/>
  <c r="S38" i="25" s="1"/>
  <c r="D189" i="20"/>
  <c r="J189" i="20" s="1"/>
  <c r="R38" i="25" s="1"/>
  <c r="K22" i="19"/>
  <c r="K25" i="19"/>
  <c r="D243" i="20"/>
  <c r="J243" i="20" s="1"/>
  <c r="O59" i="25" s="1"/>
  <c r="E243" i="20"/>
  <c r="K243" i="20" s="1"/>
  <c r="P59" i="25" s="1"/>
  <c r="K40" i="19"/>
  <c r="E230" i="20"/>
  <c r="K230" i="20" s="1"/>
  <c r="M58" i="25" s="1"/>
  <c r="D230" i="20"/>
  <c r="J230" i="20" s="1"/>
  <c r="L58" i="25" s="1"/>
  <c r="E232" i="20"/>
  <c r="K232" i="20" s="1"/>
  <c r="M60" i="25" s="1"/>
  <c r="D232" i="20"/>
  <c r="J232" i="20" s="1"/>
  <c r="L60" i="25" s="1"/>
  <c r="E225" i="20"/>
  <c r="K225" i="20" s="1"/>
  <c r="M53" i="25" s="1"/>
  <c r="D225" i="20"/>
  <c r="J225" i="20" s="1"/>
  <c r="L53" i="25" s="1"/>
  <c r="E171" i="20"/>
  <c r="K171" i="20" s="1"/>
  <c r="M44" i="25" s="1"/>
  <c r="D171" i="20"/>
  <c r="J171" i="20" s="1"/>
  <c r="L44" i="25" s="1"/>
  <c r="E170" i="20"/>
  <c r="K170" i="20" s="1"/>
  <c r="M43" i="25" s="1"/>
  <c r="D170" i="20"/>
  <c r="J170" i="20" s="1"/>
  <c r="L43" i="25" s="1"/>
  <c r="E172" i="20"/>
  <c r="K172" i="20" s="1"/>
  <c r="M45" i="25" s="1"/>
  <c r="D172" i="20"/>
  <c r="J172" i="20" s="1"/>
  <c r="L45" i="25" s="1"/>
  <c r="E144" i="20"/>
  <c r="D144" i="20"/>
  <c r="E150" i="20"/>
  <c r="D150" i="20"/>
  <c r="E142" i="20"/>
  <c r="D142" i="20"/>
  <c r="E241" i="20"/>
  <c r="D241" i="20"/>
  <c r="E244" i="20"/>
  <c r="K244" i="20" s="1"/>
  <c r="P60" i="25" s="1"/>
  <c r="D244" i="20"/>
  <c r="J244" i="20" s="1"/>
  <c r="O60" i="25" s="1"/>
  <c r="E247" i="20"/>
  <c r="K247" i="20" s="1"/>
  <c r="P63" i="25" s="1"/>
  <c r="D247" i="20"/>
  <c r="J247" i="20" s="1"/>
  <c r="O63" i="25" s="1"/>
  <c r="D186" i="20"/>
  <c r="J186" i="20" s="1"/>
  <c r="O47" i="25" s="1"/>
  <c r="E186" i="20"/>
  <c r="K186" i="20" s="1"/>
  <c r="P47" i="25" s="1"/>
  <c r="D181" i="20"/>
  <c r="E181" i="20"/>
  <c r="D185" i="20"/>
  <c r="J185" i="20" s="1"/>
  <c r="O46" i="25" s="1"/>
  <c r="E185" i="20"/>
  <c r="K185" i="20" s="1"/>
  <c r="P46" i="25" s="1"/>
  <c r="E209" i="20"/>
  <c r="K209" i="20" s="1"/>
  <c r="G61" i="25" s="1"/>
  <c r="D209" i="20"/>
  <c r="J209" i="20" s="1"/>
  <c r="F61" i="25" s="1"/>
  <c r="D201" i="20"/>
  <c r="J201" i="20" s="1"/>
  <c r="F53" i="25" s="1"/>
  <c r="E201" i="20"/>
  <c r="K201" i="20" s="1"/>
  <c r="G53" i="25" s="1"/>
  <c r="E203" i="20"/>
  <c r="K203" i="20" s="1"/>
  <c r="G55" i="25" s="1"/>
  <c r="D203" i="20"/>
  <c r="J203" i="20" s="1"/>
  <c r="F55" i="25" s="1"/>
  <c r="E157" i="20"/>
  <c r="D157" i="20"/>
  <c r="E163" i="20"/>
  <c r="K163" i="20" s="1"/>
  <c r="J48" i="25" s="1"/>
  <c r="D163" i="20"/>
  <c r="J163" i="20" s="1"/>
  <c r="I48" i="25" s="1"/>
  <c r="E152" i="20"/>
  <c r="D152" i="20"/>
  <c r="D223" i="20"/>
  <c r="J223" i="20" s="1"/>
  <c r="I63" i="25" s="1"/>
  <c r="E223" i="20"/>
  <c r="K223" i="20" s="1"/>
  <c r="J63" i="25" s="1"/>
  <c r="E213" i="20"/>
  <c r="K213" i="20" s="1"/>
  <c r="J53" i="25" s="1"/>
  <c r="D213" i="20"/>
  <c r="J213" i="20" s="1"/>
  <c r="I53" i="25" s="1"/>
  <c r="D219" i="20"/>
  <c r="J219" i="20" s="1"/>
  <c r="I59" i="25" s="1"/>
  <c r="E219" i="20"/>
  <c r="K219" i="20" s="1"/>
  <c r="J59" i="25" s="1"/>
  <c r="D250" i="20"/>
  <c r="J250" i="20" s="1"/>
  <c r="R54" i="25" s="1"/>
  <c r="E250" i="20"/>
  <c r="K250" i="20" s="1"/>
  <c r="S54" i="25" s="1"/>
  <c r="D248" i="20"/>
  <c r="E248" i="20"/>
  <c r="D252" i="20"/>
  <c r="J252" i="20" s="1"/>
  <c r="R56" i="25" s="1"/>
  <c r="E252" i="20"/>
  <c r="K252" i="20" s="1"/>
  <c r="S56" i="25" s="1"/>
  <c r="D193" i="20"/>
  <c r="E193" i="20"/>
  <c r="E191" i="20"/>
  <c r="K191" i="20" s="1"/>
  <c r="S40" i="25" s="1"/>
  <c r="D191" i="20"/>
  <c r="J191" i="20" s="1"/>
  <c r="R40" i="25" s="1"/>
  <c r="E198" i="20"/>
  <c r="K198" i="20" s="1"/>
  <c r="S47" i="25" s="1"/>
  <c r="D198" i="20"/>
  <c r="J198" i="20" s="1"/>
  <c r="R47" i="25" s="1"/>
  <c r="E8" i="20"/>
  <c r="D8" i="20"/>
  <c r="J8" i="20" l="1"/>
  <c r="K8" i="20"/>
  <c r="K193" i="20"/>
  <c r="S42" i="25" s="1"/>
  <c r="V35" i="20"/>
  <c r="K248" i="20"/>
  <c r="S52" i="25" s="1"/>
  <c r="E28" i="19"/>
  <c r="U40" i="20"/>
  <c r="K181" i="20"/>
  <c r="P42" i="25" s="1"/>
  <c r="V34" i="20"/>
  <c r="J241" i="20"/>
  <c r="O57" i="25" s="1"/>
  <c r="T39" i="20"/>
  <c r="J150" i="20"/>
  <c r="F47" i="25" s="1"/>
  <c r="C15" i="18"/>
  <c r="J217" i="20"/>
  <c r="I57" i="25" s="1"/>
  <c r="T37" i="20"/>
  <c r="J140" i="20"/>
  <c r="F37" i="25" s="1"/>
  <c r="D19" i="19"/>
  <c r="C5" i="18"/>
  <c r="D10" i="20"/>
  <c r="J10" i="20" s="1"/>
  <c r="D34" i="19" s="1"/>
  <c r="S31" i="20"/>
  <c r="J151" i="20"/>
  <c r="F48" i="25" s="1"/>
  <c r="C16" i="18"/>
  <c r="E26" i="19"/>
  <c r="K224" i="20"/>
  <c r="M52" i="25" s="1"/>
  <c r="U38" i="20"/>
  <c r="K212" i="20"/>
  <c r="J52" i="25" s="1"/>
  <c r="E25" i="19"/>
  <c r="U37" i="20"/>
  <c r="C13" i="18"/>
  <c r="J148" i="20"/>
  <c r="F45" i="25" s="1"/>
  <c r="D21" i="19"/>
  <c r="J164" i="20"/>
  <c r="L37" i="25" s="1"/>
  <c r="S33" i="20"/>
  <c r="K200" i="20"/>
  <c r="G52" i="25" s="1"/>
  <c r="E24" i="19"/>
  <c r="U36" i="20"/>
  <c r="D27" i="19"/>
  <c r="J236" i="20"/>
  <c r="O52" i="25" s="1"/>
  <c r="S39" i="20"/>
  <c r="J147" i="20"/>
  <c r="F44" i="25" s="1"/>
  <c r="C12" i="18"/>
  <c r="J169" i="20"/>
  <c r="L42" i="25" s="1"/>
  <c r="T33" i="20"/>
  <c r="J193" i="20"/>
  <c r="R42" i="25" s="1"/>
  <c r="T35" i="20"/>
  <c r="J248" i="20"/>
  <c r="R52" i="25" s="1"/>
  <c r="D28" i="19"/>
  <c r="S40" i="20"/>
  <c r="J181" i="20"/>
  <c r="O42" i="25" s="1"/>
  <c r="T34" i="20"/>
  <c r="K241" i="20"/>
  <c r="P57" i="25" s="1"/>
  <c r="V39" i="20"/>
  <c r="K150" i="20"/>
  <c r="G47" i="25" s="1"/>
  <c r="C27" i="18"/>
  <c r="E27" i="18" s="1"/>
  <c r="J253" i="20"/>
  <c r="R57" i="25" s="1"/>
  <c r="T40" i="20"/>
  <c r="C10" i="18"/>
  <c r="J145" i="20"/>
  <c r="F42" i="25" s="1"/>
  <c r="T31" i="20"/>
  <c r="K188" i="20"/>
  <c r="S37" i="25" s="1"/>
  <c r="E23" i="19"/>
  <c r="U35" i="20"/>
  <c r="J212" i="20"/>
  <c r="I52" i="25" s="1"/>
  <c r="D25" i="19"/>
  <c r="S37" i="20"/>
  <c r="D5" i="20"/>
  <c r="J5" i="20" s="1"/>
  <c r="D36" i="19" s="1"/>
  <c r="J176" i="20"/>
  <c r="O37" i="25" s="1"/>
  <c r="S34" i="20"/>
  <c r="C25" i="18"/>
  <c r="E25" i="18" s="1"/>
  <c r="K148" i="20"/>
  <c r="G45" i="25" s="1"/>
  <c r="E21" i="19"/>
  <c r="K164" i="20"/>
  <c r="M37" i="25" s="1"/>
  <c r="U33" i="20"/>
  <c r="J200" i="20"/>
  <c r="F52" i="25" s="1"/>
  <c r="D24" i="19"/>
  <c r="S36" i="20"/>
  <c r="K147" i="20"/>
  <c r="G44" i="25" s="1"/>
  <c r="C24" i="18"/>
  <c r="E24" i="18" s="1"/>
  <c r="K169" i="20"/>
  <c r="M42" i="25" s="1"/>
  <c r="V33" i="20"/>
  <c r="D20" i="19"/>
  <c r="J152" i="20"/>
  <c r="I37" i="25" s="1"/>
  <c r="S32" i="20"/>
  <c r="J157" i="20"/>
  <c r="I42" i="25" s="1"/>
  <c r="T32" i="20"/>
  <c r="J142" i="20"/>
  <c r="F39" i="25" s="1"/>
  <c r="C7" i="18"/>
  <c r="J144" i="20"/>
  <c r="F41" i="25" s="1"/>
  <c r="C9" i="18"/>
  <c r="K253" i="20"/>
  <c r="S57" i="25" s="1"/>
  <c r="V40" i="20"/>
  <c r="C22" i="18"/>
  <c r="E22" i="18" s="1"/>
  <c r="K145" i="20"/>
  <c r="G42" i="25" s="1"/>
  <c r="V31" i="20"/>
  <c r="J188" i="20"/>
  <c r="R37" i="25" s="1"/>
  <c r="D23" i="19"/>
  <c r="S35" i="20"/>
  <c r="K176" i="20"/>
  <c r="P37" i="25" s="1"/>
  <c r="E22" i="19"/>
  <c r="U34" i="20"/>
  <c r="C23" i="18"/>
  <c r="E23" i="18" s="1"/>
  <c r="K146" i="20"/>
  <c r="G43" i="25" s="1"/>
  <c r="J143" i="20"/>
  <c r="F40" i="25" s="1"/>
  <c r="C8" i="18"/>
  <c r="K205" i="20"/>
  <c r="G57" i="25" s="1"/>
  <c r="V36" i="20"/>
  <c r="C14" i="18"/>
  <c r="J149" i="20"/>
  <c r="F46" i="25" s="1"/>
  <c r="J141" i="20"/>
  <c r="F38" i="25" s="1"/>
  <c r="C6" i="18"/>
  <c r="J229" i="20"/>
  <c r="L57" i="25" s="1"/>
  <c r="T38" i="20"/>
  <c r="E20" i="19"/>
  <c r="K152" i="20"/>
  <c r="J37" i="25" s="1"/>
  <c r="U32" i="20"/>
  <c r="K157" i="20"/>
  <c r="J42" i="25" s="1"/>
  <c r="V32" i="20"/>
  <c r="K142" i="20"/>
  <c r="G39" i="25" s="1"/>
  <c r="C19" i="18"/>
  <c r="E19" i="18" s="1"/>
  <c r="K144" i="20"/>
  <c r="G41" i="25" s="1"/>
  <c r="C21" i="18"/>
  <c r="E21" i="18" s="1"/>
  <c r="K217" i="20"/>
  <c r="J57" i="25" s="1"/>
  <c r="V37" i="20"/>
  <c r="D22" i="19"/>
  <c r="J178" i="20"/>
  <c r="O39" i="25" s="1"/>
  <c r="E19" i="19"/>
  <c r="E10" i="20"/>
  <c r="K10" i="20" s="1"/>
  <c r="E34" i="19" s="1"/>
  <c r="C17" i="18"/>
  <c r="E17" i="18" s="1"/>
  <c r="K140" i="20"/>
  <c r="G37" i="25" s="1"/>
  <c r="E5" i="20"/>
  <c r="K5" i="20" s="1"/>
  <c r="E36" i="19" s="1"/>
  <c r="U31" i="20"/>
  <c r="K151" i="20"/>
  <c r="G48" i="25" s="1"/>
  <c r="C28" i="18"/>
  <c r="E28" i="18" s="1"/>
  <c r="D26" i="19"/>
  <c r="J224" i="20"/>
  <c r="L52" i="25" s="1"/>
  <c r="S38" i="20"/>
  <c r="J146" i="20"/>
  <c r="F43" i="25" s="1"/>
  <c r="C11" i="18"/>
  <c r="K143" i="20"/>
  <c r="G40" i="25" s="1"/>
  <c r="C20" i="18"/>
  <c r="E20" i="18" s="1"/>
  <c r="J205" i="20"/>
  <c r="F57" i="25" s="1"/>
  <c r="T36" i="20"/>
  <c r="E27" i="19"/>
  <c r="K236" i="20"/>
  <c r="P52" i="25" s="1"/>
  <c r="U39" i="20"/>
  <c r="K149" i="20"/>
  <c r="G46" i="25" s="1"/>
  <c r="C26" i="18"/>
  <c r="E26" i="18" s="1"/>
  <c r="K141" i="20"/>
  <c r="G38" i="25" s="1"/>
  <c r="C18" i="18"/>
  <c r="E18" i="18" s="1"/>
  <c r="K229" i="20"/>
  <c r="M57" i="25" s="1"/>
  <c r="V38" i="20"/>
  <c r="C33" i="18" l="1"/>
  <c r="E33" i="18" s="1"/>
  <c r="E8" i="18"/>
  <c r="V7" i="25"/>
  <c r="C39" i="18"/>
  <c r="E39" i="18" s="1"/>
  <c r="E14" i="18"/>
  <c r="E7" i="18"/>
  <c r="C32" i="18"/>
  <c r="E32" i="18" s="1"/>
  <c r="C36" i="18"/>
  <c r="E36" i="18" s="1"/>
  <c r="E11" i="18"/>
  <c r="E6" i="18"/>
  <c r="C31" i="18"/>
  <c r="E31" i="18" s="1"/>
  <c r="E16" i="18"/>
  <c r="C41" i="18"/>
  <c r="E41" i="18" s="1"/>
  <c r="C30" i="18"/>
  <c r="E30" i="18" s="1"/>
  <c r="E5" i="18"/>
  <c r="C34" i="18"/>
  <c r="E34" i="18" s="1"/>
  <c r="E9" i="18"/>
  <c r="E10" i="18"/>
  <c r="C35" i="18"/>
  <c r="E35" i="18" s="1"/>
  <c r="E12" i="18"/>
  <c r="C37" i="18"/>
  <c r="E37" i="18" s="1"/>
  <c r="E13" i="18"/>
  <c r="C38" i="18"/>
  <c r="E38" i="18" s="1"/>
  <c r="C40" i="18"/>
  <c r="E40" i="18" s="1"/>
  <c r="E15" i="18"/>
</calcChain>
</file>

<file path=xl/sharedStrings.xml><?xml version="1.0" encoding="utf-8"?>
<sst xmlns="http://schemas.openxmlformats.org/spreadsheetml/2006/main" count="1832" uniqueCount="112">
  <si>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</si>
  <si>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</si>
  <si>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</si>
  <si>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</si>
  <si>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</si>
  <si>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</si>
  <si>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</si>
  <si>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</si>
  <si>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</si>
  <si>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</si>
  <si>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</si>
  <si>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</si>
  <si>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</si>
  <si>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</si>
  <si>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</si>
  <si>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</si>
  <si>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</si>
  <si>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</si>
  <si>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</si>
  <si>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</si>
  <si>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</si>
  <si>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</si>
  <si>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</si>
  <si>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</si>
  <si>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</si>
  <si>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</si>
  <si>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</si>
  <si>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</si>
  <si>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</si>
  <si>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</si>
  <si>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</si>
  <si>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</si>
  <si>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</si>
  <si>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</si>
  <si>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</si>
  <si>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</si>
  <si>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</si>
  <si>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</si>
  <si>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</si>
  <si>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</si>
  <si>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</si>
  <si>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</si>
  <si>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</si>
  <si>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</si>
  <si>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</si>
  <si>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</si>
  <si>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</si>
  <si>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PV</t>
  </si>
  <si>
    <t>Resource Capacity</t>
  </si>
  <si>
    <t xml:space="preserve"> MW</t>
  </si>
  <si>
    <t>CF</t>
  </si>
  <si>
    <t>Check Total</t>
  </si>
  <si>
    <t>$/MWh</t>
  </si>
  <si>
    <t>Check</t>
  </si>
  <si>
    <t>Energy Payment ($/MWH)</t>
  </si>
  <si>
    <t>Illustrative Avoided Cost Prices</t>
  </si>
  <si>
    <t>Energy Payment Only</t>
  </si>
  <si>
    <t xml:space="preserve"> &lt;--- Monthly vs Annual Calculation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</si>
  <si>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</si>
  <si>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</si>
  <si>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</si>
  <si>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</si>
  <si>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</si>
  <si>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</si>
  <si>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</si>
  <si>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</si>
  <si>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</si>
  <si>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</si>
  <si>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</si>
  <si>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</si>
  <si>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</si>
  <si>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 xml:space="preserve"> &lt;--- Monthly vs Annual Calculation in AC Study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</si>
  <si>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</si>
  <si>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</si>
  <si>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</si>
  <si>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</si>
  <si>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</si>
  <si>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</si>
  <si>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</si>
  <si>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</si>
  <si>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</si>
  <si>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</si>
  <si>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</si>
  <si>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</si>
  <si>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</si>
  <si>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</si>
  <si>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</si>
  <si>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</si>
  <si>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</si>
  <si>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</si>
  <si>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</si>
  <si>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</si>
  <si>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</si>
  <si>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</si>
  <si>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Percent by HLH / LLH</t>
  </si>
  <si>
    <t>Percent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</si>
  <si>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</si>
  <si>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</si>
  <si>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</si>
  <si>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</si>
  <si>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</si>
  <si>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</si>
  <si>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Yes</t>
  </si>
  <si>
    <t>QF - 372 - WY - Solar</t>
  </si>
  <si>
    <t>QF - Sch37 - UT - Solar T</t>
  </si>
  <si>
    <t>15 Year Starting 2020</t>
  </si>
  <si>
    <t>15 Year Starting 2018</t>
  </si>
  <si>
    <t>Summer: Jun-Sep</t>
  </si>
  <si>
    <t>Winter: Jan-May, Oct-Dec</t>
  </si>
  <si>
    <t>Winter</t>
  </si>
  <si>
    <t>Summer</t>
  </si>
  <si>
    <t>10.0 MW and 31.1%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</si>
</sst>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9" fontId="1" fillId="0" borderId="0" applyFont="0" applyFill="0" applyBorder="0" applyAlignment="0" applyProtection="0"/>
  </cellStyleXfs>
  <cellXfs count="238">
    <xf numFmtId="168" fontId="0" fillId="0" borderId="0" xfId="0"/>
    <xf numFmtId="168" fontId="11" fillId="0" borderId="0" xfId="9" applyFont="1"/>
    <xf numFmtId="168" fontId="12" fillId="0" borderId="0" xfId="9" applyFont="1"/>
    <xf numFmtId="168" fontId="13" fillId="0" borderId="0" xfId="9" applyFont="1" applyAlignment="1">
      <alignment horizontal="centerContinuous"/>
    </xf>
    <xf numFmtId="168" fontId="12" fillId="0" borderId="0" xfId="0" applyFont="1"/>
    <xf numFmtId="168" fontId="13" fillId="0" borderId="6" xfId="9" applyFont="1" applyBorder="1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168" fontId="13" fillId="0" borderId="8" xfId="9" applyFont="1" applyBorder="1" applyAlignment="1">
      <alignment horizontal="center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0" fontId="13" fillId="0" borderId="0" xfId="9" applyNumberFormat="1" applyFont="1" applyAlignment="1">
      <alignment horizontal="center"/>
    </xf>
    <xf numFmtId="7" fontId="12" fillId="0" borderId="0" xfId="9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0" fontId="12" fillId="0" borderId="0" xfId="0" applyNumberFormat="1" applyFont="1" applyBorder="1"/>
    <xf numFmtId="177" fontId="13" fillId="0" borderId="0" xfId="9" applyNumberFormat="1" applyFont="1" applyAlignment="1">
      <alignment horizontal="center"/>
    </xf>
    <xf numFmtId="168" fontId="13" fillId="0" borderId="0" xfId="9" applyFont="1" applyFill="1"/>
    <xf numFmtId="168" fontId="12" fillId="0" borderId="0" xfId="0" applyFont="1" applyAlignment="1">
      <alignment horizontal="center"/>
    </xf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10" fillId="0" borderId="0" xfId="0" applyFont="1" applyAlignment="1">
      <alignment horizontal="center"/>
    </xf>
    <xf numFmtId="171" fontId="12" fillId="0" borderId="0" xfId="0" applyNumberFormat="1" applyFont="1"/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168" fontId="9" fillId="0" borderId="0" xfId="0" applyFont="1" applyAlignment="1">
      <alignment horizontal="center"/>
    </xf>
    <xf numFmtId="8" fontId="9" fillId="0" borderId="0" xfId="4" applyNumberFormat="1" applyFont="1" applyFill="1" applyBorder="1" applyAlignment="1">
      <alignment horizontal="center"/>
    </xf>
    <xf numFmtId="168" fontId="13" fillId="0" borderId="0" xfId="6" applyFont="1" applyAlignment="1">
      <alignment horizontal="centerContinuous"/>
    </xf>
    <xf numFmtId="168" fontId="9" fillId="0" borderId="0" xfId="6" applyFont="1"/>
    <xf numFmtId="168" fontId="9" fillId="0" borderId="0" xfId="7" applyNumberFormat="1" applyFont="1"/>
    <xf numFmtId="168" fontId="12" fillId="0" borderId="0" xfId="6" applyFont="1"/>
    <xf numFmtId="168" fontId="12" fillId="0" borderId="11" xfId="6" applyFont="1" applyBorder="1"/>
    <xf numFmtId="17" fontId="12" fillId="0" borderId="11" xfId="6" applyNumberFormat="1" applyFont="1" applyBorder="1"/>
    <xf numFmtId="168" fontId="12" fillId="0" borderId="0" xfId="6" applyFont="1" applyBorder="1" applyAlignment="1"/>
    <xf numFmtId="168" fontId="12" fillId="0" borderId="5" xfId="6" applyFont="1" applyBorder="1" applyAlignment="1">
      <alignment horizontal="centerContinuous"/>
    </xf>
    <xf numFmtId="10" fontId="12" fillId="0" borderId="11" xfId="5" applyNumberFormat="1" applyFont="1" applyBorder="1"/>
    <xf numFmtId="168" fontId="12" fillId="0" borderId="3" xfId="6" applyFont="1" applyBorder="1" applyAlignment="1">
      <alignment horizontal="centerContinuous"/>
    </xf>
    <xf numFmtId="168" fontId="12" fillId="0" borderId="4" xfId="6" applyFont="1" applyBorder="1" applyAlignment="1">
      <alignment horizontal="centerContinuous"/>
    </xf>
    <xf numFmtId="167" fontId="12" fillId="0" borderId="3" xfId="2" applyNumberFormat="1" applyFont="1" applyBorder="1"/>
    <xf numFmtId="167" fontId="12" fillId="0" borderId="4" xfId="2" applyNumberFormat="1" applyFont="1" applyBorder="1"/>
    <xf numFmtId="167" fontId="12" fillId="0" borderId="5" xfId="2" applyNumberFormat="1" applyFont="1" applyBorder="1"/>
    <xf numFmtId="165" fontId="12" fillId="0" borderId="3" xfId="1" applyNumberFormat="1" applyFont="1" applyBorder="1"/>
    <xf numFmtId="165" fontId="12" fillId="0" borderId="4" xfId="1" applyNumberFormat="1" applyFont="1" applyBorder="1"/>
    <xf numFmtId="165" fontId="12" fillId="0" borderId="5" xfId="1" applyNumberFormat="1" applyFont="1" applyBorder="1"/>
    <xf numFmtId="44" fontId="12" fillId="0" borderId="3" xfId="2" applyFont="1" applyBorder="1"/>
    <xf numFmtId="44" fontId="12" fillId="0" borderId="4" xfId="2" applyFont="1" applyBorder="1"/>
    <xf numFmtId="44" fontId="12" fillId="0" borderId="5" xfId="2" applyFont="1" applyBorder="1"/>
    <xf numFmtId="164" fontId="12" fillId="0" borderId="11" xfId="1" applyNumberFormat="1" applyFont="1" applyBorder="1"/>
    <xf numFmtId="168" fontId="12" fillId="0" borderId="6" xfId="6" applyFont="1" applyBorder="1" applyAlignment="1">
      <alignment horizontal="center"/>
    </xf>
    <xf numFmtId="168" fontId="12" fillId="0" borderId="9" xfId="0" applyFont="1" applyBorder="1" applyAlignment="1">
      <alignment horizontal="centerContinuous"/>
    </xf>
    <xf numFmtId="168" fontId="12" fillId="0" borderId="1" xfId="6" applyFont="1" applyBorder="1" applyAlignment="1">
      <alignment horizontal="centerContinuous"/>
    </xf>
    <xf numFmtId="168" fontId="12" fillId="0" borderId="12" xfId="6" applyFont="1" applyBorder="1" applyAlignment="1">
      <alignment horizontal="centerContinuous"/>
    </xf>
    <xf numFmtId="168" fontId="12" fillId="0" borderId="7" xfId="6" applyFont="1" applyBorder="1" applyAlignment="1">
      <alignment horizontal="center"/>
    </xf>
    <xf numFmtId="168" fontId="12" fillId="0" borderId="10" xfId="6" applyFont="1" applyBorder="1" applyAlignment="1">
      <alignment horizontal="center"/>
    </xf>
    <xf numFmtId="168" fontId="12" fillId="0" borderId="3" xfId="6" applyFont="1" applyBorder="1" applyAlignment="1">
      <alignment horizontal="center"/>
    </xf>
    <xf numFmtId="168" fontId="12" fillId="0" borderId="4" xfId="6" applyFont="1" applyBorder="1" applyAlignment="1">
      <alignment horizontal="center"/>
    </xf>
    <xf numFmtId="168" fontId="12" fillId="0" borderId="5" xfId="6" applyFont="1" applyBorder="1" applyAlignment="1">
      <alignment horizontal="center"/>
    </xf>
    <xf numFmtId="168" fontId="12" fillId="0" borderId="11" xfId="6" applyFont="1" applyBorder="1" applyAlignment="1">
      <alignment horizontal="centerContinuous"/>
    </xf>
    <xf numFmtId="168" fontId="12" fillId="0" borderId="8" xfId="6" applyFont="1" applyBorder="1" applyAlignment="1">
      <alignment horizontal="center"/>
    </xf>
    <xf numFmtId="17" fontId="12" fillId="0" borderId="9" xfId="6" applyNumberFormat="1" applyFont="1" applyBorder="1" applyAlignment="1">
      <alignment horizontal="center"/>
    </xf>
    <xf numFmtId="168" fontId="12" fillId="0" borderId="26" xfId="6" applyFont="1" applyBorder="1"/>
    <xf numFmtId="168" fontId="12" fillId="0" borderId="0" xfId="6" applyFont="1" applyBorder="1"/>
    <xf numFmtId="168" fontId="12" fillId="0" borderId="13" xfId="6" applyFont="1" applyBorder="1"/>
    <xf numFmtId="43" fontId="12" fillId="0" borderId="0" xfId="1" applyFont="1" applyBorder="1"/>
    <xf numFmtId="43" fontId="12" fillId="0" borderId="13" xfId="1" applyFont="1" applyBorder="1"/>
    <xf numFmtId="0" fontId="12" fillId="0" borderId="6" xfId="1" applyNumberFormat="1" applyFont="1" applyBorder="1" applyAlignment="1">
      <alignment horizontal="center"/>
    </xf>
    <xf numFmtId="17" fontId="12" fillId="0" borderId="7" xfId="6" applyNumberFormat="1" applyFont="1" applyBorder="1" applyAlignment="1">
      <alignment horizontal="center"/>
    </xf>
    <xf numFmtId="174" fontId="12" fillId="0" borderId="7" xfId="1" applyNumberFormat="1" applyFont="1" applyBorder="1" applyAlignment="1">
      <alignment horizontal="center"/>
    </xf>
    <xf numFmtId="17" fontId="12" fillId="0" borderId="26" xfId="6" applyNumberFormat="1" applyFont="1" applyBorder="1" applyAlignment="1">
      <alignment horizontal="center"/>
    </xf>
    <xf numFmtId="0" fontId="12" fillId="0" borderId="7" xfId="1" applyNumberFormat="1" applyFont="1" applyBorder="1" applyAlignment="1">
      <alignment horizontal="center"/>
    </xf>
    <xf numFmtId="17" fontId="12" fillId="0" borderId="10" xfId="6" applyNumberFormat="1" applyFont="1" applyBorder="1" applyAlignment="1">
      <alignment horizontal="center"/>
    </xf>
    <xf numFmtId="168" fontId="12" fillId="0" borderId="10" xfId="6" applyFont="1" applyBorder="1"/>
    <xf numFmtId="168" fontId="12" fillId="0" borderId="2" xfId="6" applyFont="1" applyBorder="1"/>
    <xf numFmtId="168" fontId="12" fillId="0" borderId="14" xfId="6" applyFont="1" applyBorder="1"/>
    <xf numFmtId="43" fontId="12" fillId="0" borderId="2" xfId="1" applyFont="1" applyBorder="1"/>
    <xf numFmtId="43" fontId="12" fillId="0" borderId="14" xfId="1" applyFont="1" applyBorder="1"/>
    <xf numFmtId="0" fontId="12" fillId="0" borderId="8" xfId="1" applyNumberFormat="1" applyFont="1" applyBorder="1" applyAlignment="1">
      <alignment horizontal="center"/>
    </xf>
    <xf numFmtId="17" fontId="12" fillId="0" borderId="8" xfId="6" applyNumberFormat="1" applyFont="1" applyBorder="1" applyAlignment="1">
      <alignment horizontal="center"/>
    </xf>
    <xf numFmtId="174" fontId="12" fillId="0" borderId="8" xfId="1" applyNumberFormat="1" applyFont="1" applyBorder="1" applyAlignment="1">
      <alignment horizontal="center"/>
    </xf>
    <xf numFmtId="17" fontId="12" fillId="0" borderId="6" xfId="6" applyNumberFormat="1" applyFont="1" applyBorder="1" applyAlignment="1">
      <alignment horizontal="center"/>
    </xf>
    <xf numFmtId="168" fontId="12" fillId="0" borderId="9" xfId="6" applyFont="1" applyBorder="1"/>
    <xf numFmtId="168" fontId="12" fillId="0" borderId="1" xfId="6" applyFont="1" applyBorder="1"/>
    <xf numFmtId="168" fontId="12" fillId="0" borderId="12" xfId="6" applyFont="1" applyBorder="1"/>
    <xf numFmtId="43" fontId="12" fillId="0" borderId="1" xfId="1" applyFont="1" applyBorder="1"/>
    <xf numFmtId="43" fontId="12" fillId="0" borderId="12" xfId="1" applyFont="1" applyBorder="1"/>
    <xf numFmtId="174" fontId="12" fillId="0" borderId="6" xfId="1" applyNumberFormat="1" applyFont="1" applyBorder="1" applyAlignment="1">
      <alignment horizontal="center"/>
    </xf>
    <xf numFmtId="168" fontId="12" fillId="0" borderId="0" xfId="6" applyFont="1" applyAlignment="1">
      <alignment horizontal="center"/>
    </xf>
    <xf numFmtId="168" fontId="12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43" fontId="9" fillId="0" borderId="0" xfId="1" applyFont="1"/>
    <xf numFmtId="43" fontId="12" fillId="0" borderId="0" xfId="1" applyNumberFormat="1" applyFont="1" applyBorder="1"/>
    <xf numFmtId="43" fontId="12" fillId="0" borderId="13" xfId="1" applyNumberFormat="1" applyFont="1" applyBorder="1"/>
    <xf numFmtId="43" fontId="12" fillId="0" borderId="2" xfId="1" applyNumberFormat="1" applyFont="1" applyBorder="1"/>
    <xf numFmtId="43" fontId="12" fillId="0" borderId="14" xfId="1" applyNumberFormat="1" applyFont="1" applyBorder="1"/>
    <xf numFmtId="44" fontId="12" fillId="0" borderId="3" xfId="2" applyNumberFormat="1" applyFont="1" applyBorder="1"/>
    <xf numFmtId="168" fontId="17" fillId="0" borderId="0" xfId="0" applyFont="1"/>
    <xf numFmtId="168" fontId="15" fillId="0" borderId="0" xfId="9" applyFont="1" applyAlignment="1">
      <alignment horizontal="centerContinuous"/>
    </xf>
    <xf numFmtId="168" fontId="9" fillId="0" borderId="0" xfId="9" applyFont="1" applyAlignment="1">
      <alignment horizontal="centerContinuous"/>
    </xf>
    <xf numFmtId="168" fontId="15" fillId="0" borderId="6" xfId="9" applyFont="1" applyBorder="1" applyAlignment="1">
      <alignment horizontal="center"/>
    </xf>
    <xf numFmtId="168" fontId="15" fillId="0" borderId="8" xfId="9" quotePrefix="1" applyFont="1" applyBorder="1" applyAlignment="1">
      <alignment horizontal="center"/>
    </xf>
    <xf numFmtId="166" fontId="9" fillId="0" borderId="0" xfId="5" applyNumberFormat="1" applyFont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171" fontId="9" fillId="0" borderId="0" xfId="9" applyNumberFormat="1" applyFont="1"/>
    <xf numFmtId="168" fontId="18" fillId="0" borderId="0" xfId="9" applyFont="1" applyAlignment="1">
      <alignment horizontal="centerContinuous"/>
    </xf>
    <xf numFmtId="168" fontId="19" fillId="0" borderId="0" xfId="9" applyFont="1" applyAlignment="1">
      <alignment horizontal="centerContinuous"/>
    </xf>
    <xf numFmtId="168" fontId="19" fillId="0" borderId="0" xfId="9" applyFont="1"/>
    <xf numFmtId="168" fontId="15" fillId="0" borderId="6" xfId="9" applyFont="1" applyBorder="1"/>
    <xf numFmtId="168" fontId="18" fillId="0" borderId="6" xfId="9" applyFont="1" applyBorder="1"/>
    <xf numFmtId="0" fontId="18" fillId="0" borderId="3" xfId="9" applyNumberFormat="1" applyFont="1" applyFill="1" applyBorder="1" applyAlignment="1">
      <alignment horizontal="centerContinuous" vertical="center" wrapText="1"/>
    </xf>
    <xf numFmtId="168" fontId="18" fillId="0" borderId="5" xfId="9" applyFont="1" applyFill="1" applyBorder="1" applyAlignment="1">
      <alignment horizontal="centerContinuous" vertical="center" wrapText="1"/>
    </xf>
    <xf numFmtId="168" fontId="15" fillId="0" borderId="8" xfId="9" applyFont="1" applyBorder="1" applyAlignment="1">
      <alignment horizontal="center"/>
    </xf>
    <xf numFmtId="168" fontId="18" fillId="0" borderId="8" xfId="9" applyFont="1" applyBorder="1" applyAlignment="1">
      <alignment horizontal="center"/>
    </xf>
    <xf numFmtId="41" fontId="18" fillId="0" borderId="8" xfId="4" applyFont="1" applyFill="1" applyBorder="1" applyAlignment="1">
      <alignment horizontal="centerContinuous"/>
    </xf>
    <xf numFmtId="0" fontId="15" fillId="0" borderId="0" xfId="9" applyNumberFormat="1" applyFont="1" applyAlignment="1">
      <alignment horizontal="center"/>
    </xf>
    <xf numFmtId="0" fontId="18" fillId="0" borderId="0" xfId="9" applyNumberFormat="1" applyFont="1" applyAlignment="1">
      <alignment horizontal="center"/>
    </xf>
    <xf numFmtId="7" fontId="19" fillId="0" borderId="0" xfId="9" applyNumberFormat="1" applyFont="1" applyFill="1" applyBorder="1" applyAlignment="1">
      <alignment horizontal="center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4" fontId="9" fillId="0" borderId="33" xfId="0" applyNumberFormat="1" applyFont="1" applyBorder="1" applyAlignment="1">
      <alignment horizontal="left"/>
    </xf>
    <xf numFmtId="168" fontId="9" fillId="0" borderId="22" xfId="0" applyNumberFormat="1" applyFont="1" applyBorder="1"/>
    <xf numFmtId="168" fontId="9" fillId="0" borderId="25" xfId="0" applyNumberFormat="1" applyFont="1" applyBorder="1"/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9" fillId="0" borderId="20" xfId="9" applyNumberFormat="1" applyFont="1" applyBorder="1"/>
    <xf numFmtId="168" fontId="9" fillId="0" borderId="24" xfId="9" applyFont="1" applyBorder="1"/>
    <xf numFmtId="14" fontId="9" fillId="0" borderId="21" xfId="9" applyNumberFormat="1" applyFont="1" applyBorder="1"/>
    <xf numFmtId="168" fontId="9" fillId="0" borderId="22" xfId="9" applyFont="1" applyBorder="1"/>
    <xf numFmtId="168" fontId="9" fillId="0" borderId="25" xfId="9" applyFont="1" applyBorder="1"/>
    <xf numFmtId="168" fontId="20" fillId="0" borderId="0" xfId="9" applyFont="1"/>
    <xf numFmtId="168" fontId="21" fillId="0" borderId="0" xfId="9" applyFont="1"/>
    <xf numFmtId="7" fontId="19" fillId="0" borderId="2" xfId="9" applyNumberFormat="1" applyFont="1" applyFill="1" applyBorder="1" applyAlignment="1">
      <alignment horizontal="center"/>
    </xf>
    <xf numFmtId="14" fontId="0" fillId="0" borderId="18" xfId="0" applyNumberFormat="1" applyBorder="1"/>
    <xf numFmtId="168" fontId="0" fillId="0" borderId="19" xfId="0" applyBorder="1"/>
    <xf numFmtId="168" fontId="0" fillId="0" borderId="23" xfId="0" applyBorder="1"/>
    <xf numFmtId="14" fontId="0" fillId="0" borderId="20" xfId="0" applyNumberFormat="1" applyBorder="1"/>
    <xf numFmtId="168" fontId="0" fillId="0" borderId="0" xfId="0" applyBorder="1"/>
    <xf numFmtId="168" fontId="0" fillId="0" borderId="24" xfId="0" applyBorder="1"/>
    <xf numFmtId="14" fontId="0" fillId="0" borderId="0" xfId="0" applyNumberFormat="1"/>
    <xf numFmtId="168" fontId="12" fillId="0" borderId="11" xfId="6" applyFont="1" applyBorder="1" applyAlignment="1">
      <alignment horizontal="center"/>
    </xf>
    <xf numFmtId="44" fontId="12" fillId="0" borderId="11" xfId="2" applyNumberFormat="1" applyFont="1" applyBorder="1"/>
    <xf numFmtId="44" fontId="12" fillId="0" borderId="11" xfId="2" applyFont="1" applyBorder="1"/>
    <xf numFmtId="44" fontId="12" fillId="0" borderId="0" xfId="4" applyNumberFormat="1" applyFont="1" applyFill="1" applyBorder="1" applyAlignment="1">
      <alignment horizontal="center"/>
    </xf>
    <xf numFmtId="0" fontId="12" fillId="0" borderId="0" xfId="6" applyNumberFormat="1" applyFont="1"/>
    <xf numFmtId="168" fontId="12" fillId="0" borderId="0" xfId="6" applyFont="1" applyBorder="1" applyAlignment="1">
      <alignment horizontal="center"/>
    </xf>
    <xf numFmtId="174" fontId="12" fillId="0" borderId="0" xfId="1" applyNumberFormat="1" applyFont="1" applyBorder="1" applyAlignment="1">
      <alignment horizontal="center"/>
    </xf>
    <xf numFmtId="44" fontId="12" fillId="0" borderId="0" xfId="2" applyFont="1" applyBorder="1"/>
    <xf numFmtId="168" fontId="1" fillId="0" borderId="0" xfId="7" applyNumberFormat="1" applyFont="1" applyAlignment="1">
      <alignment wrapText="1"/>
    </xf>
    <xf numFmtId="17" fontId="12" fillId="0" borderId="26" xfId="6" applyNumberFormat="1" applyFont="1" applyFill="1" applyBorder="1" applyAlignment="1">
      <alignment horizontal="center"/>
    </xf>
    <xf numFmtId="168" fontId="12" fillId="0" borderId="26" xfId="6" applyFont="1" applyFill="1" applyBorder="1" applyAlignment="1">
      <alignment horizontal="center"/>
    </xf>
    <xf numFmtId="168" fontId="12" fillId="0" borderId="0" xfId="6" applyFont="1" applyFill="1" applyBorder="1" applyAlignment="1">
      <alignment horizontal="center"/>
    </xf>
    <xf numFmtId="168" fontId="12" fillId="0" borderId="13" xfId="6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13" xfId="1" applyNumberFormat="1" applyFont="1" applyFill="1" applyBorder="1"/>
    <xf numFmtId="168" fontId="12" fillId="0" borderId="0" xfId="6" applyFont="1" applyFill="1"/>
    <xf numFmtId="0" fontId="12" fillId="0" borderId="7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68" fontId="12" fillId="0" borderId="7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0" fontId="12" fillId="0" borderId="0" xfId="6" applyNumberFormat="1" applyFont="1" applyFill="1"/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2" xfId="6" applyFont="1" applyFill="1" applyBorder="1" applyAlignment="1">
      <alignment horizontal="center"/>
    </xf>
    <xf numFmtId="168" fontId="12" fillId="0" borderId="14" xfId="6" applyFont="1" applyFill="1" applyBorder="1" applyAlignment="1">
      <alignment horizontal="center"/>
    </xf>
    <xf numFmtId="43" fontId="12" fillId="0" borderId="10" xfId="1" applyNumberFormat="1" applyFont="1" applyFill="1" applyBorder="1"/>
    <xf numFmtId="43" fontId="12" fillId="0" borderId="2" xfId="1" applyNumberFormat="1" applyFont="1" applyFill="1" applyBorder="1"/>
    <xf numFmtId="43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44" fontId="12" fillId="0" borderId="0" xfId="2" applyFont="1" applyFill="1" applyBorder="1"/>
  </cellXfs>
  <cellStyles count="20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Password" xfId="15"/>
    <cellStyle name="Percent" xfId="5" builtinId="5"/>
    <cellStyle name="Percent 2" xfId="19"/>
    <cellStyle name="Unprot" xfId="16"/>
    <cellStyle name="Unprot$" xfId="17"/>
    <cellStyle name="Unprotect" xfId="18"/>
  </cellStyles>
  <dxfs count="9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7-035-T07%20RMP%20PUBLIC%20Workpapers%2005-30-17.zip\17-035-T07%20RMP%20Wkpr%20-%20Avoided%20Cost%20Study-Solar%20T%2005-30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Confidential%20Workpapers\17-035-T07%20RMP%20CONF%20Workpaper%202a%20-%20GRID%20AC%20Study%20Solar%20T%2005-30-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Confidential%20Workpapers\17-035-T07%20RMP%20CONF%20Workpaper%202b%20-%20GRID%20AC%20Study%20Solar%20T%2005-30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17-035-T07 RMP Wkpr - Avoided C"/>
    </sheetNames>
    <definedNames>
      <definedName name="Discount_Rate" refersTo="='Table 1'!$I$42"/>
    </definedNames>
    <sheetDataSet>
      <sheetData sheetId="0">
        <row r="9">
          <cell r="G9">
            <v>0.31060683789954335</v>
          </cell>
        </row>
        <row r="12">
          <cell r="G12">
            <v>18.629755164972888</v>
          </cell>
        </row>
        <row r="13">
          <cell r="G13">
            <v>19.312898655485885</v>
          </cell>
        </row>
        <row r="14">
          <cell r="G14">
            <v>16.985542176850327</v>
          </cell>
        </row>
        <row r="15">
          <cell r="G15">
            <v>14.247601471124884</v>
          </cell>
        </row>
        <row r="16">
          <cell r="G16">
            <v>15.34509354111438</v>
          </cell>
        </row>
        <row r="17">
          <cell r="G17">
            <v>16.053517490206573</v>
          </cell>
        </row>
        <row r="18">
          <cell r="G18">
            <v>17.604812319292837</v>
          </cell>
        </row>
        <row r="19">
          <cell r="G19">
            <v>16.375880111969682</v>
          </cell>
        </row>
        <row r="20">
          <cell r="G20">
            <v>19.346438640302956</v>
          </cell>
        </row>
        <row r="21">
          <cell r="G21">
            <v>20.204956005914909</v>
          </cell>
        </row>
        <row r="22">
          <cell r="G22">
            <v>21.165097328551767</v>
          </cell>
        </row>
        <row r="23">
          <cell r="G23">
            <v>23.292246102678426</v>
          </cell>
        </row>
        <row r="24">
          <cell r="G24">
            <v>24.548700676649794</v>
          </cell>
        </row>
        <row r="25">
          <cell r="G25">
            <v>28.233809681256353</v>
          </cell>
        </row>
        <row r="26">
          <cell r="G26">
            <v>29.552987142726618</v>
          </cell>
        </row>
        <row r="27">
          <cell r="G27">
            <v>31.68083591030004</v>
          </cell>
        </row>
        <row r="28">
          <cell r="G28">
            <v>39.055236049810624</v>
          </cell>
        </row>
        <row r="29">
          <cell r="G29">
            <v>45.136147037866188</v>
          </cell>
        </row>
        <row r="30">
          <cell r="G30">
            <v>86.862729853626959</v>
          </cell>
        </row>
        <row r="31">
          <cell r="G31">
            <v>89.158880242783141</v>
          </cell>
        </row>
        <row r="32">
          <cell r="G32">
            <v>91.961919299693065</v>
          </cell>
        </row>
        <row r="33">
          <cell r="G33">
            <v>0</v>
          </cell>
        </row>
        <row r="42">
          <cell r="I42">
            <v>6.5699999999999995E-2</v>
          </cell>
        </row>
        <row r="46">
          <cell r="G46">
            <v>19.658506787020514</v>
          </cell>
        </row>
        <row r="49">
          <cell r="G49">
            <v>21.814303227183537</v>
          </cell>
        </row>
      </sheetData>
      <sheetData sheetId="1"/>
      <sheetData sheetId="2">
        <row r="42">
          <cell r="I42">
            <v>3.3151468354430378</v>
          </cell>
        </row>
      </sheetData>
      <sheetData sheetId="3">
        <row r="4">
          <cell r="M4" t="str">
            <v>Utah Sch 37 Solar T</v>
          </cell>
        </row>
        <row r="13">
          <cell r="B13">
            <v>42887</v>
          </cell>
          <cell r="T13">
            <v>2.2092462442320437E-2</v>
          </cell>
        </row>
        <row r="20">
          <cell r="B20">
            <v>43101</v>
          </cell>
          <cell r="E20">
            <v>30819.348612353206</v>
          </cell>
          <cell r="F20">
            <v>1316.787</v>
          </cell>
        </row>
        <row r="21">
          <cell r="E21">
            <v>35037.063078448176</v>
          </cell>
          <cell r="F21">
            <v>1473.64</v>
          </cell>
        </row>
        <row r="22">
          <cell r="E22">
            <v>50848.867897897959</v>
          </cell>
          <cell r="F22">
            <v>2295.116</v>
          </cell>
        </row>
        <row r="23">
          <cell r="E23">
            <v>46607.218893826008</v>
          </cell>
          <cell r="F23">
            <v>2650.89</v>
          </cell>
          <cell r="L23">
            <v>2018</v>
          </cell>
          <cell r="M23">
            <v>525487.73026800156</v>
          </cell>
          <cell r="N23">
            <v>0</v>
          </cell>
        </row>
        <row r="24">
          <cell r="E24">
            <v>49818.759891539812</v>
          </cell>
          <cell r="F24">
            <v>3068.5970000000002</v>
          </cell>
          <cell r="L24">
            <v>2019</v>
          </cell>
          <cell r="M24">
            <v>459851.68956109881</v>
          </cell>
          <cell r="N24">
            <v>0</v>
          </cell>
        </row>
        <row r="25">
          <cell r="E25">
            <v>53888.404695212841</v>
          </cell>
          <cell r="F25">
            <v>3260.07</v>
          </cell>
          <cell r="L25">
            <v>2020</v>
          </cell>
          <cell r="M25">
            <v>384540.42709901929</v>
          </cell>
          <cell r="N25">
            <v>0</v>
          </cell>
        </row>
        <row r="26">
          <cell r="E26">
            <v>64724.944688618183</v>
          </cell>
          <cell r="F26">
            <v>2950.7660000000001</v>
          </cell>
          <cell r="L26">
            <v>2021</v>
          </cell>
          <cell r="M26">
            <v>411296.93601708114</v>
          </cell>
          <cell r="N26">
            <v>0</v>
          </cell>
        </row>
        <row r="27">
          <cell r="E27">
            <v>63510.820875018835</v>
          </cell>
          <cell r="F27">
            <v>2955.5709999999999</v>
          </cell>
          <cell r="L27">
            <v>2022</v>
          </cell>
          <cell r="M27">
            <v>428129.5402199477</v>
          </cell>
          <cell r="N27">
            <v>0</v>
          </cell>
        </row>
        <row r="28">
          <cell r="E28">
            <v>45496.36356793344</v>
          </cell>
          <cell r="F28">
            <v>2605.3200000000002</v>
          </cell>
          <cell r="L28">
            <v>2023</v>
          </cell>
          <cell r="M28">
            <v>467151.61705797911</v>
          </cell>
          <cell r="N28">
            <v>0</v>
          </cell>
        </row>
        <row r="29">
          <cell r="E29">
            <v>38126.641892462969</v>
          </cell>
          <cell r="F29">
            <v>2112.2469999999998</v>
          </cell>
          <cell r="L29">
            <v>2024</v>
          </cell>
          <cell r="M29">
            <v>433205.50187291205</v>
          </cell>
          <cell r="N29">
            <v>0</v>
          </cell>
        </row>
        <row r="30">
          <cell r="E30">
            <v>25479.279970467091</v>
          </cell>
          <cell r="F30">
            <v>1422.6</v>
          </cell>
          <cell r="L30">
            <v>2025</v>
          </cell>
          <cell r="M30">
            <v>508252.78520998359</v>
          </cell>
          <cell r="N30">
            <v>0</v>
          </cell>
        </row>
        <row r="31">
          <cell r="E31">
            <v>21130.016204223037</v>
          </cell>
          <cell r="F31">
            <v>1097.5550000000001</v>
          </cell>
          <cell r="L31">
            <v>2026</v>
          </cell>
          <cell r="M31">
            <v>528148.21530494094</v>
          </cell>
          <cell r="N31">
            <v>0</v>
          </cell>
        </row>
        <row r="32">
          <cell r="E32">
            <v>26702.527147710323</v>
          </cell>
          <cell r="F32">
            <v>1310.2149999999999</v>
          </cell>
          <cell r="L32">
            <v>2027</v>
          </cell>
          <cell r="M32">
            <v>550482.76243713498</v>
          </cell>
          <cell r="N32">
            <v>0</v>
          </cell>
        </row>
        <row r="33">
          <cell r="E33">
            <v>25127.539810314775</v>
          </cell>
          <cell r="F33">
            <v>1466.3040000000001</v>
          </cell>
          <cell r="L33">
            <v>2028</v>
          </cell>
          <cell r="M33">
            <v>603942.99544687569</v>
          </cell>
          <cell r="N33">
            <v>0</v>
          </cell>
        </row>
        <row r="34">
          <cell r="E34">
            <v>37241.59612582624</v>
          </cell>
          <cell r="F34">
            <v>2283.7080000000001</v>
          </cell>
          <cell r="L34">
            <v>2029</v>
          </cell>
          <cell r="M34">
            <v>632111.68649235368</v>
          </cell>
          <cell r="N34">
            <v>0</v>
          </cell>
        </row>
        <row r="35">
          <cell r="E35">
            <v>39564.609213083982</v>
          </cell>
          <cell r="F35">
            <v>2637.63</v>
          </cell>
          <cell r="L35">
            <v>2030</v>
          </cell>
          <cell r="M35">
            <v>723372.25463914871</v>
          </cell>
          <cell r="N35">
            <v>0</v>
          </cell>
        </row>
        <row r="36">
          <cell r="E36">
            <v>44760.727351695299</v>
          </cell>
          <cell r="F36">
            <v>3053.252</v>
          </cell>
          <cell r="L36">
            <v>2031</v>
          </cell>
          <cell r="M36">
            <v>753384.60784974694</v>
          </cell>
          <cell r="N36">
            <v>0</v>
          </cell>
        </row>
        <row r="37">
          <cell r="E37">
            <v>48973.237932950258</v>
          </cell>
          <cell r="F37">
            <v>3243.72</v>
          </cell>
          <cell r="L37">
            <v>2032</v>
          </cell>
          <cell r="M37">
            <v>805145.91958594322</v>
          </cell>
          <cell r="N37">
            <v>0</v>
          </cell>
        </row>
        <row r="38">
          <cell r="E38">
            <v>62006.697332590818</v>
          </cell>
          <cell r="F38">
            <v>2936.01</v>
          </cell>
          <cell r="L38">
            <v>2033</v>
          </cell>
          <cell r="M38">
            <v>985691.23991194367</v>
          </cell>
          <cell r="N38">
            <v>0</v>
          </cell>
        </row>
        <row r="39">
          <cell r="E39">
            <v>56771.103114694357</v>
          </cell>
          <cell r="F39">
            <v>2940.8150000000001</v>
          </cell>
          <cell r="L39">
            <v>2034</v>
          </cell>
          <cell r="M39">
            <v>1133466.1461984217</v>
          </cell>
          <cell r="N39">
            <v>0</v>
          </cell>
        </row>
        <row r="40">
          <cell r="E40">
            <v>41358.362139463425</v>
          </cell>
          <cell r="F40">
            <v>2592.3000000000002</v>
          </cell>
          <cell r="L40">
            <v>2035</v>
          </cell>
          <cell r="M40">
            <v>-4164.4104828834534</v>
          </cell>
          <cell r="N40">
            <v>2174569.3911453574</v>
          </cell>
        </row>
        <row r="41">
          <cell r="E41">
            <v>34902.083408266306</v>
          </cell>
          <cell r="F41">
            <v>2101.614</v>
          </cell>
          <cell r="L41">
            <v>2036</v>
          </cell>
          <cell r="M41">
            <v>-6574.0084458887577</v>
          </cell>
          <cell r="N41">
            <v>2227488.9048256874</v>
          </cell>
        </row>
        <row r="42">
          <cell r="E42">
            <v>23635.132224798203</v>
          </cell>
          <cell r="F42">
            <v>1415.55</v>
          </cell>
          <cell r="I42">
            <v>24</v>
          </cell>
          <cell r="L42">
            <v>2037</v>
          </cell>
          <cell r="M42">
            <v>-6805.8060888051987</v>
          </cell>
          <cell r="N42">
            <v>2281694.6566857481</v>
          </cell>
        </row>
        <row r="43">
          <cell r="E43">
            <v>18808.073759704828</v>
          </cell>
          <cell r="F43">
            <v>1092.0060000000001</v>
          </cell>
          <cell r="L43">
            <v>2038</v>
          </cell>
          <cell r="M43">
            <v>0</v>
          </cell>
          <cell r="N43">
            <v>0</v>
          </cell>
        </row>
        <row r="44">
          <cell r="E44">
            <v>21628.717617094517</v>
          </cell>
          <cell r="F44">
            <v>1303.6120000000001</v>
          </cell>
        </row>
        <row r="45">
          <cell r="E45">
            <v>24483.903955176473</v>
          </cell>
          <cell r="F45">
            <v>1511.0740000000001</v>
          </cell>
        </row>
        <row r="46">
          <cell r="E46">
            <v>36452.397503882647</v>
          </cell>
          <cell r="F46">
            <v>2272.2069999999999</v>
          </cell>
        </row>
        <row r="47">
          <cell r="E47">
            <v>35928.203947514296</v>
          </cell>
          <cell r="F47">
            <v>2624.52</v>
          </cell>
        </row>
        <row r="48">
          <cell r="E48">
            <v>36493.540977045894</v>
          </cell>
          <cell r="F48">
            <v>3038</v>
          </cell>
        </row>
        <row r="49">
          <cell r="E49">
            <v>38097.386228576303</v>
          </cell>
          <cell r="F49">
            <v>3227.55</v>
          </cell>
        </row>
        <row r="50">
          <cell r="E50">
            <v>40759.368767231703</v>
          </cell>
          <cell r="F50">
            <v>2921.3159999999998</v>
          </cell>
        </row>
        <row r="51">
          <cell r="E51">
            <v>40873.106484770775</v>
          </cell>
          <cell r="F51">
            <v>2926.09</v>
          </cell>
        </row>
        <row r="52">
          <cell r="E52">
            <v>38937.372795984149</v>
          </cell>
          <cell r="F52">
            <v>2579.31</v>
          </cell>
        </row>
        <row r="53">
          <cell r="E53">
            <v>31406.426035925746</v>
          </cell>
          <cell r="F53">
            <v>2091.136</v>
          </cell>
        </row>
        <row r="54">
          <cell r="E54">
            <v>22230.194907143712</v>
          </cell>
          <cell r="F54">
            <v>1408.44</v>
          </cell>
        </row>
        <row r="55">
          <cell r="E55">
            <v>17249.807878673077</v>
          </cell>
          <cell r="F55">
            <v>1086.5809999999999</v>
          </cell>
        </row>
        <row r="56">
          <cell r="E56">
            <v>21523.162186309695</v>
          </cell>
          <cell r="F56">
            <v>1297.133</v>
          </cell>
        </row>
        <row r="57">
          <cell r="E57">
            <v>23334.693979561329</v>
          </cell>
          <cell r="F57">
            <v>1451.7439999999999</v>
          </cell>
        </row>
        <row r="58">
          <cell r="E58">
            <v>38704.974363431334</v>
          </cell>
          <cell r="F58">
            <v>2260.8919999999998</v>
          </cell>
        </row>
        <row r="59">
          <cell r="E59">
            <v>39236.981794148684</v>
          </cell>
          <cell r="F59">
            <v>2611.38</v>
          </cell>
        </row>
        <row r="60">
          <cell r="E60">
            <v>42143.769606396556</v>
          </cell>
          <cell r="F60">
            <v>3022.8409999999999</v>
          </cell>
        </row>
        <row r="61">
          <cell r="E61">
            <v>42059.829108834267</v>
          </cell>
          <cell r="F61">
            <v>3211.41</v>
          </cell>
        </row>
        <row r="62">
          <cell r="E62">
            <v>41907.076279789209</v>
          </cell>
          <cell r="F62">
            <v>2906.7150000000001</v>
          </cell>
        </row>
        <row r="63">
          <cell r="E63">
            <v>44144.317029982805</v>
          </cell>
          <cell r="F63">
            <v>2911.4580000000001</v>
          </cell>
        </row>
        <row r="64">
          <cell r="E64">
            <v>45891.027958124876</v>
          </cell>
          <cell r="F64">
            <v>2566.38</v>
          </cell>
        </row>
        <row r="65">
          <cell r="E65">
            <v>32558.281845718622</v>
          </cell>
          <cell r="F65">
            <v>2080.627</v>
          </cell>
        </row>
        <row r="66">
          <cell r="E66">
            <v>21984.432668507099</v>
          </cell>
          <cell r="F66">
            <v>1401.42</v>
          </cell>
        </row>
        <row r="67">
          <cell r="E67">
            <v>17808.389196276665</v>
          </cell>
          <cell r="F67">
            <v>1081.1559999999999</v>
          </cell>
        </row>
        <row r="68">
          <cell r="E68">
            <v>21720.837907850742</v>
          </cell>
          <cell r="F68">
            <v>1290.5609999999999</v>
          </cell>
        </row>
        <row r="69">
          <cell r="E69">
            <v>24024.609735965729</v>
          </cell>
          <cell r="F69">
            <v>1444.4359999999999</v>
          </cell>
        </row>
        <row r="70">
          <cell r="E70">
            <v>39817.881784379482</v>
          </cell>
          <cell r="F70">
            <v>2249.5149999999999</v>
          </cell>
        </row>
        <row r="71">
          <cell r="E71">
            <v>41388.312829762697</v>
          </cell>
          <cell r="F71">
            <v>2598.27</v>
          </cell>
        </row>
        <row r="72">
          <cell r="E72">
            <v>44599.471356108785</v>
          </cell>
          <cell r="F72">
            <v>3007.6819999999998</v>
          </cell>
        </row>
        <row r="73">
          <cell r="E73">
            <v>44527.040495082736</v>
          </cell>
          <cell r="F73">
            <v>3195.36</v>
          </cell>
        </row>
        <row r="74">
          <cell r="E74">
            <v>42656.262078583241</v>
          </cell>
          <cell r="F74">
            <v>2892.2379999999998</v>
          </cell>
        </row>
        <row r="75">
          <cell r="E75">
            <v>46389.296256661415</v>
          </cell>
          <cell r="F75">
            <v>2896.9189999999999</v>
          </cell>
        </row>
        <row r="76">
          <cell r="E76">
            <v>48256.360802471638</v>
          </cell>
          <cell r="F76">
            <v>2553.5700000000002</v>
          </cell>
        </row>
        <row r="77">
          <cell r="E77">
            <v>33551.298288270831</v>
          </cell>
          <cell r="F77">
            <v>2070.2109999999998</v>
          </cell>
        </row>
        <row r="78">
          <cell r="E78">
            <v>22706.62067809701</v>
          </cell>
          <cell r="F78">
            <v>1394.4</v>
          </cell>
        </row>
        <row r="79">
          <cell r="E79">
            <v>18491.54800671339</v>
          </cell>
          <cell r="F79">
            <v>1075.731</v>
          </cell>
        </row>
        <row r="80">
          <cell r="E80">
            <v>22544.445098131895</v>
          </cell>
          <cell r="F80">
            <v>1284.175</v>
          </cell>
        </row>
        <row r="81">
          <cell r="E81">
            <v>24885.547288388014</v>
          </cell>
          <cell r="F81">
            <v>1437.212</v>
          </cell>
        </row>
        <row r="82">
          <cell r="E82">
            <v>42815.48224812746</v>
          </cell>
          <cell r="F82">
            <v>2238.3240000000001</v>
          </cell>
        </row>
        <row r="83">
          <cell r="E83">
            <v>42645.62105448544</v>
          </cell>
          <cell r="F83">
            <v>2585.2800000000002</v>
          </cell>
        </row>
        <row r="84">
          <cell r="E84">
            <v>48471.257897302508</v>
          </cell>
          <cell r="F84">
            <v>2992.616</v>
          </cell>
        </row>
        <row r="85">
          <cell r="E85">
            <v>50840.038594275713</v>
          </cell>
          <cell r="F85">
            <v>3179.37</v>
          </cell>
        </row>
        <row r="86">
          <cell r="E86">
            <v>48787.335496157408</v>
          </cell>
          <cell r="F86">
            <v>2877.6990000000001</v>
          </cell>
        </row>
        <row r="87">
          <cell r="E87">
            <v>51734.822632491589</v>
          </cell>
          <cell r="F87">
            <v>2882.4110000000001</v>
          </cell>
        </row>
        <row r="88">
          <cell r="E88">
            <v>56330.253009021282</v>
          </cell>
          <cell r="F88">
            <v>2540.79</v>
          </cell>
        </row>
        <row r="89">
          <cell r="E89">
            <v>33573.224711433053</v>
          </cell>
          <cell r="F89">
            <v>2059.857</v>
          </cell>
        </row>
        <row r="90">
          <cell r="E90">
            <v>24885.214622750878</v>
          </cell>
          <cell r="F90">
            <v>1387.41</v>
          </cell>
        </row>
        <row r="91">
          <cell r="E91">
            <v>19638.374405413866</v>
          </cell>
          <cell r="F91">
            <v>1070.306</v>
          </cell>
        </row>
        <row r="92">
          <cell r="E92">
            <v>23114.831305205822</v>
          </cell>
          <cell r="F92">
            <v>1277.6959999999999</v>
          </cell>
        </row>
        <row r="93">
          <cell r="E93">
            <v>28034.691789716482</v>
          </cell>
          <cell r="F93">
            <v>1481.03</v>
          </cell>
        </row>
        <row r="94">
          <cell r="E94">
            <v>47171.08406598866</v>
          </cell>
          <cell r="F94">
            <v>2227.1329999999998</v>
          </cell>
        </row>
        <row r="95">
          <cell r="E95">
            <v>45941.02354003489</v>
          </cell>
          <cell r="F95">
            <v>2572.35</v>
          </cell>
        </row>
        <row r="96">
          <cell r="E96">
            <v>49822.132551267743</v>
          </cell>
          <cell r="F96">
            <v>2977.674</v>
          </cell>
        </row>
        <row r="97">
          <cell r="E97">
            <v>53638.791777133942</v>
          </cell>
          <cell r="F97">
            <v>3163.47</v>
          </cell>
        </row>
        <row r="98">
          <cell r="E98">
            <v>52175.697595655918</v>
          </cell>
          <cell r="F98">
            <v>2863.3150000000001</v>
          </cell>
        </row>
        <row r="99">
          <cell r="E99">
            <v>57599.915363997221</v>
          </cell>
          <cell r="F99">
            <v>2868.027</v>
          </cell>
        </row>
        <row r="100">
          <cell r="E100">
            <v>55217.849770486355</v>
          </cell>
          <cell r="F100">
            <v>2528.13</v>
          </cell>
        </row>
        <row r="101">
          <cell r="E101">
            <v>-30077.528287529945</v>
          </cell>
          <cell r="F101">
            <v>2049.627</v>
          </cell>
        </row>
        <row r="102">
          <cell r="E102">
            <v>30107.624423384666</v>
          </cell>
          <cell r="F102">
            <v>1380.45</v>
          </cell>
        </row>
        <row r="103">
          <cell r="E103">
            <v>20459.387977570295</v>
          </cell>
          <cell r="F103">
            <v>1064.9739999999999</v>
          </cell>
        </row>
        <row r="104">
          <cell r="E104">
            <v>25507.410451680422</v>
          </cell>
          <cell r="F104">
            <v>1271.3720000000001</v>
          </cell>
        </row>
        <row r="105">
          <cell r="E105">
            <v>26594.82295525074</v>
          </cell>
          <cell r="F105">
            <v>1422.876</v>
          </cell>
        </row>
        <row r="106">
          <cell r="E106">
            <v>47054.48240557313</v>
          </cell>
          <cell r="F106">
            <v>2216.0659999999998</v>
          </cell>
        </row>
        <row r="107">
          <cell r="E107">
            <v>47180.032073989511</v>
          </cell>
          <cell r="F107">
            <v>2559.48</v>
          </cell>
        </row>
        <row r="108">
          <cell r="E108">
            <v>52262.63442517817</v>
          </cell>
          <cell r="F108">
            <v>2962.7939999999999</v>
          </cell>
        </row>
        <row r="109">
          <cell r="E109">
            <v>56708.277726083994</v>
          </cell>
          <cell r="F109">
            <v>3147.63</v>
          </cell>
        </row>
        <row r="110">
          <cell r="E110">
            <v>52694.382146120071</v>
          </cell>
          <cell r="F110">
            <v>2849.0239999999999</v>
          </cell>
        </row>
        <row r="111">
          <cell r="E111">
            <v>56612.079983025789</v>
          </cell>
          <cell r="F111">
            <v>2853.7049999999999</v>
          </cell>
        </row>
        <row r="112">
          <cell r="E112">
            <v>57579.206329762936</v>
          </cell>
          <cell r="F112">
            <v>2515.44</v>
          </cell>
        </row>
        <row r="113">
          <cell r="E113">
            <v>39875.718378588557</v>
          </cell>
          <cell r="F113">
            <v>2039.3969999999999</v>
          </cell>
        </row>
        <row r="114">
          <cell r="E114">
            <v>25959.657152578235</v>
          </cell>
          <cell r="F114">
            <v>1373.61</v>
          </cell>
        </row>
        <row r="115">
          <cell r="E115">
            <v>20224.081182152033</v>
          </cell>
          <cell r="F115">
            <v>1059.7349999999999</v>
          </cell>
        </row>
        <row r="116">
          <cell r="E116">
            <v>26602.17549341917</v>
          </cell>
          <cell r="F116">
            <v>1265.0170000000001</v>
          </cell>
        </row>
        <row r="117">
          <cell r="E117">
            <v>28914.839602783322</v>
          </cell>
          <cell r="F117">
            <v>1415.7639999999999</v>
          </cell>
        </row>
        <row r="118">
          <cell r="E118">
            <v>49502.462798550725</v>
          </cell>
          <cell r="F118">
            <v>2204.9369999999999</v>
          </cell>
        </row>
        <row r="119">
          <cell r="E119">
            <v>47940.804052323103</v>
          </cell>
          <cell r="F119">
            <v>2546.6999999999998</v>
          </cell>
        </row>
        <row r="120">
          <cell r="E120">
            <v>53163.856125205755</v>
          </cell>
          <cell r="F120">
            <v>2948.0070000000001</v>
          </cell>
        </row>
        <row r="121">
          <cell r="E121">
            <v>59739.260166496038</v>
          </cell>
          <cell r="F121">
            <v>3131.88</v>
          </cell>
        </row>
        <row r="122">
          <cell r="E122">
            <v>55821.058940380812</v>
          </cell>
          <cell r="F122">
            <v>2834.7640000000001</v>
          </cell>
        </row>
        <row r="123">
          <cell r="E123">
            <v>59557.746613442898</v>
          </cell>
          <cell r="F123">
            <v>2839.3519999999999</v>
          </cell>
        </row>
        <row r="124">
          <cell r="E124">
            <v>56893.914663165808</v>
          </cell>
          <cell r="F124">
            <v>2502.9299999999998</v>
          </cell>
        </row>
        <row r="125">
          <cell r="E125">
            <v>42353.784643620253</v>
          </cell>
          <cell r="F125">
            <v>2029.105</v>
          </cell>
        </row>
        <row r="126">
          <cell r="E126">
            <v>27137.906163871288</v>
          </cell>
          <cell r="F126">
            <v>1366.71</v>
          </cell>
        </row>
        <row r="127">
          <cell r="E127">
            <v>20520.406041681767</v>
          </cell>
          <cell r="F127">
            <v>1054.3720000000001</v>
          </cell>
        </row>
        <row r="128">
          <cell r="E128">
            <v>26923.463406950235</v>
          </cell>
          <cell r="F128">
            <v>1258.662</v>
          </cell>
        </row>
        <row r="129">
          <cell r="E129">
            <v>30154.484787642956</v>
          </cell>
          <cell r="F129">
            <v>1408.68</v>
          </cell>
        </row>
        <row r="130">
          <cell r="E130">
            <v>50401.091669648886</v>
          </cell>
          <cell r="F130">
            <v>2193.87</v>
          </cell>
        </row>
        <row r="131">
          <cell r="E131">
            <v>49111.824406936765</v>
          </cell>
          <cell r="F131">
            <v>2533.98</v>
          </cell>
        </row>
        <row r="132">
          <cell r="E132">
            <v>55046.468516677618</v>
          </cell>
          <cell r="F132">
            <v>2933.2510000000002</v>
          </cell>
        </row>
        <row r="133">
          <cell r="E133">
            <v>61826.08263990283</v>
          </cell>
          <cell r="F133">
            <v>3116.28</v>
          </cell>
        </row>
        <row r="134">
          <cell r="E134">
            <v>57639.985171705484</v>
          </cell>
          <cell r="F134">
            <v>2820.5659999999998</v>
          </cell>
        </row>
        <row r="135">
          <cell r="E135">
            <v>63185.448741465807</v>
          </cell>
          <cell r="F135">
            <v>2825.2159999999999</v>
          </cell>
        </row>
        <row r="136">
          <cell r="E136">
            <v>61257.604206413031</v>
          </cell>
          <cell r="F136">
            <v>2490.39</v>
          </cell>
        </row>
        <row r="137">
          <cell r="E137">
            <v>43733.76333335042</v>
          </cell>
          <cell r="F137">
            <v>2019.03</v>
          </cell>
        </row>
        <row r="138">
          <cell r="E138">
            <v>27897.121275618672</v>
          </cell>
          <cell r="F138">
            <v>1359.93</v>
          </cell>
        </row>
        <row r="139">
          <cell r="E139">
            <v>23305.424280822277</v>
          </cell>
          <cell r="F139">
            <v>1049.133</v>
          </cell>
        </row>
        <row r="140">
          <cell r="E140">
            <v>29169.194112986326</v>
          </cell>
          <cell r="F140">
            <v>1252.338</v>
          </cell>
        </row>
        <row r="141">
          <cell r="E141">
            <v>34021.548134565353</v>
          </cell>
          <cell r="F141">
            <v>1451.682</v>
          </cell>
        </row>
        <row r="142">
          <cell r="E142">
            <v>52853.148813337088</v>
          </cell>
          <cell r="F142">
            <v>2182.9580000000001</v>
          </cell>
        </row>
        <row r="143">
          <cell r="E143">
            <v>59760.809343710542</v>
          </cell>
          <cell r="F143">
            <v>2521.29</v>
          </cell>
        </row>
        <row r="144">
          <cell r="E144">
            <v>61600.817929685116</v>
          </cell>
          <cell r="F144">
            <v>2918.681</v>
          </cell>
        </row>
        <row r="145">
          <cell r="E145">
            <v>65429.38357719779</v>
          </cell>
          <cell r="F145">
            <v>3100.65</v>
          </cell>
        </row>
        <row r="146">
          <cell r="E146">
            <v>69257.993314951658</v>
          </cell>
          <cell r="F146">
            <v>2806.4920000000002</v>
          </cell>
        </row>
        <row r="147">
          <cell r="E147">
            <v>67285.18960121274</v>
          </cell>
          <cell r="F147">
            <v>2811.1109999999999</v>
          </cell>
        </row>
        <row r="148">
          <cell r="E148">
            <v>60147.165192723274</v>
          </cell>
          <cell r="F148">
            <v>2477.88</v>
          </cell>
        </row>
        <row r="149">
          <cell r="E149">
            <v>47341.214884996414</v>
          </cell>
          <cell r="F149">
            <v>2008.924</v>
          </cell>
        </row>
        <row r="150">
          <cell r="E150">
            <v>31665.36151432991</v>
          </cell>
          <cell r="F150">
            <v>1353.06</v>
          </cell>
        </row>
        <row r="151">
          <cell r="E151">
            <v>25411.16902717948</v>
          </cell>
          <cell r="F151">
            <v>1043.8630000000001</v>
          </cell>
        </row>
        <row r="152">
          <cell r="E152">
            <v>-11797.822194010019</v>
          </cell>
          <cell r="F152">
            <v>1246.107</v>
          </cell>
        </row>
        <row r="153">
          <cell r="E153">
            <v>34948.621652066708</v>
          </cell>
          <cell r="F153">
            <v>1394.568</v>
          </cell>
        </row>
        <row r="154">
          <cell r="E154">
            <v>54264.048511326313</v>
          </cell>
          <cell r="F154">
            <v>2171.9839999999999</v>
          </cell>
        </row>
        <row r="155">
          <cell r="E155">
            <v>54899.0966822505</v>
          </cell>
          <cell r="F155">
            <v>2508.66</v>
          </cell>
        </row>
        <row r="156">
          <cell r="E156">
            <v>66810.921283721924</v>
          </cell>
          <cell r="F156">
            <v>2903.9560000000001</v>
          </cell>
        </row>
        <row r="157">
          <cell r="E157">
            <v>71107.271430850029</v>
          </cell>
          <cell r="F157">
            <v>3085.17</v>
          </cell>
        </row>
        <row r="158">
          <cell r="E158">
            <v>75090.916450113058</v>
          </cell>
          <cell r="F158">
            <v>2792.4180000000001</v>
          </cell>
        </row>
        <row r="159">
          <cell r="E159">
            <v>71881.366118788719</v>
          </cell>
          <cell r="F159">
            <v>2797.0369999999998</v>
          </cell>
        </row>
        <row r="160">
          <cell r="E160">
            <v>95263.295608520508</v>
          </cell>
          <cell r="F160">
            <v>2465.58</v>
          </cell>
        </row>
        <row r="161">
          <cell r="E161">
            <v>52278.94829750061</v>
          </cell>
          <cell r="F161">
            <v>1998.8489999999999</v>
          </cell>
        </row>
        <row r="162">
          <cell r="E162">
            <v>35042.124408274889</v>
          </cell>
          <cell r="F162">
            <v>1346.34</v>
          </cell>
        </row>
        <row r="163">
          <cell r="E163">
            <v>32322.898242950439</v>
          </cell>
          <cell r="F163">
            <v>1038.624</v>
          </cell>
        </row>
        <row r="164">
          <cell r="E164">
            <v>41567.386119931936</v>
          </cell>
          <cell r="F164">
            <v>1239.876</v>
          </cell>
        </row>
        <row r="165">
          <cell r="E165">
            <v>42960.142350643873</v>
          </cell>
          <cell r="F165">
            <v>1387.652</v>
          </cell>
        </row>
        <row r="166">
          <cell r="E166">
            <v>59448.741849273443</v>
          </cell>
          <cell r="F166">
            <v>2161.134</v>
          </cell>
        </row>
        <row r="167">
          <cell r="E167">
            <v>59747.489663124084</v>
          </cell>
          <cell r="F167">
            <v>2496.15</v>
          </cell>
        </row>
        <row r="168">
          <cell r="E168">
            <v>73557.745376586914</v>
          </cell>
          <cell r="F168">
            <v>2889.51</v>
          </cell>
        </row>
        <row r="169">
          <cell r="E169">
            <v>74877.229498594999</v>
          </cell>
          <cell r="F169">
            <v>3069.75</v>
          </cell>
        </row>
        <row r="170">
          <cell r="E170">
            <v>85359.53674814105</v>
          </cell>
          <cell r="F170">
            <v>2778.4369999999999</v>
          </cell>
        </row>
        <row r="171">
          <cell r="E171">
            <v>82758.570593655109</v>
          </cell>
          <cell r="F171">
            <v>2783.056</v>
          </cell>
        </row>
        <row r="172">
          <cell r="E172">
            <v>69916.601392835379</v>
          </cell>
          <cell r="F172">
            <v>2453.19</v>
          </cell>
        </row>
        <row r="173">
          <cell r="E173">
            <v>58140.484123319387</v>
          </cell>
          <cell r="F173">
            <v>1988.867</v>
          </cell>
        </row>
        <row r="174">
          <cell r="E174">
            <v>38512.363576024771</v>
          </cell>
          <cell r="F174">
            <v>1339.65</v>
          </cell>
        </row>
        <row r="175">
          <cell r="E175">
            <v>36525.963347017765</v>
          </cell>
          <cell r="F175">
            <v>1033.509</v>
          </cell>
        </row>
        <row r="176">
          <cell r="E176">
            <v>45393.743282556534</v>
          </cell>
          <cell r="F176">
            <v>1233.7070000000001</v>
          </cell>
        </row>
        <row r="177">
          <cell r="E177">
            <v>46072.510347783566</v>
          </cell>
          <cell r="F177">
            <v>1380.68</v>
          </cell>
        </row>
        <row r="178">
          <cell r="E178">
            <v>61115.048136502504</v>
          </cell>
          <cell r="F178">
            <v>2150.377</v>
          </cell>
        </row>
        <row r="179">
          <cell r="E179">
            <v>62484.502021551132</v>
          </cell>
          <cell r="F179">
            <v>2483.64</v>
          </cell>
        </row>
        <row r="180">
          <cell r="E180">
            <v>73674.369982302189</v>
          </cell>
          <cell r="F180">
            <v>2875.0949999999998</v>
          </cell>
        </row>
        <row r="181">
          <cell r="E181">
            <v>77002.874089092016</v>
          </cell>
          <cell r="F181">
            <v>3054.36</v>
          </cell>
        </row>
        <row r="182">
          <cell r="E182">
            <v>90355.676601111889</v>
          </cell>
          <cell r="F182">
            <v>2764.6109999999999</v>
          </cell>
        </row>
        <row r="183">
          <cell r="E183">
            <v>88527.481247097254</v>
          </cell>
          <cell r="F183">
            <v>2769.0749999999998</v>
          </cell>
        </row>
        <row r="184">
          <cell r="E184">
            <v>69830.623558312654</v>
          </cell>
          <cell r="F184">
            <v>2440.9499999999998</v>
          </cell>
        </row>
        <row r="185">
          <cell r="E185">
            <v>60063.788692504168</v>
          </cell>
          <cell r="F185">
            <v>1978.9469999999999</v>
          </cell>
        </row>
        <row r="186">
          <cell r="E186">
            <v>39308.270639389753</v>
          </cell>
          <cell r="F186">
            <v>1332.96</v>
          </cell>
        </row>
        <row r="187">
          <cell r="E187">
            <v>39555.719251543283</v>
          </cell>
          <cell r="F187">
            <v>1028.27</v>
          </cell>
        </row>
        <row r="188">
          <cell r="E188">
            <v>47652.978676944971</v>
          </cell>
          <cell r="F188">
            <v>1227.538</v>
          </cell>
        </row>
        <row r="189">
          <cell r="E189">
            <v>49387.842852920294</v>
          </cell>
          <cell r="F189">
            <v>1422.885</v>
          </cell>
        </row>
        <row r="190">
          <cell r="E190">
            <v>63294.150646865368</v>
          </cell>
          <cell r="F190">
            <v>2139.62</v>
          </cell>
        </row>
        <row r="191">
          <cell r="E191">
            <v>64284.321698248386</v>
          </cell>
          <cell r="F191">
            <v>2471.2800000000002</v>
          </cell>
        </row>
        <row r="192">
          <cell r="E192">
            <v>77750.026095241308</v>
          </cell>
          <cell r="F192">
            <v>2860.6179999999999</v>
          </cell>
        </row>
        <row r="193">
          <cell r="E193">
            <v>78974.205328524113</v>
          </cell>
          <cell r="F193">
            <v>3039.09</v>
          </cell>
        </row>
        <row r="194">
          <cell r="E194">
            <v>108072.27752438188</v>
          </cell>
          <cell r="F194">
            <v>2750.7539999999999</v>
          </cell>
        </row>
        <row r="195">
          <cell r="E195">
            <v>94616.709473460913</v>
          </cell>
          <cell r="F195">
            <v>2755.28</v>
          </cell>
        </row>
        <row r="196">
          <cell r="E196">
            <v>71969.144764512777</v>
          </cell>
          <cell r="F196">
            <v>2428.71</v>
          </cell>
        </row>
        <row r="197">
          <cell r="E197">
            <v>63366.583021700382</v>
          </cell>
          <cell r="F197">
            <v>1969.0889999999999</v>
          </cell>
        </row>
        <row r="198">
          <cell r="E198">
            <v>43390.697379142046</v>
          </cell>
          <cell r="F198">
            <v>1326.27</v>
          </cell>
        </row>
        <row r="199">
          <cell r="E199">
            <v>42386.982124000788</v>
          </cell>
          <cell r="F199">
            <v>1023.155</v>
          </cell>
        </row>
        <row r="200">
          <cell r="E200">
            <v>55791.618844121695</v>
          </cell>
          <cell r="F200">
            <v>1221.4000000000001</v>
          </cell>
        </row>
        <row r="201">
          <cell r="E201">
            <v>58992.923293501139</v>
          </cell>
          <cell r="F201">
            <v>1366.96</v>
          </cell>
        </row>
        <row r="202">
          <cell r="E202">
            <v>71654.978036493063</v>
          </cell>
          <cell r="F202">
            <v>2128.9250000000002</v>
          </cell>
        </row>
        <row r="203">
          <cell r="E203">
            <v>69618.134832590818</v>
          </cell>
          <cell r="F203">
            <v>2458.89</v>
          </cell>
        </row>
        <row r="204">
          <cell r="E204">
            <v>87153.193133622408</v>
          </cell>
          <cell r="F204">
            <v>2846.3890000000001</v>
          </cell>
        </row>
        <row r="205">
          <cell r="E205">
            <v>88413.471800923347</v>
          </cell>
          <cell r="F205">
            <v>3023.91</v>
          </cell>
        </row>
        <row r="206">
          <cell r="E206">
            <v>162993.6143552959</v>
          </cell>
          <cell r="F206">
            <v>2737.0520000000001</v>
          </cell>
        </row>
        <row r="207">
          <cell r="E207">
            <v>126759.63557222486</v>
          </cell>
          <cell r="F207">
            <v>2741.5160000000001</v>
          </cell>
        </row>
        <row r="208">
          <cell r="E208">
            <v>80210.130565702915</v>
          </cell>
          <cell r="F208">
            <v>2416.59</v>
          </cell>
        </row>
        <row r="209">
          <cell r="E209">
            <v>75959.721574723721</v>
          </cell>
          <cell r="F209">
            <v>1959.1379999999999</v>
          </cell>
        </row>
        <row r="210">
          <cell r="E210">
            <v>53489.585097193718</v>
          </cell>
          <cell r="F210">
            <v>1319.61</v>
          </cell>
        </row>
        <row r="211">
          <cell r="E211">
            <v>54654.232805550098</v>
          </cell>
          <cell r="F211">
            <v>1018.009</v>
          </cell>
        </row>
        <row r="212">
          <cell r="E212">
            <v>64533.910477310419</v>
          </cell>
          <cell r="F212">
            <v>1215.2619999999999</v>
          </cell>
        </row>
        <row r="213">
          <cell r="E213">
            <v>65851.722679257393</v>
          </cell>
          <cell r="F213">
            <v>1360.1279999999999</v>
          </cell>
        </row>
        <row r="214">
          <cell r="E214">
            <v>86525.560074776411</v>
          </cell>
          <cell r="F214">
            <v>2118.23</v>
          </cell>
        </row>
        <row r="215">
          <cell r="E215">
            <v>81397.148173004389</v>
          </cell>
          <cell r="F215">
            <v>2446.59</v>
          </cell>
        </row>
        <row r="216">
          <cell r="E216">
            <v>104024.23745414615</v>
          </cell>
          <cell r="F216">
            <v>2832.098</v>
          </cell>
        </row>
        <row r="217">
          <cell r="E217">
            <v>105322.34398037195</v>
          </cell>
          <cell r="F217">
            <v>3008.82</v>
          </cell>
        </row>
        <row r="218">
          <cell r="E218">
            <v>164146.65382823348</v>
          </cell>
          <cell r="F218">
            <v>2723.35</v>
          </cell>
        </row>
        <row r="219">
          <cell r="E219">
            <v>148716.93333938718</v>
          </cell>
          <cell r="F219">
            <v>2727.7829999999999</v>
          </cell>
        </row>
        <row r="220">
          <cell r="E220">
            <v>95598.737940698862</v>
          </cell>
          <cell r="F220">
            <v>2404.56</v>
          </cell>
        </row>
        <row r="221">
          <cell r="E221">
            <v>90727.829928189516</v>
          </cell>
          <cell r="F221">
            <v>1949.404</v>
          </cell>
        </row>
        <row r="222">
          <cell r="E222">
            <v>60001.537962019444</v>
          </cell>
          <cell r="F222">
            <v>1313.01</v>
          </cell>
        </row>
        <row r="223">
          <cell r="E223">
            <v>66619.530361026525</v>
          </cell>
          <cell r="F223">
            <v>1012.925</v>
          </cell>
        </row>
        <row r="224">
          <cell r="E224">
            <v>180880.64769006844</v>
          </cell>
          <cell r="F224">
            <v>1209.2170000000001</v>
          </cell>
        </row>
        <row r="225">
          <cell r="E225">
            <v>180830.58588076706</v>
          </cell>
          <cell r="F225">
            <v>1353.296</v>
          </cell>
        </row>
        <row r="226">
          <cell r="E226">
            <v>180532.36093420858</v>
          </cell>
          <cell r="F226">
            <v>2107.6590000000001</v>
          </cell>
        </row>
        <row r="227">
          <cell r="E227">
            <v>180434.39903302069</v>
          </cell>
          <cell r="F227">
            <v>2434.38</v>
          </cell>
        </row>
        <row r="228">
          <cell r="E228">
            <v>180932.9147981214</v>
          </cell>
          <cell r="F228">
            <v>2817.9929999999999</v>
          </cell>
        </row>
        <row r="229">
          <cell r="E229">
            <v>180999.2265717196</v>
          </cell>
          <cell r="F229">
            <v>2993.76</v>
          </cell>
        </row>
        <row r="230">
          <cell r="E230">
            <v>181268.03397063489</v>
          </cell>
          <cell r="F230">
            <v>2709.741</v>
          </cell>
        </row>
        <row r="231">
          <cell r="E231">
            <v>180344.59871767039</v>
          </cell>
          <cell r="F231">
            <v>2714.143</v>
          </cell>
        </row>
        <row r="232">
          <cell r="E232">
            <v>180756.45173658009</v>
          </cell>
          <cell r="F232">
            <v>2392.5300000000002</v>
          </cell>
        </row>
        <row r="233">
          <cell r="E233">
            <v>181624.42309037919</v>
          </cell>
          <cell r="F233">
            <v>1939.6079999999999</v>
          </cell>
        </row>
        <row r="234">
          <cell r="E234">
            <v>180868.97126690621</v>
          </cell>
          <cell r="F234">
            <v>1306.44</v>
          </cell>
        </row>
        <row r="235">
          <cell r="E235">
            <v>180932.36697239752</v>
          </cell>
          <cell r="F235">
            <v>1007.841</v>
          </cell>
        </row>
        <row r="236">
          <cell r="E236">
            <v>185279.72139194608</v>
          </cell>
          <cell r="F236">
            <v>1203.079</v>
          </cell>
        </row>
        <row r="237">
          <cell r="E237">
            <v>185202.48369976878</v>
          </cell>
          <cell r="F237">
            <v>1394.61</v>
          </cell>
        </row>
        <row r="238">
          <cell r="E238">
            <v>184933.17605140805</v>
          </cell>
          <cell r="F238">
            <v>2097.15</v>
          </cell>
        </row>
        <row r="239">
          <cell r="E239">
            <v>184724.55405113101</v>
          </cell>
          <cell r="F239">
            <v>2422.14</v>
          </cell>
        </row>
        <row r="240">
          <cell r="E240">
            <v>185029.69221970439</v>
          </cell>
          <cell r="F240">
            <v>2803.8879999999999</v>
          </cell>
        </row>
        <row r="241">
          <cell r="E241">
            <v>184718.94994410872</v>
          </cell>
          <cell r="F241">
            <v>2978.79</v>
          </cell>
        </row>
        <row r="242">
          <cell r="E242">
            <v>185203.06406080723</v>
          </cell>
          <cell r="F242">
            <v>2696.2249999999999</v>
          </cell>
        </row>
        <row r="243">
          <cell r="E243">
            <v>185109.99719232321</v>
          </cell>
          <cell r="F243">
            <v>2700.596</v>
          </cell>
        </row>
        <row r="244">
          <cell r="E244">
            <v>184992.38205567002</v>
          </cell>
          <cell r="F244">
            <v>2380.56</v>
          </cell>
        </row>
        <row r="245">
          <cell r="E245">
            <v>185108.28533801436</v>
          </cell>
          <cell r="F245">
            <v>1929.905</v>
          </cell>
        </row>
        <row r="246">
          <cell r="E246">
            <v>185259.4833945334</v>
          </cell>
          <cell r="F246">
            <v>1299.8699999999999</v>
          </cell>
        </row>
        <row r="247">
          <cell r="E247">
            <v>185353.1069803834</v>
          </cell>
          <cell r="F247">
            <v>1002.819</v>
          </cell>
        </row>
        <row r="248">
          <cell r="E248">
            <v>189794.33550139586</v>
          </cell>
          <cell r="F248">
            <v>1197.1579999999999</v>
          </cell>
        </row>
        <row r="249">
          <cell r="E249">
            <v>189783.40233697812</v>
          </cell>
          <cell r="F249">
            <v>1339.856</v>
          </cell>
        </row>
        <row r="250">
          <cell r="E250">
            <v>189522.547000163</v>
          </cell>
          <cell r="F250">
            <v>2086.672</v>
          </cell>
        </row>
        <row r="251">
          <cell r="E251">
            <v>189347.59216564219</v>
          </cell>
          <cell r="F251">
            <v>2410.0500000000002</v>
          </cell>
        </row>
        <row r="252">
          <cell r="E252">
            <v>189183.27718635718</v>
          </cell>
          <cell r="F252">
            <v>2789.8760000000002</v>
          </cell>
        </row>
        <row r="253">
          <cell r="E253">
            <v>189188.31601824681</v>
          </cell>
          <cell r="F253">
            <v>2963.88</v>
          </cell>
        </row>
        <row r="254">
          <cell r="E254">
            <v>189563.12338935654</v>
          </cell>
          <cell r="F254">
            <v>2682.7089999999998</v>
          </cell>
        </row>
        <row r="255">
          <cell r="E255">
            <v>189640.30206703465</v>
          </cell>
          <cell r="F255">
            <v>2687.049</v>
          </cell>
        </row>
        <row r="256">
          <cell r="E256">
            <v>189564.0974028639</v>
          </cell>
          <cell r="F256">
            <v>2368.59</v>
          </cell>
        </row>
        <row r="257">
          <cell r="E257">
            <v>189596.77399935643</v>
          </cell>
          <cell r="F257">
            <v>1920.2950000000001</v>
          </cell>
        </row>
        <row r="258">
          <cell r="E258">
            <v>189814.43835764448</v>
          </cell>
          <cell r="F258">
            <v>1293.3599999999999</v>
          </cell>
        </row>
        <row r="259">
          <cell r="E259">
            <v>189890.64517190377</v>
          </cell>
          <cell r="F259">
            <v>997.79700000000003</v>
          </cell>
        </row>
        <row r="260">
          <cell r="E260" t="str">
            <v/>
          </cell>
          <cell r="F260" t="str">
            <v/>
          </cell>
        </row>
        <row r="261">
          <cell r="E261" t="str">
            <v/>
          </cell>
          <cell r="F261" t="str">
            <v/>
          </cell>
        </row>
        <row r="262">
          <cell r="E262" t="str">
            <v/>
          </cell>
          <cell r="F262" t="str">
            <v/>
          </cell>
        </row>
        <row r="263">
          <cell r="E263" t="str">
            <v/>
          </cell>
          <cell r="F263" t="str">
            <v/>
          </cell>
        </row>
        <row r="264">
          <cell r="E264" t="str">
            <v/>
          </cell>
          <cell r="F264" t="str">
            <v/>
          </cell>
        </row>
        <row r="265">
          <cell r="E265" t="str">
            <v/>
          </cell>
          <cell r="F265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L43"/>
  <sheetViews>
    <sheetView showGridLines="0" view="pageBreakPreview" zoomScale="6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B1" sqref="B1"/>
    </sheetView>
  </sheetViews>
  <sheetFormatPr defaultColWidth="9.140625" defaultRowHeight="15" x14ac:dyDescent="0.25"/>
  <cols>
    <col min="1" max="1" width="1.85546875" style="2" customWidth="1"/>
    <col min="2" max="2" width="22.140625" style="2" customWidth="1"/>
    <col min="3" max="3" width="1.42578125" style="2" customWidth="1"/>
    <col min="4" max="5" width="17.28515625" style="2" customWidth="1"/>
    <col min="6" max="6" width="1.5703125" style="2" customWidth="1"/>
    <col min="7" max="7" width="17.42578125" style="2" customWidth="1"/>
    <col min="8" max="8" width="0.7109375" style="23" customWidth="1"/>
    <col min="9" max="9" width="13" style="23" hidden="1" customWidth="1"/>
    <col min="10" max="10" width="9.140625" style="4" customWidth="1"/>
    <col min="11" max="11" width="14.5703125" style="4" customWidth="1"/>
    <col min="12" max="12" width="12.7109375" style="4" customWidth="1"/>
    <col min="13" max="13" width="10.5703125" style="4" bestFit="1" customWidth="1"/>
    <col min="14" max="14" width="9.140625" style="4"/>
    <col min="15" max="15" width="31" style="4" customWidth="1"/>
    <col min="16" max="16384" width="9.140625" style="4"/>
  </cols>
  <sheetData>
    <row r="1" spans="2:11" x14ac:dyDescent="0.25">
      <c r="B1" s="3" t="str">
        <f>'[1]Table 5'!$M$4</f>
        <v>Utah Sch 37 Solar T</v>
      </c>
      <c r="C1" s="3"/>
      <c r="D1" s="3"/>
      <c r="E1" s="3"/>
      <c r="F1" s="3"/>
      <c r="G1" s="3"/>
      <c r="H1" s="161"/>
      <c r="I1" s="162"/>
      <c r="K1" s="4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</row>
    <row r="2" spans="2:11" x14ac:dyDescent="0.25">
      <c r="B2" s="3" t="s">
        <v>111</v>
      </c>
      <c r="C2" s="3"/>
      <c r="D2" s="3"/>
      <c r="E2" s="3"/>
      <c r="F2" s="3"/>
      <c r="G2" s="3"/>
      <c r="H2" s="161"/>
      <c r="I2" s="162"/>
      <c r="K2" s="4" t="str">
        <f>IF(Shape_Annually="Yes","HLH/LLH Shaped Annually","HLH/LLH Shaped Monthly")</f>
        <v>HLH/LLH Shaped Annually</v>
      </c>
    </row>
    <row r="3" spans="2:11" x14ac:dyDescent="0.25">
      <c r="B3" s="3" t="s">
        <v>55</v>
      </c>
      <c r="C3" s="3"/>
      <c r="D3" s="3"/>
      <c r="E3" s="3"/>
      <c r="F3" s="3"/>
      <c r="G3" s="3"/>
      <c r="H3" s="161"/>
      <c r="I3" s="162"/>
    </row>
    <row r="5" spans="2:11" x14ac:dyDescent="0.25">
      <c r="B5" s="5"/>
      <c r="D5" s="6" t="s">
        <v>54</v>
      </c>
      <c r="E5" s="7"/>
      <c r="G5" s="8" t="s">
        <v>73</v>
      </c>
      <c r="I5" s="163" t="s">
        <v>98</v>
      </c>
    </row>
    <row r="6" spans="2:11" x14ac:dyDescent="0.25">
      <c r="B6" s="9" t="s">
        <v>0</v>
      </c>
      <c r="D6" s="10" t="s">
        <v>9</v>
      </c>
      <c r="E6" s="10" t="s">
        <v>10</v>
      </c>
      <c r="G6" s="11" t="str">
        <f>"at "&amp;TEXT('[1]Table 1'!$G$9,"00.0%")&amp; " CF  (1)"</f>
        <v>at 31.1% CF  (1)</v>
      </c>
      <c r="I6" s="164" t="s">
        <v>99</v>
      </c>
      <c r="K6" s="4" t="s">
        <v>51</v>
      </c>
    </row>
    <row r="7" spans="2:11" ht="4.5" customHeight="1" x14ac:dyDescent="0.25"/>
    <row r="8" spans="2:11" x14ac:dyDescent="0.25">
      <c r="B8" s="16">
        <f>YEAR(SourceEnergy!B19)</f>
        <v>2017</v>
      </c>
      <c r="D8" s="13">
        <f>IFERROR(SUMIF(SourceEnergy!$M$13:$M$271,B8,SourceEnergy!D$13:D$271)/SUMIF(SourceEnergy!$M$13:$M$271,B8,SourceEnergy!G$13:G$271),0)</f>
        <v>20.954969201023403</v>
      </c>
      <c r="E8" s="13">
        <f>IFERROR(SUMIF(SourceEnergy!$M$13:$M$271,B8,SourceEnergy!E$13:E$271)/SUMIF(SourceEnergy!$M$13:$M$271,B8,SourceEnergy!H$13:H$271),0)</f>
        <v>16.21651854815612</v>
      </c>
      <c r="G8" s="13">
        <f>IFERROR(SUMIF(SourceEnergy!$M$13:$M$271,B8,SourceEnergy!C$13:C$271)/SUMIF(SourceEnergy!$M$13:$M$271,B8,SourceEnergy!F$13:F$271),0)</f>
        <v>18.629755164972888</v>
      </c>
      <c r="I8" s="165" t="e">
        <f>-INDEX([2]Delta!$E$350:$EE$350,MATCH(B8,[2]Delta!$E$3:$EE$3,0))/INDEX([2]Delta!$E$349:$EE$349,MATCH(B8,[2]Delta!$E$3:$EE$3,0))</f>
        <v>#N/A</v>
      </c>
      <c r="K8" s="14" t="str">
        <f>IF(ROUND(G8-'[1]Table 1'!$G12,2)&lt;&gt;0,"Error - Priced off "," - ")</f>
        <v xml:space="preserve"> - </v>
      </c>
    </row>
    <row r="9" spans="2:11" x14ac:dyDescent="0.25">
      <c r="B9" s="12">
        <f t="shared" ref="B9:B28" si="0">B8+1</f>
        <v>2018</v>
      </c>
      <c r="D9" s="13">
        <f>IFERROR(SUMIF(SourceEnergy!$M$13:$M$271,B9,SourceEnergy!D$13:D$271)/SUMIF(SourceEnergy!$M$13:$M$271,B9,SourceEnergy!G$13:G$271),0)</f>
        <v>20.021421593237598</v>
      </c>
      <c r="E9" s="13">
        <f>IFERROR(SUMIF(SourceEnergy!$M$13:$M$271,B9,SourceEnergy!E$13:E$271)/SUMIF(SourceEnergy!$M$13:$M$271,B9,SourceEnergy!H$13:H$271),0)</f>
        <v>16.003020108876626</v>
      </c>
      <c r="G9" s="13">
        <f>IFERROR(SUMIF(SourceEnergy!$M$13:$M$271,B9,SourceEnergy!C$13:C$271)/SUMIF(SourceEnergy!$M$13:$M$271,B9,SourceEnergy!F$13:F$271),0)</f>
        <v>19.312898655485885</v>
      </c>
      <c r="I9" s="165" t="e">
        <f>-INDEX([2]Delta!$E$350:$EE$350,MATCH(B9,[2]Delta!$E$3:$EE$3,0))/INDEX([2]Delta!$E$349:$EE$349,MATCH(B9,[2]Delta!$E$3:$EE$3,0))</f>
        <v>#DIV/0!</v>
      </c>
      <c r="K9" s="14" t="str">
        <f>IF(ROUND(G9-'[1]Table 1'!$G13,2)&lt;&gt;0,"Error - Priced off "," - ")</f>
        <v xml:space="preserve"> - </v>
      </c>
    </row>
    <row r="10" spans="2:11" x14ac:dyDescent="0.25">
      <c r="B10" s="12">
        <f t="shared" si="0"/>
        <v>2019</v>
      </c>
      <c r="D10" s="13">
        <f>IFERROR(SUMIF(SourceEnergy!$M$13:$M$271,B10,SourceEnergy!D$13:D$271)/SUMIF(SourceEnergy!$M$13:$M$271,B10,SourceEnergy!G$13:G$271),0)</f>
        <v>17.812313762245882</v>
      </c>
      <c r="E10" s="13">
        <f>IFERROR(SUMIF(SourceEnergy!$M$13:$M$271,B10,SourceEnergy!E$13:E$271)/SUMIF(SourceEnergy!$M$13:$M$271,B10,SourceEnergy!H$13:H$271),0)</f>
        <v>13.12203620251428</v>
      </c>
      <c r="G10" s="13">
        <f>IFERROR(SUMIF(SourceEnergy!$M$13:$M$271,B10,SourceEnergy!C$13:C$271)/SUMIF(SourceEnergy!$M$13:$M$271,B10,SourceEnergy!F$13:F$271),0)</f>
        <v>16.985542176850327</v>
      </c>
      <c r="I10" s="165" t="e">
        <f>-INDEX([2]Delta!$E$350:$EE$350,MATCH(B10,[2]Delta!$E$3:$EE$3,0))/INDEX([2]Delta!$E$349:$EE$349,MATCH(B10,[2]Delta!$E$3:$EE$3,0))</f>
        <v>#DIV/0!</v>
      </c>
      <c r="K10" s="14" t="str">
        <f>IF(ROUND(G10-'[1]Table 1'!$G14,2)&lt;&gt;0,"Error - Priced off "," - ")</f>
        <v xml:space="preserve"> - </v>
      </c>
    </row>
    <row r="11" spans="2:11" x14ac:dyDescent="0.25">
      <c r="B11" s="12">
        <f t="shared" si="0"/>
        <v>2020</v>
      </c>
      <c r="D11" s="13">
        <f>IFERROR(SUMIF(SourceEnergy!$M$13:$M$271,B11,SourceEnergy!D$13:D$271)/SUMIF(SourceEnergy!$M$13:$M$271,B11,SourceEnergy!G$13:G$271),0)</f>
        <v>14.999944691757406</v>
      </c>
      <c r="E11" s="13">
        <f>IFERROR(SUMIF(SourceEnergy!$M$13:$M$271,B11,SourceEnergy!E$13:E$271)/SUMIF(SourceEnergy!$M$13:$M$271,B11,SourceEnergy!H$13:H$271),0)</f>
        <v>10.732988679340076</v>
      </c>
      <c r="G11" s="13">
        <f>IFERROR(SUMIF(SourceEnergy!$M$13:$M$271,B11,SourceEnergy!C$13:C$271)/SUMIF(SourceEnergy!$M$13:$M$271,B11,SourceEnergy!F$13:F$271),0)</f>
        <v>14.247601471124884</v>
      </c>
      <c r="I11" s="165" t="e">
        <f>-INDEX([2]Delta!$E$350:$EE$350,MATCH(B11,[2]Delta!$E$3:$EE$3,0))/INDEX([2]Delta!$E$349:$EE$349,MATCH(B11,[2]Delta!$E$3:$EE$3,0))</f>
        <v>#DIV/0!</v>
      </c>
      <c r="K11" s="14" t="str">
        <f>IF(ROUND(G11-'[1]Table 1'!$G15,2)&lt;&gt;0,"Error - Priced off "," - ")</f>
        <v xml:space="preserve"> - </v>
      </c>
    </row>
    <row r="12" spans="2:11" x14ac:dyDescent="0.25">
      <c r="B12" s="12">
        <f t="shared" si="0"/>
        <v>2021</v>
      </c>
      <c r="D12" s="13">
        <f>IFERROR(SUMIF(SourceEnergy!$M$13:$M$271,B12,SourceEnergy!D$13:D$271)/SUMIF(SourceEnergy!$M$13:$M$271,B12,SourceEnergy!G$13:G$271),0)</f>
        <v>16.091138991015413</v>
      </c>
      <c r="E12" s="13">
        <f>IFERROR(SUMIF(SourceEnergy!$M$13:$M$271,B12,SourceEnergy!E$13:E$271)/SUMIF(SourceEnergy!$M$13:$M$271,B12,SourceEnergy!H$13:H$271),0)</f>
        <v>11.858489740459861</v>
      </c>
      <c r="G12" s="13">
        <f>IFERROR(SUMIF(SourceEnergy!$M$13:$M$271,B12,SourceEnergy!C$13:C$271)/SUMIF(SourceEnergy!$M$13:$M$271,B12,SourceEnergy!F$13:F$271),0)</f>
        <v>15.34509354111438</v>
      </c>
      <c r="I12" s="165" t="e">
        <f>-INDEX([2]Delta!$E$350:$EE$350,MATCH(B12,[2]Delta!$E$3:$EE$3,0))/INDEX([2]Delta!$E$349:$EE$349,MATCH(B12,[2]Delta!$E$3:$EE$3,0))</f>
        <v>#DIV/0!</v>
      </c>
      <c r="K12" s="14" t="str">
        <f>IF(ROUND(G12-'[1]Table 1'!$G16,2)&lt;&gt;0,"Error - Priced off "," - ")</f>
        <v xml:space="preserve"> - </v>
      </c>
    </row>
    <row r="13" spans="2:11" x14ac:dyDescent="0.25">
      <c r="B13" s="12">
        <f t="shared" si="0"/>
        <v>2022</v>
      </c>
      <c r="D13" s="13">
        <f>IFERROR(SUMIF(SourceEnergy!$M$13:$M$271,B13,SourceEnergy!D$13:D$271)/SUMIF(SourceEnergy!$M$13:$M$271,B13,SourceEnergy!G$13:G$271),0)</f>
        <v>16.732027163849203</v>
      </c>
      <c r="E13" s="13">
        <f>IFERROR(SUMIF(SourceEnergy!$M$13:$M$271,B13,SourceEnergy!E$13:E$271)/SUMIF(SourceEnergy!$M$13:$M$271,B13,SourceEnergy!H$13:H$271),0)</f>
        <v>12.880783740490825</v>
      </c>
      <c r="G13" s="13">
        <f>IFERROR(SUMIF(SourceEnergy!$M$13:$M$271,B13,SourceEnergy!C$13:C$271)/SUMIF(SourceEnergy!$M$13:$M$271,B13,SourceEnergy!F$13:F$271),0)</f>
        <v>16.053517490206573</v>
      </c>
      <c r="I13" s="165" t="e">
        <f>-INDEX([2]Delta!$E$350:$EE$350,MATCH(B13,[2]Delta!$E$3:$EE$3,0))/INDEX([2]Delta!$E$349:$EE$349,MATCH(B13,[2]Delta!$E$3:$EE$3,0))</f>
        <v>#DIV/0!</v>
      </c>
      <c r="K13" s="14" t="str">
        <f>IF(ROUND(G13-'[1]Table 1'!$G17,2)&lt;&gt;0,"Error - Priced off "," - ")</f>
        <v xml:space="preserve"> - </v>
      </c>
    </row>
    <row r="14" spans="2:11" x14ac:dyDescent="0.25">
      <c r="B14" s="12">
        <f t="shared" si="0"/>
        <v>2023</v>
      </c>
      <c r="D14" s="13">
        <f>IFERROR(SUMIF(SourceEnergy!$M$13:$M$271,B14,SourceEnergy!D$13:D$271)/SUMIF(SourceEnergy!$M$13:$M$271,B14,SourceEnergy!G$13:G$271),0)</f>
        <v>18.168626924441075</v>
      </c>
      <c r="E14" s="13">
        <f>IFERROR(SUMIF(SourceEnergy!$M$13:$M$271,B14,SourceEnergy!E$13:E$271)/SUMIF(SourceEnergy!$M$13:$M$271,B14,SourceEnergy!H$13:H$271),0)</f>
        <v>14.987152522374799</v>
      </c>
      <c r="G14" s="13">
        <f>IFERROR(SUMIF(SourceEnergy!$M$13:$M$271,B14,SourceEnergy!C$13:C$271)/SUMIF(SourceEnergy!$M$13:$M$271,B14,SourceEnergy!F$13:F$271),0)</f>
        <v>17.604812319292837</v>
      </c>
      <c r="I14" s="165" t="e">
        <f>-INDEX([2]Delta!$E$350:$EE$350,MATCH(B14,[2]Delta!$E$3:$EE$3,0))/INDEX([2]Delta!$E$349:$EE$349,MATCH(B14,[2]Delta!$E$3:$EE$3,0))</f>
        <v>#DIV/0!</v>
      </c>
      <c r="K14" s="14" t="str">
        <f>IF(ROUND(G14-'[1]Table 1'!$G18,2)&lt;&gt;0,"Error - Priced off "," - ")</f>
        <v xml:space="preserve"> - </v>
      </c>
    </row>
    <row r="15" spans="2:11" x14ac:dyDescent="0.25">
      <c r="B15" s="12">
        <f t="shared" si="0"/>
        <v>2024</v>
      </c>
      <c r="D15" s="13">
        <f>IFERROR(SUMIF(SourceEnergy!$M$13:$M$271,B15,SourceEnergy!D$13:D$271)/SUMIF(SourceEnergy!$M$13:$M$271,B15,SourceEnergy!G$13:G$271),0)</f>
        <v>16.8049314228758</v>
      </c>
      <c r="E15" s="13">
        <f>IFERROR(SUMIF(SourceEnergy!$M$13:$M$271,B15,SourceEnergy!E$13:E$271)/SUMIF(SourceEnergy!$M$13:$M$271,B15,SourceEnergy!H$13:H$271),0)</f>
        <v>14.366189621864764</v>
      </c>
      <c r="G15" s="13">
        <f>IFERROR(SUMIF(SourceEnergy!$M$13:$M$271,B15,SourceEnergy!C$13:C$271)/SUMIF(SourceEnergy!$M$13:$M$271,B15,SourceEnergy!F$13:F$271),0)</f>
        <v>16.375880111969682</v>
      </c>
      <c r="I15" s="165" t="e">
        <f>-INDEX([2]Delta!$E$350:$EE$350,MATCH(B15,[2]Delta!$E$3:$EE$3,0))/INDEX([2]Delta!$E$349:$EE$349,MATCH(B15,[2]Delta!$E$3:$EE$3,0))</f>
        <v>#DIV/0!</v>
      </c>
      <c r="K15" s="14" t="str">
        <f>IF(ROUND(G15-'[1]Table 1'!$G19,2)&lt;&gt;0,"Error - Priced off "," - ")</f>
        <v xml:space="preserve"> - </v>
      </c>
    </row>
    <row r="16" spans="2:11" x14ac:dyDescent="0.25">
      <c r="B16" s="12">
        <f t="shared" si="0"/>
        <v>2025</v>
      </c>
      <c r="D16" s="13">
        <f>IFERROR(SUMIF(SourceEnergy!$M$13:$M$271,B16,SourceEnergy!D$13:D$271)/SUMIF(SourceEnergy!$M$13:$M$271,B16,SourceEnergy!G$13:G$271),0)</f>
        <v>19.866840052280715</v>
      </c>
      <c r="E16" s="13">
        <f>IFERROR(SUMIF(SourceEnergy!$M$13:$M$271,B16,SourceEnergy!E$13:E$271)/SUMIF(SourceEnergy!$M$13:$M$271,B16,SourceEnergy!H$13:H$271),0)</f>
        <v>16.926279049717795</v>
      </c>
      <c r="G16" s="13">
        <f>IFERROR(SUMIF(SourceEnergy!$M$13:$M$271,B16,SourceEnergy!C$13:C$271)/SUMIF(SourceEnergy!$M$13:$M$271,B16,SourceEnergy!F$13:F$271),0)</f>
        <v>19.346438640302956</v>
      </c>
      <c r="I16" s="165" t="e">
        <f>-INDEX([2]Delta!$E$350:$EE$350,MATCH(B16,[2]Delta!$E$3:$EE$3,0))/INDEX([2]Delta!$E$349:$EE$349,MATCH(B16,[2]Delta!$E$3:$EE$3,0))</f>
        <v>#DIV/0!</v>
      </c>
      <c r="J16" s="15"/>
      <c r="K16" s="14" t="str">
        <f>IF(ROUND(G16-'[1]Table 1'!$G20,2)&lt;&gt;0,"Error - Priced off "," - ")</f>
        <v xml:space="preserve"> - </v>
      </c>
    </row>
    <row r="17" spans="2:12" x14ac:dyDescent="0.25">
      <c r="B17" s="12">
        <f t="shared" si="0"/>
        <v>2026</v>
      </c>
      <c r="D17" s="13">
        <f>IFERROR(SUMIF(SourceEnergy!$M$13:$M$271,B17,SourceEnergy!D$13:D$271)/SUMIF(SourceEnergy!$M$13:$M$271,B17,SourceEnergy!G$13:G$271),0)</f>
        <v>20.737913086079224</v>
      </c>
      <c r="E17" s="13">
        <f>IFERROR(SUMIF(SourceEnergy!$M$13:$M$271,B17,SourceEnergy!E$13:E$271)/SUMIF(SourceEnergy!$M$13:$M$271,B17,SourceEnergy!H$13:H$271),0)</f>
        <v>17.721048781813462</v>
      </c>
      <c r="G17" s="13">
        <f>IFERROR(SUMIF(SourceEnergy!$M$13:$M$271,B17,SourceEnergy!C$13:C$271)/SUMIF(SourceEnergy!$M$13:$M$271,B17,SourceEnergy!F$13:F$271),0)</f>
        <v>20.204956005914909</v>
      </c>
      <c r="I17" s="165" t="e">
        <f>-INDEX([2]Delta!$E$350:$EE$350,MATCH(B17,[2]Delta!$E$3:$EE$3,0))/INDEX([2]Delta!$E$349:$EE$349,MATCH(B17,[2]Delta!$E$3:$EE$3,0))</f>
        <v>#DIV/0!</v>
      </c>
      <c r="J17" s="15"/>
      <c r="K17" s="14" t="str">
        <f>IF(ROUND(G17-'[1]Table 1'!$G21,2)&lt;&gt;0,"Error - Priced off "," - ")</f>
        <v xml:space="preserve"> - </v>
      </c>
    </row>
    <row r="18" spans="2:12" x14ac:dyDescent="0.25">
      <c r="B18" s="12">
        <f t="shared" si="0"/>
        <v>2027</v>
      </c>
      <c r="D18" s="13">
        <f>IFERROR(SUMIF(SourceEnergy!$M$13:$M$271,B18,SourceEnergy!D$13:D$271)/SUMIF(SourceEnergy!$M$13:$M$271,B18,SourceEnergy!G$13:G$271),0)</f>
        <v>21.683254940552185</v>
      </c>
      <c r="E18" s="13">
        <f>IFERROR(SUMIF(SourceEnergy!$M$13:$M$271,B18,SourceEnergy!E$13:E$271)/SUMIF(SourceEnergy!$M$13:$M$271,B18,SourceEnergy!H$13:H$271),0)</f>
        <v>18.743508702473232</v>
      </c>
      <c r="G18" s="13">
        <f>IFERROR(SUMIF(SourceEnergy!$M$13:$M$271,B18,SourceEnergy!C$13:C$271)/SUMIF(SourceEnergy!$M$13:$M$271,B18,SourceEnergy!F$13:F$271),0)</f>
        <v>21.165097328551767</v>
      </c>
      <c r="I18" s="165" t="e">
        <f>-INDEX([2]Delta!$E$350:$EE$350,MATCH(B18,[2]Delta!$E$3:$EE$3,0))/INDEX([2]Delta!$E$349:$EE$349,MATCH(B18,[2]Delta!$E$3:$EE$3,0))</f>
        <v>#DIV/0!</v>
      </c>
      <c r="J18" s="15"/>
      <c r="K18" s="14" t="str">
        <f>IF(ROUND(G18-'[1]Table 1'!$G22,2)&lt;&gt;0,"Error - Priced off "," - ")</f>
        <v xml:space="preserve"> - </v>
      </c>
    </row>
    <row r="19" spans="2:12" x14ac:dyDescent="0.25">
      <c r="B19" s="12">
        <f t="shared" si="0"/>
        <v>2028</v>
      </c>
      <c r="D19" s="13">
        <f>IFERROR(SUMIF(SourceEnergy!$M$13:$M$271,B19,SourceEnergy!D$13:D$271)/SUMIF(SourceEnergy!$M$13:$M$271,B19,SourceEnergy!G$13:G$271),0)</f>
        <v>23.83860740412344</v>
      </c>
      <c r="E19" s="13">
        <f>IFERROR(SUMIF(SourceEnergy!$M$13:$M$271,B19,SourceEnergy!E$13:E$271)/SUMIF(SourceEnergy!$M$13:$M$271,B19,SourceEnergy!H$13:H$271),0)</f>
        <v>20.749640722575442</v>
      </c>
      <c r="G19" s="13">
        <f>IFERROR(SUMIF(SourceEnergy!$M$13:$M$271,B19,SourceEnergy!C$13:C$271)/SUMIF(SourceEnergy!$M$13:$M$271,B19,SourceEnergy!F$13:F$271),0)</f>
        <v>23.292246102678426</v>
      </c>
      <c r="I19" s="165" t="e">
        <f>-INDEX([3]Delta!$E$350:$EE$350,MATCH(B19,[3]Delta!$E$3:$EE$3,0))/INDEX([3]Delta!$E$349:$EE$349,MATCH(B19,[3]Delta!$E$3:$EE$3,0))</f>
        <v>#DIV/0!</v>
      </c>
      <c r="K19" s="14" t="str">
        <f>IF(ROUND(G19-'[1]Table 1'!$G23,2)&lt;&gt;0,"Error - Priced off "," - ")</f>
        <v xml:space="preserve"> - </v>
      </c>
    </row>
    <row r="20" spans="2:12" x14ac:dyDescent="0.25">
      <c r="B20" s="12">
        <f t="shared" si="0"/>
        <v>2029</v>
      </c>
      <c r="D20" s="13">
        <f>IFERROR(SUMIF(SourceEnergy!$M$13:$M$271,B20,SourceEnergy!D$13:D$271)/SUMIF(SourceEnergy!$M$13:$M$271,B20,SourceEnergy!G$13:G$271),0)</f>
        <v>25.101380517377642</v>
      </c>
      <c r="E20" s="13">
        <f>IFERROR(SUMIF(SourceEnergy!$M$13:$M$271,B20,SourceEnergy!E$13:E$271)/SUMIF(SourceEnergy!$M$13:$M$271,B20,SourceEnergy!H$13:H$271),0)</f>
        <v>21.966871694945453</v>
      </c>
      <c r="G20" s="13">
        <f>IFERROR(SUMIF(SourceEnergy!$M$13:$M$271,B20,SourceEnergy!C$13:C$271)/SUMIF(SourceEnergy!$M$13:$M$271,B20,SourceEnergy!F$13:F$271),0)</f>
        <v>24.548700676649794</v>
      </c>
      <c r="I20" s="165" t="e">
        <f>-INDEX([3]Delta!$E$350:$EE$350,MATCH(B20,[3]Delta!$E$3:$EE$3,0))/INDEX([3]Delta!$E$349:$EE$349,MATCH(B20,[3]Delta!$E$3:$EE$3,0))</f>
        <v>#DIV/0!</v>
      </c>
      <c r="K20" s="14" t="str">
        <f>IF(ROUND(G20-'[1]Table 1'!$G24,2)&lt;&gt;0,"Error - Priced off "," - ")</f>
        <v xml:space="preserve"> - </v>
      </c>
    </row>
    <row r="21" spans="2:12" x14ac:dyDescent="0.25">
      <c r="B21" s="12">
        <f t="shared" si="0"/>
        <v>2030</v>
      </c>
      <c r="D21" s="13">
        <f>IFERROR(SUMIF(SourceEnergy!$M$13:$M$271,B21,SourceEnergy!D$13:D$271)/SUMIF(SourceEnergy!$M$13:$M$271,B21,SourceEnergy!G$13:G$271),0)</f>
        <v>28.828019771769583</v>
      </c>
      <c r="E21" s="13">
        <f>IFERROR(SUMIF(SourceEnergy!$M$13:$M$271,B21,SourceEnergy!E$13:E$271)/SUMIF(SourceEnergy!$M$13:$M$271,B21,SourceEnergy!H$13:H$271),0)</f>
        <v>25.457028830229444</v>
      </c>
      <c r="G21" s="13">
        <f>IFERROR(SUMIF(SourceEnergy!$M$13:$M$271,B21,SourceEnergy!C$13:C$271)/SUMIF(SourceEnergy!$M$13:$M$271,B21,SourceEnergy!F$13:F$271),0)</f>
        <v>28.233809681256353</v>
      </c>
      <c r="I21" s="165" t="e">
        <f>-INDEX([3]Delta!$E$350:$EE$350,MATCH(B21,[3]Delta!$E$3:$EE$3,0))/INDEX([3]Delta!$E$349:$EE$349,MATCH(B21,[3]Delta!$E$3:$EE$3,0))</f>
        <v>#DIV/0!</v>
      </c>
      <c r="K21" s="14" t="str">
        <f>IF(ROUND(G21-'[1]Table 1'!$G25,2)&lt;&gt;0,"Error - Priced off "," - ")</f>
        <v xml:space="preserve"> - </v>
      </c>
    </row>
    <row r="22" spans="2:12" x14ac:dyDescent="0.25">
      <c r="B22" s="12">
        <f t="shared" si="0"/>
        <v>2031</v>
      </c>
      <c r="D22" s="13">
        <f>IFERROR(SUMIF(SourceEnergy!$M$13:$M$271,B22,SourceEnergy!D$13:D$271)/SUMIF(SourceEnergy!$M$13:$M$271,B22,SourceEnergy!G$13:G$271),0)</f>
        <v>30.168015717943042</v>
      </c>
      <c r="E22" s="13">
        <f>IFERROR(SUMIF(SourceEnergy!$M$13:$M$271,B22,SourceEnergy!E$13:E$271)/SUMIF(SourceEnergy!$M$13:$M$271,B22,SourceEnergy!H$13:H$271),0)</f>
        <v>26.692745073890617</v>
      </c>
      <c r="G22" s="13">
        <f>IFERROR(SUMIF(SourceEnergy!$M$13:$M$271,B22,SourceEnergy!C$13:C$271)/SUMIF(SourceEnergy!$M$13:$M$271,B22,SourceEnergy!F$13:F$271),0)</f>
        <v>29.552987142726618</v>
      </c>
      <c r="I22" s="165" t="e">
        <f>-INDEX([3]Delta!$E$350:$EE$350,MATCH(B22,[3]Delta!$E$3:$EE$3,0))/INDEX([3]Delta!$E$349:$EE$349,MATCH(B22,[3]Delta!$E$3:$EE$3,0))</f>
        <v>#DIV/0!</v>
      </c>
      <c r="K22" s="14" t="str">
        <f>IF(ROUND(G22-'[1]Table 1'!$G26,2)&lt;&gt;0,"Error - Priced off "," - ")</f>
        <v xml:space="preserve"> - </v>
      </c>
    </row>
    <row r="23" spans="2:12" x14ac:dyDescent="0.25">
      <c r="B23" s="12">
        <f t="shared" si="0"/>
        <v>2032</v>
      </c>
      <c r="D23" s="13">
        <f>IFERROR(SUMIF(SourceEnergy!$M$13:$M$271,B23,SourceEnergy!D$13:D$271)/SUMIF(SourceEnergy!$M$13:$M$271,B23,SourceEnergy!G$13:G$271),0)</f>
        <v>32.318852908158057</v>
      </c>
      <c r="E23" s="13">
        <f>IFERROR(SUMIF(SourceEnergy!$M$13:$M$271,B23,SourceEnergy!E$13:E$271)/SUMIF(SourceEnergy!$M$13:$M$271,B23,SourceEnergy!H$13:H$271),0)</f>
        <v>28.699808522456287</v>
      </c>
      <c r="G23" s="13">
        <f>IFERROR(SUMIF(SourceEnergy!$M$13:$M$271,B23,SourceEnergy!C$13:C$271)/SUMIF(SourceEnergy!$M$13:$M$271,B23,SourceEnergy!F$13:F$271),0)</f>
        <v>31.68083591030004</v>
      </c>
      <c r="I23" s="165" t="e">
        <f>-INDEX([3]Delta!$E$350:$EE$350,MATCH(B23,[3]Delta!$E$3:$EE$3,0))/INDEX([3]Delta!$E$349:$EE$349,MATCH(B23,[3]Delta!$E$3:$EE$3,0))</f>
        <v>#DIV/0!</v>
      </c>
      <c r="K23" s="14" t="str">
        <f>IF(ROUND(G23-'[1]Table 1'!$G27,2)&lt;&gt;0,"Error - Priced off "," - ")</f>
        <v xml:space="preserve"> - </v>
      </c>
    </row>
    <row r="24" spans="2:12" x14ac:dyDescent="0.25">
      <c r="B24" s="12">
        <f t="shared" si="0"/>
        <v>2033</v>
      </c>
      <c r="D24" s="13">
        <f>IFERROR(SUMIF(SourceEnergy!$M$13:$M$271,B24,SourceEnergy!D$13:D$271)/SUMIF(SourceEnergy!$M$13:$M$271,B24,SourceEnergy!G$13:G$271),0)</f>
        <v>39.797539037397001</v>
      </c>
      <c r="E24" s="13">
        <f>IFERROR(SUMIF(SourceEnergy!$M$13:$M$271,B24,SourceEnergy!E$13:E$271)/SUMIF(SourceEnergy!$M$13:$M$271,B24,SourceEnergy!H$13:H$271),0)</f>
        <v>35.584278741004645</v>
      </c>
      <c r="G24" s="13">
        <f>IFERROR(SUMIF(SourceEnergy!$M$13:$M$271,B24,SourceEnergy!C$13:C$271)/SUMIF(SourceEnergy!$M$13:$M$271,B24,SourceEnergy!F$13:F$271),0)</f>
        <v>39.055236049810624</v>
      </c>
      <c r="I24" s="165" t="e">
        <f>-INDEX([3]Delta!$E$350:$EE$350,MATCH(B24,[3]Delta!$E$3:$EE$3,0))/INDEX([3]Delta!$E$349:$EE$349,MATCH(B24,[3]Delta!$E$3:$EE$3,0))</f>
        <v>#DIV/0!</v>
      </c>
      <c r="K24" s="14" t="str">
        <f>IF(ROUND(G24-'[1]Table 1'!$G28,2)&lt;&gt;0,"Error - Priced off "," - ")</f>
        <v xml:space="preserve"> - </v>
      </c>
    </row>
    <row r="25" spans="2:12" x14ac:dyDescent="0.25">
      <c r="B25" s="12">
        <f t="shared" si="0"/>
        <v>2034</v>
      </c>
      <c r="D25" s="13">
        <f>IFERROR(SUMIF(SourceEnergy!$M$13:$M$271,B25,SourceEnergy!D$13:D$271)/SUMIF(SourceEnergy!$M$13:$M$271,B25,SourceEnergy!G$13:G$271),0)</f>
        <v>45.957074604485442</v>
      </c>
      <c r="E25" s="13">
        <f>IFERROR(SUMIF(SourceEnergy!$M$13:$M$271,B25,SourceEnergy!E$13:E$271)/SUMIF(SourceEnergy!$M$13:$M$271,B25,SourceEnergy!H$13:H$271),0)</f>
        <v>41.324796296245594</v>
      </c>
      <c r="G25" s="13">
        <f>IFERROR(SUMIF(SourceEnergy!$M$13:$M$271,B25,SourceEnergy!C$13:C$271)/SUMIF(SourceEnergy!$M$13:$M$271,B25,SourceEnergy!F$13:F$271),0)</f>
        <v>45.136147037866188</v>
      </c>
      <c r="I25" s="165" t="e">
        <f>-INDEX([3]Delta!$E$350:$EE$350,MATCH(B25,[3]Delta!$E$3:$EE$3,0))/INDEX([3]Delta!$E$349:$EE$349,MATCH(B25,[3]Delta!$E$3:$EE$3,0))</f>
        <v>#DIV/0!</v>
      </c>
      <c r="J25" s="160"/>
      <c r="K25" s="14" t="str">
        <f>IF(ROUND(G25-'[1]Table 1'!$G29,2)&lt;&gt;0,"Error - Priced off "," - ")</f>
        <v xml:space="preserve"> - </v>
      </c>
    </row>
    <row r="26" spans="2:12" x14ac:dyDescent="0.25">
      <c r="B26" s="12">
        <f t="shared" si="0"/>
        <v>2035</v>
      </c>
      <c r="D26" s="13">
        <f>IFERROR(SUMIF(SourceEnergy!$M$13:$M$271,B26,SourceEnergy!D$13:D$271)/SUMIF(SourceEnergy!$M$13:$M$271,B26,SourceEnergy!G$13:G$271),0)</f>
        <v>88.451245151160791</v>
      </c>
      <c r="E26" s="13">
        <f>IFERROR(SUMIF(SourceEnergy!$M$13:$M$271,B26,SourceEnergy!E$13:E$271)/SUMIF(SourceEnergy!$M$13:$M$271,B26,SourceEnergy!H$13:H$271),0)</f>
        <v>79.442061094686053</v>
      </c>
      <c r="G26" s="13">
        <f>IFERROR(SUMIF(SourceEnergy!$M$13:$M$271,B26,SourceEnergy!C$13:C$271)/SUMIF(SourceEnergy!$M$13:$M$271,B26,SourceEnergy!F$13:F$271),0)</f>
        <v>86.862729853626959</v>
      </c>
      <c r="I26" s="165" t="e">
        <f>-INDEX([3]Delta!$E$350:$EE$350,MATCH(B26,[3]Delta!$E$3:$EE$3,0))/INDEX([3]Delta!$E$349:$EE$349,MATCH(B26,[3]Delta!$E$3:$EE$3,0))</f>
        <v>#DIV/0!</v>
      </c>
      <c r="J26" s="160"/>
      <c r="K26" s="14" t="str">
        <f>IF(ROUND(G26-'[1]Table 1'!$G30,2)&lt;&gt;0,"Error - Priced off "," - ")</f>
        <v xml:space="preserve"> - </v>
      </c>
    </row>
    <row r="27" spans="2:12" x14ac:dyDescent="0.25">
      <c r="B27" s="12">
        <f t="shared" si="0"/>
        <v>2036</v>
      </c>
      <c r="D27" s="13">
        <f>IFERROR(SUMIF(SourceEnergy!$M$13:$M$271,B27,SourceEnergy!D$13:D$271)/SUMIF(SourceEnergy!$M$13:$M$271,B27,SourceEnergy!G$13:G$271),0)</f>
        <v>90.695215702709149</v>
      </c>
      <c r="E27" s="13">
        <f>IFERROR(SUMIF(SourceEnergy!$M$13:$M$271,B27,SourceEnergy!E$13:E$271)/SUMIF(SourceEnergy!$M$13:$M$271,B27,SourceEnergy!H$13:H$271),0)</f>
        <v>81.997210940840418</v>
      </c>
      <c r="G27" s="13">
        <f>IFERROR(SUMIF(SourceEnergy!$M$13:$M$271,B27,SourceEnergy!C$13:C$271)/SUMIF(SourceEnergy!$M$13:$M$271,B27,SourceEnergy!F$13:F$271),0)</f>
        <v>89.158880242783141</v>
      </c>
      <c r="I27" s="165" t="e">
        <f>-INDEX([3]Delta!$E$350:$EE$350,MATCH(B27,[3]Delta!$E$3:$EE$3,0))/INDEX([3]Delta!$E$349:$EE$349,MATCH(B27,[3]Delta!$E$3:$EE$3,0))</f>
        <v>#DIV/0!</v>
      </c>
      <c r="J27" s="160"/>
      <c r="K27" s="14" t="str">
        <f>IF(ROUND(G27-'[1]Table 1'!$G31,2)&lt;&gt;0,"Error - Priced off "," - ")</f>
        <v xml:space="preserve"> - </v>
      </c>
    </row>
    <row r="28" spans="2:12" x14ac:dyDescent="0.25">
      <c r="B28" s="12">
        <f t="shared" si="0"/>
        <v>2037</v>
      </c>
      <c r="D28" s="13">
        <f>IFERROR(SUMIF(SourceEnergy!$M$13:$M$271,B28,SourceEnergy!D$13:D$271)/SUMIF(SourceEnergy!$M$13:$M$271,B28,SourceEnergy!G$13:G$271),0)</f>
        <v>93.53735874651349</v>
      </c>
      <c r="E28" s="13">
        <f>IFERROR(SUMIF(SourceEnergy!$M$13:$M$271,B28,SourceEnergy!E$13:E$271)/SUMIF(SourceEnergy!$M$13:$M$271,B28,SourceEnergy!H$13:H$271),0)</f>
        <v>84.619475128488659</v>
      </c>
      <c r="G28" s="13">
        <f>IFERROR(SUMIF(SourceEnergy!$M$13:$M$271,B28,SourceEnergy!C$13:C$271)/SUMIF(SourceEnergy!$M$13:$M$271,B28,SourceEnergy!F$13:F$271),0)</f>
        <v>91.961919299693065</v>
      </c>
      <c r="I28" s="165" t="e">
        <f>-INDEX([3]Delta!$E$350:$EE$350,MATCH(B28,[3]Delta!$E$3:$EE$3,0))/INDEX([3]Delta!$E$349:$EE$349,MATCH(B28,[3]Delta!$E$3:$EE$3,0))</f>
        <v>#DIV/0!</v>
      </c>
      <c r="J28" s="160"/>
      <c r="K28" s="14" t="str">
        <f>IF(ROUND(G28-'[1]Table 1'!$G32,2)&lt;&gt;0,"Error - Priced off "," - ")</f>
        <v xml:space="preserve"> - </v>
      </c>
    </row>
    <row r="29" spans="2:12" x14ac:dyDescent="0.25">
      <c r="B29" s="16"/>
      <c r="D29" s="13"/>
      <c r="E29" s="13"/>
      <c r="G29" s="13"/>
      <c r="I29" s="165"/>
      <c r="J29" s="160"/>
      <c r="K29" s="14"/>
    </row>
    <row r="30" spans="2:12" x14ac:dyDescent="0.25">
      <c r="I30" s="165"/>
    </row>
    <row r="31" spans="2:12" x14ac:dyDescent="0.25">
      <c r="B31" s="17"/>
      <c r="K31" s="18"/>
    </row>
    <row r="32" spans="2:12" x14ac:dyDescent="0.25">
      <c r="B32" s="12"/>
      <c r="D32" s="19"/>
      <c r="E32" s="19"/>
      <c r="G32" s="19"/>
      <c r="I32" s="166"/>
      <c r="K32" s="21"/>
      <c r="L32" s="20"/>
    </row>
    <row r="33" spans="1:12" x14ac:dyDescent="0.25">
      <c r="B33" s="17" t="str">
        <f>"15 -Year (2018-2032) Nominal Levelized Prices at "&amp;TEXT(Discount_Rate,"0.00%")&amp;" Discount Rate "</f>
        <v xml:space="preserve">15 -Year (2018-2032) Nominal Levelized Prices at 6.57% Discount Rate </v>
      </c>
      <c r="D33" s="19"/>
      <c r="E33" s="19"/>
      <c r="G33" s="19"/>
      <c r="I33" s="166"/>
      <c r="K33" s="21"/>
      <c r="L33" s="20"/>
    </row>
    <row r="34" spans="1:12" x14ac:dyDescent="0.25">
      <c r="B34" s="12" t="s">
        <v>52</v>
      </c>
      <c r="D34" s="210">
        <f>SourceEnergy!$J$10*$G$34/SourceEnergy!$I$10</f>
        <v>20.27762597649015</v>
      </c>
      <c r="E34" s="210">
        <f>SourceEnergy!$K$10*$G$34/SourceEnergy!$I$10</f>
        <v>16.694497460769362</v>
      </c>
      <c r="G34" s="19">
        <f>'[1]Table 1'!$G$46</f>
        <v>19.658506787020514</v>
      </c>
      <c r="I34" s="166"/>
      <c r="K34" s="21">
        <f>G34-'[1]Table 1'!$G$46</f>
        <v>0</v>
      </c>
      <c r="L34" s="20"/>
    </row>
    <row r="35" spans="1:12" x14ac:dyDescent="0.25">
      <c r="B35" s="17" t="str">
        <f>"15 -Year (2020-2034) Nominal Levelized Prices at "&amp;TEXT(Discount_Rate,"0.00%")&amp;" Discount Rate "</f>
        <v xml:space="preserve">15 -Year (2020-2034) Nominal Levelized Prices at 6.57% Discount Rate </v>
      </c>
      <c r="D35" s="19"/>
      <c r="E35" s="19"/>
      <c r="G35" s="19"/>
      <c r="I35" s="166"/>
      <c r="K35" s="21"/>
      <c r="L35" s="20"/>
    </row>
    <row r="36" spans="1:12" x14ac:dyDescent="0.25">
      <c r="B36" s="12" t="s">
        <v>52</v>
      </c>
      <c r="D36" s="210">
        <f>SourceEnergy!$J$5*$G$36/SourceEnergy!$I$5</f>
        <v>22.418064159905487</v>
      </c>
      <c r="E36" s="210">
        <f>SourceEnergy!$K$5*$G$36/SourceEnergy!$I$5</f>
        <v>18.943465136682125</v>
      </c>
      <c r="G36" s="19">
        <f>'[1]Table 1'!$G$49</f>
        <v>21.814303227183537</v>
      </c>
      <c r="I36" s="166"/>
      <c r="K36" s="21">
        <f>G36-'[1]Table 1'!$G$49</f>
        <v>0</v>
      </c>
      <c r="L36" s="20"/>
    </row>
    <row r="37" spans="1:12" x14ac:dyDescent="0.25">
      <c r="D37" s="13"/>
      <c r="E37" s="13"/>
      <c r="I37" s="167"/>
      <c r="J37" s="22"/>
      <c r="K37" s="21"/>
    </row>
    <row r="38" spans="1:12" s="25" customFormat="1" ht="12.75" x14ac:dyDescent="0.2">
      <c r="A38" s="23"/>
      <c r="B38" s="1" t="s">
        <v>81</v>
      </c>
      <c r="C38" s="23"/>
      <c r="D38" s="24"/>
      <c r="E38" s="24"/>
      <c r="F38" s="23"/>
      <c r="G38" s="23"/>
      <c r="H38" s="23"/>
      <c r="I38" s="23"/>
      <c r="K38" s="26" t="s">
        <v>53</v>
      </c>
    </row>
    <row r="39" spans="1:12" s="25" customFormat="1" ht="12.75" x14ac:dyDescent="0.2">
      <c r="A39" s="23"/>
      <c r="B39" s="1" t="s">
        <v>70</v>
      </c>
      <c r="C39" s="23"/>
      <c r="D39" s="23"/>
      <c r="E39" s="23"/>
      <c r="F39" s="23"/>
      <c r="G39" s="23"/>
      <c r="H39" s="23"/>
      <c r="I39" s="23"/>
      <c r="K39" s="27">
        <f>PMT(Discount_Rate,COUNT(B9:B23),-NPV(Discount_Rate,G9:G23))-G34</f>
        <v>8.7579238465014697E-2</v>
      </c>
      <c r="L39" s="25" t="s">
        <v>57</v>
      </c>
    </row>
    <row r="40" spans="1:12" s="25" customFormat="1" ht="12.75" hidden="1" x14ac:dyDescent="0.2">
      <c r="A40" s="23"/>
      <c r="B40" s="1" t="s">
        <v>72</v>
      </c>
      <c r="C40" s="23"/>
      <c r="D40" s="23"/>
      <c r="E40" s="23"/>
      <c r="F40" s="23"/>
      <c r="G40" s="23"/>
      <c r="H40" s="23"/>
      <c r="I40" s="23"/>
      <c r="K40" s="27">
        <f>PMT(Discount_Rate,COUNT('[1]Table 1'!$G$13:$G$33),-NPV(Discount_Rate,'[1]Table 1'!$G$13:$G$33))-'[1]Table 1'!$G$37</f>
        <v>26.224512795216647</v>
      </c>
      <c r="L40" s="25" t="s">
        <v>71</v>
      </c>
    </row>
    <row r="41" spans="1:12" s="25" customFormat="1" x14ac:dyDescent="0.25">
      <c r="A41" s="23"/>
      <c r="B41" s="2"/>
      <c r="C41" s="2"/>
      <c r="D41" s="2"/>
      <c r="E41" s="2"/>
      <c r="F41" s="2"/>
      <c r="G41" s="2"/>
      <c r="H41" s="23"/>
      <c r="I41" s="23"/>
      <c r="K41" s="27"/>
    </row>
    <row r="42" spans="1:12" s="25" customFormat="1" x14ac:dyDescent="0.25">
      <c r="A42" s="23"/>
      <c r="B42" s="2"/>
      <c r="C42" s="2"/>
      <c r="D42" s="2"/>
      <c r="E42" s="2"/>
      <c r="F42" s="2"/>
      <c r="G42" s="2"/>
      <c r="H42" s="23"/>
      <c r="I42" s="23"/>
    </row>
    <row r="43" spans="1:12" s="25" customFormat="1" x14ac:dyDescent="0.25">
      <c r="A43" s="23"/>
      <c r="B43" s="2"/>
      <c r="C43" s="2"/>
      <c r="D43" s="2"/>
      <c r="E43" s="2"/>
      <c r="F43" s="2"/>
      <c r="G43" s="2"/>
      <c r="H43" s="23"/>
      <c r="I43" s="23"/>
    </row>
  </sheetData>
  <printOptions horizontalCentered="1"/>
  <pageMargins left="0.3" right="0.3" top="0.8" bottom="0.4" header="0.5" footer="0.2"/>
  <pageSetup scale="90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D2" sqref="D2"/>
    </sheetView>
  </sheetViews>
  <sheetFormatPr defaultColWidth="9.140625" defaultRowHeight="12.75" x14ac:dyDescent="0.2"/>
  <cols>
    <col min="1" max="1" width="1.85546875" style="23" customWidth="1"/>
    <col min="2" max="2" width="13.5703125" style="23" hidden="1" customWidth="1"/>
    <col min="3" max="3" width="2.42578125" style="23" customWidth="1"/>
    <col min="4" max="4" width="6.42578125" style="23" bestFit="1" customWidth="1"/>
    <col min="5" max="5" width="1.140625" style="23" customWidth="1"/>
    <col min="6" max="7" width="6.85546875" style="23" customWidth="1"/>
    <col min="8" max="8" width="1.42578125" style="23" customWidth="1"/>
    <col min="9" max="10" width="6.85546875" style="23" customWidth="1"/>
    <col min="11" max="11" width="0.85546875" style="23" customWidth="1"/>
    <col min="12" max="13" width="6.85546875" style="23" customWidth="1"/>
    <col min="14" max="14" width="1.28515625" style="23" customWidth="1"/>
    <col min="15" max="16" width="6.85546875" style="23" customWidth="1"/>
    <col min="17" max="17" width="1.7109375" style="23" customWidth="1"/>
    <col min="18" max="19" width="6.85546875" style="23" customWidth="1"/>
    <col min="20" max="20" width="2.42578125" style="23" customWidth="1"/>
    <col min="21" max="21" width="3" style="29" customWidth="1"/>
    <col min="22" max="22" width="10.28515625" style="29" bestFit="1" customWidth="1"/>
    <col min="23" max="16384" width="9.140625" style="29"/>
  </cols>
  <sheetData>
    <row r="1" spans="2:22" x14ac:dyDescent="0.2">
      <c r="C1" s="162"/>
      <c r="D1" s="161" t="str">
        <f>'[1]Table 5'!$M$4</f>
        <v>Utah Sch 37 Solar T</v>
      </c>
      <c r="E1" s="169"/>
      <c r="F1" s="169"/>
      <c r="G1" s="168"/>
      <c r="H1" s="169"/>
      <c r="I1" s="168"/>
      <c r="J1" s="168"/>
      <c r="K1" s="169"/>
      <c r="L1" s="168"/>
      <c r="M1" s="168"/>
      <c r="N1" s="169"/>
      <c r="O1" s="168"/>
      <c r="P1" s="168"/>
      <c r="Q1" s="169"/>
      <c r="R1" s="168"/>
      <c r="S1" s="168"/>
      <c r="T1" s="161"/>
    </row>
    <row r="2" spans="2:22" x14ac:dyDescent="0.2">
      <c r="C2" s="162"/>
      <c r="D2" s="161" t="str">
        <f>'Summary (Energy PMT)'!B2</f>
        <v>10.0 MW and 31.1% CF</v>
      </c>
      <c r="E2" s="169"/>
      <c r="F2" s="169"/>
      <c r="G2" s="168"/>
      <c r="H2" s="169"/>
      <c r="I2" s="168"/>
      <c r="J2" s="168"/>
      <c r="K2" s="169"/>
      <c r="L2" s="168"/>
      <c r="M2" s="168"/>
      <c r="N2" s="169"/>
      <c r="O2" s="168"/>
      <c r="P2" s="168"/>
      <c r="Q2" s="169"/>
      <c r="R2" s="168"/>
      <c r="S2" s="168"/>
      <c r="T2" s="161"/>
    </row>
    <row r="3" spans="2:22" x14ac:dyDescent="0.2">
      <c r="C3" s="162"/>
      <c r="D3" s="161" t="s">
        <v>100</v>
      </c>
      <c r="E3" s="169"/>
      <c r="F3" s="169"/>
      <c r="G3" s="168"/>
      <c r="H3" s="169"/>
      <c r="I3" s="168"/>
      <c r="J3" s="168"/>
      <c r="K3" s="169"/>
      <c r="L3" s="168"/>
      <c r="M3" s="168"/>
      <c r="N3" s="169"/>
      <c r="O3" s="168"/>
      <c r="P3" s="168"/>
      <c r="Q3" s="169"/>
      <c r="R3" s="168"/>
      <c r="S3" s="168"/>
      <c r="T3" s="161"/>
    </row>
    <row r="4" spans="2:22" x14ac:dyDescent="0.2"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2:22" x14ac:dyDescent="0.2">
      <c r="B5" s="171"/>
      <c r="D5" s="172"/>
      <c r="E5" s="170"/>
      <c r="F5" s="173">
        <f>YEAR(SourceEnergy!B20)</f>
        <v>2018</v>
      </c>
      <c r="G5" s="174"/>
      <c r="H5" s="170"/>
      <c r="I5" s="173">
        <f>F5+1</f>
        <v>2019</v>
      </c>
      <c r="J5" s="174"/>
      <c r="K5" s="170"/>
      <c r="L5" s="173">
        <f>I5+1</f>
        <v>2020</v>
      </c>
      <c r="M5" s="174"/>
      <c r="N5" s="170"/>
      <c r="O5" s="173">
        <f>L5+1</f>
        <v>2021</v>
      </c>
      <c r="P5" s="174"/>
      <c r="Q5" s="170"/>
      <c r="R5" s="173">
        <f>O5+1</f>
        <v>2022</v>
      </c>
      <c r="S5" s="174"/>
    </row>
    <row r="6" spans="2:22" x14ac:dyDescent="0.2">
      <c r="B6" s="175" t="s">
        <v>2</v>
      </c>
      <c r="D6" s="176" t="s">
        <v>2</v>
      </c>
      <c r="E6" s="170"/>
      <c r="F6" s="177" t="s">
        <v>9</v>
      </c>
      <c r="G6" s="177" t="s">
        <v>10</v>
      </c>
      <c r="H6" s="170"/>
      <c r="I6" s="177" t="s">
        <v>9</v>
      </c>
      <c r="J6" s="177" t="s">
        <v>10</v>
      </c>
      <c r="K6" s="170"/>
      <c r="L6" s="177" t="s">
        <v>9</v>
      </c>
      <c r="M6" s="177" t="s">
        <v>10</v>
      </c>
      <c r="N6" s="170"/>
      <c r="O6" s="177" t="s">
        <v>9</v>
      </c>
      <c r="P6" s="177" t="s">
        <v>10</v>
      </c>
      <c r="Q6" s="170"/>
      <c r="R6" s="177" t="s">
        <v>9</v>
      </c>
      <c r="S6" s="177" t="s">
        <v>10</v>
      </c>
      <c r="V6" s="29" t="s">
        <v>74</v>
      </c>
    </row>
    <row r="7" spans="2:22" x14ac:dyDescent="0.2">
      <c r="B7" s="178">
        <v>1</v>
      </c>
      <c r="D7" s="179" t="s">
        <v>58</v>
      </c>
      <c r="E7" s="170"/>
      <c r="F7" s="180">
        <f>INDEX(SourceEnergy!$J:$K,MATCH(DATE(IF(F$5="",C$5,F$5),$B7,1),SourceEnergy!$B:$B,0),MATCH(F$6,SourceEnergy!$J$12:$K$12,0))</f>
        <v>21.28</v>
      </c>
      <c r="G7" s="180">
        <f>INDEX(SourceEnergy!$J:$K,MATCH(DATE(IF(G$5="",F$5,G$5),$B7,1),SourceEnergy!$B:$B,0),MATCH(G$6,SourceEnergy!$J$12:$K$12,0))</f>
        <v>19.3</v>
      </c>
      <c r="H7" s="170"/>
      <c r="I7" s="180">
        <f>INDEX(SourceEnergy!$J:$K,MATCH(DATE(IF(I$5="",H$5,I$5),$B7,1),SourceEnergy!$B:$B,0),MATCH(I$6,SourceEnergy!$J$12:$K$12,0))</f>
        <v>18.09</v>
      </c>
      <c r="J7" s="180">
        <f>INDEX(SourceEnergy!$J:$K,MATCH(DATE(IF(J$5="",I$5,J$5),$B7,1),SourceEnergy!$B:$B,0),MATCH(J$6,SourceEnergy!$J$12:$K$12,0))</f>
        <v>17.21</v>
      </c>
      <c r="K7" s="170"/>
      <c r="L7" s="180">
        <f>INDEX(SourceEnergy!$J:$K,MATCH(DATE(IF(L$5="",K$5,L$5),$B7,1),SourceEnergy!$B:$B,0),MATCH(L$6,SourceEnergy!$J$12:$K$12,0))</f>
        <v>15.66</v>
      </c>
      <c r="M7" s="180">
        <f>INDEX(SourceEnergy!$J:$K,MATCH(DATE(IF(M$5="",L$5,M$5),$B7,1),SourceEnergy!$B:$B,0),MATCH(M$6,SourceEnergy!$J$12:$K$12,0))</f>
        <v>14</v>
      </c>
      <c r="N7" s="170"/>
      <c r="O7" s="180">
        <f>INDEX(SourceEnergy!$J:$K,MATCH(DATE(IF(O$5="",N$5,O$5),$B7,1),SourceEnergy!$B:$B,0),MATCH(O$6,SourceEnergy!$J$12:$K$12,0))</f>
        <v>16.71</v>
      </c>
      <c r="P7" s="180">
        <f>INDEX(SourceEnergy!$J:$K,MATCH(DATE(IF(P$5="",O$5,P$5),$B7,1),SourceEnergy!$B:$B,0),MATCH(P$6,SourceEnergy!$J$12:$K$12,0))</f>
        <v>15.41</v>
      </c>
      <c r="Q7" s="170"/>
      <c r="R7" s="180">
        <f>INDEX(SourceEnergy!$J:$K,MATCH(DATE(IF(R$5="",Q$5,R$5),$B7,1),SourceEnergy!$B:$B,0),MATCH(R$6,SourceEnergy!$J$12:$K$12,0))</f>
        <v>17.32</v>
      </c>
      <c r="S7" s="180">
        <f>INDEX(SourceEnergy!$J:$K,MATCH(DATE(IF(S$5="",R$5,S$5),$B7,1),SourceEnergy!$B:$B,0),MATCH(S$6,SourceEnergy!$J$12:$K$12,0))</f>
        <v>15.85</v>
      </c>
      <c r="V7" s="29">
        <f>ROUND(SUM(F7:S18,F22:S33,F37:S48,F52:S63,F67:G78)-SUM(SourceEnergy!J20:K271),6)</f>
        <v>0</v>
      </c>
    </row>
    <row r="8" spans="2:22" x14ac:dyDescent="0.2">
      <c r="B8" s="178">
        <f t="shared" ref="B8:B18" si="0">B7+1</f>
        <v>2</v>
      </c>
      <c r="D8" s="179" t="s">
        <v>60</v>
      </c>
      <c r="E8" s="170"/>
      <c r="F8" s="180">
        <f>INDEX(SourceEnergy!$J:$K,MATCH(DATE(IF(F$5="",C$5,F$5),$B8,1),SourceEnergy!$B:$B,0),MATCH(F$6,SourceEnergy!$J$12:$K$12,0))</f>
        <v>19.86</v>
      </c>
      <c r="G8" s="180">
        <f>INDEX(SourceEnergy!$J:$K,MATCH(DATE(IF(G$5="",F$5,G$5),$B8,1),SourceEnergy!$B:$B,0),MATCH(G$6,SourceEnergy!$J$12:$K$12,0))</f>
        <v>18.75</v>
      </c>
      <c r="H8" s="170"/>
      <c r="I8" s="180">
        <f>INDEX(SourceEnergy!$J:$K,MATCH(DATE(IF(I$5="",H$5,I$5),$B8,1),SourceEnergy!$B:$B,0),MATCH(I$6,SourceEnergy!$J$12:$K$12,0))</f>
        <v>18.45</v>
      </c>
      <c r="J8" s="180">
        <f>INDEX(SourceEnergy!$J:$K,MATCH(DATE(IF(J$5="",I$5,J$5),$B8,1),SourceEnergy!$B:$B,0),MATCH(J$6,SourceEnergy!$J$12:$K$12,0))</f>
        <v>17.04</v>
      </c>
      <c r="K8" s="170"/>
      <c r="L8" s="180">
        <f>INDEX(SourceEnergy!$J:$K,MATCH(DATE(IF(L$5="",K$5,L$5),$B8,1),SourceEnergy!$B:$B,0),MATCH(L$6,SourceEnergy!$J$12:$K$12,0))</f>
        <v>15.38</v>
      </c>
      <c r="M8" s="180">
        <f>INDEX(SourceEnergy!$J:$K,MATCH(DATE(IF(M$5="",L$5,M$5),$B8,1),SourceEnergy!$B:$B,0),MATCH(M$6,SourceEnergy!$J$12:$K$12,0))</f>
        <v>13.6</v>
      </c>
      <c r="N8" s="170"/>
      <c r="O8" s="180">
        <f>INDEX(SourceEnergy!$J:$K,MATCH(DATE(IF(O$5="",N$5,O$5),$B8,1),SourceEnergy!$B:$B,0),MATCH(O$6,SourceEnergy!$J$12:$K$12,0))</f>
        <v>16.420000000000002</v>
      </c>
      <c r="P8" s="180">
        <f>INDEX(SourceEnergy!$J:$K,MATCH(DATE(IF(P$5="",O$5,P$5),$B8,1),SourceEnergy!$B:$B,0),MATCH(P$6,SourceEnergy!$J$12:$K$12,0))</f>
        <v>15</v>
      </c>
      <c r="Q8" s="170"/>
      <c r="R8" s="180">
        <f>INDEX(SourceEnergy!$J:$K,MATCH(DATE(IF(R$5="",Q$5,R$5),$B8,1),SourceEnergy!$B:$B,0),MATCH(R$6,SourceEnergy!$J$12:$K$12,0))</f>
        <v>17.03</v>
      </c>
      <c r="S8" s="180">
        <f>INDEX(SourceEnergy!$J:$K,MATCH(DATE(IF(S$5="",R$5,S$5),$B8,1),SourceEnergy!$B:$B,0),MATCH(S$6,SourceEnergy!$J$12:$K$12,0))</f>
        <v>15.44</v>
      </c>
    </row>
    <row r="9" spans="2:22" x14ac:dyDescent="0.2">
      <c r="B9" s="178">
        <f t="shared" si="0"/>
        <v>3</v>
      </c>
      <c r="D9" s="179" t="s">
        <v>61</v>
      </c>
      <c r="E9" s="170"/>
      <c r="F9" s="180">
        <f>INDEX(SourceEnergy!$J:$K,MATCH(DATE(IF(F$5="",C$5,F$5),$B9,1),SourceEnergy!$B:$B,0),MATCH(F$6,SourceEnergy!$J$12:$K$12,0))</f>
        <v>19.28</v>
      </c>
      <c r="G9" s="180">
        <f>INDEX(SourceEnergy!$J:$K,MATCH(DATE(IF(G$5="",F$5,G$5),$B9,1),SourceEnergy!$B:$B,0),MATCH(G$6,SourceEnergy!$J$12:$K$12,0))</f>
        <v>17.100000000000001</v>
      </c>
      <c r="H9" s="170"/>
      <c r="I9" s="180">
        <f>INDEX(SourceEnergy!$J:$K,MATCH(DATE(IF(I$5="",H$5,I$5),$B9,1),SourceEnergy!$B:$B,0),MATCH(I$6,SourceEnergy!$J$12:$K$12,0))</f>
        <v>17.010000000000002</v>
      </c>
      <c r="J9" s="180">
        <f>INDEX(SourceEnergy!$J:$K,MATCH(DATE(IF(J$5="",I$5,J$5),$B9,1),SourceEnergy!$B:$B,0),MATCH(J$6,SourceEnergy!$J$12:$K$12,0))</f>
        <v>16.02</v>
      </c>
      <c r="K9" s="170"/>
      <c r="L9" s="180">
        <f>INDEX(SourceEnergy!$J:$K,MATCH(DATE(IF(L$5="",K$5,L$5),$B9,1),SourceEnergy!$B:$B,0),MATCH(L$6,SourceEnergy!$J$12:$K$12,0))</f>
        <v>14.23</v>
      </c>
      <c r="M9" s="180">
        <f>INDEX(SourceEnergy!$J:$K,MATCH(DATE(IF(M$5="",L$5,M$5),$B9,1),SourceEnergy!$B:$B,0),MATCH(M$6,SourceEnergy!$J$12:$K$12,0))</f>
        <v>12.8</v>
      </c>
      <c r="N9" s="170"/>
      <c r="O9" s="180">
        <f>INDEX(SourceEnergy!$J:$K,MATCH(DATE(IF(O$5="",N$5,O$5),$B9,1),SourceEnergy!$B:$B,0),MATCH(O$6,SourceEnergy!$J$12:$K$12,0))</f>
        <v>15.25</v>
      </c>
      <c r="P9" s="180">
        <f>INDEX(SourceEnergy!$J:$K,MATCH(DATE(IF(P$5="",O$5,P$5),$B9,1),SourceEnergy!$B:$B,0),MATCH(P$6,SourceEnergy!$J$12:$K$12,0))</f>
        <v>14.19</v>
      </c>
      <c r="Q9" s="170"/>
      <c r="R9" s="180">
        <f>INDEX(SourceEnergy!$J:$K,MATCH(DATE(IF(R$5="",Q$5,R$5),$B9,1),SourceEnergy!$B:$B,0),MATCH(R$6,SourceEnergy!$J$12:$K$12,0))</f>
        <v>15.87</v>
      </c>
      <c r="S9" s="180">
        <f>INDEX(SourceEnergy!$J:$K,MATCH(DATE(IF(S$5="",R$5,S$5),$B9,1),SourceEnergy!$B:$B,0),MATCH(S$6,SourceEnergy!$J$12:$K$12,0))</f>
        <v>14.63</v>
      </c>
      <c r="V9" s="180">
        <f>SourceEnergy!I9</f>
        <v>0</v>
      </c>
    </row>
    <row r="10" spans="2:22" x14ac:dyDescent="0.2">
      <c r="B10" s="178">
        <f t="shared" si="0"/>
        <v>4</v>
      </c>
      <c r="D10" s="179" t="s">
        <v>62</v>
      </c>
      <c r="E10" s="170"/>
      <c r="F10" s="180">
        <f>INDEX(SourceEnergy!$J:$K,MATCH(DATE(IF(F$5="",C$5,F$5),$B10,1),SourceEnergy!$B:$B,0),MATCH(F$6,SourceEnergy!$J$12:$K$12,0))</f>
        <v>15.25</v>
      </c>
      <c r="G10" s="180">
        <f>INDEX(SourceEnergy!$J:$K,MATCH(DATE(IF(G$5="",F$5,G$5),$B10,1),SourceEnergy!$B:$B,0),MATCH(G$6,SourceEnergy!$J$12:$K$12,0))</f>
        <v>13.11</v>
      </c>
      <c r="H10" s="170"/>
      <c r="I10" s="180">
        <f>INDEX(SourceEnergy!$J:$K,MATCH(DATE(IF(I$5="",H$5,I$5),$B10,1),SourceEnergy!$B:$B,0),MATCH(I$6,SourceEnergy!$J$12:$K$12,0))</f>
        <v>13.43</v>
      </c>
      <c r="J10" s="180">
        <f>INDEX(SourceEnergy!$J:$K,MATCH(DATE(IF(J$5="",I$5,J$5),$B10,1),SourceEnergy!$B:$B,0),MATCH(J$6,SourceEnergy!$J$12:$K$12,0))</f>
        <v>9.58</v>
      </c>
      <c r="K10" s="170"/>
      <c r="L10" s="180">
        <f>INDEX(SourceEnergy!$J:$K,MATCH(DATE(IF(L$5="",K$5,L$5),$B10,1),SourceEnergy!$B:$B,0),MATCH(L$6,SourceEnergy!$J$12:$K$12,0))</f>
        <v>12.26</v>
      </c>
      <c r="M10" s="180">
        <f>INDEX(SourceEnergy!$J:$K,MATCH(DATE(IF(M$5="",L$5,M$5),$B10,1),SourceEnergy!$B:$B,0),MATCH(M$6,SourceEnergy!$J$12:$K$12,0))</f>
        <v>9.3800000000000008</v>
      </c>
      <c r="N10" s="170"/>
      <c r="O10" s="180">
        <f>INDEX(SourceEnergy!$J:$K,MATCH(DATE(IF(O$5="",N$5,O$5),$B10,1),SourceEnergy!$B:$B,0),MATCH(O$6,SourceEnergy!$J$12:$K$12,0))</f>
        <v>13.24</v>
      </c>
      <c r="P10" s="180">
        <f>INDEX(SourceEnergy!$J:$K,MATCH(DATE(IF(P$5="",O$5,P$5),$B10,1),SourceEnergy!$B:$B,0),MATCH(P$6,SourceEnergy!$J$12:$K$12,0))</f>
        <v>10.35</v>
      </c>
      <c r="Q10" s="170"/>
      <c r="R10" s="180">
        <f>INDEX(SourceEnergy!$J:$K,MATCH(DATE(IF(R$5="",Q$5,R$5),$B10,1),SourceEnergy!$B:$B,0),MATCH(R$6,SourceEnergy!$J$12:$K$12,0))</f>
        <v>13.87</v>
      </c>
      <c r="S10" s="180">
        <f>INDEX(SourceEnergy!$J:$K,MATCH(DATE(IF(S$5="",R$5,S$5),$B10,1),SourceEnergy!$B:$B,0),MATCH(S$6,SourceEnergy!$J$12:$K$12,0))</f>
        <v>11.35</v>
      </c>
      <c r="V10" s="199">
        <f>'[1]Table 1'!$G$43</f>
        <v>0</v>
      </c>
    </row>
    <row r="11" spans="2:22" x14ac:dyDescent="0.2">
      <c r="B11" s="178">
        <f t="shared" si="0"/>
        <v>5</v>
      </c>
      <c r="D11" s="179" t="s">
        <v>59</v>
      </c>
      <c r="E11" s="170"/>
      <c r="F11" s="180">
        <f>INDEX(SourceEnergy!$J:$K,MATCH(DATE(IF(F$5="",C$5,F$5),$B11,1),SourceEnergy!$B:$B,0),MATCH(F$6,SourceEnergy!$J$12:$K$12,0))</f>
        <v>16.71</v>
      </c>
      <c r="G11" s="180">
        <f>INDEX(SourceEnergy!$J:$K,MATCH(DATE(IF(G$5="",F$5,G$5),$B11,1),SourceEnergy!$B:$B,0),MATCH(G$6,SourceEnergy!$J$12:$K$12,0))</f>
        <v>12.95</v>
      </c>
      <c r="H11" s="170"/>
      <c r="I11" s="180">
        <f>INDEX(SourceEnergy!$J:$K,MATCH(DATE(IF(I$5="",H$5,I$5),$B11,1),SourceEnergy!$B:$B,0),MATCH(I$6,SourceEnergy!$J$12:$K$12,0))</f>
        <v>13.88</v>
      </c>
      <c r="J11" s="180">
        <f>INDEX(SourceEnergy!$J:$K,MATCH(DATE(IF(J$5="",I$5,J$5),$B11,1),SourceEnergy!$B:$B,0),MATCH(J$6,SourceEnergy!$J$12:$K$12,0))</f>
        <v>6.87</v>
      </c>
      <c r="K11" s="170"/>
      <c r="L11" s="180">
        <f>INDEX(SourceEnergy!$J:$K,MATCH(DATE(IF(L$5="",K$5,L$5),$B11,1),SourceEnergy!$B:$B,0),MATCH(L$6,SourceEnergy!$J$12:$K$12,0))</f>
        <v>12.62</v>
      </c>
      <c r="M11" s="180">
        <f>INDEX(SourceEnergy!$J:$K,MATCH(DATE(IF(M$5="",L$5,M$5),$B11,1),SourceEnergy!$B:$B,0),MATCH(M$6,SourceEnergy!$J$12:$K$12,0))</f>
        <v>7.24</v>
      </c>
      <c r="N11" s="170"/>
      <c r="O11" s="180">
        <f>INDEX(SourceEnergy!$J:$K,MATCH(DATE(IF(O$5="",N$5,O$5),$B11,1),SourceEnergy!$B:$B,0),MATCH(O$6,SourceEnergy!$J$12:$K$12,0))</f>
        <v>13.61</v>
      </c>
      <c r="P11" s="180">
        <f>INDEX(SourceEnergy!$J:$K,MATCH(DATE(IF(P$5="",O$5,P$5),$B11,1),SourceEnergy!$B:$B,0),MATCH(P$6,SourceEnergy!$J$12:$K$12,0))</f>
        <v>8.16</v>
      </c>
      <c r="Q11" s="170"/>
      <c r="R11" s="180">
        <f>INDEX(SourceEnergy!$J:$K,MATCH(DATE(IF(R$5="",Q$5,R$5),$B11,1),SourceEnergy!$B:$B,0),MATCH(R$6,SourceEnergy!$J$12:$K$12,0))</f>
        <v>14.24</v>
      </c>
      <c r="S11" s="180">
        <f>INDEX(SourceEnergy!$J:$K,MATCH(DATE(IF(S$5="",R$5,S$5),$B11,1),SourceEnergy!$B:$B,0),MATCH(S$6,SourceEnergy!$J$12:$K$12,0))</f>
        <v>9.17</v>
      </c>
      <c r="V11" s="29">
        <f>V9-V10</f>
        <v>0</v>
      </c>
    </row>
    <row r="12" spans="2:22" x14ac:dyDescent="0.2">
      <c r="B12" s="178">
        <f t="shared" si="0"/>
        <v>6</v>
      </c>
      <c r="D12" s="179" t="s">
        <v>63</v>
      </c>
      <c r="E12" s="170"/>
      <c r="F12" s="180">
        <f>INDEX(SourceEnergy!$J:$K,MATCH(DATE(IF(F$5="",C$5,F$5),$B12,1),SourceEnergy!$B:$B,0),MATCH(F$6,SourceEnergy!$J$12:$K$12,0))</f>
        <v>18.850000000000001</v>
      </c>
      <c r="G12" s="180">
        <f>INDEX(SourceEnergy!$J:$K,MATCH(DATE(IF(G$5="",F$5,G$5),$B12,1),SourceEnergy!$B:$B,0),MATCH(G$6,SourceEnergy!$J$12:$K$12,0))</f>
        <v>14.52</v>
      </c>
      <c r="H12" s="170"/>
      <c r="I12" s="180">
        <f>INDEX(SourceEnergy!$J:$K,MATCH(DATE(IF(I$5="",H$5,I$5),$B12,1),SourceEnergy!$B:$B,0),MATCH(I$6,SourceEnergy!$J$12:$K$12,0))</f>
        <v>15.26</v>
      </c>
      <c r="J12" s="180">
        <f>INDEX(SourceEnergy!$J:$K,MATCH(DATE(IF(J$5="",I$5,J$5),$B12,1),SourceEnergy!$B:$B,0),MATCH(J$6,SourceEnergy!$J$12:$K$12,0))</f>
        <v>7.26</v>
      </c>
      <c r="K12" s="170"/>
      <c r="L12" s="180">
        <f>INDEX(SourceEnergy!$J:$K,MATCH(DATE(IF(L$5="",K$5,L$5),$B12,1),SourceEnergy!$B:$B,0),MATCH(L$6,SourceEnergy!$J$12:$K$12,0))</f>
        <v>13.71</v>
      </c>
      <c r="M12" s="180">
        <f>INDEX(SourceEnergy!$J:$K,MATCH(DATE(IF(M$5="",L$5,M$5),$B12,1),SourceEnergy!$B:$B,0),MATCH(M$6,SourceEnergy!$J$12:$K$12,0))</f>
        <v>7.54</v>
      </c>
      <c r="N12" s="170"/>
      <c r="O12" s="180">
        <f>INDEX(SourceEnergy!$J:$K,MATCH(DATE(IF(O$5="",N$5,O$5),$B12,1),SourceEnergy!$B:$B,0),MATCH(O$6,SourceEnergy!$J$12:$K$12,0))</f>
        <v>14.72</v>
      </c>
      <c r="P12" s="180">
        <f>INDEX(SourceEnergy!$J:$K,MATCH(DATE(IF(P$5="",O$5,P$5),$B12,1),SourceEnergy!$B:$B,0),MATCH(P$6,SourceEnergy!$J$12:$K$12,0))</f>
        <v>8.48</v>
      </c>
      <c r="Q12" s="170"/>
      <c r="R12" s="180">
        <f>INDEX(SourceEnergy!$J:$K,MATCH(DATE(IF(R$5="",Q$5,R$5),$B12,1),SourceEnergy!$B:$B,0),MATCH(R$6,SourceEnergy!$J$12:$K$12,0))</f>
        <v>15.34</v>
      </c>
      <c r="S12" s="180">
        <f>INDEX(SourceEnergy!$J:$K,MATCH(DATE(IF(S$5="",R$5,S$5),$B12,1),SourceEnergy!$B:$B,0),MATCH(S$6,SourceEnergy!$J$12:$K$12,0))</f>
        <v>9.49</v>
      </c>
    </row>
    <row r="13" spans="2:22" x14ac:dyDescent="0.2">
      <c r="B13" s="178">
        <f t="shared" si="0"/>
        <v>7</v>
      </c>
      <c r="D13" s="179" t="s">
        <v>64</v>
      </c>
      <c r="E13" s="170"/>
      <c r="F13" s="180">
        <f>INDEX(SourceEnergy!$J:$K,MATCH(DATE(IF(F$5="",C$5,F$5),$B13,1),SourceEnergy!$B:$B,0),MATCH(F$6,SourceEnergy!$J$12:$K$12,0))</f>
        <v>25.46</v>
      </c>
      <c r="G13" s="180">
        <f>INDEX(SourceEnergy!$J:$K,MATCH(DATE(IF(G$5="",F$5,G$5),$B13,1),SourceEnergy!$B:$B,0),MATCH(G$6,SourceEnergy!$J$12:$K$12,0))</f>
        <v>17.190000000000001</v>
      </c>
      <c r="H13" s="170"/>
      <c r="I13" s="180">
        <f>INDEX(SourceEnergy!$J:$K,MATCH(DATE(IF(I$5="",H$5,I$5),$B13,1),SourceEnergy!$B:$B,0),MATCH(I$6,SourceEnergy!$J$12:$K$12,0))</f>
        <v>22.62</v>
      </c>
      <c r="J13" s="180">
        <f>INDEX(SourceEnergy!$J:$K,MATCH(DATE(IF(J$5="",I$5,J$5),$B13,1),SourceEnergy!$B:$B,0),MATCH(J$6,SourceEnergy!$J$12:$K$12,0))</f>
        <v>16.79</v>
      </c>
      <c r="K13" s="170"/>
      <c r="L13" s="180">
        <f>INDEX(SourceEnergy!$J:$K,MATCH(DATE(IF(L$5="",K$5,L$5),$B13,1),SourceEnergy!$B:$B,0),MATCH(L$6,SourceEnergy!$J$12:$K$12,0))</f>
        <v>18.440000000000001</v>
      </c>
      <c r="M13" s="180">
        <f>INDEX(SourceEnergy!$J:$K,MATCH(DATE(IF(M$5="",L$5,M$5),$B13,1),SourceEnergy!$B:$B,0),MATCH(M$6,SourceEnergy!$J$12:$K$12,0))</f>
        <v>12.05</v>
      </c>
      <c r="N13" s="170"/>
      <c r="O13" s="180">
        <f>INDEX(SourceEnergy!$J:$K,MATCH(DATE(IF(O$5="",N$5,O$5),$B13,1),SourceEnergy!$B:$B,0),MATCH(O$6,SourceEnergy!$J$12:$K$12,0))</f>
        <v>19.7</v>
      </c>
      <c r="P13" s="180">
        <f>INDEX(SourceEnergy!$J:$K,MATCH(DATE(IF(P$5="",O$5,P$5),$B13,1),SourceEnergy!$B:$B,0),MATCH(P$6,SourceEnergy!$J$12:$K$12,0))</f>
        <v>13.13</v>
      </c>
      <c r="Q13" s="170"/>
      <c r="R13" s="180">
        <f>INDEX(SourceEnergy!$J:$K,MATCH(DATE(IF(R$5="",Q$5,R$5),$B13,1),SourceEnergy!$B:$B,0),MATCH(R$6,SourceEnergy!$J$12:$K$12,0))</f>
        <v>20.38</v>
      </c>
      <c r="S13" s="180">
        <f>INDEX(SourceEnergy!$J:$K,MATCH(DATE(IF(S$5="",R$5,S$5),$B13,1),SourceEnergy!$B:$B,0),MATCH(S$6,SourceEnergy!$J$12:$K$12,0))</f>
        <v>14.35</v>
      </c>
    </row>
    <row r="14" spans="2:22" x14ac:dyDescent="0.2">
      <c r="B14" s="178">
        <f t="shared" si="0"/>
        <v>8</v>
      </c>
      <c r="D14" s="179" t="s">
        <v>65</v>
      </c>
      <c r="E14" s="170"/>
      <c r="F14" s="180">
        <f>INDEX(SourceEnergy!$J:$K,MATCH(DATE(IF(F$5="",C$5,F$5),$B14,1),SourceEnergy!$B:$B,0),MATCH(F$6,SourceEnergy!$J$12:$K$12,0))</f>
        <v>25.17</v>
      </c>
      <c r="G14" s="180">
        <f>INDEX(SourceEnergy!$J:$K,MATCH(DATE(IF(G$5="",F$5,G$5),$B14,1),SourceEnergy!$B:$B,0),MATCH(G$6,SourceEnergy!$J$12:$K$12,0))</f>
        <v>17.93</v>
      </c>
      <c r="H14" s="170"/>
      <c r="I14" s="180">
        <f>INDEX(SourceEnergy!$J:$K,MATCH(DATE(IF(I$5="",H$5,I$5),$B14,1),SourceEnergy!$B:$B,0),MATCH(I$6,SourceEnergy!$J$12:$K$12,0))</f>
        <v>21.78</v>
      </c>
      <c r="J14" s="180">
        <f>INDEX(SourceEnergy!$J:$K,MATCH(DATE(IF(J$5="",I$5,J$5),$B14,1),SourceEnergy!$B:$B,0),MATCH(J$6,SourceEnergy!$J$12:$K$12,0))</f>
        <v>16.64</v>
      </c>
      <c r="K14" s="170"/>
      <c r="L14" s="180">
        <f>INDEX(SourceEnergy!$J:$K,MATCH(DATE(IF(L$5="",K$5,L$5),$B14,1),SourceEnergy!$B:$B,0),MATCH(L$6,SourceEnergy!$J$12:$K$12,0))</f>
        <v>17.77</v>
      </c>
      <c r="M14" s="180">
        <f>INDEX(SourceEnergy!$J:$K,MATCH(DATE(IF(M$5="",L$5,M$5),$B14,1),SourceEnergy!$B:$B,0),MATCH(M$6,SourceEnergy!$J$12:$K$12,0))</f>
        <v>11.93</v>
      </c>
      <c r="N14" s="170"/>
      <c r="O14" s="180">
        <f>INDEX(SourceEnergy!$J:$K,MATCH(DATE(IF(O$5="",N$5,O$5),$B14,1),SourceEnergy!$B:$B,0),MATCH(O$6,SourceEnergy!$J$12:$K$12,0))</f>
        <v>19.02</v>
      </c>
      <c r="P14" s="180">
        <f>INDEX(SourceEnergy!$J:$K,MATCH(DATE(IF(P$5="",O$5,P$5),$B14,1),SourceEnergy!$B:$B,0),MATCH(P$6,SourceEnergy!$J$12:$K$12,0))</f>
        <v>13.01</v>
      </c>
      <c r="Q14" s="170"/>
      <c r="R14" s="180">
        <f>INDEX(SourceEnergy!$J:$K,MATCH(DATE(IF(R$5="",Q$5,R$5),$B14,1),SourceEnergy!$B:$B,0),MATCH(R$6,SourceEnergy!$J$12:$K$12,0))</f>
        <v>19.7</v>
      </c>
      <c r="S14" s="180">
        <f>INDEX(SourceEnergy!$J:$K,MATCH(DATE(IF(S$5="",R$5,S$5),$B14,1),SourceEnergy!$B:$B,0),MATCH(S$6,SourceEnergy!$J$12:$K$12,0))</f>
        <v>14.23</v>
      </c>
    </row>
    <row r="15" spans="2:22" x14ac:dyDescent="0.2">
      <c r="B15" s="178">
        <f t="shared" si="0"/>
        <v>9</v>
      </c>
      <c r="D15" s="179" t="s">
        <v>66</v>
      </c>
      <c r="E15" s="170"/>
      <c r="F15" s="180">
        <f>INDEX(SourceEnergy!$J:$K,MATCH(DATE(IF(F$5="",C$5,F$5),$B15,1),SourceEnergy!$B:$B,0),MATCH(F$6,SourceEnergy!$J$12:$K$12,0))</f>
        <v>20.67</v>
      </c>
      <c r="G15" s="180">
        <f>INDEX(SourceEnergy!$J:$K,MATCH(DATE(IF(G$5="",F$5,G$5),$B15,1),SourceEnergy!$B:$B,0),MATCH(G$6,SourceEnergy!$J$12:$K$12,0))</f>
        <v>16.14</v>
      </c>
      <c r="H15" s="170"/>
      <c r="I15" s="180">
        <f>INDEX(SourceEnergy!$J:$K,MATCH(DATE(IF(I$5="",H$5,I$5),$B15,1),SourceEnergy!$B:$B,0),MATCH(I$6,SourceEnergy!$J$12:$K$12,0))</f>
        <v>20.29</v>
      </c>
      <c r="J15" s="180">
        <f>INDEX(SourceEnergy!$J:$K,MATCH(DATE(IF(J$5="",I$5,J$5),$B15,1),SourceEnergy!$B:$B,0),MATCH(J$6,SourceEnergy!$J$12:$K$12,0))</f>
        <v>14.69</v>
      </c>
      <c r="K15" s="170"/>
      <c r="L15" s="180">
        <f>INDEX(SourceEnergy!$J:$K,MATCH(DATE(IF(L$5="",K$5,L$5),$B15,1),SourceEnergy!$B:$B,0),MATCH(L$6,SourceEnergy!$J$12:$K$12,0))</f>
        <v>16.600000000000001</v>
      </c>
      <c r="M15" s="180">
        <f>INDEX(SourceEnergy!$J:$K,MATCH(DATE(IF(M$5="",L$5,M$5),$B15,1),SourceEnergy!$B:$B,0),MATCH(M$6,SourceEnergy!$J$12:$K$12,0))</f>
        <v>10.38</v>
      </c>
      <c r="N15" s="170"/>
      <c r="O15" s="180">
        <f>INDEX(SourceEnergy!$J:$K,MATCH(DATE(IF(O$5="",N$5,O$5),$B15,1),SourceEnergy!$B:$B,0),MATCH(O$6,SourceEnergy!$J$12:$K$12,0))</f>
        <v>17.82</v>
      </c>
      <c r="P15" s="180">
        <f>INDEX(SourceEnergy!$J:$K,MATCH(DATE(IF(P$5="",O$5,P$5),$B15,1),SourceEnergy!$B:$B,0),MATCH(P$6,SourceEnergy!$J$12:$K$12,0))</f>
        <v>11.43</v>
      </c>
      <c r="Q15" s="170"/>
      <c r="R15" s="180">
        <f>INDEX(SourceEnergy!$J:$K,MATCH(DATE(IF(R$5="",Q$5,R$5),$B15,1),SourceEnergy!$B:$B,0),MATCH(R$6,SourceEnergy!$J$12:$K$12,0))</f>
        <v>18.510000000000002</v>
      </c>
      <c r="S15" s="180">
        <f>INDEX(SourceEnergy!$J:$K,MATCH(DATE(IF(S$5="",R$5,S$5),$B15,1),SourceEnergy!$B:$B,0),MATCH(S$6,SourceEnergy!$J$12:$K$12,0))</f>
        <v>12.66</v>
      </c>
    </row>
    <row r="16" spans="2:22" x14ac:dyDescent="0.2">
      <c r="B16" s="178">
        <f t="shared" si="0"/>
        <v>10</v>
      </c>
      <c r="D16" s="179" t="s">
        <v>67</v>
      </c>
      <c r="E16" s="170"/>
      <c r="F16" s="180">
        <f>INDEX(SourceEnergy!$J:$K,MATCH(DATE(IF(F$5="",C$5,F$5),$B16,1),SourceEnergy!$B:$B,0),MATCH(F$6,SourceEnergy!$J$12:$K$12,0))</f>
        <v>18.559999999999999</v>
      </c>
      <c r="G16" s="180">
        <f>INDEX(SourceEnergy!$J:$K,MATCH(DATE(IF(G$5="",F$5,G$5),$B16,1),SourceEnergy!$B:$B,0),MATCH(G$6,SourceEnergy!$J$12:$K$12,0))</f>
        <v>16.89</v>
      </c>
      <c r="H16" s="170"/>
      <c r="I16" s="180">
        <f>INDEX(SourceEnergy!$J:$K,MATCH(DATE(IF(I$5="",H$5,I$5),$B16,1),SourceEnergy!$B:$B,0),MATCH(I$6,SourceEnergy!$J$12:$K$12,0))</f>
        <v>17.600000000000001</v>
      </c>
      <c r="J16" s="180">
        <f>INDEX(SourceEnergy!$J:$K,MATCH(DATE(IF(J$5="",I$5,J$5),$B16,1),SourceEnergy!$B:$B,0),MATCH(J$6,SourceEnergy!$J$12:$K$12,0))</f>
        <v>15.77</v>
      </c>
      <c r="K16" s="170"/>
      <c r="L16" s="180">
        <f>INDEX(SourceEnergy!$J:$K,MATCH(DATE(IF(L$5="",K$5,L$5),$B16,1),SourceEnergy!$B:$B,0),MATCH(L$6,SourceEnergy!$J$12:$K$12,0))</f>
        <v>14.1</v>
      </c>
      <c r="M16" s="180">
        <f>INDEX(SourceEnergy!$J:$K,MATCH(DATE(IF(M$5="",L$5,M$5),$B16,1),SourceEnergy!$B:$B,0),MATCH(M$6,SourceEnergy!$J$12:$K$12,0))</f>
        <v>12.84</v>
      </c>
      <c r="N16" s="170"/>
      <c r="O16" s="180">
        <f>INDEX(SourceEnergy!$J:$K,MATCH(DATE(IF(O$5="",N$5,O$5),$B16,1),SourceEnergy!$B:$B,0),MATCH(O$6,SourceEnergy!$J$12:$K$12,0))</f>
        <v>15.19</v>
      </c>
      <c r="P16" s="180">
        <f>INDEX(SourceEnergy!$J:$K,MATCH(DATE(IF(P$5="",O$5,P$5),$B16,1),SourceEnergy!$B:$B,0),MATCH(P$6,SourceEnergy!$J$12:$K$12,0))</f>
        <v>14.17</v>
      </c>
      <c r="Q16" s="170"/>
      <c r="R16" s="180">
        <f>INDEX(SourceEnergy!$J:$K,MATCH(DATE(IF(R$5="",Q$5,R$5),$B16,1),SourceEnergy!$B:$B,0),MATCH(R$6,SourceEnergy!$J$12:$K$12,0))</f>
        <v>15.81</v>
      </c>
      <c r="S16" s="180">
        <f>INDEX(SourceEnergy!$J:$K,MATCH(DATE(IF(S$5="",R$5,S$5),$B16,1),SourceEnergy!$B:$B,0),MATCH(S$6,SourceEnergy!$J$12:$K$12,0))</f>
        <v>15.39</v>
      </c>
    </row>
    <row r="17" spans="2:19" x14ac:dyDescent="0.2">
      <c r="B17" s="178">
        <f t="shared" si="0"/>
        <v>11</v>
      </c>
      <c r="D17" s="179" t="s">
        <v>68</v>
      </c>
      <c r="E17" s="170"/>
      <c r="F17" s="180">
        <f>INDEX(SourceEnergy!$J:$K,MATCH(DATE(IF(F$5="",C$5,F$5),$B17,1),SourceEnergy!$B:$B,0),MATCH(F$6,SourceEnergy!$J$12:$K$12,0))</f>
        <v>18.37</v>
      </c>
      <c r="G17" s="180">
        <f>INDEX(SourceEnergy!$J:$K,MATCH(DATE(IF(G$5="",F$5,G$5),$B17,1),SourceEnergy!$B:$B,0),MATCH(G$6,SourceEnergy!$J$12:$K$12,0))</f>
        <v>16.45</v>
      </c>
      <c r="H17" s="170"/>
      <c r="I17" s="180">
        <f>INDEX(SourceEnergy!$J:$K,MATCH(DATE(IF(I$5="",H$5,I$5),$B17,1),SourceEnergy!$B:$B,0),MATCH(I$6,SourceEnergy!$J$12:$K$12,0))</f>
        <v>17.43</v>
      </c>
      <c r="J17" s="180">
        <f>INDEX(SourceEnergy!$J:$K,MATCH(DATE(IF(J$5="",I$5,J$5),$B17,1),SourceEnergy!$B:$B,0),MATCH(J$6,SourceEnergy!$J$12:$K$12,0))</f>
        <v>15.32</v>
      </c>
      <c r="K17" s="170"/>
      <c r="L17" s="180">
        <f>INDEX(SourceEnergy!$J:$K,MATCH(DATE(IF(L$5="",K$5,L$5),$B17,1),SourceEnergy!$B:$B,0),MATCH(L$6,SourceEnergy!$J$12:$K$12,0))</f>
        <v>13.96</v>
      </c>
      <c r="M17" s="180">
        <f>INDEX(SourceEnergy!$J:$K,MATCH(DATE(IF(M$5="",L$5,M$5),$B17,1),SourceEnergy!$B:$B,0),MATCH(M$6,SourceEnergy!$J$12:$K$12,0))</f>
        <v>12.48</v>
      </c>
      <c r="N17" s="170"/>
      <c r="O17" s="180">
        <f>INDEX(SourceEnergy!$J:$K,MATCH(DATE(IF(O$5="",N$5,O$5),$B17,1),SourceEnergy!$B:$B,0),MATCH(O$6,SourceEnergy!$J$12:$K$12,0))</f>
        <v>15.06</v>
      </c>
      <c r="P17" s="180">
        <f>INDEX(SourceEnergy!$J:$K,MATCH(DATE(IF(P$5="",O$5,P$5),$B17,1),SourceEnergy!$B:$B,0),MATCH(P$6,SourceEnergy!$J$12:$K$12,0))</f>
        <v>13.81</v>
      </c>
      <c r="Q17" s="170"/>
      <c r="R17" s="180">
        <f>INDEX(SourceEnergy!$J:$K,MATCH(DATE(IF(R$5="",Q$5,R$5),$B17,1),SourceEnergy!$B:$B,0),MATCH(R$6,SourceEnergy!$J$12:$K$12,0))</f>
        <v>15.68</v>
      </c>
      <c r="S17" s="180">
        <f>INDEX(SourceEnergy!$J:$K,MATCH(DATE(IF(S$5="",R$5,S$5),$B17,1),SourceEnergy!$B:$B,0),MATCH(S$6,SourceEnergy!$J$12:$K$12,0))</f>
        <v>15.02</v>
      </c>
    </row>
    <row r="18" spans="2:19" x14ac:dyDescent="0.2">
      <c r="B18" s="178">
        <f t="shared" si="0"/>
        <v>12</v>
      </c>
      <c r="D18" s="179" t="s">
        <v>69</v>
      </c>
      <c r="E18" s="170"/>
      <c r="F18" s="180">
        <f>INDEX(SourceEnergy!$J:$K,MATCH(DATE(IF(F$5="",C$5,F$5),$B18,1),SourceEnergy!$B:$B,0),MATCH(F$6,SourceEnergy!$J$12:$K$12,0))</f>
        <v>19.89</v>
      </c>
      <c r="G18" s="180">
        <f>INDEX(SourceEnergy!$J:$K,MATCH(DATE(IF(G$5="",F$5,G$5),$B18,1),SourceEnergy!$B:$B,0),MATCH(G$6,SourceEnergy!$J$12:$K$12,0))</f>
        <v>18.440000000000001</v>
      </c>
      <c r="H18" s="170"/>
      <c r="I18" s="180">
        <f>INDEX(SourceEnergy!$J:$K,MATCH(DATE(IF(I$5="",H$5,I$5),$B18,1),SourceEnergy!$B:$B,0),MATCH(I$6,SourceEnergy!$J$12:$K$12,0))</f>
        <v>18.75</v>
      </c>
      <c r="J18" s="180">
        <f>INDEX(SourceEnergy!$J:$K,MATCH(DATE(IF(J$5="",I$5,J$5),$B18,1),SourceEnergy!$B:$B,0),MATCH(J$6,SourceEnergy!$J$12:$K$12,0))</f>
        <v>17.13</v>
      </c>
      <c r="K18" s="170"/>
      <c r="L18" s="180">
        <f>INDEX(SourceEnergy!$J:$K,MATCH(DATE(IF(L$5="",K$5,L$5),$B18,1),SourceEnergy!$B:$B,0),MATCH(L$6,SourceEnergy!$J$12:$K$12,0))</f>
        <v>15.01</v>
      </c>
      <c r="M18" s="180">
        <f>INDEX(SourceEnergy!$J:$K,MATCH(DATE(IF(M$5="",L$5,M$5),$B18,1),SourceEnergy!$B:$B,0),MATCH(M$6,SourceEnergy!$J$12:$K$12,0))</f>
        <v>13.91</v>
      </c>
      <c r="N18" s="170"/>
      <c r="O18" s="180">
        <f>INDEX(SourceEnergy!$J:$K,MATCH(DATE(IF(O$5="",N$5,O$5),$B18,1),SourceEnergy!$B:$B,0),MATCH(O$6,SourceEnergy!$J$12:$K$12,0))</f>
        <v>16.12</v>
      </c>
      <c r="P18" s="180">
        <f>INDEX(SourceEnergy!$J:$K,MATCH(DATE(IF(P$5="",O$5,P$5),$B18,1),SourceEnergy!$B:$B,0),MATCH(P$6,SourceEnergy!$J$12:$K$12,0))</f>
        <v>15.26</v>
      </c>
      <c r="Q18" s="170"/>
      <c r="R18" s="180">
        <f>INDEX(SourceEnergy!$J:$K,MATCH(DATE(IF(R$5="",Q$5,R$5),$B18,1),SourceEnergy!$B:$B,0),MATCH(R$6,SourceEnergy!$J$12:$K$12,0))</f>
        <v>16.739999999999998</v>
      </c>
      <c r="S18" s="180">
        <f>INDEX(SourceEnergy!$J:$K,MATCH(DATE(IF(S$5="",R$5,S$5),$B18,1),SourceEnergy!$B:$B,0),MATCH(S$6,SourceEnergy!$J$12:$K$12,0))</f>
        <v>16.47</v>
      </c>
    </row>
    <row r="19" spans="2:19" x14ac:dyDescent="0.2"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</row>
    <row r="20" spans="2:19" x14ac:dyDescent="0.2">
      <c r="B20" s="171"/>
      <c r="D20" s="172"/>
      <c r="E20" s="170"/>
      <c r="F20" s="173">
        <f>R5+1</f>
        <v>2023</v>
      </c>
      <c r="G20" s="174"/>
      <c r="H20" s="170"/>
      <c r="I20" s="173">
        <f>F20+1</f>
        <v>2024</v>
      </c>
      <c r="J20" s="174"/>
      <c r="K20" s="170"/>
      <c r="L20" s="173">
        <f>I20+1</f>
        <v>2025</v>
      </c>
      <c r="M20" s="174"/>
      <c r="N20" s="170"/>
      <c r="O20" s="173">
        <f>L20+1</f>
        <v>2026</v>
      </c>
      <c r="P20" s="174"/>
      <c r="Q20" s="170"/>
      <c r="R20" s="173">
        <f>O20+1</f>
        <v>2027</v>
      </c>
      <c r="S20" s="174"/>
    </row>
    <row r="21" spans="2:19" x14ac:dyDescent="0.2">
      <c r="B21" s="175" t="s">
        <v>2</v>
      </c>
      <c r="D21" s="176" t="s">
        <v>2</v>
      </c>
      <c r="E21" s="170"/>
      <c r="F21" s="177" t="s">
        <v>9</v>
      </c>
      <c r="G21" s="177" t="s">
        <v>10</v>
      </c>
      <c r="H21" s="170"/>
      <c r="I21" s="177" t="s">
        <v>9</v>
      </c>
      <c r="J21" s="177" t="s">
        <v>10</v>
      </c>
      <c r="K21" s="170"/>
      <c r="L21" s="177" t="s">
        <v>9</v>
      </c>
      <c r="M21" s="177" t="s">
        <v>10</v>
      </c>
      <c r="N21" s="170"/>
      <c r="O21" s="177" t="s">
        <v>9</v>
      </c>
      <c r="P21" s="177" t="s">
        <v>10</v>
      </c>
      <c r="Q21" s="170"/>
      <c r="R21" s="177" t="s">
        <v>9</v>
      </c>
      <c r="S21" s="177" t="s">
        <v>10</v>
      </c>
    </row>
    <row r="22" spans="2:19" x14ac:dyDescent="0.2">
      <c r="B22" s="178">
        <v>1</v>
      </c>
      <c r="D22" s="179" t="s">
        <v>58</v>
      </c>
      <c r="E22" s="170"/>
      <c r="F22" s="180">
        <f>INDEX(SourceEnergy!$J:$K,MATCH(DATE(IF(F20="",T$5,F20),$B7,1),SourceEnergy!$B:$B,0),MATCH(F$21,SourceEnergy!$J$12:$K$12,0))</f>
        <v>18.32</v>
      </c>
      <c r="G22" s="180">
        <f>INDEX(SourceEnergy!$J:$K,MATCH(DATE(IF(G20="",F20,G20),$B7,1),SourceEnergy!$B:$B,0),MATCH(G$21,SourceEnergy!$J$12:$K$12,0))</f>
        <v>16.63</v>
      </c>
      <c r="H22" s="170"/>
      <c r="I22" s="180">
        <f>INDEX(SourceEnergy!$J:$K,MATCH(DATE(IF(I20="",H20,I20),$B7,1),SourceEnergy!$B:$B,0),MATCH(I$21,SourceEnergy!$J$12:$K$12,0))</f>
        <v>17.16</v>
      </c>
      <c r="J22" s="180">
        <f>INDEX(SourceEnergy!$J:$K,MATCH(DATE(IF(J20="",I20,J20),$B7,1),SourceEnergy!$B:$B,0),MATCH(J$21,SourceEnergy!$J$12:$K$12,0))</f>
        <v>15.56</v>
      </c>
      <c r="K22" s="170"/>
      <c r="L22" s="180">
        <f>INDEX(SourceEnergy!$J:$K,MATCH(DATE(IF(L20="",K20,L20),$B7,1),SourceEnergy!$B:$B,0),MATCH(L$21,SourceEnergy!$J$12:$K$12,0))</f>
        <v>20.72</v>
      </c>
      <c r="M22" s="180">
        <f>INDEX(SourceEnergy!$J:$K,MATCH(DATE(IF(M20="",L20,M20),$B7,1),SourceEnergy!$B:$B,0),MATCH(M$21,SourceEnergy!$J$12:$K$12,0))</f>
        <v>18.77</v>
      </c>
      <c r="N22" s="170"/>
      <c r="O22" s="180">
        <f>INDEX(SourceEnergy!$J:$K,MATCH(DATE(IF(O20="",N20,O20),$B7,1),SourceEnergy!$B:$B,0),MATCH(O$21,SourceEnergy!$J$12:$K$12,0))</f>
        <v>21.9</v>
      </c>
      <c r="P22" s="180">
        <f>INDEX(SourceEnergy!$J:$K,MATCH(DATE(IF(P20="",O20,P20),$B7,1),SourceEnergy!$B:$B,0),MATCH(P$21,SourceEnergy!$J$12:$K$12,0))</f>
        <v>19.760000000000002</v>
      </c>
      <c r="Q22" s="170"/>
      <c r="R22" s="180">
        <f>INDEX(SourceEnergy!$J:$K,MATCH(DATE(IF(R20="",Q20,R20),$B7,1),SourceEnergy!$B:$B,0),MATCH(R$21,SourceEnergy!$J$12:$K$12,0))</f>
        <v>22.4</v>
      </c>
      <c r="S22" s="180">
        <f>INDEX(SourceEnergy!$J:$K,MATCH(DATE(IF(S20="",R20,S20),$B7,1),SourceEnergy!$B:$B,0),MATCH(S$21,SourceEnergy!$J$12:$K$12,0))</f>
        <v>20.59</v>
      </c>
    </row>
    <row r="23" spans="2:19" x14ac:dyDescent="0.2">
      <c r="B23" s="178">
        <f t="shared" ref="B23:B33" si="1">B22+1</f>
        <v>2</v>
      </c>
      <c r="D23" s="179" t="s">
        <v>60</v>
      </c>
      <c r="E23" s="170"/>
      <c r="F23" s="180">
        <f>INDEX(SourceEnergy!$J:$K,MATCH(DATE(IF(F20="",T$5,F20),$B8,1),SourceEnergy!$B:$B,0),MATCH(F$21,SourceEnergy!$J$12:$K$12,0))</f>
        <v>18.02</v>
      </c>
      <c r="G23" s="180">
        <f>INDEX(SourceEnergy!$J:$K,MATCH(DATE(IF(G20="",F20,G20),$B8,1),SourceEnergy!$B:$B,0),MATCH(G$21,SourceEnergy!$J$12:$K$12,0))</f>
        <v>16.22</v>
      </c>
      <c r="H23" s="170"/>
      <c r="I23" s="180">
        <f>INDEX(SourceEnergy!$J:$K,MATCH(DATE(IF(I20="",H20,I20),$B8,1),SourceEnergy!$B:$B,0),MATCH(I$21,SourceEnergy!$J$12:$K$12,0))</f>
        <v>17.34</v>
      </c>
      <c r="J23" s="180">
        <f>INDEX(SourceEnergy!$J:$K,MATCH(DATE(IF(J20="",I20,J20),$B8,1),SourceEnergy!$B:$B,0),MATCH(J$21,SourceEnergy!$J$12:$K$12,0))</f>
        <v>15.74</v>
      </c>
      <c r="K23" s="170"/>
      <c r="L23" s="180">
        <f>INDEX(SourceEnergy!$J:$K,MATCH(DATE(IF(L20="",K20,L20),$B8,1),SourceEnergy!$B:$B,0),MATCH(L$21,SourceEnergy!$J$12:$K$12,0))</f>
        <v>21.4</v>
      </c>
      <c r="M23" s="180">
        <f>INDEX(SourceEnergy!$J:$K,MATCH(DATE(IF(M20="",L20,M20),$B8,1),SourceEnergy!$B:$B,0),MATCH(M$21,SourceEnergy!$J$12:$K$12,0))</f>
        <v>19.55</v>
      </c>
      <c r="N23" s="170"/>
      <c r="O23" s="180">
        <f>INDEX(SourceEnergy!$J:$K,MATCH(DATE(IF(O20="",N20,O20),$B8,1),SourceEnergy!$B:$B,0),MATCH(O$21,SourceEnergy!$J$12:$K$12,0))</f>
        <v>22.22</v>
      </c>
      <c r="P23" s="180">
        <f>INDEX(SourceEnergy!$J:$K,MATCH(DATE(IF(P20="",O20,P20),$B8,1),SourceEnergy!$B:$B,0),MATCH(P$21,SourceEnergy!$J$12:$K$12,0))</f>
        <v>20.21</v>
      </c>
      <c r="Q23" s="170"/>
      <c r="R23" s="180">
        <f>INDEX(SourceEnergy!$J:$K,MATCH(DATE(IF(R20="",Q20,R20),$B8,1),SourceEnergy!$B:$B,0),MATCH(R$21,SourceEnergy!$J$12:$K$12,0))</f>
        <v>23.04</v>
      </c>
      <c r="S23" s="180">
        <f>INDEX(SourceEnergy!$J:$K,MATCH(DATE(IF(S20="",R20,S20),$B8,1),SourceEnergy!$B:$B,0),MATCH(S$21,SourceEnergy!$J$12:$K$12,0))</f>
        <v>21.11</v>
      </c>
    </row>
    <row r="24" spans="2:19" x14ac:dyDescent="0.2">
      <c r="B24" s="178">
        <f t="shared" si="1"/>
        <v>3</v>
      </c>
      <c r="D24" s="179" t="s">
        <v>61</v>
      </c>
      <c r="E24" s="170"/>
      <c r="F24" s="180">
        <f>INDEX(SourceEnergy!$J:$K,MATCH(DATE(IF(F20="",T$5,F20),$B9,1),SourceEnergy!$B:$B,0),MATCH(F$21,SourceEnergy!$J$12:$K$12,0))</f>
        <v>16.84</v>
      </c>
      <c r="G24" s="180">
        <f>INDEX(SourceEnergy!$J:$K,MATCH(DATE(IF(G20="",F20,G20),$B9,1),SourceEnergy!$B:$B,0),MATCH(G$21,SourceEnergy!$J$12:$K$12,0))</f>
        <v>15.4</v>
      </c>
      <c r="H24" s="170"/>
      <c r="I24" s="180">
        <f>INDEX(SourceEnergy!$J:$K,MATCH(DATE(IF(I20="",H20,I20),$B9,1),SourceEnergy!$B:$B,0),MATCH(I$21,SourceEnergy!$J$12:$K$12,0))</f>
        <v>15.91</v>
      </c>
      <c r="J24" s="180">
        <f>INDEX(SourceEnergy!$J:$K,MATCH(DATE(IF(J20="",I20,J20),$B9,1),SourceEnergy!$B:$B,0),MATCH(J$21,SourceEnergy!$J$12:$K$12,0))</f>
        <v>14.84</v>
      </c>
      <c r="K24" s="170"/>
      <c r="L24" s="180">
        <f>INDEX(SourceEnergy!$J:$K,MATCH(DATE(IF(L20="",K20,L20),$B9,1),SourceEnergy!$B:$B,0),MATCH(L$21,SourceEnergy!$J$12:$K$12,0))</f>
        <v>19.329999999999998</v>
      </c>
      <c r="M24" s="180">
        <f>INDEX(SourceEnergy!$J:$K,MATCH(DATE(IF(M20="",L20,M20),$B9,1),SourceEnergy!$B:$B,0),MATCH(M$21,SourceEnergy!$J$12:$K$12,0))</f>
        <v>18.34</v>
      </c>
      <c r="N24" s="170"/>
      <c r="O24" s="180">
        <f>INDEX(SourceEnergy!$J:$K,MATCH(DATE(IF(O20="",N20,O20),$B9,1),SourceEnergy!$B:$B,0),MATCH(O$21,SourceEnergy!$J$12:$K$12,0))</f>
        <v>19.52</v>
      </c>
      <c r="P24" s="180">
        <f>INDEX(SourceEnergy!$J:$K,MATCH(DATE(IF(P20="",O20,P20),$B9,1),SourceEnergy!$B:$B,0),MATCH(P$21,SourceEnergy!$J$12:$K$12,0))</f>
        <v>18.57</v>
      </c>
      <c r="Q24" s="170"/>
      <c r="R24" s="180">
        <f>INDEX(SourceEnergy!$J:$K,MATCH(DATE(IF(R20="",Q20,R20),$B9,1),SourceEnergy!$B:$B,0),MATCH(R$21,SourceEnergy!$J$12:$K$12,0))</f>
        <v>20.51</v>
      </c>
      <c r="S24" s="180">
        <f>INDEX(SourceEnergy!$J:$K,MATCH(DATE(IF(S20="",R20,S20),$B9,1),SourceEnergy!$B:$B,0),MATCH(S$21,SourceEnergy!$J$12:$K$12,0))</f>
        <v>19.77</v>
      </c>
    </row>
    <row r="25" spans="2:19" x14ac:dyDescent="0.2">
      <c r="B25" s="178">
        <f t="shared" si="1"/>
        <v>4</v>
      </c>
      <c r="D25" s="179" t="s">
        <v>62</v>
      </c>
      <c r="E25" s="170"/>
      <c r="F25" s="180">
        <f>INDEX(SourceEnergy!$J:$K,MATCH(DATE(IF(F20="",T$5,F20),$B10,1),SourceEnergy!$B:$B,0),MATCH(F$21,SourceEnergy!$J$12:$K$12,0))</f>
        <v>14.81</v>
      </c>
      <c r="G25" s="180">
        <f>INDEX(SourceEnergy!$J:$K,MATCH(DATE(IF(G20="",F20,G20),$B10,1),SourceEnergy!$B:$B,0),MATCH(G$21,SourceEnergy!$J$12:$K$12,0))</f>
        <v>14.22</v>
      </c>
      <c r="H25" s="170"/>
      <c r="I25" s="180">
        <f>INDEX(SourceEnergy!$J:$K,MATCH(DATE(IF(I20="",H20,I20),$B10,1),SourceEnergy!$B:$B,0),MATCH(I$21,SourceEnergy!$J$12:$K$12,0))</f>
        <v>13.31</v>
      </c>
      <c r="J25" s="180">
        <f>INDEX(SourceEnergy!$J:$K,MATCH(DATE(IF(J20="",I20,J20),$B10,1),SourceEnergy!$B:$B,0),MATCH(J$21,SourceEnergy!$J$12:$K$12,0))</f>
        <v>12.44</v>
      </c>
      <c r="K25" s="170"/>
      <c r="L25" s="180">
        <f>INDEX(SourceEnergy!$J:$K,MATCH(DATE(IF(L20="",K20,L20),$B10,1),SourceEnergy!$B:$B,0),MATCH(L$21,SourceEnergy!$J$12:$K$12,0))</f>
        <v>15.48</v>
      </c>
      <c r="M25" s="180">
        <f>INDEX(SourceEnergy!$J:$K,MATCH(DATE(IF(M20="",L20,M20),$B10,1),SourceEnergy!$B:$B,0),MATCH(M$21,SourceEnergy!$J$12:$K$12,0))</f>
        <v>14.12</v>
      </c>
      <c r="N25" s="170"/>
      <c r="O25" s="180">
        <f>INDEX(SourceEnergy!$J:$K,MATCH(DATE(IF(O20="",N20,O20),$B10,1),SourceEnergy!$B:$B,0),MATCH(O$21,SourceEnergy!$J$12:$K$12,0))</f>
        <v>15.9</v>
      </c>
      <c r="P25" s="180">
        <f>INDEX(SourceEnergy!$J:$K,MATCH(DATE(IF(P20="",O20,P20),$B10,1),SourceEnergy!$B:$B,0),MATCH(P$21,SourceEnergy!$J$12:$K$12,0))</f>
        <v>14.75</v>
      </c>
      <c r="Q25" s="170"/>
      <c r="R25" s="180">
        <f>INDEX(SourceEnergy!$J:$K,MATCH(DATE(IF(R20="",Q20,R20),$B10,1),SourceEnergy!$B:$B,0),MATCH(R$21,SourceEnergy!$J$12:$K$12,0))</f>
        <v>17.04</v>
      </c>
      <c r="S25" s="180">
        <f>INDEX(SourceEnergy!$J:$K,MATCH(DATE(IF(S20="",R20,S20),$B10,1),SourceEnergy!$B:$B,0),MATCH(S$21,SourceEnergy!$J$12:$K$12,0))</f>
        <v>15.71</v>
      </c>
    </row>
    <row r="26" spans="2:19" x14ac:dyDescent="0.2">
      <c r="B26" s="178">
        <f t="shared" si="1"/>
        <v>5</v>
      </c>
      <c r="D26" s="179" t="s">
        <v>59</v>
      </c>
      <c r="E26" s="170"/>
      <c r="F26" s="180">
        <f>INDEX(SourceEnergy!$J:$K,MATCH(DATE(IF(F20="",T$5,F20),$B11,1),SourceEnergy!$B:$B,0),MATCH(F$21,SourceEnergy!$J$12:$K$12,0))</f>
        <v>14.83</v>
      </c>
      <c r="G26" s="180">
        <f>INDEX(SourceEnergy!$J:$K,MATCH(DATE(IF(G20="",F20,G20),$B11,1),SourceEnergy!$B:$B,0),MATCH(G$21,SourceEnergy!$J$12:$K$12,0))</f>
        <v>11.56</v>
      </c>
      <c r="H26" s="170"/>
      <c r="I26" s="180">
        <f>INDEX(SourceEnergy!$J:$K,MATCH(DATE(IF(I20="",H20,I20),$B11,1),SourceEnergy!$B:$B,0),MATCH(I$21,SourceEnergy!$J$12:$K$12,0))</f>
        <v>13.04</v>
      </c>
      <c r="J26" s="180">
        <f>INDEX(SourceEnergy!$J:$K,MATCH(DATE(IF(J20="",I20,J20),$B11,1),SourceEnergy!$B:$B,0),MATCH(J$21,SourceEnergy!$J$12:$K$12,0))</f>
        <v>11.84</v>
      </c>
      <c r="K26" s="170"/>
      <c r="L26" s="180">
        <f>INDEX(SourceEnergy!$J:$K,MATCH(DATE(IF(L20="",K20,L20),$B11,1),SourceEnergy!$B:$B,0),MATCH(L$21,SourceEnergy!$J$12:$K$12,0))</f>
        <v>15.07</v>
      </c>
      <c r="M26" s="180">
        <f>INDEX(SourceEnergy!$J:$K,MATCH(DATE(IF(M20="",L20,M20),$B11,1),SourceEnergy!$B:$B,0),MATCH(M$21,SourceEnergy!$J$12:$K$12,0))</f>
        <v>13.82</v>
      </c>
      <c r="N26" s="170"/>
      <c r="O26" s="180">
        <f>INDEX(SourceEnergy!$J:$K,MATCH(DATE(IF(O20="",N20,O20),$B11,1),SourceEnergy!$B:$B,0),MATCH(O$21,SourceEnergy!$J$12:$K$12,0))</f>
        <v>15.91</v>
      </c>
      <c r="P26" s="180">
        <f>INDEX(SourceEnergy!$J:$K,MATCH(DATE(IF(P20="",O20,P20),$B11,1),SourceEnergy!$B:$B,0),MATCH(P$21,SourceEnergy!$J$12:$K$12,0))</f>
        <v>14.5</v>
      </c>
      <c r="Q26" s="170"/>
      <c r="R26" s="180">
        <f>INDEX(SourceEnergy!$J:$K,MATCH(DATE(IF(R20="",Q20,R20),$B11,1),SourceEnergy!$B:$B,0),MATCH(R$21,SourceEnergy!$J$12:$K$12,0))</f>
        <v>17.079999999999998</v>
      </c>
      <c r="S26" s="180">
        <f>INDEX(SourceEnergy!$J:$K,MATCH(DATE(IF(S20="",R20,S20),$B11,1),SourceEnergy!$B:$B,0),MATCH(S$21,SourceEnergy!$J$12:$K$12,0))</f>
        <v>15.75</v>
      </c>
    </row>
    <row r="27" spans="2:19" x14ac:dyDescent="0.2">
      <c r="B27" s="178">
        <f t="shared" si="1"/>
        <v>6</v>
      </c>
      <c r="D27" s="179" t="s">
        <v>63</v>
      </c>
      <c r="E27" s="170"/>
      <c r="F27" s="180">
        <f>INDEX(SourceEnergy!$J:$K,MATCH(DATE(IF(F20="",T$5,F20),$B12,1),SourceEnergy!$B:$B,0),MATCH(F$21,SourceEnergy!$J$12:$K$12,0))</f>
        <v>15.81</v>
      </c>
      <c r="G27" s="180">
        <f>INDEX(SourceEnergy!$J:$K,MATCH(DATE(IF(G20="",F20,G20),$B12,1),SourceEnergy!$B:$B,0),MATCH(G$21,SourceEnergy!$J$12:$K$12,0))</f>
        <v>12.02</v>
      </c>
      <c r="H27" s="170"/>
      <c r="I27" s="180">
        <f>INDEX(SourceEnergy!$J:$K,MATCH(DATE(IF(I20="",H20,I20),$B12,1),SourceEnergy!$B:$B,0),MATCH(I$21,SourceEnergy!$J$12:$K$12,0))</f>
        <v>13.77</v>
      </c>
      <c r="J27" s="180">
        <f>INDEX(SourceEnergy!$J:$K,MATCH(DATE(IF(J20="",I20,J20),$B12,1),SourceEnergy!$B:$B,0),MATCH(J$21,SourceEnergy!$J$12:$K$12,0))</f>
        <v>12.37</v>
      </c>
      <c r="K27" s="170"/>
      <c r="L27" s="180">
        <f>INDEX(SourceEnergy!$J:$K,MATCH(DATE(IF(L20="",K20,L20),$B12,1),SourceEnergy!$B:$B,0),MATCH(L$21,SourceEnergy!$J$12:$K$12,0))</f>
        <v>16.350000000000001</v>
      </c>
      <c r="M27" s="180">
        <f>INDEX(SourceEnergy!$J:$K,MATCH(DATE(IF(M20="",L20,M20),$B12,1),SourceEnergy!$B:$B,0),MATCH(M$21,SourceEnergy!$J$12:$K$12,0))</f>
        <v>14.37</v>
      </c>
      <c r="N27" s="170"/>
      <c r="O27" s="180">
        <f>INDEX(SourceEnergy!$J:$K,MATCH(DATE(IF(O20="",N20,O20),$B12,1),SourceEnergy!$B:$B,0),MATCH(O$21,SourceEnergy!$J$12:$K$12,0))</f>
        <v>17.59</v>
      </c>
      <c r="P27" s="180">
        <f>INDEX(SourceEnergy!$J:$K,MATCH(DATE(IF(P20="",O20,P20),$B12,1),SourceEnergy!$B:$B,0),MATCH(P$21,SourceEnergy!$J$12:$K$12,0))</f>
        <v>15.33</v>
      </c>
      <c r="Q27" s="170"/>
      <c r="R27" s="180">
        <f>INDEX(SourceEnergy!$J:$K,MATCH(DATE(IF(R20="",Q20,R20),$B12,1),SourceEnergy!$B:$B,0),MATCH(R$21,SourceEnergy!$J$12:$K$12,0))</f>
        <v>18.54</v>
      </c>
      <c r="S27" s="180">
        <f>INDEX(SourceEnergy!$J:$K,MATCH(DATE(IF(S20="",R20,S20),$B12,1),SourceEnergy!$B:$B,0),MATCH(S$21,SourceEnergy!$J$12:$K$12,0))</f>
        <v>16.36</v>
      </c>
    </row>
    <row r="28" spans="2:19" x14ac:dyDescent="0.2">
      <c r="B28" s="178">
        <f t="shared" si="1"/>
        <v>7</v>
      </c>
      <c r="D28" s="179" t="s">
        <v>64</v>
      </c>
      <c r="E28" s="170"/>
      <c r="F28" s="180">
        <f>INDEX(SourceEnergy!$J:$K,MATCH(DATE(IF(F20="",T$5,F20),$B13,1),SourceEnergy!$B:$B,0),MATCH(F$21,SourceEnergy!$J$12:$K$12,0))</f>
        <v>22.01</v>
      </c>
      <c r="G28" s="180">
        <f>INDEX(SourceEnergy!$J:$K,MATCH(DATE(IF(G20="",F20,G20),$B13,1),SourceEnergy!$B:$B,0),MATCH(G$21,SourceEnergy!$J$12:$K$12,0))</f>
        <v>16.34</v>
      </c>
      <c r="H28" s="170"/>
      <c r="I28" s="180">
        <f>INDEX(SourceEnergy!$J:$K,MATCH(DATE(IF(I20="",H20,I20),$B13,1),SourceEnergy!$B:$B,0),MATCH(I$21,SourceEnergy!$J$12:$K$12,0))</f>
        <v>20.02</v>
      </c>
      <c r="J28" s="180">
        <f>INDEX(SourceEnergy!$J:$K,MATCH(DATE(IF(J20="",I20,J20),$B13,1),SourceEnergy!$B:$B,0),MATCH(J$21,SourceEnergy!$J$12:$K$12,0))</f>
        <v>15.54</v>
      </c>
      <c r="K28" s="170"/>
      <c r="L28" s="180">
        <f>INDEX(SourceEnergy!$J:$K,MATCH(DATE(IF(L20="",K20,L20),$B13,1),SourceEnergy!$B:$B,0),MATCH(L$21,SourceEnergy!$J$12:$K$12,0))</f>
        <v>23.32</v>
      </c>
      <c r="M28" s="180">
        <f>INDEX(SourceEnergy!$J:$K,MATCH(DATE(IF(M20="",L20,M20),$B13,1),SourceEnergy!$B:$B,0),MATCH(M$21,SourceEnergy!$J$12:$K$12,0))</f>
        <v>18.12</v>
      </c>
      <c r="N28" s="170"/>
      <c r="O28" s="180">
        <f>INDEX(SourceEnergy!$J:$K,MATCH(DATE(IF(O20="",N20,O20),$B13,1),SourceEnergy!$B:$B,0),MATCH(O$21,SourceEnergy!$J$12:$K$12,0))</f>
        <v>24.91</v>
      </c>
      <c r="P28" s="180">
        <f>INDEX(SourceEnergy!$J:$K,MATCH(DATE(IF(P20="",O20,P20),$B13,1),SourceEnergy!$B:$B,0),MATCH(P$21,SourceEnergy!$J$12:$K$12,0))</f>
        <v>19.399999999999999</v>
      </c>
      <c r="Q28" s="170"/>
      <c r="R28" s="180">
        <f>INDEX(SourceEnergy!$J:$K,MATCH(DATE(IF(R20="",Q20,R20),$B13,1),SourceEnergy!$B:$B,0),MATCH(R$21,SourceEnergy!$J$12:$K$12,0))</f>
        <v>25.87</v>
      </c>
      <c r="S28" s="180">
        <f>INDEX(SourceEnergy!$J:$K,MATCH(DATE(IF(S20="",R20,S20),$B13,1),SourceEnergy!$B:$B,0),MATCH(S$21,SourceEnergy!$J$12:$K$12,0))</f>
        <v>20.49</v>
      </c>
    </row>
    <row r="29" spans="2:19" x14ac:dyDescent="0.2">
      <c r="B29" s="178">
        <f t="shared" si="1"/>
        <v>8</v>
      </c>
      <c r="D29" s="179" t="s">
        <v>65</v>
      </c>
      <c r="E29" s="170"/>
      <c r="F29" s="180">
        <f>INDEX(SourceEnergy!$J:$K,MATCH(DATE(IF(F20="",T$5,F20),$B14,1),SourceEnergy!$B:$B,0),MATCH(F$21,SourceEnergy!$J$12:$K$12,0))</f>
        <v>22.32</v>
      </c>
      <c r="G29" s="180">
        <f>INDEX(SourceEnergy!$J:$K,MATCH(DATE(IF(G20="",F20,G20),$B14,1),SourceEnergy!$B:$B,0),MATCH(G$21,SourceEnergy!$J$12:$K$12,0))</f>
        <v>16.670000000000002</v>
      </c>
      <c r="H29" s="170"/>
      <c r="I29" s="180">
        <f>INDEX(SourceEnergy!$J:$K,MATCH(DATE(IF(I20="",H20,I20),$B14,1),SourceEnergy!$B:$B,0),MATCH(I$21,SourceEnergy!$J$12:$K$12,0))</f>
        <v>21.15</v>
      </c>
      <c r="J29" s="180">
        <f>INDEX(SourceEnergy!$J:$K,MATCH(DATE(IF(J20="",I20,J20),$B14,1),SourceEnergy!$B:$B,0),MATCH(J$21,SourceEnergy!$J$12:$K$12,0))</f>
        <v>16.22</v>
      </c>
      <c r="K29" s="170"/>
      <c r="L29" s="180">
        <f>INDEX(SourceEnergy!$J:$K,MATCH(DATE(IF(L20="",K20,L20),$B14,1),SourceEnergy!$B:$B,0),MATCH(L$21,SourceEnergy!$J$12:$K$12,0))</f>
        <v>25.36</v>
      </c>
      <c r="M29" s="180">
        <f>INDEX(SourceEnergy!$J:$K,MATCH(DATE(IF(M20="",L20,M20),$B14,1),SourceEnergy!$B:$B,0),MATCH(M$21,SourceEnergy!$J$12:$K$12,0))</f>
        <v>19.3</v>
      </c>
      <c r="N29" s="170"/>
      <c r="O29" s="180">
        <f>INDEX(SourceEnergy!$J:$K,MATCH(DATE(IF(O20="",N20,O20),$B14,1),SourceEnergy!$B:$B,0),MATCH(O$21,SourceEnergy!$J$12:$K$12,0))</f>
        <v>26.34</v>
      </c>
      <c r="P29" s="180">
        <f>INDEX(SourceEnergy!$J:$K,MATCH(DATE(IF(P20="",O20,P20),$B14,1),SourceEnergy!$B:$B,0),MATCH(P$21,SourceEnergy!$J$12:$K$12,0))</f>
        <v>20.22</v>
      </c>
      <c r="Q29" s="170"/>
      <c r="R29" s="180">
        <f>INDEX(SourceEnergy!$J:$K,MATCH(DATE(IF(R20="",Q20,R20),$B14,1),SourceEnergy!$B:$B,0),MATCH(R$21,SourceEnergy!$J$12:$K$12,0))</f>
        <v>27.39</v>
      </c>
      <c r="S29" s="180">
        <f>INDEX(SourceEnergy!$J:$K,MATCH(DATE(IF(S20="",R20,S20),$B14,1),SourceEnergy!$B:$B,0),MATCH(S$21,SourceEnergy!$J$12:$K$12,0))</f>
        <v>21.2</v>
      </c>
    </row>
    <row r="30" spans="2:19" x14ac:dyDescent="0.2">
      <c r="B30" s="178">
        <f t="shared" si="1"/>
        <v>9</v>
      </c>
      <c r="D30" s="179" t="s">
        <v>66</v>
      </c>
      <c r="E30" s="170"/>
      <c r="F30" s="180">
        <f>INDEX(SourceEnergy!$J:$K,MATCH(DATE(IF(F20="",T$5,F20),$B15,1),SourceEnergy!$B:$B,0),MATCH(F$21,SourceEnergy!$J$12:$K$12,0))</f>
        <v>19.829999999999998</v>
      </c>
      <c r="G30" s="180">
        <f>INDEX(SourceEnergy!$J:$K,MATCH(DATE(IF(G20="",F20,G20),$B15,1),SourceEnergy!$B:$B,0),MATCH(G$21,SourceEnergy!$J$12:$K$12,0))</f>
        <v>15</v>
      </c>
      <c r="H30" s="170"/>
      <c r="I30" s="180">
        <f>INDEX(SourceEnergy!$J:$K,MATCH(DATE(IF(I20="",H20,I20),$B15,1),SourceEnergy!$B:$B,0),MATCH(I$21,SourceEnergy!$J$12:$K$12,0))</f>
        <v>17.91</v>
      </c>
      <c r="J30" s="180">
        <f>INDEX(SourceEnergy!$J:$K,MATCH(DATE(IF(J20="",I20,J20),$B15,1),SourceEnergy!$B:$B,0),MATCH(J$21,SourceEnergy!$J$12:$K$12,0))</f>
        <v>14.72</v>
      </c>
      <c r="K30" s="170"/>
      <c r="L30" s="180">
        <f>INDEX(SourceEnergy!$J:$K,MATCH(DATE(IF(L20="",K20,L20),$B15,1),SourceEnergy!$B:$B,0),MATCH(L$21,SourceEnergy!$J$12:$K$12,0))</f>
        <v>21.37</v>
      </c>
      <c r="M30" s="180">
        <f>INDEX(SourceEnergy!$J:$K,MATCH(DATE(IF(M20="",L20,M20),$B15,1),SourceEnergy!$B:$B,0),MATCH(M$21,SourceEnergy!$J$12:$K$12,0))</f>
        <v>17.13</v>
      </c>
      <c r="N30" s="170"/>
      <c r="O30" s="180">
        <f>INDEX(SourceEnergy!$J:$K,MATCH(DATE(IF(O20="",N20,O20),$B15,1),SourceEnergy!$B:$B,0),MATCH(O$21,SourceEnergy!$J$12:$K$12,0))</f>
        <v>22.02</v>
      </c>
      <c r="P30" s="180">
        <f>INDEX(SourceEnergy!$J:$K,MATCH(DATE(IF(P20="",O20,P20),$B15,1),SourceEnergy!$B:$B,0),MATCH(P$21,SourceEnergy!$J$12:$K$12,0))</f>
        <v>17.899999999999999</v>
      </c>
      <c r="Q30" s="170"/>
      <c r="R30" s="180">
        <f>INDEX(SourceEnergy!$J:$K,MATCH(DATE(IF(R20="",Q20,R20),$B15,1),SourceEnergy!$B:$B,0),MATCH(R$21,SourceEnergy!$J$12:$K$12,0))</f>
        <v>22.72</v>
      </c>
      <c r="S30" s="180">
        <f>INDEX(SourceEnergy!$J:$K,MATCH(DATE(IF(S20="",R20,S20),$B15,1),SourceEnergy!$B:$B,0),MATCH(S$21,SourceEnergy!$J$12:$K$12,0))</f>
        <v>18.809999999999999</v>
      </c>
    </row>
    <row r="31" spans="2:19" x14ac:dyDescent="0.2">
      <c r="B31" s="178">
        <f t="shared" si="1"/>
        <v>10</v>
      </c>
      <c r="D31" s="179" t="s">
        <v>67</v>
      </c>
      <c r="E31" s="170"/>
      <c r="F31" s="180">
        <f>INDEX(SourceEnergy!$J:$K,MATCH(DATE(IF(F20="",T$5,F20),$B16,1),SourceEnergy!$B:$B,0),MATCH(F$21,SourceEnergy!$J$12:$K$12,0))</f>
        <v>18.23</v>
      </c>
      <c r="G31" s="180">
        <f>INDEX(SourceEnergy!$J:$K,MATCH(DATE(IF(G20="",F20,G20),$B16,1),SourceEnergy!$B:$B,0),MATCH(G$21,SourceEnergy!$J$12:$K$12,0))</f>
        <v>16.86</v>
      </c>
      <c r="H31" s="170"/>
      <c r="I31" s="180">
        <f>INDEX(SourceEnergy!$J:$K,MATCH(DATE(IF(I20="",H20,I20),$B16,1),SourceEnergy!$B:$B,0),MATCH(I$21,SourceEnergy!$J$12:$K$12,0))</f>
        <v>17.510000000000002</v>
      </c>
      <c r="J31" s="180">
        <f>INDEX(SourceEnergy!$J:$K,MATCH(DATE(IF(J20="",I20,J20),$B16,1),SourceEnergy!$B:$B,0),MATCH(J$21,SourceEnergy!$J$12:$K$12,0))</f>
        <v>15.54</v>
      </c>
      <c r="K31" s="170"/>
      <c r="L31" s="180">
        <f>INDEX(SourceEnergy!$J:$K,MATCH(DATE(IF(L20="",K20,L20),$B16,1),SourceEnergy!$B:$B,0),MATCH(L$21,SourceEnergy!$J$12:$K$12,0))</f>
        <v>20.29</v>
      </c>
      <c r="M31" s="180">
        <f>INDEX(SourceEnergy!$J:$K,MATCH(DATE(IF(M20="",L20,M20),$B16,1),SourceEnergy!$B:$B,0),MATCH(M$21,SourceEnergy!$J$12:$K$12,0))</f>
        <v>17.95</v>
      </c>
      <c r="N31" s="170"/>
      <c r="O31" s="180">
        <f>INDEX(SourceEnergy!$J:$K,MATCH(DATE(IF(O20="",N20,O20),$B16,1),SourceEnergy!$B:$B,0),MATCH(O$21,SourceEnergy!$J$12:$K$12,0))</f>
        <v>21.32</v>
      </c>
      <c r="P31" s="180">
        <f>INDEX(SourceEnergy!$J:$K,MATCH(DATE(IF(P20="",O20,P20),$B16,1),SourceEnergy!$B:$B,0),MATCH(P$21,SourceEnergy!$J$12:$K$12,0))</f>
        <v>19.02</v>
      </c>
      <c r="Q31" s="170"/>
      <c r="R31" s="180">
        <f>INDEX(SourceEnergy!$J:$K,MATCH(DATE(IF(R20="",Q20,R20),$B16,1),SourceEnergy!$B:$B,0),MATCH(R$21,SourceEnergy!$J$12:$K$12,0))</f>
        <v>22.35</v>
      </c>
      <c r="S31" s="180">
        <f>INDEX(SourceEnergy!$J:$K,MATCH(DATE(IF(S20="",R20,S20),$B16,1),SourceEnergy!$B:$B,0),MATCH(S$21,SourceEnergy!$J$12:$K$12,0))</f>
        <v>19.97</v>
      </c>
    </row>
    <row r="32" spans="2:19" x14ac:dyDescent="0.2">
      <c r="B32" s="178">
        <f t="shared" si="1"/>
        <v>11</v>
      </c>
      <c r="D32" s="179" t="s">
        <v>68</v>
      </c>
      <c r="E32" s="170"/>
      <c r="F32" s="180">
        <f>INDEX(SourceEnergy!$J:$K,MATCH(DATE(IF(F20="",T$5,F20),$B17,1),SourceEnergy!$B:$B,0),MATCH(F$21,SourceEnergy!$J$12:$K$12,0))</f>
        <v>18.57</v>
      </c>
      <c r="G32" s="180">
        <f>INDEX(SourceEnergy!$J:$K,MATCH(DATE(IF(G20="",F20,G20),$B17,1),SourceEnergy!$B:$B,0),MATCH(G$21,SourceEnergy!$J$12:$K$12,0))</f>
        <v>17.07</v>
      </c>
      <c r="H32" s="170"/>
      <c r="I32" s="180">
        <f>INDEX(SourceEnergy!$J:$K,MATCH(DATE(IF(I20="",H20,I20),$B17,1),SourceEnergy!$B:$B,0),MATCH(I$21,SourceEnergy!$J$12:$K$12,0))</f>
        <v>18.22</v>
      </c>
      <c r="J32" s="180">
        <f>INDEX(SourceEnergy!$J:$K,MATCH(DATE(IF(J20="",I20,J20),$B17,1),SourceEnergy!$B:$B,0),MATCH(J$21,SourceEnergy!$J$12:$K$12,0))</f>
        <v>16.21</v>
      </c>
      <c r="K32" s="170"/>
      <c r="L32" s="180">
        <f>INDEX(SourceEnergy!$J:$K,MATCH(DATE(IF(L20="",K20,L20),$B17,1),SourceEnergy!$B:$B,0),MATCH(L$21,SourceEnergy!$J$12:$K$12,0))</f>
        <v>21.27</v>
      </c>
      <c r="M32" s="180">
        <f>INDEX(SourceEnergy!$J:$K,MATCH(DATE(IF(M20="",L20,M20),$B17,1),SourceEnergy!$B:$B,0),MATCH(M$21,SourceEnergy!$J$12:$K$12,0))</f>
        <v>18.96</v>
      </c>
      <c r="N32" s="170"/>
      <c r="O32" s="180">
        <f>INDEX(SourceEnergy!$J:$K,MATCH(DATE(IF(O20="",N20,O20),$B17,1),SourceEnergy!$B:$B,0),MATCH(O$21,SourceEnergy!$J$12:$K$12,0))</f>
        <v>21.86</v>
      </c>
      <c r="P32" s="180">
        <f>INDEX(SourceEnergy!$J:$K,MATCH(DATE(IF(P20="",O20,P20),$B17,1),SourceEnergy!$B:$B,0),MATCH(P$21,SourceEnergy!$J$12:$K$12,0))</f>
        <v>19.48</v>
      </c>
      <c r="Q32" s="170"/>
      <c r="R32" s="180">
        <f>INDEX(SourceEnergy!$J:$K,MATCH(DATE(IF(R20="",Q20,R20),$B17,1),SourceEnergy!$B:$B,0),MATCH(R$21,SourceEnergy!$J$12:$K$12,0))</f>
        <v>22.94</v>
      </c>
      <c r="S32" s="180">
        <f>INDEX(SourceEnergy!$J:$K,MATCH(DATE(IF(S20="",R20,S20),$B17,1),SourceEnergy!$B:$B,0),MATCH(S$21,SourceEnergy!$J$12:$K$12,0))</f>
        <v>20.27</v>
      </c>
    </row>
    <row r="33" spans="2:19" x14ac:dyDescent="0.2">
      <c r="B33" s="178">
        <f t="shared" si="1"/>
        <v>12</v>
      </c>
      <c r="D33" s="179" t="s">
        <v>69</v>
      </c>
      <c r="E33" s="170"/>
      <c r="F33" s="180">
        <f>INDEX(SourceEnergy!$J:$K,MATCH(DATE(IF(F20="",T$5,F20),$B18,1),SourceEnergy!$B:$B,0),MATCH(F$21,SourceEnergy!$J$12:$K$12,0))</f>
        <v>19.39</v>
      </c>
      <c r="G33" s="180">
        <f>INDEX(SourceEnergy!$J:$K,MATCH(DATE(IF(G20="",F20,G20),$B18,1),SourceEnergy!$B:$B,0),MATCH(G$21,SourceEnergy!$J$12:$K$12,0))</f>
        <v>18.27</v>
      </c>
      <c r="H33" s="170"/>
      <c r="I33" s="180">
        <f>INDEX(SourceEnergy!$J:$K,MATCH(DATE(IF(I20="",H20,I20),$B18,1),SourceEnergy!$B:$B,0),MATCH(I$21,SourceEnergy!$J$12:$K$12,0))</f>
        <v>18.71</v>
      </c>
      <c r="J33" s="180">
        <f>INDEX(SourceEnergy!$J:$K,MATCH(DATE(IF(J20="",I20,J20),$B18,1),SourceEnergy!$B:$B,0),MATCH(J$21,SourceEnergy!$J$12:$K$12,0))</f>
        <v>17.02</v>
      </c>
      <c r="K33" s="170"/>
      <c r="L33" s="180">
        <f>INDEX(SourceEnergy!$J:$K,MATCH(DATE(IF(L20="",K20,L20),$B18,1),SourceEnergy!$B:$B,0),MATCH(L$21,SourceEnergy!$J$12:$K$12,0))</f>
        <v>21.68</v>
      </c>
      <c r="M33" s="180">
        <f>INDEX(SourceEnergy!$J:$K,MATCH(DATE(IF(M20="",L20,M20),$B18,1),SourceEnergy!$B:$B,0),MATCH(M$21,SourceEnergy!$J$12:$K$12,0))</f>
        <v>19.48</v>
      </c>
      <c r="N33" s="170"/>
      <c r="O33" s="180">
        <f>INDEX(SourceEnergy!$J:$K,MATCH(DATE(IF(O20="",N20,O20),$B18,1),SourceEnergy!$B:$B,0),MATCH(O$21,SourceEnergy!$J$12:$K$12,0))</f>
        <v>22.14</v>
      </c>
      <c r="P33" s="180">
        <f>INDEX(SourceEnergy!$J:$K,MATCH(DATE(IF(P20="",O20,P20),$B18,1),SourceEnergy!$B:$B,0),MATCH(P$21,SourceEnergy!$J$12:$K$12,0))</f>
        <v>19.96</v>
      </c>
      <c r="Q33" s="170"/>
      <c r="R33" s="180">
        <f>INDEX(SourceEnergy!$J:$K,MATCH(DATE(IF(R20="",Q20,R20),$B18,1),SourceEnergy!$B:$B,0),MATCH(R$21,SourceEnergy!$J$12:$K$12,0))</f>
        <v>22.68</v>
      </c>
      <c r="S33" s="180">
        <f>INDEX(SourceEnergy!$J:$K,MATCH(DATE(IF(S20="",R20,S20),$B18,1),SourceEnergy!$B:$B,0),MATCH(S$21,SourceEnergy!$J$12:$K$12,0))</f>
        <v>20.78</v>
      </c>
    </row>
    <row r="34" spans="2:19" x14ac:dyDescent="0.2"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2:19" x14ac:dyDescent="0.2">
      <c r="B35" s="171"/>
      <c r="D35" s="172"/>
      <c r="E35" s="170"/>
      <c r="F35" s="173">
        <f>R20+1</f>
        <v>2028</v>
      </c>
      <c r="G35" s="174"/>
      <c r="H35" s="170"/>
      <c r="I35" s="173">
        <f>F35+1</f>
        <v>2029</v>
      </c>
      <c r="J35" s="174"/>
      <c r="K35" s="170"/>
      <c r="L35" s="173">
        <f>I35+1</f>
        <v>2030</v>
      </c>
      <c r="M35" s="174"/>
      <c r="N35" s="170"/>
      <c r="O35" s="173">
        <f>L35+1</f>
        <v>2031</v>
      </c>
      <c r="P35" s="174"/>
      <c r="Q35" s="170"/>
      <c r="R35" s="173">
        <f>O35+1</f>
        <v>2032</v>
      </c>
      <c r="S35" s="174"/>
    </row>
    <row r="36" spans="2:19" x14ac:dyDescent="0.2">
      <c r="B36" s="175" t="s">
        <v>2</v>
      </c>
      <c r="D36" s="176" t="s">
        <v>2</v>
      </c>
      <c r="E36" s="170"/>
      <c r="F36" s="177" t="s">
        <v>9</v>
      </c>
      <c r="G36" s="177" t="s">
        <v>10</v>
      </c>
      <c r="H36" s="170"/>
      <c r="I36" s="177" t="s">
        <v>9</v>
      </c>
      <c r="J36" s="177" t="s">
        <v>10</v>
      </c>
      <c r="K36" s="170"/>
      <c r="L36" s="177" t="s">
        <v>9</v>
      </c>
      <c r="M36" s="177" t="s">
        <v>10</v>
      </c>
      <c r="N36" s="170"/>
      <c r="O36" s="177" t="s">
        <v>9</v>
      </c>
      <c r="P36" s="177" t="s">
        <v>10</v>
      </c>
      <c r="Q36" s="170"/>
      <c r="R36" s="177" t="s">
        <v>9</v>
      </c>
      <c r="S36" s="177" t="s">
        <v>10</v>
      </c>
    </row>
    <row r="37" spans="2:19" x14ac:dyDescent="0.2">
      <c r="B37" s="178">
        <v>1</v>
      </c>
      <c r="D37" s="179" t="s">
        <v>58</v>
      </c>
      <c r="E37" s="170"/>
      <c r="F37" s="180">
        <f>INDEX(SourceEnergy!$J:$K,MATCH(DATE(IF(F35="",T$5,F35),$B22,1),SourceEnergy!$B:$B,0),MATCH(F$21,SourceEnergy!$J$12:$K$12,0))</f>
        <v>24.18</v>
      </c>
      <c r="G37" s="180">
        <f>INDEX(SourceEnergy!$J:$K,MATCH(DATE(IF(G35="",F35,G35),$B22,1),SourceEnergy!$B:$B,0),MATCH(G$21,SourceEnergy!$J$12:$K$12,0))</f>
        <v>22.28</v>
      </c>
      <c r="H37" s="170"/>
      <c r="I37" s="180">
        <f>INDEX(SourceEnergy!$J:$K,MATCH(DATE(IF(I35="",H35,I35),$B22,1),SourceEnergy!$B:$B,0),MATCH(I$21,SourceEnergy!$J$12:$K$12,0))</f>
        <v>25.86</v>
      </c>
      <c r="J37" s="180">
        <f>INDEX(SourceEnergy!$J:$K,MATCH(DATE(IF(J35="",I35,J35),$B22,1),SourceEnergy!$B:$B,0),MATCH(J$21,SourceEnergy!$J$12:$K$12,0))</f>
        <v>23.84</v>
      </c>
      <c r="K37" s="170"/>
      <c r="L37" s="180">
        <f>INDEX(SourceEnergy!$J:$K,MATCH(DATE(IF(L35="",K35,L35),$B22,1),SourceEnergy!$B:$B,0),MATCH(L$21,SourceEnergy!$J$12:$K$12,0))</f>
        <v>30.2</v>
      </c>
      <c r="M37" s="180">
        <f>INDEX(SourceEnergy!$J:$K,MATCH(DATE(IF(M35="",L35,M35),$B22,1),SourceEnergy!$B:$B,0),MATCH(M$21,SourceEnergy!$J$12:$K$12,0))</f>
        <v>28.2</v>
      </c>
      <c r="N37" s="170"/>
      <c r="O37" s="180">
        <f>INDEX(SourceEnergy!$J:$K,MATCH(DATE(IF(O35="",N35,O35),$B22,1),SourceEnergy!$B:$B,0),MATCH(O$21,SourceEnergy!$J$12:$K$12,0))</f>
        <v>32.270000000000003</v>
      </c>
      <c r="P37" s="180">
        <f>INDEX(SourceEnergy!$J:$K,MATCH(DATE(IF(P35="",O35,P35),$B22,1),SourceEnergy!$B:$B,0),MATCH(P$21,SourceEnergy!$J$12:$K$12,0))</f>
        <v>30.29</v>
      </c>
      <c r="Q37" s="170"/>
      <c r="R37" s="180">
        <f>INDEX(SourceEnergy!$J:$K,MATCH(DATE(IF(R35="",Q35,R35),$B22,1),SourceEnergy!$B:$B,0),MATCH(R$21,SourceEnergy!$J$12:$K$12,0))</f>
        <v>33.83</v>
      </c>
      <c r="S37" s="180">
        <f>INDEX(SourceEnergy!$J:$K,MATCH(DATE(IF(S35="",R35,S35),$B22,1),SourceEnergy!$B:$B,0),MATCH(S$21,SourceEnergy!$J$12:$K$12,0))</f>
        <v>32.01</v>
      </c>
    </row>
    <row r="38" spans="2:19" x14ac:dyDescent="0.2">
      <c r="B38" s="178">
        <f t="shared" ref="B38:B48" si="2">B37+1</f>
        <v>2</v>
      </c>
      <c r="D38" s="179" t="s">
        <v>60</v>
      </c>
      <c r="E38" s="170"/>
      <c r="F38" s="180">
        <f>INDEX(SourceEnergy!$J:$K,MATCH(DATE(IF(F35="",T$5,F35),$B23,1),SourceEnergy!$B:$B,0),MATCH(F$21,SourceEnergy!$J$12:$K$12,0))</f>
        <v>25.12</v>
      </c>
      <c r="G38" s="180">
        <f>INDEX(SourceEnergy!$J:$K,MATCH(DATE(IF(G35="",F35,G35),$B23,1),SourceEnergy!$B:$B,0),MATCH(G$21,SourceEnergy!$J$12:$K$12,0))</f>
        <v>23.15</v>
      </c>
      <c r="H38" s="170"/>
      <c r="I38" s="180">
        <f>INDEX(SourceEnergy!$J:$K,MATCH(DATE(IF(I35="",H35,I35),$B23,1),SourceEnergy!$B:$B,0),MATCH(I$21,SourceEnergy!$J$12:$K$12,0))</f>
        <v>26.56</v>
      </c>
      <c r="J38" s="180">
        <f>INDEX(SourceEnergy!$J:$K,MATCH(DATE(IF(J35="",I35,J35),$B23,1),SourceEnergy!$B:$B,0),MATCH(J$21,SourceEnergy!$J$12:$K$12,0))</f>
        <v>24.71</v>
      </c>
      <c r="K38" s="170"/>
      <c r="L38" s="180">
        <f>INDEX(SourceEnergy!$J:$K,MATCH(DATE(IF(L35="",K35,L35),$B23,1),SourceEnergy!$B:$B,0),MATCH(L$21,SourceEnergy!$J$12:$K$12,0))</f>
        <v>30.3</v>
      </c>
      <c r="M38" s="180">
        <f>INDEX(SourceEnergy!$J:$K,MATCH(DATE(IF(M35="",L35,M35),$B23,1),SourceEnergy!$B:$B,0),MATCH(M$21,SourceEnergy!$J$12:$K$12,0))</f>
        <v>28.22</v>
      </c>
      <c r="N38" s="170"/>
      <c r="O38" s="180">
        <f>INDEX(SourceEnergy!$J:$K,MATCH(DATE(IF(O35="",N35,O35),$B23,1),SourceEnergy!$B:$B,0),MATCH(O$21,SourceEnergy!$J$12:$K$12,0))</f>
        <v>32.159999999999997</v>
      </c>
      <c r="P38" s="180">
        <f>INDEX(SourceEnergy!$J:$K,MATCH(DATE(IF(P35="",O35,P35),$B23,1),SourceEnergy!$B:$B,0),MATCH(P$21,SourceEnergy!$J$12:$K$12,0))</f>
        <v>29.87</v>
      </c>
      <c r="Q38" s="170"/>
      <c r="R38" s="180">
        <f>INDEX(SourceEnergy!$J:$K,MATCH(DATE(IF(R35="",Q35,R35),$B23,1),SourceEnergy!$B:$B,0),MATCH(R$21,SourceEnergy!$J$12:$K$12,0))</f>
        <v>33.49</v>
      </c>
      <c r="S38" s="180">
        <f>INDEX(SourceEnergy!$J:$K,MATCH(DATE(IF(S35="",R35,S35),$B23,1),SourceEnergy!$B:$B,0),MATCH(S$21,SourceEnergy!$J$12:$K$12,0))</f>
        <v>31.25</v>
      </c>
    </row>
    <row r="39" spans="2:19" x14ac:dyDescent="0.2">
      <c r="B39" s="178">
        <f t="shared" si="2"/>
        <v>3</v>
      </c>
      <c r="D39" s="179" t="s">
        <v>61</v>
      </c>
      <c r="E39" s="170"/>
      <c r="F39" s="180">
        <f>INDEX(SourceEnergy!$J:$K,MATCH(DATE(IF(F35="",T$5,F35),$B24,1),SourceEnergy!$B:$B,0),MATCH(F$21,SourceEnergy!$J$12:$K$12,0))</f>
        <v>22.31</v>
      </c>
      <c r="G39" s="180">
        <f>INDEX(SourceEnergy!$J:$K,MATCH(DATE(IF(G35="",F35,G35),$B24,1),SourceEnergy!$B:$B,0),MATCH(G$21,SourceEnergy!$J$12:$K$12,0))</f>
        <v>21.39</v>
      </c>
      <c r="H39" s="170"/>
      <c r="I39" s="180">
        <f>INDEX(SourceEnergy!$J:$K,MATCH(DATE(IF(I35="",H35,I35),$B24,1),SourceEnergy!$B:$B,0),MATCH(I$21,SourceEnergy!$J$12:$K$12,0))</f>
        <v>23.61</v>
      </c>
      <c r="J39" s="180">
        <f>INDEX(SourceEnergy!$J:$K,MATCH(DATE(IF(J35="",I35,J35),$B24,1),SourceEnergy!$B:$B,0),MATCH(J$21,SourceEnergy!$J$12:$K$12,0))</f>
        <v>23.06</v>
      </c>
      <c r="K39" s="170"/>
      <c r="L39" s="180">
        <f>INDEX(SourceEnergy!$J:$K,MATCH(DATE(IF(L35="",K35,L35),$B24,1),SourceEnergy!$B:$B,0),MATCH(L$21,SourceEnergy!$J$12:$K$12,0))</f>
        <v>26.71</v>
      </c>
      <c r="M39" s="180">
        <f>INDEX(SourceEnergy!$J:$K,MATCH(DATE(IF(M35="",L35,M35),$B24,1),SourceEnergy!$B:$B,0),MATCH(M$21,SourceEnergy!$J$12:$K$12,0))</f>
        <v>26.14</v>
      </c>
      <c r="N39" s="170"/>
      <c r="O39" s="180">
        <f>INDEX(SourceEnergy!$J:$K,MATCH(DATE(IF(O35="",N35,O35),$B24,1),SourceEnergy!$B:$B,0),MATCH(O$21,SourceEnergy!$J$12:$K$12,0))</f>
        <v>28.09</v>
      </c>
      <c r="P39" s="180">
        <f>INDEX(SourceEnergy!$J:$K,MATCH(DATE(IF(P35="",O35,P35),$B24,1),SourceEnergy!$B:$B,0),MATCH(P$21,SourceEnergy!$J$12:$K$12,0))</f>
        <v>27.28</v>
      </c>
      <c r="Q39" s="170"/>
      <c r="R39" s="180">
        <f>INDEX(SourceEnergy!$J:$K,MATCH(DATE(IF(R35="",Q35,R35),$B24,1),SourceEnergy!$B:$B,0),MATCH(R$21,SourceEnergy!$J$12:$K$12,0))</f>
        <v>29.31</v>
      </c>
      <c r="S39" s="180">
        <f>INDEX(SourceEnergy!$J:$K,MATCH(DATE(IF(S35="",R35,S35),$B24,1),SourceEnergy!$B:$B,0),MATCH(S$21,SourceEnergy!$J$12:$K$12,0))</f>
        <v>28.68</v>
      </c>
    </row>
    <row r="40" spans="2:19" x14ac:dyDescent="0.2">
      <c r="B40" s="178">
        <f t="shared" si="2"/>
        <v>4</v>
      </c>
      <c r="D40" s="179" t="s">
        <v>62</v>
      </c>
      <c r="E40" s="170"/>
      <c r="F40" s="180">
        <f>INDEX(SourceEnergy!$J:$K,MATCH(DATE(IF(F35="",T$5,F35),$B25,1),SourceEnergy!$B:$B,0),MATCH(F$21,SourceEnergy!$J$12:$K$12,0))</f>
        <v>18.79</v>
      </c>
      <c r="G40" s="180">
        <f>INDEX(SourceEnergy!$J:$K,MATCH(DATE(IF(G35="",F35,G35),$B25,1),SourceEnergy!$B:$B,0),MATCH(G$21,SourceEnergy!$J$12:$K$12,0))</f>
        <v>17.399999999999999</v>
      </c>
      <c r="H40" s="170"/>
      <c r="I40" s="180">
        <f>INDEX(SourceEnergy!$J:$K,MATCH(DATE(IF(I35="",H35,I35),$B25,1),SourceEnergy!$B:$B,0),MATCH(I$21,SourceEnergy!$J$12:$K$12,0))</f>
        <v>19.59</v>
      </c>
      <c r="J40" s="180">
        <f>INDEX(SourceEnergy!$J:$K,MATCH(DATE(IF(J35="",I35,J35),$B25,1),SourceEnergy!$B:$B,0),MATCH(J$21,SourceEnergy!$J$12:$K$12,0))</f>
        <v>18.13</v>
      </c>
      <c r="K40" s="170"/>
      <c r="L40" s="180">
        <f>INDEX(SourceEnergy!$J:$K,MATCH(DATE(IF(L35="",K35,L35),$B25,1),SourceEnergy!$B:$B,0),MATCH(L$21,SourceEnergy!$J$12:$K$12,0))</f>
        <v>22.38</v>
      </c>
      <c r="M40" s="180">
        <f>INDEX(SourceEnergy!$J:$K,MATCH(DATE(IF(M35="",L35,M35),$B25,1),SourceEnergy!$B:$B,0),MATCH(M$21,SourceEnergy!$J$12:$K$12,0))</f>
        <v>21.19</v>
      </c>
      <c r="N40" s="170"/>
      <c r="O40" s="180">
        <f>INDEX(SourceEnergy!$J:$K,MATCH(DATE(IF(O35="",N35,O35),$B25,1),SourceEnergy!$B:$B,0),MATCH(O$21,SourceEnergy!$J$12:$K$12,0))</f>
        <v>24.51</v>
      </c>
      <c r="P40" s="180">
        <f>INDEX(SourceEnergy!$J:$K,MATCH(DATE(IF(P35="",O35,P35),$B25,1),SourceEnergy!$B:$B,0),MATCH(P$21,SourceEnergy!$J$12:$K$12,0))</f>
        <v>22.78</v>
      </c>
      <c r="Q40" s="170"/>
      <c r="R40" s="180">
        <f>INDEX(SourceEnergy!$J:$K,MATCH(DATE(IF(R35="",Q35,R35),$B25,1),SourceEnergy!$B:$B,0),MATCH(R$21,SourceEnergy!$J$12:$K$12,0))</f>
        <v>26.34</v>
      </c>
      <c r="S40" s="180">
        <f>INDEX(SourceEnergy!$J:$K,MATCH(DATE(IF(S35="",R35,S35),$B25,1),SourceEnergy!$B:$B,0),MATCH(S$21,SourceEnergy!$J$12:$K$12,0))</f>
        <v>24.16</v>
      </c>
    </row>
    <row r="41" spans="2:19" x14ac:dyDescent="0.2">
      <c r="B41" s="178">
        <f t="shared" si="2"/>
        <v>5</v>
      </c>
      <c r="D41" s="179" t="s">
        <v>59</v>
      </c>
      <c r="E41" s="170"/>
      <c r="F41" s="180">
        <f>INDEX(SourceEnergy!$J:$K,MATCH(DATE(IF(F35="",T$5,F35),$B26,1),SourceEnergy!$B:$B,0),MATCH(F$21,SourceEnergy!$J$12:$K$12,0))</f>
        <v>19.079999999999998</v>
      </c>
      <c r="G41" s="180">
        <f>INDEX(SourceEnergy!$J:$K,MATCH(DATE(IF(G35="",F35,G35),$B26,1),SourceEnergy!$B:$B,0),MATCH(G$21,SourceEnergy!$J$12:$K$12,0))</f>
        <v>17.559999999999999</v>
      </c>
      <c r="H41" s="170"/>
      <c r="I41" s="180">
        <f>INDEX(SourceEnergy!$J:$K,MATCH(DATE(IF(I35="",H35,I35),$B26,1),SourceEnergy!$B:$B,0),MATCH(I$21,SourceEnergy!$J$12:$K$12,0))</f>
        <v>20.07</v>
      </c>
      <c r="J41" s="180">
        <f>INDEX(SourceEnergy!$J:$K,MATCH(DATE(IF(J35="",I35,J35),$B26,1),SourceEnergy!$B:$B,0),MATCH(J$21,SourceEnergy!$J$12:$K$12,0))</f>
        <v>18.5</v>
      </c>
      <c r="K41" s="170"/>
      <c r="L41" s="180">
        <f>INDEX(SourceEnergy!$J:$K,MATCH(DATE(IF(L35="",K35,L35),$B26,1),SourceEnergy!$B:$B,0),MATCH(L$21,SourceEnergy!$J$12:$K$12,0))</f>
        <v>23.35</v>
      </c>
      <c r="M41" s="180">
        <f>INDEX(SourceEnergy!$J:$K,MATCH(DATE(IF(M35="",L35,M35),$B26,1),SourceEnergy!$B:$B,0),MATCH(M$21,SourceEnergy!$J$12:$K$12,0))</f>
        <v>21.59</v>
      </c>
      <c r="N41" s="170"/>
      <c r="O41" s="180">
        <f>INDEX(SourceEnergy!$J:$K,MATCH(DATE(IF(O35="",N35,O35),$B26,1),SourceEnergy!$B:$B,0),MATCH(O$21,SourceEnergy!$J$12:$K$12,0))</f>
        <v>24.6</v>
      </c>
      <c r="P41" s="180">
        <f>INDEX(SourceEnergy!$J:$K,MATCH(DATE(IF(P35="",O35,P35),$B26,1),SourceEnergy!$B:$B,0),MATCH(P$21,SourceEnergy!$J$12:$K$12,0))</f>
        <v>22.66</v>
      </c>
      <c r="Q41" s="170"/>
      <c r="R41" s="180">
        <f>INDEX(SourceEnergy!$J:$K,MATCH(DATE(IF(R35="",Q35,R35),$B26,1),SourceEnergy!$B:$B,0),MATCH(R$21,SourceEnergy!$J$12:$K$12,0))</f>
        <v>26.49</v>
      </c>
      <c r="S41" s="180">
        <f>INDEX(SourceEnergy!$J:$K,MATCH(DATE(IF(S35="",R35,S35),$B26,1),SourceEnergy!$B:$B,0),MATCH(S$21,SourceEnergy!$J$12:$K$12,0))</f>
        <v>24.3</v>
      </c>
    </row>
    <row r="42" spans="2:19" x14ac:dyDescent="0.2">
      <c r="B42" s="178">
        <f t="shared" si="2"/>
        <v>6</v>
      </c>
      <c r="D42" s="179" t="s">
        <v>63</v>
      </c>
      <c r="E42" s="170"/>
      <c r="F42" s="180">
        <f>INDEX(SourceEnergy!$J:$K,MATCH(DATE(IF(F35="",T$5,F35),$B27,1),SourceEnergy!$B:$B,0),MATCH(F$21,SourceEnergy!$J$12:$K$12,0))</f>
        <v>20.53</v>
      </c>
      <c r="G42" s="180">
        <f>INDEX(SourceEnergy!$J:$K,MATCH(DATE(IF(G35="",F35,G35),$B27,1),SourceEnergy!$B:$B,0),MATCH(G$21,SourceEnergy!$J$12:$K$12,0))</f>
        <v>18.11</v>
      </c>
      <c r="H42" s="170"/>
      <c r="I42" s="180">
        <f>INDEX(SourceEnergy!$J:$K,MATCH(DATE(IF(I35="",H35,I35),$B27,1),SourceEnergy!$B:$B,0),MATCH(I$21,SourceEnergy!$J$12:$K$12,0))</f>
        <v>20.68</v>
      </c>
      <c r="J42" s="180">
        <f>INDEX(SourceEnergy!$J:$K,MATCH(DATE(IF(J35="",I35,J35),$B27,1),SourceEnergy!$B:$B,0),MATCH(J$21,SourceEnergy!$J$12:$K$12,0))</f>
        <v>18.66</v>
      </c>
      <c r="K42" s="170"/>
      <c r="L42" s="180">
        <f>INDEX(SourceEnergy!$J:$K,MATCH(DATE(IF(L35="",K35,L35),$B27,1),SourceEnergy!$B:$B,0),MATCH(L$21,SourceEnergy!$J$12:$K$12,0))</f>
        <v>23.96</v>
      </c>
      <c r="M42" s="180">
        <f>INDEX(SourceEnergy!$J:$K,MATCH(DATE(IF(M35="",L35,M35),$B27,1),SourceEnergy!$B:$B,0),MATCH(M$21,SourceEnergy!$J$12:$K$12,0))</f>
        <v>21.95</v>
      </c>
      <c r="N42" s="170"/>
      <c r="O42" s="180">
        <f>INDEX(SourceEnergy!$J:$K,MATCH(DATE(IF(O35="",N35,O35),$B27,1),SourceEnergy!$B:$B,0),MATCH(O$21,SourceEnergy!$J$12:$K$12,0))</f>
        <v>25.57</v>
      </c>
      <c r="P42" s="180">
        <f>INDEX(SourceEnergy!$J:$K,MATCH(DATE(IF(P35="",O35,P35),$B27,1),SourceEnergy!$B:$B,0),MATCH(P$21,SourceEnergy!$J$12:$K$12,0))</f>
        <v>23.12</v>
      </c>
      <c r="Q42" s="170"/>
      <c r="R42" s="180">
        <f>INDEX(SourceEnergy!$J:$K,MATCH(DATE(IF(R35="",Q35,R35),$B27,1),SourceEnergy!$B:$B,0),MATCH(R$21,SourceEnergy!$J$12:$K$12,0))</f>
        <v>27.82</v>
      </c>
      <c r="S42" s="180">
        <f>INDEX(SourceEnergy!$J:$K,MATCH(DATE(IF(S35="",R35,S35),$B27,1),SourceEnergy!$B:$B,0),MATCH(S$21,SourceEnergy!$J$12:$K$12,0))</f>
        <v>24.99</v>
      </c>
    </row>
    <row r="43" spans="2:19" x14ac:dyDescent="0.2">
      <c r="B43" s="178">
        <f t="shared" si="2"/>
        <v>7</v>
      </c>
      <c r="D43" s="179" t="s">
        <v>64</v>
      </c>
      <c r="E43" s="170"/>
      <c r="F43" s="180">
        <f>INDEX(SourceEnergy!$J:$K,MATCH(DATE(IF(F35="",T$5,F35),$B28,1),SourceEnergy!$B:$B,0),MATCH(F$21,SourceEnergy!$J$12:$K$12,0))</f>
        <v>28.54</v>
      </c>
      <c r="G43" s="180">
        <f>INDEX(SourceEnergy!$J:$K,MATCH(DATE(IF(G35="",F35,G35),$B28,1),SourceEnergy!$B:$B,0),MATCH(G$21,SourceEnergy!$J$12:$K$12,0))</f>
        <v>22.8</v>
      </c>
      <c r="H43" s="170"/>
      <c r="I43" s="180">
        <f>INDEX(SourceEnergy!$J:$K,MATCH(DATE(IF(I35="",H35,I35),$B28,1),SourceEnergy!$B:$B,0),MATCH(I$21,SourceEnergy!$J$12:$K$12,0))</f>
        <v>29.62</v>
      </c>
      <c r="J43" s="180">
        <f>INDEX(SourceEnergy!$J:$K,MATCH(DATE(IF(J35="",I35,J35),$B28,1),SourceEnergy!$B:$B,0),MATCH(J$21,SourceEnergy!$J$12:$K$12,0))</f>
        <v>23.82</v>
      </c>
      <c r="K43" s="170"/>
      <c r="L43" s="180">
        <f>INDEX(SourceEnergy!$J:$K,MATCH(DATE(IF(L35="",K35,L35),$B28,1),SourceEnergy!$B:$B,0),MATCH(L$21,SourceEnergy!$J$12:$K$12,0))</f>
        <v>34.159999999999997</v>
      </c>
      <c r="M43" s="180">
        <f>INDEX(SourceEnergy!$J:$K,MATCH(DATE(IF(M35="",L35,M35),$B28,1),SourceEnergy!$B:$B,0),MATCH(M$21,SourceEnergy!$J$12:$K$12,0))</f>
        <v>27.35</v>
      </c>
      <c r="N43" s="170"/>
      <c r="O43" s="180">
        <f>INDEX(SourceEnergy!$J:$K,MATCH(DATE(IF(O35="",N35,O35),$B28,1),SourceEnergy!$B:$B,0),MATCH(O$21,SourceEnergy!$J$12:$K$12,0))</f>
        <v>35.31</v>
      </c>
      <c r="P43" s="180">
        <f>INDEX(SourceEnergy!$J:$K,MATCH(DATE(IF(P35="",O35,P35),$B28,1),SourceEnergy!$B:$B,0),MATCH(P$21,SourceEnergy!$J$12:$K$12,0))</f>
        <v>28.51</v>
      </c>
      <c r="Q43" s="170"/>
      <c r="R43" s="180">
        <f>INDEX(SourceEnergy!$J:$K,MATCH(DATE(IF(R35="",Q35,R35),$B28,1),SourceEnergy!$B:$B,0),MATCH(R$21,SourceEnergy!$J$12:$K$12,0))</f>
        <v>37.61</v>
      </c>
      <c r="S43" s="180">
        <f>INDEX(SourceEnergy!$J:$K,MATCH(DATE(IF(S35="",R35,S35),$B28,1),SourceEnergy!$B:$B,0),MATCH(S$21,SourceEnergy!$J$12:$K$12,0))</f>
        <v>30.77</v>
      </c>
    </row>
    <row r="44" spans="2:19" x14ac:dyDescent="0.2">
      <c r="B44" s="178">
        <f t="shared" si="2"/>
        <v>8</v>
      </c>
      <c r="D44" s="179" t="s">
        <v>65</v>
      </c>
      <c r="E44" s="170"/>
      <c r="F44" s="180">
        <f>INDEX(SourceEnergy!$J:$K,MATCH(DATE(IF(F35="",T$5,F35),$B29,1),SourceEnergy!$B:$B,0),MATCH(F$21,SourceEnergy!$J$12:$K$12,0))</f>
        <v>30.05</v>
      </c>
      <c r="G44" s="180">
        <f>INDEX(SourceEnergy!$J:$K,MATCH(DATE(IF(G35="",F35,G35),$B29,1),SourceEnergy!$B:$B,0),MATCH(G$21,SourceEnergy!$J$12:$K$12,0))</f>
        <v>23.37</v>
      </c>
      <c r="H44" s="170"/>
      <c r="I44" s="180">
        <f>INDEX(SourceEnergy!$J:$K,MATCH(DATE(IF(I35="",H35,I35),$B29,1),SourceEnergy!$B:$B,0),MATCH(I$21,SourceEnergy!$J$12:$K$12,0))</f>
        <v>31.62</v>
      </c>
      <c r="J44" s="180">
        <f>INDEX(SourceEnergy!$J:$K,MATCH(DATE(IF(J35="",I35,J35),$B29,1),SourceEnergy!$B:$B,0),MATCH(J$21,SourceEnergy!$J$12:$K$12,0))</f>
        <v>24.93</v>
      </c>
      <c r="K44" s="170"/>
      <c r="L44" s="180">
        <f>INDEX(SourceEnergy!$J:$K,MATCH(DATE(IF(L35="",K35,L35),$B29,1),SourceEnergy!$B:$B,0),MATCH(L$21,SourceEnergy!$J$12:$K$12,0))</f>
        <v>35.99</v>
      </c>
      <c r="M44" s="180">
        <f>INDEX(SourceEnergy!$J:$K,MATCH(DATE(IF(M35="",L35,M35),$B29,1),SourceEnergy!$B:$B,0),MATCH(M$21,SourceEnergy!$J$12:$K$12,0))</f>
        <v>28.83</v>
      </c>
      <c r="N44" s="170"/>
      <c r="O44" s="180">
        <f>INDEX(SourceEnergy!$J:$K,MATCH(DATE(IF(O35="",N35,O35),$B29,1),SourceEnergy!$B:$B,0),MATCH(O$21,SourceEnergy!$J$12:$K$12,0))</f>
        <v>37.28</v>
      </c>
      <c r="P44" s="180">
        <f>INDEX(SourceEnergy!$J:$K,MATCH(DATE(IF(P35="",O35,P35),$B29,1),SourceEnergy!$B:$B,0),MATCH(P$21,SourceEnergy!$J$12:$K$12,0))</f>
        <v>30.31</v>
      </c>
      <c r="Q44" s="170"/>
      <c r="R44" s="180">
        <f>INDEX(SourceEnergy!$J:$K,MATCH(DATE(IF(R35="",Q35,R35),$B29,1),SourceEnergy!$B:$B,0),MATCH(R$21,SourceEnergy!$J$12:$K$12,0))</f>
        <v>40.01</v>
      </c>
      <c r="S44" s="180">
        <f>INDEX(SourceEnergy!$J:$K,MATCH(DATE(IF(S35="",R35,S35),$B29,1),SourceEnergy!$B:$B,0),MATCH(S$21,SourceEnergy!$J$12:$K$12,0))</f>
        <v>32.65</v>
      </c>
    </row>
    <row r="45" spans="2:19" x14ac:dyDescent="0.2">
      <c r="B45" s="178">
        <f t="shared" si="2"/>
        <v>9</v>
      </c>
      <c r="D45" s="179" t="s">
        <v>66</v>
      </c>
      <c r="E45" s="170"/>
      <c r="F45" s="180">
        <f>INDEX(SourceEnergy!$J:$K,MATCH(DATE(IF(F35="",T$5,F35),$B30,1),SourceEnergy!$B:$B,0),MATCH(F$21,SourceEnergy!$J$12:$K$12,0))</f>
        <v>24.67</v>
      </c>
      <c r="G45" s="180">
        <f>INDEX(SourceEnergy!$J:$K,MATCH(DATE(IF(G35="",F35,G35),$B30,1),SourceEnergy!$B:$B,0),MATCH(G$21,SourceEnergy!$J$12:$K$12,0))</f>
        <v>20.96</v>
      </c>
      <c r="H45" s="170"/>
      <c r="I45" s="180">
        <f>INDEX(SourceEnergy!$J:$K,MATCH(DATE(IF(I35="",H35,I35),$B30,1),SourceEnergy!$B:$B,0),MATCH(I$21,SourceEnergy!$J$12:$K$12,0))</f>
        <v>26.86</v>
      </c>
      <c r="J45" s="180">
        <f>INDEX(SourceEnergy!$J:$K,MATCH(DATE(IF(J35="",I35,J35),$B30,1),SourceEnergy!$B:$B,0),MATCH(J$21,SourceEnergy!$J$12:$K$12,0))</f>
        <v>22.66</v>
      </c>
      <c r="K45" s="170"/>
      <c r="L45" s="180">
        <f>INDEX(SourceEnergy!$J:$K,MATCH(DATE(IF(L35="",K35,L35),$B30,1),SourceEnergy!$B:$B,0),MATCH(L$21,SourceEnergy!$J$12:$K$12,0))</f>
        <v>30.95</v>
      </c>
      <c r="M45" s="180">
        <f>INDEX(SourceEnergy!$J:$K,MATCH(DATE(IF(M35="",L35,M35),$B30,1),SourceEnergy!$B:$B,0),MATCH(M$21,SourceEnergy!$J$12:$K$12,0))</f>
        <v>26.36</v>
      </c>
      <c r="N45" s="170"/>
      <c r="O45" s="180">
        <f>INDEX(SourceEnergy!$J:$K,MATCH(DATE(IF(O35="",N35,O35),$B30,1),SourceEnergy!$B:$B,0),MATCH(O$21,SourceEnergy!$J$12:$K$12,0))</f>
        <v>32.090000000000003</v>
      </c>
      <c r="P45" s="180">
        <f>INDEX(SourceEnergy!$J:$K,MATCH(DATE(IF(P35="",O35,P35),$B30,1),SourceEnergy!$B:$B,0),MATCH(P$21,SourceEnergy!$J$12:$K$12,0))</f>
        <v>27.38</v>
      </c>
      <c r="Q45" s="170"/>
      <c r="R45" s="180">
        <f>INDEX(SourceEnergy!$J:$K,MATCH(DATE(IF(R35="",Q35,R35),$B30,1),SourceEnergy!$B:$B,0),MATCH(R$21,SourceEnergy!$J$12:$K$12,0))</f>
        <v>34.43</v>
      </c>
      <c r="S45" s="180">
        <f>INDEX(SourceEnergy!$J:$K,MATCH(DATE(IF(S35="",R35,S35),$B30,1),SourceEnergy!$B:$B,0),MATCH(S$21,SourceEnergy!$J$12:$K$12,0))</f>
        <v>29.9</v>
      </c>
    </row>
    <row r="46" spans="2:19" x14ac:dyDescent="0.2">
      <c r="B46" s="178">
        <f t="shared" si="2"/>
        <v>10</v>
      </c>
      <c r="D46" s="179" t="s">
        <v>67</v>
      </c>
      <c r="E46" s="170"/>
      <c r="F46" s="180">
        <f>INDEX(SourceEnergy!$J:$K,MATCH(DATE(IF(F35="",T$5,F35),$B31,1),SourceEnergy!$B:$B,0),MATCH(F$21,SourceEnergy!$J$12:$K$12,0))</f>
        <v>24.35</v>
      </c>
      <c r="G46" s="180">
        <f>INDEX(SourceEnergy!$J:$K,MATCH(DATE(IF(G35="",F35,G35),$B31,1),SourceEnergy!$B:$B,0),MATCH(G$21,SourceEnergy!$J$12:$K$12,0))</f>
        <v>21.88</v>
      </c>
      <c r="H46" s="170"/>
      <c r="I46" s="180">
        <f>INDEX(SourceEnergy!$J:$K,MATCH(DATE(IF(I35="",H35,I35),$B31,1),SourceEnergy!$B:$B,0),MATCH(I$21,SourceEnergy!$J$12:$K$12,0))</f>
        <v>26.26</v>
      </c>
      <c r="J46" s="180">
        <f>INDEX(SourceEnergy!$J:$K,MATCH(DATE(IF(J35="",I35,J35),$B31,1),SourceEnergy!$B:$B,0),MATCH(J$21,SourceEnergy!$J$12:$K$12,0))</f>
        <v>23.55</v>
      </c>
      <c r="K46" s="170"/>
      <c r="L46" s="180">
        <f>INDEX(SourceEnergy!$J:$K,MATCH(DATE(IF(L35="",K35,L35),$B31,1),SourceEnergy!$B:$B,0),MATCH(L$21,SourceEnergy!$J$12:$K$12,0))</f>
        <v>29.76</v>
      </c>
      <c r="M46" s="180">
        <f>INDEX(SourceEnergy!$J:$K,MATCH(DATE(IF(M35="",L35,M35),$B31,1),SourceEnergy!$B:$B,0),MATCH(M$21,SourceEnergy!$J$12:$K$12,0))</f>
        <v>27.22</v>
      </c>
      <c r="N46" s="170"/>
      <c r="O46" s="180">
        <f>INDEX(SourceEnergy!$J:$K,MATCH(DATE(IF(O35="",N35,O35),$B31,1),SourceEnergy!$B:$B,0),MATCH(O$21,SourceEnergy!$J$12:$K$12,0))</f>
        <v>30.33</v>
      </c>
      <c r="P46" s="180">
        <f>INDEX(SourceEnergy!$J:$K,MATCH(DATE(IF(P35="",O35,P35),$B31,1),SourceEnergy!$B:$B,0),MATCH(P$21,SourceEnergy!$J$12:$K$12,0))</f>
        <v>27.73</v>
      </c>
      <c r="Q46" s="170"/>
      <c r="R46" s="180">
        <f>INDEX(SourceEnergy!$J:$K,MATCH(DATE(IF(R35="",Q35,R35),$B31,1),SourceEnergy!$B:$B,0),MATCH(R$21,SourceEnergy!$J$12:$K$12,0))</f>
        <v>33.81</v>
      </c>
      <c r="S46" s="180">
        <f>INDEX(SourceEnergy!$J:$K,MATCH(DATE(IF(S35="",R35,S35),$B31,1),SourceEnergy!$B:$B,0),MATCH(S$21,SourceEnergy!$J$12:$K$12,0))</f>
        <v>30.63</v>
      </c>
    </row>
    <row r="47" spans="2:19" x14ac:dyDescent="0.2">
      <c r="B47" s="178">
        <f t="shared" si="2"/>
        <v>11</v>
      </c>
      <c r="D47" s="179" t="s">
        <v>68</v>
      </c>
      <c r="E47" s="170"/>
      <c r="F47" s="180">
        <f>INDEX(SourceEnergy!$J:$K,MATCH(DATE(IF(F35="",T$5,F35),$B32,1),SourceEnergy!$B:$B,0),MATCH(F$21,SourceEnergy!$J$12:$K$12,0))</f>
        <v>25.66</v>
      </c>
      <c r="G47" s="180">
        <f>INDEX(SourceEnergy!$J:$K,MATCH(DATE(IF(G35="",F35,G35),$B32,1),SourceEnergy!$B:$B,0),MATCH(G$21,SourceEnergy!$J$12:$K$12,0))</f>
        <v>22.88</v>
      </c>
      <c r="H47" s="170"/>
      <c r="I47" s="180">
        <f>INDEX(SourceEnergy!$J:$K,MATCH(DATE(IF(I35="",H35,I35),$B32,1),SourceEnergy!$B:$B,0),MATCH(I$21,SourceEnergy!$J$12:$K$12,0))</f>
        <v>26.68</v>
      </c>
      <c r="J47" s="180">
        <f>INDEX(SourceEnergy!$J:$K,MATCH(DATE(IF(J35="",I35,J35),$B32,1),SourceEnergy!$B:$B,0),MATCH(J$21,SourceEnergy!$J$12:$K$12,0))</f>
        <v>24.22</v>
      </c>
      <c r="K47" s="170"/>
      <c r="L47" s="180">
        <f>INDEX(SourceEnergy!$J:$K,MATCH(DATE(IF(L35="",K35,L35),$B32,1),SourceEnergy!$B:$B,0),MATCH(L$21,SourceEnergy!$J$12:$K$12,0))</f>
        <v>30.46</v>
      </c>
      <c r="M47" s="180">
        <f>INDEX(SourceEnergy!$J:$K,MATCH(DATE(IF(M35="",L35,M35),$B32,1),SourceEnergy!$B:$B,0),MATCH(M$21,SourceEnergy!$J$12:$K$12,0))</f>
        <v>28.15</v>
      </c>
      <c r="N47" s="170"/>
      <c r="O47" s="180">
        <f>INDEX(SourceEnergy!$J:$K,MATCH(DATE(IF(O35="",N35,O35),$B32,1),SourceEnergy!$B:$B,0),MATCH(O$21,SourceEnergy!$J$12:$K$12,0))</f>
        <v>31.14</v>
      </c>
      <c r="P47" s="180">
        <f>INDEX(SourceEnergy!$J:$K,MATCH(DATE(IF(P35="",O35,P35),$B32,1),SourceEnergy!$B:$B,0),MATCH(P$21,SourceEnergy!$J$12:$K$12,0))</f>
        <v>28.78</v>
      </c>
      <c r="Q47" s="170"/>
      <c r="R47" s="180">
        <f>INDEX(SourceEnergy!$J:$K,MATCH(DATE(IF(R35="",Q35,R35),$B32,1),SourceEnergy!$B:$B,0),MATCH(R$21,SourceEnergy!$J$12:$K$12,0))</f>
        <v>33.47</v>
      </c>
      <c r="S47" s="180">
        <f>INDEX(SourceEnergy!$J:$K,MATCH(DATE(IF(S35="",R35,S35),$B32,1),SourceEnergy!$B:$B,0),MATCH(S$21,SourceEnergy!$J$12:$K$12,0))</f>
        <v>30.81</v>
      </c>
    </row>
    <row r="48" spans="2:19" x14ac:dyDescent="0.2">
      <c r="B48" s="178">
        <f t="shared" si="2"/>
        <v>12</v>
      </c>
      <c r="D48" s="179" t="s">
        <v>69</v>
      </c>
      <c r="E48" s="170"/>
      <c r="F48" s="180">
        <f>INDEX(SourceEnergy!$J:$K,MATCH(DATE(IF(F35="",T$5,F35),$B33,1),SourceEnergy!$B:$B,0),MATCH(F$21,SourceEnergy!$J$12:$K$12,0))</f>
        <v>25.23</v>
      </c>
      <c r="G48" s="180">
        <f>INDEX(SourceEnergy!$J:$K,MATCH(DATE(IF(G35="",F35,G35),$B33,1),SourceEnergy!$B:$B,0),MATCH(G$21,SourceEnergy!$J$12:$K$12,0))</f>
        <v>23.44</v>
      </c>
      <c r="H48" s="170"/>
      <c r="I48" s="180">
        <f>INDEX(SourceEnergy!$J:$K,MATCH(DATE(IF(I35="",H35,I35),$B33,1),SourceEnergy!$B:$B,0),MATCH(I$21,SourceEnergy!$J$12:$K$12,0))</f>
        <v>27.38</v>
      </c>
      <c r="J48" s="180">
        <f>INDEX(SourceEnergy!$J:$K,MATCH(DATE(IF(J35="",I35,J35),$B33,1),SourceEnergy!$B:$B,0),MATCH(J$21,SourceEnergy!$J$12:$K$12,0))</f>
        <v>25.69</v>
      </c>
      <c r="K48" s="170"/>
      <c r="L48" s="180">
        <f>INDEX(SourceEnergy!$J:$K,MATCH(DATE(IF(L35="",K35,L35),$B33,1),SourceEnergy!$B:$B,0),MATCH(L$21,SourceEnergy!$J$12:$K$12,0))</f>
        <v>31.57</v>
      </c>
      <c r="M48" s="180">
        <f>INDEX(SourceEnergy!$J:$K,MATCH(DATE(IF(M35="",L35,M35),$B33,1),SourceEnergy!$B:$B,0),MATCH(M$21,SourceEnergy!$J$12:$K$12,0))</f>
        <v>29.85</v>
      </c>
      <c r="N48" s="170"/>
      <c r="O48" s="180">
        <f>INDEX(SourceEnergy!$J:$K,MATCH(DATE(IF(O35="",N35,O35),$B33,1),SourceEnergy!$B:$B,0),MATCH(O$21,SourceEnergy!$J$12:$K$12,0))</f>
        <v>32.74</v>
      </c>
      <c r="P48" s="180">
        <f>INDEX(SourceEnergy!$J:$K,MATCH(DATE(IF(P35="",O35,P35),$B33,1),SourceEnergy!$B:$B,0),MATCH(P$21,SourceEnergy!$J$12:$K$12,0))</f>
        <v>30.86</v>
      </c>
      <c r="Q48" s="170"/>
      <c r="R48" s="180">
        <f>INDEX(SourceEnergy!$J:$K,MATCH(DATE(IF(R35="",Q35,R35),$B33,1),SourceEnergy!$B:$B,0),MATCH(R$21,SourceEnergy!$J$12:$K$12,0))</f>
        <v>34.840000000000003</v>
      </c>
      <c r="S48" s="180">
        <f>INDEX(SourceEnergy!$J:$K,MATCH(DATE(IF(S35="",R35,S35),$B33,1),SourceEnergy!$B:$B,0),MATCH(S$21,SourceEnergy!$J$12:$K$12,0))</f>
        <v>33.14</v>
      </c>
    </row>
    <row r="49" spans="2:20" x14ac:dyDescent="0.2">
      <c r="D49" s="170"/>
      <c r="E49" s="170"/>
      <c r="F49" s="170"/>
      <c r="G49" s="170"/>
      <c r="H49" s="170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</row>
    <row r="50" spans="2:20" x14ac:dyDescent="0.2">
      <c r="B50" s="171"/>
      <c r="D50" s="172"/>
      <c r="E50" s="170"/>
      <c r="F50" s="173">
        <f>R35+1</f>
        <v>2033</v>
      </c>
      <c r="G50" s="174"/>
      <c r="H50" s="170"/>
      <c r="I50" s="173">
        <f>F50+1</f>
        <v>2034</v>
      </c>
      <c r="J50" s="174"/>
      <c r="K50" s="170"/>
      <c r="L50" s="173">
        <f>I50+1</f>
        <v>2035</v>
      </c>
      <c r="M50" s="174"/>
      <c r="N50" s="170"/>
      <c r="O50" s="173">
        <f>L50+1</f>
        <v>2036</v>
      </c>
      <c r="P50" s="174"/>
      <c r="Q50" s="170"/>
      <c r="R50" s="173">
        <f>O50+1</f>
        <v>2037</v>
      </c>
      <c r="S50" s="174"/>
      <c r="T50" s="181"/>
    </row>
    <row r="51" spans="2:20" x14ac:dyDescent="0.2">
      <c r="B51" s="175" t="s">
        <v>2</v>
      </c>
      <c r="D51" s="176" t="s">
        <v>2</v>
      </c>
      <c r="E51" s="170"/>
      <c r="F51" s="177" t="s">
        <v>9</v>
      </c>
      <c r="G51" s="177" t="s">
        <v>10</v>
      </c>
      <c r="H51" s="170"/>
      <c r="I51" s="177" t="s">
        <v>9</v>
      </c>
      <c r="J51" s="177" t="s">
        <v>10</v>
      </c>
      <c r="K51" s="170"/>
      <c r="L51" s="177" t="s">
        <v>9</v>
      </c>
      <c r="M51" s="177" t="s">
        <v>10</v>
      </c>
      <c r="N51" s="170"/>
      <c r="O51" s="177" t="s">
        <v>9</v>
      </c>
      <c r="P51" s="177" t="s">
        <v>10</v>
      </c>
      <c r="Q51" s="170"/>
      <c r="R51" s="177" t="s">
        <v>9</v>
      </c>
      <c r="S51" s="177" t="s">
        <v>10</v>
      </c>
      <c r="T51" s="181"/>
    </row>
    <row r="52" spans="2:20" x14ac:dyDescent="0.2">
      <c r="B52" s="178">
        <v>1</v>
      </c>
      <c r="D52" s="179" t="s">
        <v>58</v>
      </c>
      <c r="E52" s="170"/>
      <c r="F52" s="180">
        <f>INDEX(SourceEnergy!$J:$K,MATCH(DATE(IF(F50="",T$5,F50),$B37,1),SourceEnergy!$B:$B,0),MATCH(F$21,SourceEnergy!$J$12:$K$12,0))</f>
        <v>41.15</v>
      </c>
      <c r="G52" s="180">
        <f>INDEX(SourceEnergy!$J:$K,MATCH(DATE(IF(G50="",F50,G50),$B37,1),SourceEnergy!$B:$B,0),MATCH(G$21,SourceEnergy!$J$12:$K$12,0))</f>
        <v>39.19</v>
      </c>
      <c r="H52" s="170"/>
      <c r="I52" s="180">
        <f>INDEX(SourceEnergy!$J:$K,MATCH(DATE(IF(I50="",H50,I50),$B37,1),SourceEnergy!$B:$B,0),MATCH(I$21,SourceEnergy!$J$12:$K$12,0))</f>
        <v>47.74</v>
      </c>
      <c r="J52" s="180">
        <f>INDEX(SourceEnergy!$J:$K,MATCH(DATE(IF(J50="",I50,J50),$B37,1),SourceEnergy!$B:$B,0),MATCH(J$21,SourceEnergy!$J$12:$K$12,0))</f>
        <v>45.2</v>
      </c>
      <c r="K52" s="170"/>
      <c r="L52" s="180">
        <f>INDEX(SourceEnergy!$J:$K,MATCH(DATE(IF(L50="",K50,L50),$B37,1),SourceEnergy!$B:$B,0),MATCH(L$21,SourceEnergy!$J$12:$K$12,0))</f>
        <v>89.43</v>
      </c>
      <c r="M52" s="180">
        <f>INDEX(SourceEnergy!$J:$K,MATCH(DATE(IF(M50="",L50,M50),$B37,1),SourceEnergy!$B:$B,0),MATCH(M$21,SourceEnergy!$J$12:$K$12,0))</f>
        <v>84.93</v>
      </c>
      <c r="N52" s="170"/>
      <c r="O52" s="180">
        <f>INDEX(SourceEnergy!$J:$K,MATCH(DATE(IF(O50="",N50,O50),$B37,1),SourceEnergy!$B:$B,0),MATCH(O$21,SourceEnergy!$J$12:$K$12,0))</f>
        <v>90.29</v>
      </c>
      <c r="P52" s="180">
        <f>INDEX(SourceEnergy!$J:$K,MATCH(DATE(IF(P50="",O50,P50),$B37,1),SourceEnergy!$B:$B,0),MATCH(P$21,SourceEnergy!$J$12:$K$12,0))</f>
        <v>86.19</v>
      </c>
      <c r="Q52" s="170"/>
      <c r="R52" s="180">
        <f>INDEX(SourceEnergy!$J:$K,MATCH(DATE(IF(R50="",Q50,R50),$B37,1),SourceEnergy!$B:$B,0),MATCH(R$21,SourceEnergy!$J$12:$K$12,0))</f>
        <v>96.32</v>
      </c>
      <c r="S52" s="180">
        <f>INDEX(SourceEnergy!$J:$K,MATCH(DATE(IF(S50="",R50,S50),$B37,1),SourceEnergy!$B:$B,0),MATCH(S$21,SourceEnergy!$J$12:$K$12,0))</f>
        <v>91.85</v>
      </c>
      <c r="T52" s="181"/>
    </row>
    <row r="53" spans="2:20" x14ac:dyDescent="0.2">
      <c r="B53" s="178">
        <f t="shared" ref="B53:B63" si="3">B52+1</f>
        <v>2</v>
      </c>
      <c r="D53" s="179" t="s">
        <v>60</v>
      </c>
      <c r="E53" s="170"/>
      <c r="F53" s="180">
        <f>INDEX(SourceEnergy!$J:$K,MATCH(DATE(IF(F50="",T$5,F50),$B38,1),SourceEnergy!$B:$B,0),MATCH(F$21,SourceEnergy!$J$12:$K$12,0))</f>
        <v>41.79</v>
      </c>
      <c r="G53" s="180">
        <f>INDEX(SourceEnergy!$J:$K,MATCH(DATE(IF(G50="",F50,G50),$B38,1),SourceEnergy!$B:$B,0),MATCH(G$21,SourceEnergy!$J$12:$K$12,0))</f>
        <v>39.200000000000003</v>
      </c>
      <c r="H53" s="170"/>
      <c r="I53" s="180">
        <f>INDEX(SourceEnergy!$J:$K,MATCH(DATE(IF(I50="",H50,I50),$B38,1),SourceEnergy!$B:$B,0),MATCH(I$21,SourceEnergy!$J$12:$K$12,0))</f>
        <v>47.76</v>
      </c>
      <c r="J53" s="180">
        <f>INDEX(SourceEnergy!$J:$K,MATCH(DATE(IF(J50="",I50,J50),$B38,1),SourceEnergy!$B:$B,0),MATCH(J$21,SourceEnergy!$J$12:$K$12,0))</f>
        <v>45.2</v>
      </c>
      <c r="K53" s="170"/>
      <c r="L53" s="180">
        <f>INDEX(SourceEnergy!$J:$K,MATCH(DATE(IF(L50="",K50,L50),$B38,1),SourceEnergy!$B:$B,0),MATCH(L$21,SourceEnergy!$J$12:$K$12,0))</f>
        <v>90.16</v>
      </c>
      <c r="M53" s="180">
        <f>INDEX(SourceEnergy!$J:$K,MATCH(DATE(IF(M50="",L50,M50),$B38,1),SourceEnergy!$B:$B,0),MATCH(M$21,SourceEnergy!$J$12:$K$12,0))</f>
        <v>85.26</v>
      </c>
      <c r="N53" s="170"/>
      <c r="O53" s="180">
        <f>INDEX(SourceEnergy!$J:$K,MATCH(DATE(IF(O50="",N50,O50),$B38,1),SourceEnergy!$B:$B,0),MATCH(O$21,SourceEnergy!$J$12:$K$12,0))</f>
        <v>91.04</v>
      </c>
      <c r="P53" s="180">
        <f>INDEX(SourceEnergy!$J:$K,MATCH(DATE(IF(P50="",O50,P50),$B38,1),SourceEnergy!$B:$B,0),MATCH(P$21,SourceEnergy!$J$12:$K$12,0))</f>
        <v>86.37</v>
      </c>
      <c r="Q53" s="170"/>
      <c r="R53" s="180">
        <f>INDEX(SourceEnergy!$J:$K,MATCH(DATE(IF(R50="",Q50,R50),$B38,1),SourceEnergy!$B:$B,0),MATCH(R$21,SourceEnergy!$J$12:$K$12,0))</f>
        <v>96.15</v>
      </c>
      <c r="S53" s="180">
        <f>INDEX(SourceEnergy!$J:$K,MATCH(DATE(IF(S50="",R50,S50),$B38,1),SourceEnergy!$B:$B,0),MATCH(S$21,SourceEnergy!$J$12:$K$12,0))</f>
        <v>91.91</v>
      </c>
      <c r="T53" s="181"/>
    </row>
    <row r="54" spans="2:20" x14ac:dyDescent="0.2">
      <c r="B54" s="178">
        <f t="shared" si="3"/>
        <v>3</v>
      </c>
      <c r="D54" s="179" t="s">
        <v>61</v>
      </c>
      <c r="E54" s="170"/>
      <c r="F54" s="180">
        <f>INDEX(SourceEnergy!$J:$K,MATCH(DATE(IF(F50="",T$5,F50),$B39,1),SourceEnergy!$B:$B,0),MATCH(F$21,SourceEnergy!$J$12:$K$12,0))</f>
        <v>35.85</v>
      </c>
      <c r="G54" s="180">
        <f>INDEX(SourceEnergy!$J:$K,MATCH(DATE(IF(G50="",F50,G50),$B39,1),SourceEnergy!$B:$B,0),MATCH(G$21,SourceEnergy!$J$12:$K$12,0))</f>
        <v>35.21</v>
      </c>
      <c r="H54" s="170"/>
      <c r="I54" s="180">
        <f>INDEX(SourceEnergy!$J:$K,MATCH(DATE(IF(I50="",H50,I50),$B39,1),SourceEnergy!$B:$B,0),MATCH(I$21,SourceEnergy!$J$12:$K$12,0))</f>
        <v>42.83</v>
      </c>
      <c r="J54" s="180">
        <f>INDEX(SourceEnergy!$J:$K,MATCH(DATE(IF(J50="",I50,J50),$B39,1),SourceEnergy!$B:$B,0),MATCH(J$21,SourceEnergy!$J$12:$K$12,0))</f>
        <v>41.9</v>
      </c>
      <c r="K54" s="170"/>
      <c r="L54" s="180">
        <f>INDEX(SourceEnergy!$J:$K,MATCH(DATE(IF(L50="",K50,L50),$B39,1),SourceEnergy!$B:$B,0),MATCH(L$21,SourceEnergy!$J$12:$K$12,0))</f>
        <v>81.290000000000006</v>
      </c>
      <c r="M54" s="180">
        <f>INDEX(SourceEnergy!$J:$K,MATCH(DATE(IF(M50="",L50,M50),$B39,1),SourceEnergy!$B:$B,0),MATCH(M$21,SourceEnergy!$J$12:$K$12,0))</f>
        <v>79.61</v>
      </c>
      <c r="N54" s="170"/>
      <c r="O54" s="180">
        <f>INDEX(SourceEnergy!$J:$K,MATCH(DATE(IF(O50="",N50,O50),$B39,1),SourceEnergy!$B:$B,0),MATCH(O$21,SourceEnergy!$J$12:$K$12,0))</f>
        <v>82.91</v>
      </c>
      <c r="P54" s="180">
        <f>INDEX(SourceEnergy!$J:$K,MATCH(DATE(IF(P50="",O50,P50),$B39,1),SourceEnergy!$B:$B,0),MATCH(P$21,SourceEnergy!$J$12:$K$12,0))</f>
        <v>81.22</v>
      </c>
      <c r="Q54" s="170"/>
      <c r="R54" s="180">
        <f>INDEX(SourceEnergy!$J:$K,MATCH(DATE(IF(R50="",Q50,R50),$B39,1),SourceEnergy!$B:$B,0),MATCH(R$21,SourceEnergy!$J$12:$K$12,0))</f>
        <v>86.59</v>
      </c>
      <c r="S54" s="180">
        <f>INDEX(SourceEnergy!$J:$K,MATCH(DATE(IF(S50="",R50,S50),$B39,1),SourceEnergy!$B:$B,0),MATCH(S$21,SourceEnergy!$J$12:$K$12,0))</f>
        <v>84.87</v>
      </c>
      <c r="T54" s="181"/>
    </row>
    <row r="55" spans="2:20" x14ac:dyDescent="0.2">
      <c r="B55" s="178">
        <f t="shared" si="3"/>
        <v>4</v>
      </c>
      <c r="D55" s="179" t="s">
        <v>62</v>
      </c>
      <c r="E55" s="170"/>
      <c r="F55" s="180">
        <f>INDEX(SourceEnergy!$J:$K,MATCH(DATE(IF(F50="",T$5,F50),$B40,1),SourceEnergy!$B:$B,0),MATCH(F$21,SourceEnergy!$J$12:$K$12,0))</f>
        <v>32.049999999999997</v>
      </c>
      <c r="G55" s="180">
        <f>INDEX(SourceEnergy!$J:$K,MATCH(DATE(IF(G50="",F50,G50),$B40,1),SourceEnergy!$B:$B,0),MATCH(G$21,SourceEnergy!$J$12:$K$12,0))</f>
        <v>30.18</v>
      </c>
      <c r="H55" s="170"/>
      <c r="I55" s="180">
        <f>INDEX(SourceEnergy!$J:$K,MATCH(DATE(IF(I50="",H50,I50),$B40,1),SourceEnergy!$B:$B,0),MATCH(I$21,SourceEnergy!$J$12:$K$12,0))</f>
        <v>38.75</v>
      </c>
      <c r="J55" s="180">
        <f>INDEX(SourceEnergy!$J:$K,MATCH(DATE(IF(J50="",I50,J50),$B40,1),SourceEnergy!$B:$B,0),MATCH(J$21,SourceEnergy!$J$12:$K$12,0))</f>
        <v>36.29</v>
      </c>
      <c r="K55" s="170"/>
      <c r="L55" s="180">
        <f>INDEX(SourceEnergy!$J:$K,MATCH(DATE(IF(L50="",K50,L50),$B40,1),SourceEnergy!$B:$B,0),MATCH(L$21,SourceEnergy!$J$12:$K$12,0))</f>
        <v>73.78</v>
      </c>
      <c r="M55" s="180">
        <f>INDEX(SourceEnergy!$J:$K,MATCH(DATE(IF(M50="",L50,M50),$B40,1),SourceEnergy!$B:$B,0),MATCH(M$21,SourceEnergy!$J$12:$K$12,0))</f>
        <v>68.84</v>
      </c>
      <c r="N55" s="170"/>
      <c r="O55" s="180">
        <f>INDEX(SourceEnergy!$J:$K,MATCH(DATE(IF(O50="",N50,O50),$B40,1),SourceEnergy!$B:$B,0),MATCH(O$21,SourceEnergy!$J$12:$K$12,0))</f>
        <v>76.2</v>
      </c>
      <c r="P55" s="180">
        <f>INDEX(SourceEnergy!$J:$K,MATCH(DATE(IF(P50="",O50,P50),$B40,1),SourceEnergy!$B:$B,0),MATCH(P$21,SourceEnergy!$J$12:$K$12,0))</f>
        <v>71.36</v>
      </c>
      <c r="Q55" s="170"/>
      <c r="R55" s="180">
        <f>INDEX(SourceEnergy!$J:$K,MATCH(DATE(IF(R50="",Q50,R50),$B40,1),SourceEnergy!$B:$B,0),MATCH(R$21,SourceEnergy!$J$12:$K$12,0))</f>
        <v>79.3</v>
      </c>
      <c r="S55" s="180">
        <f>INDEX(SourceEnergy!$J:$K,MATCH(DATE(IF(S50="",R50,S50),$B40,1),SourceEnergy!$B:$B,0),MATCH(S$21,SourceEnergy!$J$12:$K$12,0))</f>
        <v>75.08</v>
      </c>
      <c r="T55" s="181"/>
    </row>
    <row r="56" spans="2:20" x14ac:dyDescent="0.2">
      <c r="B56" s="178">
        <f t="shared" si="3"/>
        <v>5</v>
      </c>
      <c r="D56" s="179" t="s">
        <v>59</v>
      </c>
      <c r="E56" s="170"/>
      <c r="F56" s="180">
        <f>INDEX(SourceEnergy!$J:$K,MATCH(DATE(IF(F50="",T$5,F50),$B41,1),SourceEnergy!$B:$B,0),MATCH(F$21,SourceEnergy!$J$12:$K$12,0))</f>
        <v>33.42</v>
      </c>
      <c r="G56" s="180">
        <f>INDEX(SourceEnergy!$J:$K,MATCH(DATE(IF(G50="",F50,G50),$B41,1),SourceEnergy!$B:$B,0),MATCH(G$21,SourceEnergy!$J$12:$K$12,0))</f>
        <v>30.76</v>
      </c>
      <c r="H56" s="170"/>
      <c r="I56" s="180">
        <f>INDEX(SourceEnergy!$J:$K,MATCH(DATE(IF(I50="",H50,I50),$B41,1),SourceEnergy!$B:$B,0),MATCH(I$21,SourceEnergy!$J$12:$K$12,0))</f>
        <v>39.299999999999997</v>
      </c>
      <c r="J56" s="180">
        <f>INDEX(SourceEnergy!$J:$K,MATCH(DATE(IF(J50="",I50,J50),$B41,1),SourceEnergy!$B:$B,0),MATCH(J$21,SourceEnergy!$J$12:$K$12,0))</f>
        <v>36.24</v>
      </c>
      <c r="K56" s="170"/>
      <c r="L56" s="180">
        <f>INDEX(SourceEnergy!$J:$K,MATCH(DATE(IF(L50="",K50,L50),$B41,1),SourceEnergy!$B:$B,0),MATCH(L$21,SourceEnergy!$J$12:$K$12,0))</f>
        <v>75.63</v>
      </c>
      <c r="M56" s="180">
        <f>INDEX(SourceEnergy!$J:$K,MATCH(DATE(IF(M50="",L50,M50),$B41,1),SourceEnergy!$B:$B,0),MATCH(M$21,SourceEnergy!$J$12:$K$12,0))</f>
        <v>70.38</v>
      </c>
      <c r="N56" s="170"/>
      <c r="O56" s="180">
        <f>INDEX(SourceEnergy!$J:$K,MATCH(DATE(IF(O50="",N50,O50),$B41,1),SourceEnergy!$B:$B,0),MATCH(O$21,SourceEnergy!$J$12:$K$12,0))</f>
        <v>78.56</v>
      </c>
      <c r="P56" s="180">
        <f>INDEX(SourceEnergy!$J:$K,MATCH(DATE(IF(P50="",O50,P50),$B41,1),SourceEnergy!$B:$B,0),MATCH(P$21,SourceEnergy!$J$12:$K$12,0))</f>
        <v>73.42</v>
      </c>
      <c r="Q56" s="170"/>
      <c r="R56" s="180">
        <f>INDEX(SourceEnergy!$J:$K,MATCH(DATE(IF(R50="",Q50,R50),$B41,1),SourceEnergy!$B:$B,0),MATCH(R$21,SourceEnergy!$J$12:$K$12,0))</f>
        <v>81.069999999999993</v>
      </c>
      <c r="S56" s="180">
        <f>INDEX(SourceEnergy!$J:$K,MATCH(DATE(IF(S50="",R50,S50),$B41,1),SourceEnergy!$B:$B,0),MATCH(S$21,SourceEnergy!$J$12:$K$12,0))</f>
        <v>75.66</v>
      </c>
      <c r="T56" s="181"/>
    </row>
    <row r="57" spans="2:20" x14ac:dyDescent="0.2">
      <c r="B57" s="178">
        <f t="shared" si="3"/>
        <v>6</v>
      </c>
      <c r="D57" s="179" t="s">
        <v>63</v>
      </c>
      <c r="E57" s="170"/>
      <c r="F57" s="180">
        <f>INDEX(SourceEnergy!$J:$K,MATCH(DATE(IF(F50="",T$5,F50),$B42,1),SourceEnergy!$B:$B,0),MATCH(F$21,SourceEnergy!$J$12:$K$12,0))</f>
        <v>35</v>
      </c>
      <c r="G57" s="180">
        <f>INDEX(SourceEnergy!$J:$K,MATCH(DATE(IF(G50="",F50,G50),$B42,1),SourceEnergy!$B:$B,0),MATCH(G$21,SourceEnergy!$J$12:$K$12,0))</f>
        <v>31.12</v>
      </c>
      <c r="H57" s="170"/>
      <c r="I57" s="180">
        <f>INDEX(SourceEnergy!$J:$K,MATCH(DATE(IF(I50="",H50,I50),$B42,1),SourceEnergy!$B:$B,0),MATCH(I$21,SourceEnergy!$J$12:$K$12,0))</f>
        <v>40.81</v>
      </c>
      <c r="J57" s="180">
        <f>INDEX(SourceEnergy!$J:$K,MATCH(DATE(IF(J50="",I50,J50),$B42,1),SourceEnergy!$B:$B,0),MATCH(J$21,SourceEnergy!$J$12:$K$12,0))</f>
        <v>36.619999999999997</v>
      </c>
      <c r="K57" s="170"/>
      <c r="L57" s="180">
        <f>INDEX(SourceEnergy!$J:$K,MATCH(DATE(IF(L50="",K50,L50),$B42,1),SourceEnergy!$B:$B,0),MATCH(L$21,SourceEnergy!$J$12:$K$12,0))</f>
        <v>78.66</v>
      </c>
      <c r="M57" s="180">
        <f>INDEX(SourceEnergy!$J:$K,MATCH(DATE(IF(M50="",L50,M50),$B42,1),SourceEnergy!$B:$B,0),MATCH(M$21,SourceEnergy!$J$12:$K$12,0))</f>
        <v>70.760000000000005</v>
      </c>
      <c r="N57" s="170"/>
      <c r="O57" s="180">
        <f>INDEX(SourceEnergy!$J:$K,MATCH(DATE(IF(O50="",N50,O50),$B42,1),SourceEnergy!$B:$B,0),MATCH(O$21,SourceEnergy!$J$12:$K$12,0))</f>
        <v>80.44</v>
      </c>
      <c r="P57" s="180">
        <f>INDEX(SourceEnergy!$J:$K,MATCH(DATE(IF(P50="",O50,P50),$B42,1),SourceEnergy!$B:$B,0),MATCH(P$21,SourceEnergy!$J$12:$K$12,0))</f>
        <v>73.62</v>
      </c>
      <c r="Q57" s="170"/>
      <c r="R57" s="180">
        <f>INDEX(SourceEnergy!$J:$K,MATCH(DATE(IF(R50="",Q50,R50),$B42,1),SourceEnergy!$B:$B,0),MATCH(R$21,SourceEnergy!$J$12:$K$12,0))</f>
        <v>84.95</v>
      </c>
      <c r="S57" s="180">
        <f>INDEX(SourceEnergy!$J:$K,MATCH(DATE(IF(S50="",R50,S50),$B42,1),SourceEnergy!$B:$B,0),MATCH(S$21,SourceEnergy!$J$12:$K$12,0))</f>
        <v>77.069999999999993</v>
      </c>
      <c r="T57" s="181"/>
    </row>
    <row r="58" spans="2:20" x14ac:dyDescent="0.2">
      <c r="B58" s="178">
        <f t="shared" si="3"/>
        <v>7</v>
      </c>
      <c r="D58" s="178" t="s">
        <v>64</v>
      </c>
      <c r="F58" s="180">
        <f>INDEX(SourceEnergy!$J:$K,MATCH(DATE(IF(F50="",T$5,F50),$B43,1),SourceEnergy!$B:$B,0),MATCH(F$21,SourceEnergy!$J$12:$K$12,0))</f>
        <v>46.36</v>
      </c>
      <c r="G58" s="180">
        <f>INDEX(SourceEnergy!$J:$K,MATCH(DATE(IF(G50="",F50,G50),$B43,1),SourceEnergy!$B:$B,0),MATCH(G$21,SourceEnergy!$J$12:$K$12,0))</f>
        <v>38.369999999999997</v>
      </c>
      <c r="H58" s="170"/>
      <c r="I58" s="180">
        <f>INDEX(SourceEnergy!$J:$K,MATCH(DATE(IF(I50="",H50,I50),$B43,1),SourceEnergy!$B:$B,0),MATCH(I$21,SourceEnergy!$J$12:$K$12,0))</f>
        <v>53.05</v>
      </c>
      <c r="J58" s="180">
        <f>INDEX(SourceEnergy!$J:$K,MATCH(DATE(IF(J50="",I50,J50),$B43,1),SourceEnergy!$B:$B,0),MATCH(J$21,SourceEnergy!$J$12:$K$12,0))</f>
        <v>44.13</v>
      </c>
      <c r="K58" s="170"/>
      <c r="L58" s="180">
        <f>INDEX(SourceEnergy!$J:$K,MATCH(DATE(IF(L50="",K50,L50),$B43,1),SourceEnergy!$B:$B,0),MATCH(L$21,SourceEnergy!$J$12:$K$12,0))</f>
        <v>103.14</v>
      </c>
      <c r="M58" s="180">
        <f>INDEX(SourceEnergy!$J:$K,MATCH(DATE(IF(M50="",L50,M50),$B43,1),SourceEnergy!$B:$B,0),MATCH(M$21,SourceEnergy!$J$12:$K$12,0))</f>
        <v>85.89</v>
      </c>
      <c r="N58" s="170"/>
      <c r="O58" s="180">
        <f>INDEX(SourceEnergy!$J:$K,MATCH(DATE(IF(O50="",N50,O50),$B43,1),SourceEnergy!$B:$B,0),MATCH(O$21,SourceEnergy!$J$12:$K$12,0))</f>
        <v>105.91</v>
      </c>
      <c r="P58" s="180">
        <f>INDEX(SourceEnergy!$J:$K,MATCH(DATE(IF(P50="",O50,P50),$B43,1),SourceEnergy!$B:$B,0),MATCH(P$21,SourceEnergy!$J$12:$K$12,0))</f>
        <v>88.1</v>
      </c>
      <c r="Q58" s="170"/>
      <c r="R58" s="180">
        <f>INDEX(SourceEnergy!$J:$K,MATCH(DATE(IF(R50="",Q50,R50),$B43,1),SourceEnergy!$B:$B,0),MATCH(R$21,SourceEnergy!$J$12:$K$12,0))</f>
        <v>107.86</v>
      </c>
      <c r="S58" s="180">
        <f>INDEX(SourceEnergy!$J:$K,MATCH(DATE(IF(S50="",R50,S50),$B43,1),SourceEnergy!$B:$B,0),MATCH(S$21,SourceEnergy!$J$12:$K$12,0))</f>
        <v>90.21</v>
      </c>
      <c r="T58" s="181"/>
    </row>
    <row r="59" spans="2:20" x14ac:dyDescent="0.2">
      <c r="B59" s="178">
        <f t="shared" si="3"/>
        <v>8</v>
      </c>
      <c r="D59" s="178" t="s">
        <v>65</v>
      </c>
      <c r="F59" s="180">
        <f>INDEX(SourceEnergy!$J:$K,MATCH(DATE(IF(F50="",T$5,F50),$B44,1),SourceEnergy!$B:$B,0),MATCH(F$21,SourceEnergy!$J$12:$K$12,0))</f>
        <v>49.26</v>
      </c>
      <c r="G59" s="180">
        <f>INDEX(SourceEnergy!$J:$K,MATCH(DATE(IF(G50="",F50,G50),$B44,1),SourceEnergy!$B:$B,0),MATCH(G$21,SourceEnergy!$J$12:$K$12,0))</f>
        <v>40.520000000000003</v>
      </c>
      <c r="H59" s="170"/>
      <c r="I59" s="180">
        <f>INDEX(SourceEnergy!$J:$K,MATCH(DATE(IF(I50="",H50,I50),$B44,1),SourceEnergy!$B:$B,0),MATCH(I$21,SourceEnergy!$J$12:$K$12,0))</f>
        <v>56.18</v>
      </c>
      <c r="J59" s="180">
        <f>INDEX(SourceEnergy!$J:$K,MATCH(DATE(IF(J50="",I50,J50),$B44,1),SourceEnergy!$B:$B,0),MATCH(J$21,SourceEnergy!$J$12:$K$12,0))</f>
        <v>46.39</v>
      </c>
      <c r="K59" s="170"/>
      <c r="L59" s="180">
        <f>INDEX(SourceEnergy!$J:$K,MATCH(DATE(IF(L50="",K50,L50),$B44,1),SourceEnergy!$B:$B,0),MATCH(L$21,SourceEnergy!$J$12:$K$12,0))</f>
        <v>108.26</v>
      </c>
      <c r="M59" s="180">
        <f>INDEX(SourceEnergy!$J:$K,MATCH(DATE(IF(M50="",L50,M50),$B44,1),SourceEnergy!$B:$B,0),MATCH(M$21,SourceEnergy!$J$12:$K$12,0))</f>
        <v>88.82</v>
      </c>
      <c r="N59" s="170"/>
      <c r="O59" s="180">
        <f>INDEX(SourceEnergy!$J:$K,MATCH(DATE(IF(O50="",N50,O50),$B44,1),SourceEnergy!$B:$B,0),MATCH(O$21,SourceEnergy!$J$12:$K$12,0))</f>
        <v>110.58</v>
      </c>
      <c r="P59" s="180">
        <f>INDEX(SourceEnergy!$J:$K,MATCH(DATE(IF(P50="",O50,P50),$B44,1),SourceEnergy!$B:$B,0),MATCH(P$21,SourceEnergy!$J$12:$K$12,0))</f>
        <v>92.41</v>
      </c>
      <c r="Q59" s="170"/>
      <c r="R59" s="180">
        <f>INDEX(SourceEnergy!$J:$K,MATCH(DATE(IF(R50="",Q50,R50),$B44,1),SourceEnergy!$B:$B,0),MATCH(R$21,SourceEnergy!$J$12:$K$12,0))</f>
        <v>113.43</v>
      </c>
      <c r="S59" s="180">
        <f>INDEX(SourceEnergy!$J:$K,MATCH(DATE(IF(S50="",R50,S50),$B44,1),SourceEnergy!$B:$B,0),MATCH(S$21,SourceEnergy!$J$12:$K$12,0))</f>
        <v>94.26</v>
      </c>
      <c r="T59" s="181"/>
    </row>
    <row r="60" spans="2:20" x14ac:dyDescent="0.2">
      <c r="B60" s="178">
        <f t="shared" si="3"/>
        <v>9</v>
      </c>
      <c r="D60" s="178" t="s">
        <v>66</v>
      </c>
      <c r="F60" s="180">
        <f>INDEX(SourceEnergy!$J:$K,MATCH(DATE(IF(F50="",T$5,F50),$B45,1),SourceEnergy!$B:$B,0),MATCH(F$21,SourceEnergy!$J$12:$K$12,0))</f>
        <v>42.2</v>
      </c>
      <c r="G60" s="180">
        <f>INDEX(SourceEnergy!$J:$K,MATCH(DATE(IF(G50="",F50,G50),$B45,1),SourceEnergy!$B:$B,0),MATCH(G$21,SourceEnergy!$J$12:$K$12,0))</f>
        <v>37.06</v>
      </c>
      <c r="H60" s="170"/>
      <c r="I60" s="180">
        <f>INDEX(SourceEnergy!$J:$K,MATCH(DATE(IF(I50="",H50,I50),$B45,1),SourceEnergy!$B:$B,0),MATCH(I$21,SourceEnergy!$J$12:$K$12,0))</f>
        <v>47.37</v>
      </c>
      <c r="J60" s="180">
        <f>INDEX(SourceEnergy!$J:$K,MATCH(DATE(IF(J50="",I50,J50),$B45,1),SourceEnergy!$B:$B,0),MATCH(J$21,SourceEnergy!$J$12:$K$12,0))</f>
        <v>42.22</v>
      </c>
      <c r="K60" s="170"/>
      <c r="L60" s="180">
        <f>INDEX(SourceEnergy!$J:$K,MATCH(DATE(IF(L50="",K50,L50),$B45,1),SourceEnergy!$B:$B,0),MATCH(L$21,SourceEnergy!$J$12:$K$12,0))</f>
        <v>94.51</v>
      </c>
      <c r="M60" s="180">
        <f>INDEX(SourceEnergy!$J:$K,MATCH(DATE(IF(M50="",L50,M50),$B45,1),SourceEnergy!$B:$B,0),MATCH(M$21,SourceEnergy!$J$12:$K$12,0))</f>
        <v>82.92</v>
      </c>
      <c r="N60" s="170"/>
      <c r="O60" s="180">
        <f>INDEX(SourceEnergy!$J:$K,MATCH(DATE(IF(O50="",N50,O50),$B45,1),SourceEnergy!$B:$B,0),MATCH(O$21,SourceEnergy!$J$12:$K$12,0))</f>
        <v>97.03</v>
      </c>
      <c r="P60" s="180">
        <f>INDEX(SourceEnergy!$J:$K,MATCH(DATE(IF(P50="",O50,P50),$B45,1),SourceEnergy!$B:$B,0),MATCH(P$21,SourceEnergy!$J$12:$K$12,0))</f>
        <v>85.25</v>
      </c>
      <c r="Q60" s="170"/>
      <c r="R60" s="180">
        <f>INDEX(SourceEnergy!$J:$K,MATCH(DATE(IF(R50="",Q50,R50),$B45,1),SourceEnergy!$B:$B,0),MATCH(R$21,SourceEnergy!$J$12:$K$12,0))</f>
        <v>98.26</v>
      </c>
      <c r="S60" s="180">
        <f>INDEX(SourceEnergy!$J:$K,MATCH(DATE(IF(S50="",R50,S50),$B45,1),SourceEnergy!$B:$B,0),MATCH(S$21,SourceEnergy!$J$12:$K$12,0))</f>
        <v>86.68</v>
      </c>
      <c r="T60" s="181"/>
    </row>
    <row r="61" spans="2:20" x14ac:dyDescent="0.2">
      <c r="B61" s="178">
        <f t="shared" si="3"/>
        <v>10</v>
      </c>
      <c r="D61" s="178" t="s">
        <v>67</v>
      </c>
      <c r="F61" s="180">
        <f>INDEX(SourceEnergy!$J:$K,MATCH(DATE(IF(F50="",T$5,F50),$B46,1),SourceEnergy!$B:$B,0),MATCH(F$21,SourceEnergy!$J$12:$K$12,0))</f>
        <v>40.81</v>
      </c>
      <c r="G61" s="180">
        <f>INDEX(SourceEnergy!$J:$K,MATCH(DATE(IF(G50="",F50,G50),$B46,1),SourceEnergy!$B:$B,0),MATCH(G$21,SourceEnergy!$J$12:$K$12,0))</f>
        <v>37.44</v>
      </c>
      <c r="H61" s="170"/>
      <c r="I61" s="180">
        <f>INDEX(SourceEnergy!$J:$K,MATCH(DATE(IF(I50="",H50,I50),$B46,1),SourceEnergy!$B:$B,0),MATCH(I$21,SourceEnergy!$J$12:$K$12,0))</f>
        <v>45.61</v>
      </c>
      <c r="J61" s="180">
        <f>INDEX(SourceEnergy!$J:$K,MATCH(DATE(IF(J50="",I50,J50),$B46,1),SourceEnergy!$B:$B,0),MATCH(J$21,SourceEnergy!$J$12:$K$12,0))</f>
        <v>42.19</v>
      </c>
      <c r="K61" s="170"/>
      <c r="L61" s="180">
        <f>INDEX(SourceEnergy!$J:$K,MATCH(DATE(IF(L50="",K50,L50),$B46,1),SourceEnergy!$B:$B,0),MATCH(L$21,SourceEnergy!$J$12:$K$12,0))</f>
        <v>89.72</v>
      </c>
      <c r="M61" s="180">
        <f>INDEX(SourceEnergy!$J:$K,MATCH(DATE(IF(M50="",L50,M50),$B46,1),SourceEnergy!$B:$B,0),MATCH(M$21,SourceEnergy!$J$12:$K$12,0))</f>
        <v>81.75</v>
      </c>
      <c r="N61" s="170"/>
      <c r="O61" s="180">
        <f>INDEX(SourceEnergy!$J:$K,MATCH(DATE(IF(O50="",N50,O50),$B46,1),SourceEnergy!$B:$B,0),MATCH(O$21,SourceEnergy!$J$12:$K$12,0))</f>
        <v>91.49</v>
      </c>
      <c r="P61" s="180">
        <f>INDEX(SourceEnergy!$J:$K,MATCH(DATE(IF(P50="",O50,P50),$B46,1),SourceEnergy!$B:$B,0),MATCH(P$21,SourceEnergy!$J$12:$K$12,0))</f>
        <v>84.06</v>
      </c>
      <c r="Q61" s="170"/>
      <c r="R61" s="180">
        <f>INDEX(SourceEnergy!$J:$K,MATCH(DATE(IF(R50="",Q50,R50),$B46,1),SourceEnergy!$B:$B,0),MATCH(R$21,SourceEnergy!$J$12:$K$12,0))</f>
        <v>92.09</v>
      </c>
      <c r="S61" s="180">
        <f>INDEX(SourceEnergy!$J:$K,MATCH(DATE(IF(S50="",R50,S50),$B46,1),SourceEnergy!$B:$B,0),MATCH(S$21,SourceEnergy!$J$12:$K$12,0))</f>
        <v>84.96</v>
      </c>
      <c r="T61" s="181"/>
    </row>
    <row r="62" spans="2:20" x14ac:dyDescent="0.2">
      <c r="B62" s="178">
        <f t="shared" si="3"/>
        <v>11</v>
      </c>
      <c r="D62" s="178" t="s">
        <v>68</v>
      </c>
      <c r="F62" s="180">
        <f>INDEX(SourceEnergy!$J:$K,MATCH(DATE(IF(F50="",T$5,F50),$B47,1),SourceEnergy!$B:$B,0),MATCH(F$21,SourceEnergy!$J$12:$K$12,0))</f>
        <v>40.96</v>
      </c>
      <c r="G62" s="180">
        <f>INDEX(SourceEnergy!$J:$K,MATCH(DATE(IF(G50="",F50,G50),$B47,1),SourceEnergy!$B:$B,0),MATCH(G$21,SourceEnergy!$J$12:$K$12,0))</f>
        <v>38.020000000000003</v>
      </c>
      <c r="H62" s="170"/>
      <c r="I62" s="180">
        <f>INDEX(SourceEnergy!$J:$K,MATCH(DATE(IF(I50="",H50,I50),$B47,1),SourceEnergy!$B:$B,0),MATCH(I$21,SourceEnergy!$J$12:$K$12,0))</f>
        <v>47.33</v>
      </c>
      <c r="J62" s="180">
        <f>INDEX(SourceEnergy!$J:$K,MATCH(DATE(IF(J50="",I50,J50),$B47,1),SourceEnergy!$B:$B,0),MATCH(J$21,SourceEnergy!$J$12:$K$12,0))</f>
        <v>44</v>
      </c>
      <c r="K62" s="170"/>
      <c r="L62" s="180">
        <f>INDEX(SourceEnergy!$J:$K,MATCH(DATE(IF(L50="",K50,L50),$B47,1),SourceEnergy!$B:$B,0),MATCH(L$21,SourceEnergy!$J$12:$K$12,0))</f>
        <v>88.43</v>
      </c>
      <c r="M62" s="180">
        <f>INDEX(SourceEnergy!$J:$K,MATCH(DATE(IF(M50="",L50,M50),$B47,1),SourceEnergy!$B:$B,0),MATCH(M$21,SourceEnergy!$J$12:$K$12,0))</f>
        <v>82.72</v>
      </c>
      <c r="N62" s="170"/>
      <c r="O62" s="180">
        <f>INDEX(SourceEnergy!$J:$K,MATCH(DATE(IF(O50="",N50,O50),$B47,1),SourceEnergy!$B:$B,0),MATCH(O$21,SourceEnergy!$J$12:$K$12,0))</f>
        <v>91.64</v>
      </c>
      <c r="P62" s="180">
        <f>INDEX(SourceEnergy!$J:$K,MATCH(DATE(IF(P50="",O50,P50),$B47,1),SourceEnergy!$B:$B,0),MATCH(P$21,SourceEnergy!$J$12:$K$12,0))</f>
        <v>86.18</v>
      </c>
      <c r="Q62" s="170"/>
      <c r="R62" s="180">
        <f>INDEX(SourceEnergy!$J:$K,MATCH(DATE(IF(R50="",Q50,R50),$B47,1),SourceEnergy!$B:$B,0),MATCH(R$21,SourceEnergy!$J$12:$K$12,0))</f>
        <v>93.75</v>
      </c>
      <c r="S62" s="180">
        <f>INDEX(SourceEnergy!$J:$K,MATCH(DATE(IF(S50="",R50,S50),$B47,1),SourceEnergy!$B:$B,0),MATCH(S$21,SourceEnergy!$J$12:$K$12,0))</f>
        <v>87.25</v>
      </c>
      <c r="T62" s="181"/>
    </row>
    <row r="63" spans="2:20" x14ac:dyDescent="0.2">
      <c r="B63" s="178">
        <f t="shared" si="3"/>
        <v>12</v>
      </c>
      <c r="D63" s="178" t="s">
        <v>69</v>
      </c>
      <c r="F63" s="180">
        <f>INDEX(SourceEnergy!$J:$K,MATCH(DATE(IF(F50="",T$5,F50),$B48,1),SourceEnergy!$B:$B,0),MATCH(F$21,SourceEnergy!$J$12:$K$12,0))</f>
        <v>42.04</v>
      </c>
      <c r="G63" s="180">
        <f>INDEX(SourceEnergy!$J:$K,MATCH(DATE(IF(G50="",F50,G50),$B48,1),SourceEnergy!$B:$B,0),MATCH(G$21,SourceEnergy!$J$12:$K$12,0))</f>
        <v>39.97</v>
      </c>
      <c r="H63" s="170"/>
      <c r="I63" s="180">
        <f>INDEX(SourceEnergy!$J:$K,MATCH(DATE(IF(I50="",H50,I50),$B48,1),SourceEnergy!$B:$B,0),MATCH(I$21,SourceEnergy!$J$12:$K$12,0))</f>
        <v>47.95</v>
      </c>
      <c r="J63" s="180">
        <f>INDEX(SourceEnergy!$J:$K,MATCH(DATE(IF(J50="",I50,J50),$B48,1),SourceEnergy!$B:$B,0),MATCH(J$21,SourceEnergy!$J$12:$K$12,0))</f>
        <v>45.91</v>
      </c>
      <c r="K63" s="170"/>
      <c r="L63" s="180">
        <f>INDEX(SourceEnergy!$J:$K,MATCH(DATE(IF(L50="",K50,L50),$B48,1),SourceEnergy!$B:$B,0),MATCH(L$21,SourceEnergy!$J$12:$K$12,0))</f>
        <v>90.96</v>
      </c>
      <c r="M63" s="180">
        <f>INDEX(SourceEnergy!$J:$K,MATCH(DATE(IF(M50="",L50,M50),$B48,1),SourceEnergy!$B:$B,0),MATCH(M$21,SourceEnergy!$J$12:$K$12,0))</f>
        <v>87.69</v>
      </c>
      <c r="N63" s="170"/>
      <c r="O63" s="180">
        <f>INDEX(SourceEnergy!$J:$K,MATCH(DATE(IF(O50="",N50,O50),$B48,1),SourceEnergy!$B:$B,0),MATCH(O$21,SourceEnergy!$J$12:$K$12,0))</f>
        <v>94.21</v>
      </c>
      <c r="P63" s="180">
        <f>INDEX(SourceEnergy!$J:$K,MATCH(DATE(IF(P50="",O50,P50),$B48,1),SourceEnergy!$B:$B,0),MATCH(P$21,SourceEnergy!$J$12:$K$12,0))</f>
        <v>90.77</v>
      </c>
      <c r="Q63" s="170"/>
      <c r="R63" s="180">
        <f>INDEX(SourceEnergy!$J:$K,MATCH(DATE(IF(R50="",Q50,R50),$B48,1),SourceEnergy!$B:$B,0),MATCH(R$21,SourceEnergy!$J$12:$K$12,0))</f>
        <v>95.16</v>
      </c>
      <c r="S63" s="180">
        <f>INDEX(SourceEnergy!$J:$K,MATCH(DATE(IF(S50="",R50,S50),$B48,1),SourceEnergy!$B:$B,0),MATCH(S$21,SourceEnergy!$J$12:$K$12,0))</f>
        <v>92.39</v>
      </c>
      <c r="T63" s="181"/>
    </row>
    <row r="64" spans="2:20" x14ac:dyDescent="0.2"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</row>
    <row r="65" spans="2:20" x14ac:dyDescent="0.2">
      <c r="B65" s="171"/>
      <c r="D65" s="172"/>
      <c r="E65" s="170"/>
      <c r="F65" s="173">
        <f>R50+1</f>
        <v>2038</v>
      </c>
      <c r="G65" s="174"/>
      <c r="H65" s="17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2:20" x14ac:dyDescent="0.2">
      <c r="B66" s="175"/>
      <c r="D66" s="176" t="s">
        <v>2</v>
      </c>
      <c r="E66" s="170"/>
      <c r="F66" s="177" t="s">
        <v>9</v>
      </c>
      <c r="G66" s="177" t="s">
        <v>10</v>
      </c>
      <c r="H66" s="17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2:20" x14ac:dyDescent="0.2">
      <c r="B67" s="23">
        <v>1</v>
      </c>
      <c r="D67" s="23" t="s">
        <v>58</v>
      </c>
      <c r="F67" s="180" t="str">
        <f>INDEX(SourceEnergy!$J:$K,MATCH(DATE(IF(F$65="",T$50,F$65),$B7,1),SourceEnergy!$B:$B,0),MATCH(F$66,SourceEnergy!$J$12:$K$12,0))</f>
        <v/>
      </c>
      <c r="G67" s="180" t="str">
        <f>INDEX(SourceEnergy!$J:$K,MATCH(DATE(IF(G$65="",F$65,G$65),$B7,1),SourceEnergy!$B:$B,0),MATCH(G$66,SourceEnergy!$J$12:$K$12,0))</f>
        <v/>
      </c>
    </row>
    <row r="68" spans="2:20" x14ac:dyDescent="0.2">
      <c r="B68" s="23">
        <f t="shared" ref="B68:B78" si="4">B67+1</f>
        <v>2</v>
      </c>
      <c r="D68" s="23" t="s">
        <v>60</v>
      </c>
      <c r="F68" s="180" t="str">
        <f>INDEX(SourceEnergy!$J:$K,MATCH(DATE(IF(F$65="",T$50,F$65),$B8,1),SourceEnergy!$B:$B,0),MATCH(F$66,SourceEnergy!$J$12:$K$12,0))</f>
        <v/>
      </c>
      <c r="G68" s="180" t="str">
        <f>INDEX(SourceEnergy!$J:$K,MATCH(DATE(IF(G$65="",F$65,G$65),$B8,1),SourceEnergy!$B:$B,0),MATCH(G$66,SourceEnergy!$J$12:$K$12,0))</f>
        <v/>
      </c>
    </row>
    <row r="69" spans="2:20" x14ac:dyDescent="0.2">
      <c r="B69" s="23">
        <f t="shared" si="4"/>
        <v>3</v>
      </c>
      <c r="D69" s="23" t="s">
        <v>61</v>
      </c>
      <c r="F69" s="180" t="str">
        <f>INDEX(SourceEnergy!$J:$K,MATCH(DATE(IF(F$65="",T$50,F$65),$B9,1),SourceEnergy!$B:$B,0),MATCH(F$66,SourceEnergy!$J$12:$K$12,0))</f>
        <v/>
      </c>
      <c r="G69" s="180" t="str">
        <f>INDEX(SourceEnergy!$J:$K,MATCH(DATE(IF(G$65="",F$65,G$65),$B9,1),SourceEnergy!$B:$B,0),MATCH(G$66,SourceEnergy!$J$12:$K$12,0))</f>
        <v/>
      </c>
    </row>
    <row r="70" spans="2:20" x14ac:dyDescent="0.2">
      <c r="B70" s="23">
        <f t="shared" si="4"/>
        <v>4</v>
      </c>
      <c r="D70" s="23" t="s">
        <v>62</v>
      </c>
      <c r="F70" s="180" t="str">
        <f>INDEX(SourceEnergy!$J:$K,MATCH(DATE(IF(F$65="",T$50,F$65),$B10,1),SourceEnergy!$B:$B,0),MATCH(F$66,SourceEnergy!$J$12:$K$12,0))</f>
        <v/>
      </c>
      <c r="G70" s="180" t="str">
        <f>INDEX(SourceEnergy!$J:$K,MATCH(DATE(IF(G$65="",F$65,G$65),$B10,1),SourceEnergy!$B:$B,0),MATCH(G$66,SourceEnergy!$J$12:$K$12,0))</f>
        <v/>
      </c>
    </row>
    <row r="71" spans="2:20" x14ac:dyDescent="0.2">
      <c r="B71" s="23">
        <f t="shared" si="4"/>
        <v>5</v>
      </c>
      <c r="D71" s="23" t="s">
        <v>59</v>
      </c>
      <c r="F71" s="180" t="str">
        <f>INDEX(SourceEnergy!$J:$K,MATCH(DATE(IF(F$65="",T$50,F$65),$B11,1),SourceEnergy!$B:$B,0),MATCH(F$66,SourceEnergy!$J$12:$K$12,0))</f>
        <v/>
      </c>
      <c r="G71" s="180" t="str">
        <f>INDEX(SourceEnergy!$J:$K,MATCH(DATE(IF(G$65="",F$65,G$65),$B11,1),SourceEnergy!$B:$B,0),MATCH(G$66,SourceEnergy!$J$12:$K$12,0))</f>
        <v/>
      </c>
    </row>
    <row r="72" spans="2:20" x14ac:dyDescent="0.2">
      <c r="B72" s="23">
        <f t="shared" si="4"/>
        <v>6</v>
      </c>
      <c r="D72" s="23" t="s">
        <v>63</v>
      </c>
      <c r="F72" s="180" t="str">
        <f>INDEX(SourceEnergy!$J:$K,MATCH(DATE(IF(F$65="",T$50,F$65),$B12,1),SourceEnergy!$B:$B,0),MATCH(F$66,SourceEnergy!$J$12:$K$12,0))</f>
        <v/>
      </c>
      <c r="G72" s="180" t="str">
        <f>INDEX(SourceEnergy!$J:$K,MATCH(DATE(IF(G$65="",F$65,G$65),$B12,1),SourceEnergy!$B:$B,0),MATCH(G$66,SourceEnergy!$J$12:$K$12,0))</f>
        <v/>
      </c>
    </row>
    <row r="73" spans="2:20" x14ac:dyDescent="0.2">
      <c r="B73" s="23">
        <f t="shared" si="4"/>
        <v>7</v>
      </c>
      <c r="D73" s="23" t="s">
        <v>64</v>
      </c>
      <c r="F73" s="180" t="str">
        <f>INDEX(SourceEnergy!$J:$K,MATCH(DATE(IF(F$65="",T$50,F$65),$B13,1),SourceEnergy!$B:$B,0),MATCH(F$66,SourceEnergy!$J$12:$K$12,0))</f>
        <v/>
      </c>
      <c r="G73" s="180" t="str">
        <f>INDEX(SourceEnergy!$J:$K,MATCH(DATE(IF(G$65="",F$65,G$65),$B13,1),SourceEnergy!$B:$B,0),MATCH(G$66,SourceEnergy!$J$12:$K$12,0))</f>
        <v/>
      </c>
    </row>
    <row r="74" spans="2:20" x14ac:dyDescent="0.2">
      <c r="B74" s="23">
        <f t="shared" si="4"/>
        <v>8</v>
      </c>
      <c r="D74" s="23" t="s">
        <v>65</v>
      </c>
      <c r="F74" s="180" t="str">
        <f>INDEX(SourceEnergy!$J:$K,MATCH(DATE(IF(F$65="",T$50,F$65),$B14,1),SourceEnergy!$B:$B,0),MATCH(F$66,SourceEnergy!$J$12:$K$12,0))</f>
        <v/>
      </c>
      <c r="G74" s="180" t="str">
        <f>INDEX(SourceEnergy!$J:$K,MATCH(DATE(IF(G$65="",F$65,G$65),$B14,1),SourceEnergy!$B:$B,0),MATCH(G$66,SourceEnergy!$J$12:$K$12,0))</f>
        <v/>
      </c>
    </row>
    <row r="75" spans="2:20" x14ac:dyDescent="0.2">
      <c r="B75" s="23">
        <f t="shared" si="4"/>
        <v>9</v>
      </c>
      <c r="D75" s="23" t="s">
        <v>66</v>
      </c>
      <c r="F75" s="180" t="str">
        <f>INDEX(SourceEnergy!$J:$K,MATCH(DATE(IF(F$65="",T$50,F$65),$B15,1),SourceEnergy!$B:$B,0),MATCH(F$66,SourceEnergy!$J$12:$K$12,0))</f>
        <v/>
      </c>
      <c r="G75" s="180" t="str">
        <f>INDEX(SourceEnergy!$J:$K,MATCH(DATE(IF(G$65="",F$65,G$65),$B15,1),SourceEnergy!$B:$B,0),MATCH(G$66,SourceEnergy!$J$12:$K$12,0))</f>
        <v/>
      </c>
    </row>
    <row r="76" spans="2:20" x14ac:dyDescent="0.2">
      <c r="B76" s="23">
        <f t="shared" si="4"/>
        <v>10</v>
      </c>
      <c r="D76" s="23" t="s">
        <v>67</v>
      </c>
      <c r="F76" s="180" t="str">
        <f>INDEX(SourceEnergy!$J:$K,MATCH(DATE(IF(F$65="",T$50,F$65),$B16,1),SourceEnergy!$B:$B,0),MATCH(F$66,SourceEnergy!$J$12:$K$12,0))</f>
        <v/>
      </c>
      <c r="G76" s="180" t="str">
        <f>INDEX(SourceEnergy!$J:$K,MATCH(DATE(IF(G$65="",F$65,G$65),$B16,1),SourceEnergy!$B:$B,0),MATCH(G$66,SourceEnergy!$J$12:$K$12,0))</f>
        <v/>
      </c>
    </row>
    <row r="77" spans="2:20" x14ac:dyDescent="0.2">
      <c r="B77" s="23">
        <f t="shared" si="4"/>
        <v>11</v>
      </c>
      <c r="D77" s="23" t="s">
        <v>68</v>
      </c>
      <c r="F77" s="180" t="str">
        <f>INDEX(SourceEnergy!$J:$K,MATCH(DATE(IF(F$65="",T$50,F$65),$B17,1),SourceEnergy!$B:$B,0),MATCH(F$66,SourceEnergy!$J$12:$K$12,0))</f>
        <v/>
      </c>
      <c r="G77" s="180" t="str">
        <f>INDEX(SourceEnergy!$J:$K,MATCH(DATE(IF(G$65="",F$65,G$65),$B17,1),SourceEnergy!$B:$B,0),MATCH(G$66,SourceEnergy!$J$12:$K$12,0))</f>
        <v/>
      </c>
    </row>
    <row r="78" spans="2:20" x14ac:dyDescent="0.2">
      <c r="B78" s="23">
        <f t="shared" si="4"/>
        <v>12</v>
      </c>
      <c r="D78" s="23" t="s">
        <v>69</v>
      </c>
      <c r="F78" s="180" t="str">
        <f>INDEX(SourceEnergy!$J:$K,MATCH(DATE(IF(F$65="",T$50,F$65),$B18,1),SourceEnergy!$B:$B,0),MATCH(F$66,SourceEnergy!$J$12:$K$12,0))</f>
        <v/>
      </c>
      <c r="G78" s="180" t="str">
        <f>INDEX(SourceEnergy!$J:$K,MATCH(DATE(IF(G$65="",F$65,G$65),$B18,1),SourceEnergy!$B:$B,0),MATCH(G$66,SourceEnergy!$J$12:$K$12,0))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6"/>
  <sheetViews>
    <sheetView tabSelected="1" view="pageBreakPreview" zoomScale="85" zoomScaleNormal="85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B1" sqref="B1"/>
    </sheetView>
  </sheetViews>
  <sheetFormatPr defaultRowHeight="15" outlineLevelRow="1" x14ac:dyDescent="0.25"/>
  <cols>
    <col min="1" max="1" width="1.5703125" style="31" customWidth="1"/>
    <col min="2" max="2" width="11.5703125" style="31" customWidth="1"/>
    <col min="3" max="3" width="10.28515625" style="31" customWidth="1"/>
    <col min="4" max="4" width="11.28515625" style="31" customWidth="1"/>
    <col min="5" max="5" width="10.28515625" style="31" customWidth="1"/>
    <col min="6" max="8" width="10.85546875" style="31" customWidth="1"/>
    <col min="9" max="11" width="10.140625" style="31" customWidth="1"/>
    <col min="12" max="12" width="4.140625" style="31" customWidth="1"/>
    <col min="13" max="13" width="8.5703125" style="31" customWidth="1"/>
    <col min="14" max="14" width="12.42578125" style="31" customWidth="1"/>
    <col min="15" max="15" width="2.28515625" style="31" customWidth="1"/>
    <col min="16" max="16" width="16" style="31" hidden="1" customWidth="1"/>
    <col min="17" max="17" width="11.140625" style="31" customWidth="1"/>
    <col min="18" max="18" width="9.140625" style="211"/>
    <col min="19" max="16384" width="9.140625" style="31"/>
  </cols>
  <sheetData>
    <row r="1" spans="2:22" x14ac:dyDescent="0.25">
      <c r="B1" s="28" t="str">
        <f>'Summary (Energy PMT)'!B1</f>
        <v>Utah Sch 37 Solar T</v>
      </c>
      <c r="C1" s="28"/>
      <c r="D1" s="28"/>
      <c r="E1" s="28"/>
      <c r="F1" s="28"/>
      <c r="G1" s="28"/>
      <c r="H1" s="28"/>
      <c r="I1" s="28"/>
      <c r="J1" s="28"/>
      <c r="K1" s="28"/>
      <c r="M1" s="32" t="s">
        <v>7</v>
      </c>
      <c r="N1" s="33">
        <f>MIN(N13:N31)</f>
        <v>42887</v>
      </c>
    </row>
    <row r="2" spans="2:22" x14ac:dyDescent="0.25">
      <c r="B2" s="28" t="str">
        <f>'Summary (Energy PMT)'!B2</f>
        <v>10.0 MW and 31.1% CF</v>
      </c>
      <c r="C2" s="28"/>
      <c r="D2" s="28"/>
      <c r="E2" s="28"/>
      <c r="F2" s="28"/>
      <c r="G2" s="28"/>
      <c r="H2" s="28"/>
      <c r="I2" s="28"/>
      <c r="J2" s="28"/>
      <c r="K2" s="28"/>
      <c r="M2" s="32" t="s">
        <v>8</v>
      </c>
      <c r="N2" s="33">
        <f>MAX(N20:N271)</f>
        <v>50375</v>
      </c>
    </row>
    <row r="3" spans="2:22" x14ac:dyDescent="0.25">
      <c r="B3" s="28" t="str">
        <f>TEXT($N$1,"MMMM YYYY")&amp;"  through  "&amp;TEXT($N$2,"MMMM YYYY")</f>
        <v>June 2017  through  December 2037</v>
      </c>
      <c r="C3" s="28"/>
      <c r="D3" s="28"/>
      <c r="E3" s="28"/>
      <c r="F3" s="28"/>
      <c r="G3" s="28"/>
      <c r="H3" s="28"/>
      <c r="I3" s="28"/>
      <c r="J3" s="28"/>
      <c r="K3" s="28"/>
      <c r="M3" s="34">
        <f>'[1]Table 1'!$I$34</f>
        <v>0</v>
      </c>
      <c r="N3" s="35"/>
    </row>
    <row r="4" spans="2:22" x14ac:dyDescent="0.25">
      <c r="B4" s="28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8"/>
      <c r="D4" s="28"/>
      <c r="E4" s="28"/>
      <c r="F4" s="28"/>
      <c r="G4" s="28"/>
      <c r="H4" s="28"/>
      <c r="I4" s="28"/>
      <c r="J4" s="28"/>
      <c r="K4" s="28"/>
      <c r="M4" s="36">
        <f>[1]!Discount_Rate</f>
        <v>6.5699999999999995E-2</v>
      </c>
      <c r="N4" s="36">
        <f>((1+Discount_Rate)^(1/12))-1</f>
        <v>5.3167389786501484E-3</v>
      </c>
      <c r="T4" s="31" t="s">
        <v>107</v>
      </c>
    </row>
    <row r="5" spans="2:22" ht="39" x14ac:dyDescent="0.25">
      <c r="B5" s="215" t="s">
        <v>105</v>
      </c>
      <c r="C5" s="207">
        <f t="shared" ref="C5:H5" si="0">NPV(Monthly_Discount_Rate,C44:C223)/1000</f>
        <v>5507.8931298182342</v>
      </c>
      <c r="D5" s="58">
        <f t="shared" si="0"/>
        <v>4661.4600432540838</v>
      </c>
      <c r="E5" s="58">
        <f t="shared" si="0"/>
        <v>844.05974396245563</v>
      </c>
      <c r="F5" s="58">
        <f t="shared" si="0"/>
        <v>252.48998661367574</v>
      </c>
      <c r="G5" s="58">
        <f t="shared" si="0"/>
        <v>207.93321002225807</v>
      </c>
      <c r="H5" s="58">
        <f t="shared" si="0"/>
        <v>44.556776591417716</v>
      </c>
      <c r="I5" s="208">
        <f t="shared" ref="I5" si="1">C5/F5</f>
        <v>21.814303227183537</v>
      </c>
      <c r="J5" s="209">
        <f t="shared" ref="J5" si="2">D5/G5</f>
        <v>22.418064159905487</v>
      </c>
      <c r="K5" s="209">
        <f t="shared" ref="K5" si="3">E5/H5</f>
        <v>18.943465136682125</v>
      </c>
      <c r="T5" s="31" t="s">
        <v>108</v>
      </c>
    </row>
    <row r="6" spans="2:22" x14ac:dyDescent="0.25">
      <c r="C6" s="37" t="str">
        <f>"Nominal NPV at "&amp;TEXT(Discount_Rate,"0.00%")&amp;" Discount Rate (Thousands)"</f>
        <v>Nominal NPV at 6.57% Discount Rate (Thousands)</v>
      </c>
      <c r="D6" s="38"/>
      <c r="E6" s="38"/>
      <c r="F6" s="38"/>
      <c r="G6" s="38"/>
      <c r="H6" s="35"/>
      <c r="I6" s="37" t="s">
        <v>11</v>
      </c>
      <c r="J6" s="38"/>
      <c r="K6" s="35"/>
      <c r="M6" s="32" t="s">
        <v>7</v>
      </c>
      <c r="N6" s="32">
        <v>20</v>
      </c>
    </row>
    <row r="7" spans="2:22" hidden="1" x14ac:dyDescent="0.25">
      <c r="B7" s="31" t="s">
        <v>14</v>
      </c>
      <c r="C7" s="39">
        <f ca="1">NPV(Monthly_Discount_Rate,INDIRECT("c"&amp;$N$6&amp;":c"&amp;$N7))/1000</f>
        <v>1711.8711432331384</v>
      </c>
      <c r="D7" s="40">
        <f ca="1">NPV(Monthly_Discount_Rate,INDIRECT("d"&amp;$N$6&amp;":d"&amp;$N7))/1000</f>
        <v>1462.7051507136421</v>
      </c>
      <c r="E7" s="41">
        <f ca="1">NPV(Monthly_Discount_Rate,INDIRECT("e"&amp;$N$6&amp;":e"&amp;$N7))/1000</f>
        <v>236.00789483542295</v>
      </c>
      <c r="F7" s="42">
        <f ca="1">NPV(Monthly_Discount_Rate,INDIRECT("f"&amp;$N$6&amp;":f"&amp;$N7))/1000</f>
        <v>103.30699487806997</v>
      </c>
      <c r="G7" s="43">
        <f ca="1">NPV(Monthly_Discount_Rate,INDIRECT("g"&amp;$N$6&amp;":g"&amp;$N7))/1000</f>
        <v>85.122042546618346</v>
      </c>
      <c r="H7" s="44">
        <f ca="1">NPV(Monthly_Discount_Rate,INDIRECT("h"&amp;$N$6&amp;":h"&amp;$N7))/1000</f>
        <v>18.18495233145163</v>
      </c>
      <c r="I7" s="45">
        <f t="shared" ref="I7:K8" ca="1" si="4">C7/F7</f>
        <v>16.570718616426763</v>
      </c>
      <c r="J7" s="46">
        <f t="shared" ca="1" si="4"/>
        <v>17.183623735445138</v>
      </c>
      <c r="K7" s="47">
        <f t="shared" ca="1" si="4"/>
        <v>12.978197057313013</v>
      </c>
      <c r="M7" s="32" t="s">
        <v>13</v>
      </c>
      <c r="N7" s="48">
        <f>MATCH(EDATE($N$1,5*12-1),B:B,FALSE)</f>
        <v>72</v>
      </c>
    </row>
    <row r="8" spans="2:22" hidden="1" x14ac:dyDescent="0.25">
      <c r="B8" s="31" t="s">
        <v>97</v>
      </c>
      <c r="C8" s="39">
        <f ca="1">NPV(Monthly_Discount_Rate,INDIRECT("c"&amp;$N$6&amp;":c"&amp;$N8))/1000</f>
        <v>4815.9728350481755</v>
      </c>
      <c r="D8" s="40">
        <f ca="1">NPV(Monthly_Discount_Rate,INDIRECT("d"&amp;$N$6&amp;":d"&amp;$N8))/1000</f>
        <v>4088.487987289865</v>
      </c>
      <c r="E8" s="41">
        <f ca="1">NPV(Monthly_Discount_Rate,INDIRECT("e"&amp;$N$6&amp;":e"&amp;$N8))/1000</f>
        <v>719.05574415459341</v>
      </c>
      <c r="F8" s="42">
        <f ca="1">NPV(Monthly_Discount_Rate,INDIRECT("f"&amp;$N$6&amp;":f"&amp;$N8))/1000</f>
        <v>249.01290926726494</v>
      </c>
      <c r="G8" s="43">
        <f ca="1">NPV(Monthly_Discount_Rate,INDIRECT("g"&amp;$N$6&amp;":g"&amp;$N8))/1000</f>
        <v>205.09503164750075</v>
      </c>
      <c r="H8" s="44">
        <f ca="1">NPV(Monthly_Discount_Rate,INDIRECT("h"&amp;$N$6&amp;":h"&amp;$N8))/1000</f>
        <v>43.917877619764269</v>
      </c>
      <c r="I8" s="45">
        <f t="shared" ca="1" si="4"/>
        <v>19.340253680901352</v>
      </c>
      <c r="J8" s="46">
        <f t="shared" ca="1" si="4"/>
        <v>19.934602776320773</v>
      </c>
      <c r="K8" s="47">
        <f t="shared" ca="1" si="4"/>
        <v>16.37273436526446</v>
      </c>
      <c r="M8" s="32" t="s">
        <v>12</v>
      </c>
      <c r="N8" s="48">
        <f>MATCH(EDATE($N$1,15*12-1),B:B,FALSE)</f>
        <v>192</v>
      </c>
    </row>
    <row r="9" spans="2:22" x14ac:dyDescent="0.25">
      <c r="C9" s="39"/>
      <c r="D9" s="40"/>
      <c r="E9" s="41"/>
      <c r="F9" s="42"/>
      <c r="G9" s="43"/>
      <c r="H9" s="44"/>
      <c r="I9" s="159"/>
      <c r="J9" s="46"/>
      <c r="K9" s="47"/>
      <c r="M9" s="32" t="str">
        <f>COUNTIF(F20:F271,"&gt;0")/12&amp;" year"</f>
        <v>20 year</v>
      </c>
      <c r="N9" s="48">
        <f>COUNTIF(F20:F271,"&gt;0")+N6-1</f>
        <v>259</v>
      </c>
    </row>
    <row r="10" spans="2:22" ht="39" x14ac:dyDescent="0.25">
      <c r="B10" s="215" t="s">
        <v>106</v>
      </c>
      <c r="C10" s="31">
        <f t="shared" ref="C10:H10" si="5">NPV(Monthly_Discount_Rate,C20:C199)/1000</f>
        <v>5013.2235023662624</v>
      </c>
      <c r="D10" s="31">
        <f t="shared" si="5"/>
        <v>4258.8780000813103</v>
      </c>
      <c r="E10" s="31">
        <f t="shared" si="5"/>
        <v>751.0361134138667</v>
      </c>
      <c r="F10" s="31">
        <f t="shared" si="5"/>
        <v>255.01547786306091</v>
      </c>
      <c r="G10" s="31">
        <f t="shared" si="5"/>
        <v>210.02843256991954</v>
      </c>
      <c r="H10" s="31">
        <f t="shared" si="5"/>
        <v>44.987045293141477</v>
      </c>
      <c r="I10" s="159">
        <f t="shared" ref="I10" si="6">C10/F10</f>
        <v>19.658506787020514</v>
      </c>
      <c r="J10" s="46">
        <f t="shared" ref="J10" si="7">D10/G10</f>
        <v>20.27762597649015</v>
      </c>
      <c r="K10" s="47">
        <f t="shared" ref="K10" si="8">E10/H10</f>
        <v>16.694497460769362</v>
      </c>
      <c r="P10" s="49" t="s">
        <v>80</v>
      </c>
      <c r="Q10" s="212"/>
    </row>
    <row r="11" spans="2:22" x14ac:dyDescent="0.25">
      <c r="B11" s="49"/>
      <c r="C11" s="50" t="str">
        <f>"Avoided Energy Costs "&amp;IF(Shape_Annually="Yes"," (a)","")</f>
        <v>Avoided Energy Costs  (a)</v>
      </c>
      <c r="D11" s="51"/>
      <c r="E11" s="52"/>
      <c r="F11" s="37" t="s">
        <v>3</v>
      </c>
      <c r="G11" s="38"/>
      <c r="H11" s="35"/>
      <c r="I11" s="37" t="s">
        <v>1</v>
      </c>
      <c r="J11" s="38"/>
      <c r="K11" s="35"/>
      <c r="P11" s="53" t="s">
        <v>76</v>
      </c>
      <c r="Q11" s="212"/>
      <c r="S11" s="31" t="s">
        <v>9</v>
      </c>
      <c r="T11" s="31" t="s">
        <v>9</v>
      </c>
      <c r="U11" s="31" t="s">
        <v>10</v>
      </c>
      <c r="V11" s="31" t="s">
        <v>10</v>
      </c>
    </row>
    <row r="12" spans="2:22" x14ac:dyDescent="0.25">
      <c r="B12" s="54" t="s">
        <v>2</v>
      </c>
      <c r="C12" s="55" t="s">
        <v>85</v>
      </c>
      <c r="D12" s="56" t="s">
        <v>9</v>
      </c>
      <c r="E12" s="57" t="s">
        <v>10</v>
      </c>
      <c r="F12" s="55" t="s">
        <v>85</v>
      </c>
      <c r="G12" s="56" t="s">
        <v>9</v>
      </c>
      <c r="H12" s="57" t="s">
        <v>10</v>
      </c>
      <c r="I12" s="55" t="s">
        <v>85</v>
      </c>
      <c r="J12" s="56" t="s">
        <v>9</v>
      </c>
      <c r="K12" s="57" t="s">
        <v>10</v>
      </c>
      <c r="M12" s="37" t="s">
        <v>0</v>
      </c>
      <c r="N12" s="58" t="s">
        <v>6</v>
      </c>
      <c r="P12" s="59" t="s">
        <v>5</v>
      </c>
      <c r="Q12" s="212"/>
      <c r="S12" s="31" t="s">
        <v>109</v>
      </c>
      <c r="T12" s="31" t="s">
        <v>110</v>
      </c>
      <c r="U12" s="31" t="s">
        <v>109</v>
      </c>
      <c r="V12" s="31" t="s">
        <v>110</v>
      </c>
    </row>
    <row r="13" spans="2:22" s="222" customFormat="1" x14ac:dyDescent="0.25">
      <c r="B13" s="216">
        <f>'[1]Table 5'!$B$13</f>
        <v>42887</v>
      </c>
      <c r="C13" s="217">
        <f>C25/(1+'[1]Table 5'!$T$13)</f>
        <v>52723.610314515863</v>
      </c>
      <c r="D13" s="218">
        <f>C13*(D25/C25)</f>
        <v>49107.103935614112</v>
      </c>
      <c r="E13" s="219">
        <f>C13*(E25/C25)</f>
        <v>8476.3989026648323</v>
      </c>
      <c r="F13" s="218">
        <f>G13+H13</f>
        <v>3260.0699999999997</v>
      </c>
      <c r="G13" s="218">
        <f>G25</f>
        <v>2663.31</v>
      </c>
      <c r="H13" s="219">
        <f t="shared" ref="H13:H19" si="9">H25</f>
        <v>596.76</v>
      </c>
      <c r="I13" s="220">
        <f t="shared" ref="I13:I19" si="10">IF(ISERROR(C13/F13),"",MAX(ROUND(C13/F13,2),0))</f>
        <v>16.170000000000002</v>
      </c>
      <c r="J13" s="220">
        <f t="shared" ref="J13:J19" si="11">IF(ISERROR(D13/G13),"",MAX(ROUND(D13/G13,2),0))</f>
        <v>18.440000000000001</v>
      </c>
      <c r="K13" s="221">
        <f t="shared" ref="K13:K19" si="12">IF(ISERROR(E13/H13),"",MAX(ROUND(E13/H13,2),0))</f>
        <v>14.2</v>
      </c>
      <c r="M13" s="223">
        <f>YEAR(B13)</f>
        <v>2017</v>
      </c>
      <c r="N13" s="224">
        <f t="shared" ref="N13:N19" si="13">IF(ISNUMBER(F13),B13,"")</f>
        <v>42887</v>
      </c>
      <c r="P13" s="225">
        <v>1</v>
      </c>
      <c r="Q13" s="226" t="str">
        <f t="shared" ref="Q13:Q19" si="14">IF(AND(MONTH(N13)&gt;=6,MONTH(N13)&lt;=9),"Summer","Winter")</f>
        <v>Summer</v>
      </c>
      <c r="R13" s="227"/>
    </row>
    <row r="14" spans="2:22" s="222" customFormat="1" x14ac:dyDescent="0.25">
      <c r="B14" s="216">
        <f t="shared" ref="B14:B19" si="15">EDATE(B13,1)</f>
        <v>42917</v>
      </c>
      <c r="C14" s="217">
        <f>C26/(1+'[1]Table 5'!$T$13)</f>
        <v>63325.91919713017</v>
      </c>
      <c r="D14" s="218">
        <f t="shared" ref="D14:D19" si="16">C14*(D26/C26)</f>
        <v>56641.793221325366</v>
      </c>
      <c r="E14" s="219">
        <f t="shared" ref="E14:E19" si="17">C14*(E26/C26)</f>
        <v>11376.907529692618</v>
      </c>
      <c r="F14" s="218">
        <f t="shared" ref="F14:F19" si="18">G14+H14</f>
        <v>2950.7660000000001</v>
      </c>
      <c r="G14" s="218">
        <f t="shared" ref="G14:G19" si="19">G26</f>
        <v>2274.25</v>
      </c>
      <c r="H14" s="219">
        <f t="shared" si="9"/>
        <v>676.51599999999996</v>
      </c>
      <c r="I14" s="220">
        <f t="shared" si="10"/>
        <v>21.46</v>
      </c>
      <c r="J14" s="220">
        <f t="shared" si="11"/>
        <v>24.91</v>
      </c>
      <c r="K14" s="221">
        <f t="shared" si="12"/>
        <v>16.82</v>
      </c>
      <c r="M14" s="223">
        <f t="shared" ref="M14:M19" si="20">YEAR(B14)</f>
        <v>2017</v>
      </c>
      <c r="N14" s="224">
        <f t="shared" si="13"/>
        <v>42917</v>
      </c>
      <c r="P14" s="225">
        <v>1</v>
      </c>
      <c r="Q14" s="226" t="str">
        <f t="shared" si="14"/>
        <v>Summer</v>
      </c>
      <c r="R14" s="227"/>
    </row>
    <row r="15" spans="2:22" s="222" customFormat="1" x14ac:dyDescent="0.25">
      <c r="B15" s="216">
        <f t="shared" si="15"/>
        <v>42948</v>
      </c>
      <c r="C15" s="217">
        <f>C27/(1+'[1]Table 5'!$T$13)</f>
        <v>62138.038591203222</v>
      </c>
      <c r="D15" s="218">
        <f t="shared" si="16"/>
        <v>61969.229304172623</v>
      </c>
      <c r="E15" s="219">
        <f t="shared" si="17"/>
        <v>7698.2897659409718</v>
      </c>
      <c r="F15" s="218">
        <f t="shared" si="18"/>
        <v>2955.5709999999999</v>
      </c>
      <c r="G15" s="218">
        <f t="shared" si="19"/>
        <v>2516.616</v>
      </c>
      <c r="H15" s="219">
        <f t="shared" si="9"/>
        <v>438.95499999999998</v>
      </c>
      <c r="I15" s="220">
        <f t="shared" si="10"/>
        <v>21.02</v>
      </c>
      <c r="J15" s="220">
        <f t="shared" si="11"/>
        <v>24.62</v>
      </c>
      <c r="K15" s="221">
        <f t="shared" si="12"/>
        <v>17.54</v>
      </c>
      <c r="M15" s="223">
        <f t="shared" si="20"/>
        <v>2017</v>
      </c>
      <c r="N15" s="224">
        <f t="shared" si="13"/>
        <v>42948</v>
      </c>
      <c r="P15" s="225">
        <v>1</v>
      </c>
      <c r="Q15" s="226" t="str">
        <f t="shared" si="14"/>
        <v>Summer</v>
      </c>
      <c r="R15" s="227"/>
    </row>
    <row r="16" spans="2:22" s="222" customFormat="1" x14ac:dyDescent="0.25">
      <c r="B16" s="216">
        <f t="shared" si="15"/>
        <v>42979</v>
      </c>
      <c r="C16" s="217">
        <f>C28/(1+'[1]Table 5'!$T$13)</f>
        <v>44512.9626132048</v>
      </c>
      <c r="D16" s="218">
        <f t="shared" si="16"/>
        <v>41828.472175540373</v>
      </c>
      <c r="E16" s="219">
        <f t="shared" si="17"/>
        <v>8475.5956937689789</v>
      </c>
      <c r="F16" s="218">
        <f t="shared" si="18"/>
        <v>2605.3199999999997</v>
      </c>
      <c r="G16" s="218">
        <f t="shared" si="19"/>
        <v>2068.56</v>
      </c>
      <c r="H16" s="219">
        <f t="shared" si="9"/>
        <v>536.76</v>
      </c>
      <c r="I16" s="220">
        <f t="shared" si="10"/>
        <v>17.09</v>
      </c>
      <c r="J16" s="220">
        <f t="shared" si="11"/>
        <v>20.22</v>
      </c>
      <c r="K16" s="221">
        <f t="shared" si="12"/>
        <v>15.79</v>
      </c>
      <c r="M16" s="223">
        <f t="shared" si="20"/>
        <v>2017</v>
      </c>
      <c r="N16" s="224">
        <f t="shared" si="13"/>
        <v>42979</v>
      </c>
      <c r="P16" s="225">
        <v>1</v>
      </c>
      <c r="Q16" s="226" t="str">
        <f t="shared" si="14"/>
        <v>Summer</v>
      </c>
      <c r="R16" s="227"/>
    </row>
    <row r="17" spans="2:22" s="222" customFormat="1" x14ac:dyDescent="0.25">
      <c r="B17" s="216">
        <f t="shared" si="15"/>
        <v>43009</v>
      </c>
      <c r="C17" s="217">
        <f>C29/(1+'[1]Table 5'!$T$13)</f>
        <v>37302.536994899878</v>
      </c>
      <c r="D17" s="218">
        <f t="shared" si="16"/>
        <v>33401.838868567116</v>
      </c>
      <c r="E17" s="219">
        <f t="shared" si="17"/>
        <v>4511.2596032281999</v>
      </c>
      <c r="F17" s="218">
        <f t="shared" si="18"/>
        <v>2112.2470000000003</v>
      </c>
      <c r="G17" s="218">
        <f t="shared" si="19"/>
        <v>1839.2670000000001</v>
      </c>
      <c r="H17" s="219">
        <f t="shared" si="9"/>
        <v>272.98</v>
      </c>
      <c r="I17" s="220">
        <f t="shared" si="10"/>
        <v>17.66</v>
      </c>
      <c r="J17" s="220">
        <f t="shared" si="11"/>
        <v>18.16</v>
      </c>
      <c r="K17" s="221">
        <f t="shared" si="12"/>
        <v>16.53</v>
      </c>
      <c r="M17" s="223">
        <f t="shared" si="20"/>
        <v>2017</v>
      </c>
      <c r="N17" s="224">
        <f t="shared" si="13"/>
        <v>43009</v>
      </c>
      <c r="P17" s="225">
        <v>1</v>
      </c>
      <c r="Q17" s="226" t="str">
        <f t="shared" si="14"/>
        <v>Winter</v>
      </c>
      <c r="R17" s="227"/>
    </row>
    <row r="18" spans="2:22" s="222" customFormat="1" x14ac:dyDescent="0.25">
      <c r="B18" s="216">
        <f t="shared" si="15"/>
        <v>43040</v>
      </c>
      <c r="C18" s="217">
        <f>C30/(1+'[1]Table 5'!$T$13)</f>
        <v>24928.546982514272</v>
      </c>
      <c r="D18" s="218">
        <f t="shared" si="16"/>
        <v>21309.478166521658</v>
      </c>
      <c r="E18" s="219">
        <f t="shared" si="17"/>
        <v>3815.9343892008374</v>
      </c>
      <c r="F18" s="218">
        <f t="shared" si="18"/>
        <v>1422.6</v>
      </c>
      <c r="G18" s="218">
        <f t="shared" si="19"/>
        <v>1185.5</v>
      </c>
      <c r="H18" s="219">
        <f t="shared" si="9"/>
        <v>237.1</v>
      </c>
      <c r="I18" s="220">
        <f t="shared" si="10"/>
        <v>17.52</v>
      </c>
      <c r="J18" s="220">
        <f t="shared" si="11"/>
        <v>17.98</v>
      </c>
      <c r="K18" s="221">
        <f t="shared" si="12"/>
        <v>16.09</v>
      </c>
      <c r="M18" s="223">
        <f t="shared" si="20"/>
        <v>2017</v>
      </c>
      <c r="N18" s="224">
        <f t="shared" si="13"/>
        <v>43040</v>
      </c>
      <c r="P18" s="225">
        <v>1</v>
      </c>
      <c r="Q18" s="226" t="str">
        <f t="shared" si="14"/>
        <v>Winter</v>
      </c>
      <c r="R18" s="227"/>
    </row>
    <row r="19" spans="2:22" s="222" customFormat="1" x14ac:dyDescent="0.25">
      <c r="B19" s="228">
        <f t="shared" si="15"/>
        <v>43070</v>
      </c>
      <c r="C19" s="229">
        <f>C31/(1+'[1]Table 5'!$T$13)</f>
        <v>20673.292271163249</v>
      </c>
      <c r="D19" s="230">
        <f t="shared" si="16"/>
        <v>17222.390357063319</v>
      </c>
      <c r="E19" s="231">
        <f t="shared" si="17"/>
        <v>3833.0151978680133</v>
      </c>
      <c r="F19" s="230">
        <f t="shared" si="18"/>
        <v>1097.5550000000001</v>
      </c>
      <c r="G19" s="230">
        <f t="shared" si="19"/>
        <v>885.125</v>
      </c>
      <c r="H19" s="231">
        <f t="shared" si="9"/>
        <v>212.43</v>
      </c>
      <c r="I19" s="232">
        <f t="shared" si="10"/>
        <v>18.84</v>
      </c>
      <c r="J19" s="233">
        <f t="shared" si="11"/>
        <v>19.46</v>
      </c>
      <c r="K19" s="234">
        <f t="shared" si="12"/>
        <v>18.04</v>
      </c>
      <c r="M19" s="235">
        <f t="shared" si="20"/>
        <v>2017</v>
      </c>
      <c r="N19" s="236">
        <f t="shared" si="13"/>
        <v>43070</v>
      </c>
      <c r="P19" s="225">
        <v>1</v>
      </c>
      <c r="Q19" s="226" t="str">
        <f t="shared" si="14"/>
        <v>Winter</v>
      </c>
      <c r="R19" s="227"/>
      <c r="S19" s="237"/>
      <c r="T19" s="237"/>
      <c r="U19" s="237"/>
      <c r="V19" s="237"/>
    </row>
    <row r="20" spans="2:22" x14ac:dyDescent="0.25">
      <c r="B20" s="60">
        <f>'[1]Table 5'!$B$20</f>
        <v>43101</v>
      </c>
      <c r="C20" s="61">
        <f>IFERROR('[1]Table 5'!E20*P20,"")</f>
        <v>30819.348612353206</v>
      </c>
      <c r="D20" s="62">
        <f>IFERROR(G20*'MWH-Split'!S6*'MWH-Split'!U6,"")</f>
        <v>23501.196234353869</v>
      </c>
      <c r="E20" s="63">
        <f>IFERROR(H20*'MWH-Split'!T6*'MWH-Split'!U6,"")</f>
        <v>4099.8971623794914</v>
      </c>
      <c r="F20" s="62">
        <f>IFERROR('[1]Table 5'!F20*P20,"")</f>
        <v>1316.787</v>
      </c>
      <c r="G20" s="62">
        <f>IF('MWH-Split'!N6&lt;&gt;0,'MWH-Split'!N6*P20,"")</f>
        <v>1104.402</v>
      </c>
      <c r="H20" s="63">
        <f>IF('MWH-Split'!O6&lt;&gt;0,'MWH-Split'!O6*P20,"")</f>
        <v>212.38499999999999</v>
      </c>
      <c r="I20" s="155">
        <f>IF(ISERROR(C20/F20),"",MAX(ROUND(C20/F20,2),0))</f>
        <v>23.4</v>
      </c>
      <c r="J20" s="155">
        <f t="shared" ref="J20:K30" si="21">IF(ISERROR(D20/G20),"",MAX(ROUND(D20/G20,2),0))</f>
        <v>21.28</v>
      </c>
      <c r="K20" s="156">
        <f t="shared" si="21"/>
        <v>19.3</v>
      </c>
      <c r="M20" s="66">
        <f>YEAR(B20)</f>
        <v>2018</v>
      </c>
      <c r="N20" s="67">
        <f>IF(ISNUMBER(F20),B20,"")</f>
        <v>43101</v>
      </c>
      <c r="P20" s="68">
        <v>1</v>
      </c>
      <c r="Q20" s="213" t="str">
        <f>IF(AND(MONTH(N20)&gt;=6,MONTH(N20)&lt;=9),"Summer","Winter")</f>
        <v>Winter</v>
      </c>
      <c r="R20" s="211">
        <f>YEAR(N1)</f>
        <v>2017</v>
      </c>
      <c r="S20" s="214">
        <f>IFERROR(SUMIFS(SourceEnergy!$D$13:$D$271,SourceEnergy!$Q$13:$Q$271,S$12,$M$13:$M$271,$R20)/SUMIFS(SourceEnergy!$G$13:$G$271,SourceEnergy!$Q$13:$Q$271,S$12,$M$13:$M$271,$R20),0)</f>
        <v>18.397875796096695</v>
      </c>
      <c r="T20" s="214">
        <f>IFERROR(SUMIFS(SourceEnergy!$D$13:$D$271,SourceEnergy!$Q$13:$Q$271,T$12,$M$13:$M$271,$R20)/SUMIFS(SourceEnergy!$G$13:$G$271,SourceEnergy!$Q$13:$Q$271,T$12,$M$13:$M$271,$R20),0)</f>
        <v>22.00487324616082</v>
      </c>
      <c r="U20" s="214">
        <f>IFERROR(SUMIFS(SourceEnergy!$E$13:$E$271,SourceEnergy!$Q$13:$Q$271,U$12,$M$13:$M$271,$R20)/SUMIFS(SourceEnergy!$H$13:$H$271,SourceEnergy!$Q$13:$Q$271,U$12,$M$13:$M$271,$R20),0)</f>
        <v>16.830506415547262</v>
      </c>
      <c r="V20" s="214">
        <f>IFERROR(SUMIFS(SourceEnergy!$E$13:$E$271,SourceEnergy!$Q$13:$Q$271,V$12,$M$13:$M$271,$R20)/SUMIFS(SourceEnergy!$H$13:$H$271,SourceEnergy!$Q$13:$Q$271,V$12,$M$13:$M$271,$R20),0)</f>
        <v>16.019269037567248</v>
      </c>
    </row>
    <row r="21" spans="2:22" x14ac:dyDescent="0.25">
      <c r="B21" s="69">
        <f t="shared" ref="B21:B84" si="22">EDATE(B20,1)</f>
        <v>43132</v>
      </c>
      <c r="C21" s="61">
        <f>IFERROR('[1]Table 5'!E21*P21,"")</f>
        <v>35037.063078448176</v>
      </c>
      <c r="D21" s="62">
        <f>IFERROR(G21*'MWH-Split'!S7*'MWH-Split'!U7,"")</f>
        <v>25086.736763456225</v>
      </c>
      <c r="E21" s="63">
        <f>IFERROR(H21*'MWH-Split'!T7*'MWH-Split'!U7,"")</f>
        <v>3946.6673101387532</v>
      </c>
      <c r="F21" s="62">
        <f>IFERROR('[1]Table 5'!F21*P21,"")</f>
        <v>1473.64</v>
      </c>
      <c r="G21" s="62">
        <f>IF('MWH-Split'!N7&lt;&gt;0,'MWH-Split'!N7*P21,"")</f>
        <v>1263.1199999999999</v>
      </c>
      <c r="H21" s="63">
        <f>IF('MWH-Split'!O7&lt;&gt;0,'MWH-Split'!O7*P21,"")</f>
        <v>210.52</v>
      </c>
      <c r="I21" s="155">
        <f t="shared" ref="I21:I30" si="23">IF(ISERROR(C21/F21),"",MAX(ROUND(C21/F21,2),0))</f>
        <v>23.78</v>
      </c>
      <c r="J21" s="155">
        <f t="shared" si="21"/>
        <v>19.86</v>
      </c>
      <c r="K21" s="156">
        <f t="shared" si="21"/>
        <v>18.75</v>
      </c>
      <c r="M21" s="70">
        <f t="shared" ref="M21:M84" si="24">YEAR(B21)</f>
        <v>2018</v>
      </c>
      <c r="N21" s="67">
        <f t="shared" ref="N21:N31" si="25">IF(ISNUMBER(F21),B21,"")</f>
        <v>43132</v>
      </c>
      <c r="P21" s="68">
        <v>1</v>
      </c>
      <c r="Q21" s="213" t="str">
        <f t="shared" ref="Q21:Q84" si="26">IF(AND(MONTH(N21)&gt;=6,MONTH(N21)&lt;=9),"Summer","Winter")</f>
        <v>Winter</v>
      </c>
      <c r="R21" s="211">
        <f>R20+1</f>
        <v>2018</v>
      </c>
      <c r="S21" s="214">
        <f>IFERROR(SUMIFS(SourceEnergy!$D$20:$D$271,SourceEnergy!$Q$20:$Q$271,S$12,$M$20:$M$271,$R21)/SUMIFS(SourceEnergy!$G$20:$G$271,SourceEnergy!$Q$20:$Q$271,S$12,$M$20:$M$271,$R21),0)</f>
        <v>18.196808208802395</v>
      </c>
      <c r="T21" s="214">
        <f>IFERROR(SUMIFS(SourceEnergy!$D$20:$D$271,SourceEnergy!$Q$20:$Q$271,T$12,$M$20:$M$271,$R21)/SUMIFS(SourceEnergy!$G$20:$G$271,SourceEnergy!$Q$20:$Q$271,T$12,$M$20:$M$271,$R21),0)</f>
        <v>22.491015081899647</v>
      </c>
      <c r="U21" s="214">
        <f>IFERROR(SUMIFS(SourceEnergy!$E$20:$E$271,SourceEnergy!$Q$20:$Q$271,U$12,$M$20:$M$271,$R21)/SUMIFS(SourceEnergy!$H$20:$H$271,SourceEnergy!$Q$20:$Q$271,U$12,$M$20:$M$271,$R21),0)</f>
        <v>15.676370108832437</v>
      </c>
      <c r="V21" s="214">
        <f>IFERROR(SUMIFS(SourceEnergy!$E$20:$E$271,SourceEnergy!$Q$20:$Q$271,V$12,$M$20:$M$271,$R21)/SUMIFS(SourceEnergy!$H$20:$H$271,SourceEnergy!$Q$20:$Q$271,V$12,$M$20:$M$271,$R21),0)</f>
        <v>16.37317413713313</v>
      </c>
    </row>
    <row r="22" spans="2:22" x14ac:dyDescent="0.25">
      <c r="B22" s="69">
        <f t="shared" si="22"/>
        <v>43160</v>
      </c>
      <c r="C22" s="61">
        <f>IFERROR('[1]Table 5'!E22*P22,"")</f>
        <v>50848.867897897959</v>
      </c>
      <c r="D22" s="62">
        <f>IFERROR(G22*'MWH-Split'!S8*'MWH-Split'!U8,"")</f>
        <v>38524.001036883863</v>
      </c>
      <c r="E22" s="63">
        <f>IFERROR(H22*'MWH-Split'!T8*'MWH-Split'!U8,"")</f>
        <v>5078.4028451165468</v>
      </c>
      <c r="F22" s="62">
        <f>IFERROR('[1]Table 5'!F22*P22,"")</f>
        <v>2295.116</v>
      </c>
      <c r="G22" s="62">
        <f>IF('MWH-Split'!N8&lt;&gt;0,'MWH-Split'!N8*P22,"")</f>
        <v>1998.1890000000001</v>
      </c>
      <c r="H22" s="63">
        <f>IF('MWH-Split'!O8&lt;&gt;0,'MWH-Split'!O8*P22,"")</f>
        <v>296.92700000000002</v>
      </c>
      <c r="I22" s="155">
        <f t="shared" si="23"/>
        <v>22.16</v>
      </c>
      <c r="J22" s="155">
        <f t="shared" si="21"/>
        <v>19.28</v>
      </c>
      <c r="K22" s="156">
        <f t="shared" si="21"/>
        <v>17.100000000000001</v>
      </c>
      <c r="M22" s="70">
        <f t="shared" si="24"/>
        <v>2018</v>
      </c>
      <c r="N22" s="67">
        <f t="shared" si="25"/>
        <v>43160</v>
      </c>
      <c r="P22" s="68">
        <v>1</v>
      </c>
      <c r="Q22" s="213" t="str">
        <f t="shared" si="26"/>
        <v>Winter</v>
      </c>
      <c r="R22" s="211">
        <f t="shared" ref="R22:R40" si="27">R21+1</f>
        <v>2019</v>
      </c>
      <c r="S22" s="214">
        <f>IFERROR(SUMIFS(SourceEnergy!$D$20:$D$271,SourceEnergy!$Q$20:$Q$271,S$12,$M$20:$M$271,$R22)/SUMIFS(SourceEnergy!$G$20:$G$271,SourceEnergy!$Q$20:$Q$271,S$12,$M$20:$M$271,$R22),0)</f>
        <v>16.265815872781264</v>
      </c>
      <c r="T22" s="214">
        <f>IFERROR(SUMIFS(SourceEnergy!$D$20:$D$271,SourceEnergy!$Q$20:$Q$271,T$12,$M$20:$M$271,$R22)/SUMIFS(SourceEnergy!$G$20:$G$271,SourceEnergy!$Q$20:$Q$271,T$12,$M$20:$M$271,$R22),0)</f>
        <v>19.910102965544112</v>
      </c>
      <c r="U22" s="214">
        <f>IFERROR(SUMIFS(SourceEnergy!$E$20:$E$271,SourceEnergy!$Q$20:$Q$271,U$12,$M$20:$M$271,$R22)/SUMIFS(SourceEnergy!$H$20:$H$271,SourceEnergy!$Q$20:$Q$271,U$12,$M$20:$M$271,$R22),0)</f>
        <v>12.94957989790181</v>
      </c>
      <c r="V22" s="214">
        <f>IFERROR(SUMIFS(SourceEnergy!$E$20:$E$271,SourceEnergy!$Q$20:$Q$271,V$12,$M$20:$M$271,$R22)/SUMIFS(SourceEnergy!$H$20:$H$271,SourceEnergy!$Q$20:$Q$271,V$12,$M$20:$M$271,$R22),0)</f>
        <v>13.315490685369999</v>
      </c>
    </row>
    <row r="23" spans="2:22" x14ac:dyDescent="0.25">
      <c r="B23" s="69">
        <f t="shared" si="22"/>
        <v>43191</v>
      </c>
      <c r="C23" s="61">
        <f>IFERROR('[1]Table 5'!E23*P23,"")</f>
        <v>46607.218893826008</v>
      </c>
      <c r="D23" s="62">
        <f>IFERROR(G23*'MWH-Split'!S9*'MWH-Split'!U9,"")</f>
        <v>33090.654597429981</v>
      </c>
      <c r="E23" s="63">
        <f>IFERROR(H23*'MWH-Split'!T9*'MWH-Split'!U9,"")</f>
        <v>6298.9843883628182</v>
      </c>
      <c r="F23" s="62">
        <f>IFERROR('[1]Table 5'!F23*P23,"")</f>
        <v>2650.89</v>
      </c>
      <c r="G23" s="62">
        <f>IF('MWH-Split'!N9&lt;&gt;0,'MWH-Split'!N9*P23,"")</f>
        <v>2170.3000000000002</v>
      </c>
      <c r="H23" s="63">
        <f>IF('MWH-Split'!O9&lt;&gt;0,'MWH-Split'!O9*P23,"")</f>
        <v>480.59</v>
      </c>
      <c r="I23" s="155">
        <f t="shared" si="23"/>
        <v>17.579999999999998</v>
      </c>
      <c r="J23" s="155">
        <f t="shared" si="21"/>
        <v>15.25</v>
      </c>
      <c r="K23" s="156">
        <f t="shared" si="21"/>
        <v>13.11</v>
      </c>
      <c r="M23" s="70">
        <f t="shared" si="24"/>
        <v>2018</v>
      </c>
      <c r="N23" s="67">
        <f t="shared" si="25"/>
        <v>43191</v>
      </c>
      <c r="P23" s="68">
        <v>1</v>
      </c>
      <c r="Q23" s="213" t="str">
        <f t="shared" si="26"/>
        <v>Winter</v>
      </c>
      <c r="R23" s="211">
        <f t="shared" si="27"/>
        <v>2020</v>
      </c>
      <c r="S23" s="214">
        <f>IFERROR(SUMIFS(SourceEnergy!$D$20:$D$271,SourceEnergy!$Q$20:$Q$271,S$12,$M$20:$M$271,$R23)/SUMIFS(SourceEnergy!$G$20:$G$271,SourceEnergy!$Q$20:$Q$271,S$12,$M$20:$M$271,$R23),0)</f>
        <v>13.844623769527328</v>
      </c>
      <c r="T23" s="214">
        <f>IFERROR(SUMIFS(SourceEnergy!$D$20:$D$271,SourceEnergy!$Q$20:$Q$271,T$12,$M$20:$M$271,$R23)/SUMIFS(SourceEnergy!$G$20:$G$271,SourceEnergy!$Q$20:$Q$271,T$12,$M$20:$M$271,$R23),0)</f>
        <v>16.545129250180128</v>
      </c>
      <c r="U23" s="214">
        <f>IFERROR(SUMIFS(SourceEnergy!$E$20:$E$271,SourceEnergy!$Q$20:$Q$271,U$12,$M$20:$M$271,$R23)/SUMIFS(SourceEnergy!$H$20:$H$271,SourceEnergy!$Q$20:$Q$271,U$12,$M$20:$M$271,$R23),0)</f>
        <v>10.979879765765801</v>
      </c>
      <c r="V23" s="214">
        <f>IFERROR(SUMIFS(SourceEnergy!$E$20:$E$271,SourceEnergy!$Q$20:$Q$271,V$12,$M$20:$M$271,$R23)/SUMIFS(SourceEnergy!$H$20:$H$271,SourceEnergy!$Q$20:$Q$271,V$12,$M$20:$M$271,$R23),0)</f>
        <v>10.43174505003447</v>
      </c>
    </row>
    <row r="24" spans="2:22" x14ac:dyDescent="0.25">
      <c r="B24" s="69">
        <f t="shared" si="22"/>
        <v>43221</v>
      </c>
      <c r="C24" s="61">
        <f>IFERROR('[1]Table 5'!E24*P24,"")</f>
        <v>49818.759891539812</v>
      </c>
      <c r="D24" s="62">
        <f>IFERROR(G24*'MWH-Split'!S10*'MWH-Split'!U10,"")</f>
        <v>40811.625521382346</v>
      </c>
      <c r="E24" s="63">
        <f>IFERROR(H24*'MWH-Split'!T10*'MWH-Split'!U10,"")</f>
        <v>8098.6858595292588</v>
      </c>
      <c r="F24" s="62">
        <f>IFERROR('[1]Table 5'!F24*P24,"")</f>
        <v>3068.5970000000002</v>
      </c>
      <c r="G24" s="62">
        <f>IF('MWH-Split'!N10&lt;&gt;0,'MWH-Split'!N10*P24,"")</f>
        <v>2443.0120000000002</v>
      </c>
      <c r="H24" s="63">
        <f>IF('MWH-Split'!O10&lt;&gt;0,'MWH-Split'!O10*P24,"")</f>
        <v>625.58500000000004</v>
      </c>
      <c r="I24" s="155">
        <f t="shared" si="23"/>
        <v>16.239999999999998</v>
      </c>
      <c r="J24" s="155">
        <f t="shared" si="21"/>
        <v>16.71</v>
      </c>
      <c r="K24" s="156">
        <f t="shared" si="21"/>
        <v>12.95</v>
      </c>
      <c r="M24" s="70">
        <f t="shared" si="24"/>
        <v>2018</v>
      </c>
      <c r="N24" s="67">
        <f t="shared" si="25"/>
        <v>43221</v>
      </c>
      <c r="P24" s="68">
        <v>1</v>
      </c>
      <c r="Q24" s="213" t="str">
        <f t="shared" si="26"/>
        <v>Winter</v>
      </c>
      <c r="R24" s="211">
        <f t="shared" si="27"/>
        <v>2021</v>
      </c>
      <c r="S24" s="214">
        <f>IFERROR(SUMIFS(SourceEnergy!$D$20:$D$271,SourceEnergy!$Q$20:$Q$271,S$12,$M$20:$M$271,$R24)/SUMIFS(SourceEnergy!$G$20:$G$271,SourceEnergy!$Q$20:$Q$271,S$12,$M$20:$M$271,$R24),0)</f>
        <v>14.865632083410269</v>
      </c>
      <c r="T24" s="214">
        <f>IFERROR(SUMIFS(SourceEnergy!$D$20:$D$271,SourceEnergy!$Q$20:$Q$271,T$12,$M$20:$M$271,$R24)/SUMIFS(SourceEnergy!$G$20:$G$271,SourceEnergy!$Q$20:$Q$271,T$12,$M$20:$M$271,$R24),0)</f>
        <v>17.72487624788517</v>
      </c>
      <c r="U24" s="214">
        <f>IFERROR(SUMIFS(SourceEnergy!$E$20:$E$271,SourceEnergy!$Q$20:$Q$271,U$12,$M$20:$M$271,$R24)/SUMIFS(SourceEnergy!$H$20:$H$271,SourceEnergy!$Q$20:$Q$271,U$12,$M$20:$M$271,$R24),0)</f>
        <v>12.18564975321256</v>
      </c>
      <c r="V24" s="214">
        <f>IFERROR(SUMIFS(SourceEnergy!$E$20:$E$271,SourceEnergy!$Q$20:$Q$271,V$12,$M$20:$M$271,$R24)/SUMIFS(SourceEnergy!$H$20:$H$271,SourceEnergy!$Q$20:$Q$271,V$12,$M$20:$M$271,$R24),0)</f>
        <v>11.460932208009222</v>
      </c>
    </row>
    <row r="25" spans="2:22" x14ac:dyDescent="0.25">
      <c r="B25" s="69">
        <f t="shared" si="22"/>
        <v>43252</v>
      </c>
      <c r="C25" s="61">
        <f>IFERROR('[1]Table 5'!E25*P25,"")</f>
        <v>53888.404695212841</v>
      </c>
      <c r="D25" s="62">
        <f>IFERROR(G25*'MWH-Split'!S11*'MWH-Split'!U11,"")</f>
        <v>50192.000784962787</v>
      </c>
      <c r="E25" s="63">
        <f>IFERROR(H25*'MWH-Split'!T11*'MWH-Split'!U11,"")</f>
        <v>8663.6634270680806</v>
      </c>
      <c r="F25" s="62">
        <f>IFERROR('[1]Table 5'!F25*P25,"")</f>
        <v>3260.07</v>
      </c>
      <c r="G25" s="62">
        <f>IF('MWH-Split'!N11&lt;&gt;0,'MWH-Split'!N11*P25,"")</f>
        <v>2663.31</v>
      </c>
      <c r="H25" s="63">
        <f>IF('MWH-Split'!O11&lt;&gt;0,'MWH-Split'!O11*P25,"")</f>
        <v>596.76</v>
      </c>
      <c r="I25" s="155">
        <f t="shared" si="23"/>
        <v>16.53</v>
      </c>
      <c r="J25" s="155">
        <f t="shared" si="21"/>
        <v>18.850000000000001</v>
      </c>
      <c r="K25" s="156">
        <f t="shared" si="21"/>
        <v>14.52</v>
      </c>
      <c r="M25" s="70">
        <f t="shared" si="24"/>
        <v>2018</v>
      </c>
      <c r="N25" s="67">
        <f t="shared" si="25"/>
        <v>43252</v>
      </c>
      <c r="P25" s="68">
        <v>1</v>
      </c>
      <c r="Q25" s="213" t="str">
        <f t="shared" si="26"/>
        <v>Summer</v>
      </c>
      <c r="R25" s="211">
        <f t="shared" si="27"/>
        <v>2022</v>
      </c>
      <c r="S25" s="214">
        <f>IFERROR(SUMIFS(SourceEnergy!$D$20:$D$271,SourceEnergy!$Q$20:$Q$271,S$12,$M$20:$M$271,$R25)/SUMIFS(SourceEnergy!$G$20:$G$271,SourceEnergy!$Q$20:$Q$271,S$12,$M$20:$M$271,$R25),0)</f>
        <v>15.491737204055793</v>
      </c>
      <c r="T25" s="214">
        <f>IFERROR(SUMIFS(SourceEnergy!$D$20:$D$271,SourceEnergy!$Q$20:$Q$271,T$12,$M$20:$M$271,$R25)/SUMIFS(SourceEnergy!$G$20:$G$271,SourceEnergy!$Q$20:$Q$271,T$12,$M$20:$M$271,$R25),0)</f>
        <v>18.385036023479618</v>
      </c>
      <c r="U25" s="214">
        <f>IFERROR(SUMIFS(SourceEnergy!$E$20:$E$271,SourceEnergy!$Q$20:$Q$271,U$12,$M$20:$M$271,$R25)/SUMIFS(SourceEnergy!$H$20:$H$271,SourceEnergy!$Q$20:$Q$271,U$12,$M$20:$M$271,$R25),0)</f>
        <v>13.087722174629377</v>
      </c>
      <c r="V25" s="214">
        <f>IFERROR(SUMIFS(SourceEnergy!$E$20:$E$271,SourceEnergy!$Q$20:$Q$271,V$12,$M$20:$M$271,$R25)/SUMIFS(SourceEnergy!$H$20:$H$271,SourceEnergy!$Q$20:$Q$271,V$12,$M$20:$M$271,$R25),0)</f>
        <v>12.629066178034313</v>
      </c>
    </row>
    <row r="26" spans="2:22" x14ac:dyDescent="0.25">
      <c r="B26" s="69">
        <f t="shared" si="22"/>
        <v>43282</v>
      </c>
      <c r="C26" s="61">
        <f>IFERROR('[1]Table 5'!E26*P26,"")</f>
        <v>64724.944688618183</v>
      </c>
      <c r="D26" s="62">
        <f>IFERROR(G26*'MWH-Split'!S12*'MWH-Split'!U12,"")</f>
        <v>57893.149910733169</v>
      </c>
      <c r="E26" s="63">
        <f>IFERROR(H26*'MWH-Split'!T12*'MWH-Split'!U12,"")</f>
        <v>11628.251432002104</v>
      </c>
      <c r="F26" s="62">
        <f>IFERROR('[1]Table 5'!F26*P26,"")</f>
        <v>2950.7660000000001</v>
      </c>
      <c r="G26" s="62">
        <f>IF('MWH-Split'!N12&lt;&gt;0,'MWH-Split'!N12*P26,"")</f>
        <v>2274.25</v>
      </c>
      <c r="H26" s="63">
        <f>IF('MWH-Split'!O12&lt;&gt;0,'MWH-Split'!O12*P26,"")</f>
        <v>676.51599999999996</v>
      </c>
      <c r="I26" s="155">
        <f t="shared" si="23"/>
        <v>21.93</v>
      </c>
      <c r="J26" s="155">
        <f t="shared" si="21"/>
        <v>25.46</v>
      </c>
      <c r="K26" s="156">
        <f t="shared" si="21"/>
        <v>17.190000000000001</v>
      </c>
      <c r="M26" s="70">
        <f t="shared" si="24"/>
        <v>2018</v>
      </c>
      <c r="N26" s="67">
        <f t="shared" si="25"/>
        <v>43282</v>
      </c>
      <c r="P26" s="68">
        <v>1</v>
      </c>
      <c r="Q26" s="213" t="str">
        <f t="shared" si="26"/>
        <v>Summer</v>
      </c>
      <c r="R26" s="211">
        <f t="shared" si="27"/>
        <v>2023</v>
      </c>
      <c r="S26" s="214">
        <f>IFERROR(SUMIFS(SourceEnergy!$D$20:$D$271,SourceEnergy!$Q$20:$Q$271,S$12,$M$20:$M$271,$R26)/SUMIFS(SourceEnergy!$G$20:$G$271,SourceEnergy!$Q$20:$Q$271,S$12,$M$20:$M$271,$R26),0)</f>
        <v>16.880119637777636</v>
      </c>
      <c r="T26" s="214">
        <f>IFERROR(SUMIFS(SourceEnergy!$D$20:$D$271,SourceEnergy!$Q$20:$Q$271,T$12,$M$20:$M$271,$R26)/SUMIFS(SourceEnergy!$G$20:$G$271,SourceEnergy!$Q$20:$Q$271,T$12,$M$20:$M$271,$R26),0)</f>
        <v>19.882129546209111</v>
      </c>
      <c r="U26" s="214">
        <f>IFERROR(SUMIFS(SourceEnergy!$E$20:$E$271,SourceEnergy!$Q$20:$Q$271,U$12,$M$20:$M$271,$R26)/SUMIFS(SourceEnergy!$H$20:$H$271,SourceEnergy!$Q$20:$Q$271,U$12,$M$20:$M$271,$R26),0)</f>
        <v>15.029879373562819</v>
      </c>
      <c r="V26" s="214">
        <f>IFERROR(SUMIFS(SourceEnergy!$E$20:$E$271,SourceEnergy!$Q$20:$Q$271,V$12,$M$20:$M$271,$R26)/SUMIFS(SourceEnergy!$H$20:$H$271,SourceEnergy!$Q$20:$Q$271,V$12,$M$20:$M$271,$R26),0)</f>
        <v>14.934620977728647</v>
      </c>
    </row>
    <row r="27" spans="2:22" x14ac:dyDescent="0.25">
      <c r="B27" s="69">
        <f t="shared" si="22"/>
        <v>43313</v>
      </c>
      <c r="C27" s="61">
        <f>IFERROR('[1]Table 5'!E27*P27,"")</f>
        <v>63510.820875018835</v>
      </c>
      <c r="D27" s="62">
        <f>IFERROR(G27*'MWH-Split'!S13*'MWH-Split'!U13,"")</f>
        <v>63338.2821751546</v>
      </c>
      <c r="E27" s="63">
        <f>IFERROR(H27*'MWH-Split'!T13*'MWH-Split'!U13,"")</f>
        <v>7868.3639434651222</v>
      </c>
      <c r="F27" s="62">
        <f>IFERROR('[1]Table 5'!F27*P27,"")</f>
        <v>2955.5709999999999</v>
      </c>
      <c r="G27" s="62">
        <f>IF('MWH-Split'!N13&lt;&gt;0,'MWH-Split'!N13*P27,"")</f>
        <v>2516.616</v>
      </c>
      <c r="H27" s="63">
        <f>IF('MWH-Split'!O13&lt;&gt;0,'MWH-Split'!O13*P27,"")</f>
        <v>438.95499999999998</v>
      </c>
      <c r="I27" s="155">
        <f t="shared" si="23"/>
        <v>21.49</v>
      </c>
      <c r="J27" s="155">
        <f t="shared" si="21"/>
        <v>25.17</v>
      </c>
      <c r="K27" s="156">
        <f t="shared" si="21"/>
        <v>17.93</v>
      </c>
      <c r="M27" s="70">
        <f t="shared" si="24"/>
        <v>2018</v>
      </c>
      <c r="N27" s="67">
        <f t="shared" si="25"/>
        <v>43313</v>
      </c>
      <c r="P27" s="68">
        <v>1</v>
      </c>
      <c r="Q27" s="213" t="str">
        <f t="shared" si="26"/>
        <v>Summer</v>
      </c>
      <c r="R27" s="211">
        <f t="shared" si="27"/>
        <v>2024</v>
      </c>
      <c r="S27" s="214">
        <f>IFERROR(SUMIFS(SourceEnergy!$D$20:$D$271,SourceEnergy!$Q$20:$Q$271,S$12,$M$20:$M$271,$R27)/SUMIFS(SourceEnergy!$G$20:$G$271,SourceEnergy!$Q$20:$Q$271,S$12,$M$20:$M$271,$R27),0)</f>
        <v>15.796643863946539</v>
      </c>
      <c r="T27" s="214">
        <f>IFERROR(SUMIFS(SourceEnergy!$D$20:$D$271,SourceEnergy!$Q$20:$Q$271,T$12,$M$20:$M$271,$R27)/SUMIFS(SourceEnergy!$G$20:$G$271,SourceEnergy!$Q$20:$Q$271,T$12,$M$20:$M$271,$R27),0)</f>
        <v>18.17820701901897</v>
      </c>
      <c r="U27" s="214">
        <f>IFERROR(SUMIFS(SourceEnergy!$E$20:$E$271,SourceEnergy!$Q$20:$Q$271,U$12,$M$20:$M$271,$R27)/SUMIFS(SourceEnergy!$H$20:$H$271,SourceEnergy!$Q$20:$Q$271,U$12,$M$20:$M$271,$R27),0)</f>
        <v>14.248492698120724</v>
      </c>
      <c r="V27" s="214">
        <f>IFERROR(SUMIFS(SourceEnergy!$E$20:$E$271,SourceEnergy!$Q$20:$Q$271,V$12,$M$20:$M$271,$R27)/SUMIFS(SourceEnergy!$H$20:$H$271,SourceEnergy!$Q$20:$Q$271,V$12,$M$20:$M$271,$R27),0)</f>
        <v>14.498215510642931</v>
      </c>
    </row>
    <row r="28" spans="2:22" x14ac:dyDescent="0.25">
      <c r="B28" s="69">
        <f t="shared" si="22"/>
        <v>43344</v>
      </c>
      <c r="C28" s="61">
        <f>IFERROR('[1]Table 5'!E28*P28,"")</f>
        <v>45496.36356793344</v>
      </c>
      <c r="D28" s="62">
        <f>IFERROR(G28*'MWH-Split'!S14*'MWH-Split'!U14,"")</f>
        <v>42752.566126098143</v>
      </c>
      <c r="E28" s="63">
        <f>IFERROR(H28*'MWH-Split'!T14*'MWH-Split'!U14,"")</f>
        <v>8662.8424733098636</v>
      </c>
      <c r="F28" s="62">
        <f>IFERROR('[1]Table 5'!F28*P28,"")</f>
        <v>2605.3200000000002</v>
      </c>
      <c r="G28" s="62">
        <f>IF('MWH-Split'!N14&lt;&gt;0,'MWH-Split'!N14*P28,"")</f>
        <v>2068.56</v>
      </c>
      <c r="H28" s="63">
        <f>IF('MWH-Split'!O14&lt;&gt;0,'MWH-Split'!O14*P28,"")</f>
        <v>536.76</v>
      </c>
      <c r="I28" s="155">
        <f t="shared" si="23"/>
        <v>17.46</v>
      </c>
      <c r="J28" s="155">
        <f t="shared" si="21"/>
        <v>20.67</v>
      </c>
      <c r="K28" s="156">
        <f t="shared" si="21"/>
        <v>16.14</v>
      </c>
      <c r="M28" s="70">
        <f t="shared" si="24"/>
        <v>2018</v>
      </c>
      <c r="N28" s="67">
        <f t="shared" si="25"/>
        <v>43344</v>
      </c>
      <c r="P28" s="68">
        <v>1</v>
      </c>
      <c r="Q28" s="213" t="str">
        <f t="shared" si="26"/>
        <v>Summer</v>
      </c>
      <c r="R28" s="211">
        <f t="shared" si="27"/>
        <v>2025</v>
      </c>
      <c r="S28" s="214">
        <f>IFERROR(SUMIFS(SourceEnergy!$D$20:$D$271,SourceEnergy!$Q$20:$Q$271,S$12,$M$20:$M$271,$R28)/SUMIFS(SourceEnergy!$G$20:$G$271,SourceEnergy!$Q$20:$Q$271,S$12,$M$20:$M$271,$R28),0)</f>
        <v>18.647374076792786</v>
      </c>
      <c r="T28" s="214">
        <f>IFERROR(SUMIFS(SourceEnergy!$D$20:$D$271,SourceEnergy!$Q$20:$Q$271,T$12,$M$20:$M$271,$R28)/SUMIFS(SourceEnergy!$G$20:$G$271,SourceEnergy!$Q$20:$Q$271,T$12,$M$20:$M$271,$R28),0)</f>
        <v>21.520716857871353</v>
      </c>
      <c r="U28" s="214">
        <f>IFERROR(SUMIFS(SourceEnergy!$E$20:$E$271,SourceEnergy!$Q$20:$Q$271,U$12,$M$20:$M$271,$R28)/SUMIFS(SourceEnergy!$H$20:$H$271,SourceEnergy!$Q$20:$Q$271,U$12,$M$20:$M$271,$R28),0)</f>
        <v>16.821547682750481</v>
      </c>
      <c r="V28" s="214">
        <f>IFERROR(SUMIFS(SourceEnergy!$E$20:$E$271,SourceEnergy!$Q$20:$Q$271,V$12,$M$20:$M$271,$R28)/SUMIFS(SourceEnergy!$H$20:$H$271,SourceEnergy!$Q$20:$Q$271,V$12,$M$20:$M$271,$R28),0)</f>
        <v>17.043955056297445</v>
      </c>
    </row>
    <row r="29" spans="2:22" x14ac:dyDescent="0.25">
      <c r="B29" s="69">
        <f t="shared" si="22"/>
        <v>43374</v>
      </c>
      <c r="C29" s="61">
        <f>IFERROR('[1]Table 5'!E29*P29,"")</f>
        <v>38126.641892462969</v>
      </c>
      <c r="D29" s="62">
        <f>IFERROR(G29*'MWH-Split'!S15*'MWH-Split'!U15,"")</f>
        <v>34139.767739275369</v>
      </c>
      <c r="E29" s="63">
        <f>IFERROR(H29*'MWH-Split'!T15*'MWH-Split'!U15,"")</f>
        <v>4610.924436580076</v>
      </c>
      <c r="F29" s="62">
        <f>IFERROR('[1]Table 5'!F29*P29,"")</f>
        <v>2112.2469999999998</v>
      </c>
      <c r="G29" s="62">
        <f>IF('MWH-Split'!N15&lt;&gt;0,'MWH-Split'!N15*P29,"")</f>
        <v>1839.2670000000001</v>
      </c>
      <c r="H29" s="63">
        <f>IF('MWH-Split'!O15&lt;&gt;0,'MWH-Split'!O15*P29,"")</f>
        <v>272.98</v>
      </c>
      <c r="I29" s="155">
        <f t="shared" si="23"/>
        <v>18.05</v>
      </c>
      <c r="J29" s="155">
        <f t="shared" si="21"/>
        <v>18.559999999999999</v>
      </c>
      <c r="K29" s="156">
        <f t="shared" si="21"/>
        <v>16.89</v>
      </c>
      <c r="M29" s="70">
        <f t="shared" si="24"/>
        <v>2018</v>
      </c>
      <c r="N29" s="67">
        <f t="shared" si="25"/>
        <v>43374</v>
      </c>
      <c r="P29" s="68">
        <v>1</v>
      </c>
      <c r="Q29" s="213" t="str">
        <f t="shared" si="26"/>
        <v>Winter</v>
      </c>
      <c r="R29" s="211">
        <f t="shared" si="27"/>
        <v>2026</v>
      </c>
      <c r="S29" s="214">
        <f>IFERROR(SUMIFS(SourceEnergy!$D$20:$D$271,SourceEnergy!$Q$20:$Q$271,S$12,$M$20:$M$271,$R29)/SUMIFS(SourceEnergy!$G$20:$G$271,SourceEnergy!$Q$20:$Q$271,S$12,$M$20:$M$271,$R29),0)</f>
        <v>19.346602753567566</v>
      </c>
      <c r="T29" s="214">
        <f>IFERROR(SUMIFS(SourceEnergy!$D$20:$D$271,SourceEnergy!$Q$20:$Q$271,T$12,$M$20:$M$271,$R29)/SUMIFS(SourceEnergy!$G$20:$G$271,SourceEnergy!$Q$20:$Q$271,T$12,$M$20:$M$271,$R29),0)</f>
        <v>22.591098397186688</v>
      </c>
      <c r="U29" s="214">
        <f>IFERROR(SUMIFS(SourceEnergy!$E$20:$E$271,SourceEnergy!$Q$20:$Q$271,U$12,$M$20:$M$271,$R29)/SUMIFS(SourceEnergy!$H$20:$H$271,SourceEnergy!$Q$20:$Q$271,U$12,$M$20:$M$271,$R29),0)</f>
        <v>17.355376924626434</v>
      </c>
      <c r="V29" s="214">
        <f>IFERROR(SUMIFS(SourceEnergy!$E$20:$E$271,SourceEnergy!$Q$20:$Q$271,V$12,$M$20:$M$271,$R29)/SUMIFS(SourceEnergy!$H$20:$H$271,SourceEnergy!$Q$20:$Q$271,V$12,$M$20:$M$271,$R29),0)</f>
        <v>18.167228352890437</v>
      </c>
    </row>
    <row r="30" spans="2:22" x14ac:dyDescent="0.25">
      <c r="B30" s="69">
        <f t="shared" si="22"/>
        <v>43405</v>
      </c>
      <c r="C30" s="61">
        <f>IFERROR('[1]Table 5'!E30*P30,"")</f>
        <v>25479.279970467091</v>
      </c>
      <c r="D30" s="62">
        <f>IFERROR(G30*'MWH-Split'!S16*'MWH-Split'!U16,"")</f>
        <v>21780.257012580987</v>
      </c>
      <c r="E30" s="63">
        <f>IFERROR(H30*'MWH-Split'!T16*'MWH-Split'!U16,"")</f>
        <v>3900.2377763766158</v>
      </c>
      <c r="F30" s="62">
        <f>IFERROR('[1]Table 5'!F30*P30,"")</f>
        <v>1422.6</v>
      </c>
      <c r="G30" s="62">
        <f>IF('MWH-Split'!N16&lt;&gt;0,'MWH-Split'!N16*P30,"")</f>
        <v>1185.5</v>
      </c>
      <c r="H30" s="63">
        <f>IF('MWH-Split'!O16&lt;&gt;0,'MWH-Split'!O16*P30,"")</f>
        <v>237.1</v>
      </c>
      <c r="I30" s="155">
        <f t="shared" si="23"/>
        <v>17.91</v>
      </c>
      <c r="J30" s="155">
        <f t="shared" si="21"/>
        <v>18.37</v>
      </c>
      <c r="K30" s="156">
        <f t="shared" si="21"/>
        <v>16.45</v>
      </c>
      <c r="M30" s="70">
        <f t="shared" si="24"/>
        <v>2018</v>
      </c>
      <c r="N30" s="67">
        <f t="shared" si="25"/>
        <v>43405</v>
      </c>
      <c r="P30" s="68">
        <v>1</v>
      </c>
      <c r="Q30" s="213" t="str">
        <f t="shared" si="26"/>
        <v>Winter</v>
      </c>
      <c r="R30" s="211">
        <f t="shared" si="27"/>
        <v>2027</v>
      </c>
      <c r="S30" s="214">
        <f>IFERROR(SUMIFS(SourceEnergy!$D$20:$D$271,SourceEnergy!$Q$20:$Q$271,S$12,$M$20:$M$271,$R30)/SUMIFS(SourceEnergy!$G$20:$G$271,SourceEnergy!$Q$20:$Q$271,S$12,$M$20:$M$271,$R30),0)</f>
        <v>20.31080943849468</v>
      </c>
      <c r="T30" s="214">
        <f>IFERROR(SUMIFS(SourceEnergy!$D$20:$D$271,SourceEnergy!$Q$20:$Q$271,T$12,$M$20:$M$271,$R30)/SUMIFS(SourceEnergy!$G$20:$G$271,SourceEnergy!$Q$20:$Q$271,T$12,$M$20:$M$271,$R30),0)</f>
        <v>23.512860746248904</v>
      </c>
      <c r="U30" s="214">
        <f>IFERROR(SUMIFS(SourceEnergy!$E$20:$E$271,SourceEnergy!$Q$20:$Q$271,U$12,$M$20:$M$271,$R30)/SUMIFS(SourceEnergy!$H$20:$H$271,SourceEnergy!$Q$20:$Q$271,U$12,$M$20:$M$271,$R30),0)</f>
        <v>18.387613115766175</v>
      </c>
      <c r="V30" s="214">
        <f>IFERROR(SUMIFS(SourceEnergy!$E$20:$E$271,SourceEnergy!$Q$20:$Q$271,V$12,$M$20:$M$271,$R30)/SUMIFS(SourceEnergy!$H$20:$H$271,SourceEnergy!$Q$20:$Q$271,V$12,$M$20:$M$271,$R30),0)</f>
        <v>19.175975601307066</v>
      </c>
    </row>
    <row r="31" spans="2:22" x14ac:dyDescent="0.25">
      <c r="B31" s="71">
        <f t="shared" si="22"/>
        <v>43435</v>
      </c>
      <c r="C31" s="72">
        <f>IFERROR('[1]Table 5'!E31*P31,"")</f>
        <v>21130.016204223037</v>
      </c>
      <c r="D31" s="73">
        <f>IFERROR(G31*'MWH-Split'!S17*'MWH-Split'!U17,"")</f>
        <v>17602.875369193724</v>
      </c>
      <c r="E31" s="74">
        <f>IFERROR(H31*'MWH-Split'!T17*'MWH-Split'!U17,"")</f>
        <v>3917.6959421677557</v>
      </c>
      <c r="F31" s="73">
        <f>IFERROR('[1]Table 5'!F31*P31,"")</f>
        <v>1097.5550000000001</v>
      </c>
      <c r="G31" s="73">
        <f>IF('MWH-Split'!N17&lt;&gt;0,'MWH-Split'!N17*P31,"")</f>
        <v>885.125</v>
      </c>
      <c r="H31" s="74">
        <f>IF('MWH-Split'!O17&lt;&gt;0,'MWH-Split'!O17*P31,"")</f>
        <v>212.43</v>
      </c>
      <c r="I31" s="157">
        <f t="shared" ref="I31:K46" si="28">MAX(ROUND(IF(ISNUMBER(F31),C31/F31,""),2),0)</f>
        <v>19.25</v>
      </c>
      <c r="J31" s="157">
        <f>MAX(ROUND(IF(ISNUMBER(G31),D31/G31,""),2),0)</f>
        <v>19.89</v>
      </c>
      <c r="K31" s="158">
        <f t="shared" si="28"/>
        <v>18.440000000000001</v>
      </c>
      <c r="M31" s="77">
        <f t="shared" si="24"/>
        <v>2018</v>
      </c>
      <c r="N31" s="78">
        <f t="shared" si="25"/>
        <v>43435</v>
      </c>
      <c r="P31" s="79">
        <v>1</v>
      </c>
      <c r="Q31" s="213" t="str">
        <f t="shared" si="26"/>
        <v>Winter</v>
      </c>
      <c r="R31" s="211">
        <f t="shared" si="27"/>
        <v>2028</v>
      </c>
      <c r="S31" s="214">
        <f>IFERROR(SUMIFS(SourceEnergy!$D$20:$D$271,SourceEnergy!$Q$20:$Q$271,S$12,$M$20:$M$271,$R31)/SUMIFS(SourceEnergy!$G$20:$G$271,SourceEnergy!$Q$20:$Q$271,S$12,$M$20:$M$271,$R31),0)</f>
        <v>22.333900394518555</v>
      </c>
      <c r="T31" s="214">
        <f>IFERROR(SUMIFS(SourceEnergy!$D$20:$D$271,SourceEnergy!$Q$20:$Q$271,T$12,$M$20:$M$271,$R31)/SUMIFS(SourceEnergy!$G$20:$G$271,SourceEnergy!$Q$20:$Q$271,T$12,$M$20:$M$271,$R31),0)</f>
        <v>25.847894020240645</v>
      </c>
      <c r="U31" s="214">
        <f>IFERROR(SUMIFS(SourceEnergy!$E$20:$E$271,SourceEnergy!$Q$20:$Q$271,U$12,$M$20:$M$271,$R31)/SUMIFS(SourceEnergy!$H$20:$H$271,SourceEnergy!$Q$20:$Q$271,U$12,$M$20:$M$271,$R31),0)</f>
        <v>20.352094862676154</v>
      </c>
      <c r="V31" s="214">
        <f>IFERROR(SUMIFS(SourceEnergy!$E$20:$E$271,SourceEnergy!$Q$20:$Q$271,V$12,$M$20:$M$271,$R31)/SUMIFS(SourceEnergy!$H$20:$H$271,SourceEnergy!$Q$20:$Q$271,V$12,$M$20:$M$271,$R31),0)</f>
        <v>21.238409172024006</v>
      </c>
    </row>
    <row r="32" spans="2:22" outlineLevel="1" x14ac:dyDescent="0.25">
      <c r="B32" s="80">
        <f t="shared" si="22"/>
        <v>43466</v>
      </c>
      <c r="C32" s="81">
        <f>'[1]Table 5'!E32*P32</f>
        <v>26702.527147710323</v>
      </c>
      <c r="D32" s="82">
        <f>IFERROR(G32*'MWH-Split'!S18*'MWH-Split'!U18,"")</f>
        <v>19876.877857749645</v>
      </c>
      <c r="E32" s="83">
        <f>IFERROR(H32*'MWH-Split'!T18*'MWH-Split'!U18,"")</f>
        <v>3637.3917063695985</v>
      </c>
      <c r="F32" s="82">
        <f>'[1]Table 5'!F32*P32</f>
        <v>1310.2149999999999</v>
      </c>
      <c r="G32" s="82">
        <f>IF('MWH-Split'!N18&lt;&gt;0,'MWH-Split'!N18*P32,"")</f>
        <v>1098.8900000000001</v>
      </c>
      <c r="H32" s="83">
        <f>IF('MWH-Split'!O18&lt;&gt;0,'MWH-Split'!O18*P32,"")</f>
        <v>211.32499999999999</v>
      </c>
      <c r="I32" s="84">
        <f t="shared" si="28"/>
        <v>20.38</v>
      </c>
      <c r="J32" s="84">
        <f t="shared" si="28"/>
        <v>18.09</v>
      </c>
      <c r="K32" s="85">
        <f t="shared" si="28"/>
        <v>17.21</v>
      </c>
      <c r="M32" s="66">
        <f t="shared" si="24"/>
        <v>2019</v>
      </c>
      <c r="N32" s="67">
        <f>IF(ISNUMBER(F32),IF(F32&lt;&gt;0,B32,""),"")</f>
        <v>43466</v>
      </c>
      <c r="P32" s="86">
        <f>IF('Monthly Levelized'!$K$5+'Monthly Levelized'!$L$5&lt;&gt;0,IFERROR(VLOOKUP(B32,'Monthly Levelized'!$G$5:$I$25,3,FALSE),P31),1)</f>
        <v>1</v>
      </c>
      <c r="Q32" s="213" t="str">
        <f t="shared" si="26"/>
        <v>Winter</v>
      </c>
      <c r="R32" s="211">
        <f t="shared" si="27"/>
        <v>2029</v>
      </c>
      <c r="S32" s="214">
        <f>IFERROR(SUMIFS(SourceEnergy!$D$20:$D$271,SourceEnergy!$Q$20:$Q$271,S$12,$M$20:$M$271,$R32)/SUMIFS(SourceEnergy!$G$20:$G$271,SourceEnergy!$Q$20:$Q$271,S$12,$M$20:$M$271,$R32),0)</f>
        <v>23.663958435247853</v>
      </c>
      <c r="T32" s="214">
        <f>IFERROR(SUMIFS(SourceEnergy!$D$20:$D$271,SourceEnergy!$Q$20:$Q$271,T$12,$M$20:$M$271,$R32)/SUMIFS(SourceEnergy!$G$20:$G$271,SourceEnergy!$Q$20:$Q$271,T$12,$M$20:$M$271,$R32),0)</f>
        <v>27.046897852337366</v>
      </c>
      <c r="U32" s="214">
        <f>IFERROR(SUMIFS(SourceEnergy!$E$20:$E$271,SourceEnergy!$Q$20:$Q$271,U$12,$M$20:$M$271,$R32)/SUMIFS(SourceEnergy!$H$20:$H$271,SourceEnergy!$Q$20:$Q$271,U$12,$M$20:$M$271,$R32),0)</f>
        <v>21.593112457168342</v>
      </c>
      <c r="V32" s="214">
        <f>IFERROR(SUMIFS(SourceEnergy!$E$20:$E$271,SourceEnergy!$Q$20:$Q$271,V$12,$M$20:$M$271,$R32)/SUMIFS(SourceEnergy!$H$20:$H$271,SourceEnergy!$Q$20:$Q$271,V$12,$M$20:$M$271,$R32),0)</f>
        <v>22.390399773368895</v>
      </c>
    </row>
    <row r="33" spans="2:22" outlineLevel="1" x14ac:dyDescent="0.25">
      <c r="B33" s="67">
        <f t="shared" si="22"/>
        <v>43497</v>
      </c>
      <c r="C33" s="61">
        <f>'[1]Table 5'!E33*P33</f>
        <v>25127.539810314775</v>
      </c>
      <c r="D33" s="62">
        <f>IFERROR(G33*'MWH-Split'!S19*'MWH-Split'!U19,"")</f>
        <v>23193.518368758072</v>
      </c>
      <c r="E33" s="63">
        <f>IFERROR(H33*'MWH-Split'!T19*'MWH-Split'!U19,"")</f>
        <v>3568.7772017741704</v>
      </c>
      <c r="F33" s="62">
        <f>'[1]Table 5'!F33*P33</f>
        <v>1466.3040000000001</v>
      </c>
      <c r="G33" s="62">
        <f>IF('MWH-Split'!N19&lt;&gt;0,'MWH-Split'!N19*P33,"")</f>
        <v>1256.8320000000001</v>
      </c>
      <c r="H33" s="63">
        <f>IF('MWH-Split'!O19&lt;&gt;0,'MWH-Split'!O19*P33,"")</f>
        <v>209.47200000000001</v>
      </c>
      <c r="I33" s="64">
        <f t="shared" si="28"/>
        <v>17.14</v>
      </c>
      <c r="J33" s="64">
        <f t="shared" si="28"/>
        <v>18.45</v>
      </c>
      <c r="K33" s="65">
        <f t="shared" si="28"/>
        <v>17.04</v>
      </c>
      <c r="M33" s="70">
        <f t="shared" si="24"/>
        <v>2019</v>
      </c>
      <c r="N33" s="67">
        <f t="shared" ref="N33:N96" si="29">IF(ISNUMBER(F33),IF(F33&lt;&gt;0,B33,""),"")</f>
        <v>43497</v>
      </c>
      <c r="P33" s="68">
        <f>IF('Monthly Levelized'!$K$5+'Monthly Levelized'!$L$5&lt;&gt;0,IFERROR(VLOOKUP(B33,'Monthly Levelized'!$G$5:$I$25,3,FALSE),P32),1)</f>
        <v>1</v>
      </c>
      <c r="Q33" s="213" t="str">
        <f t="shared" si="26"/>
        <v>Winter</v>
      </c>
      <c r="R33" s="211">
        <f t="shared" si="27"/>
        <v>2030</v>
      </c>
      <c r="S33" s="214">
        <f>IFERROR(SUMIFS(SourceEnergy!$D$20:$D$271,SourceEnergy!$Q$20:$Q$271,S$12,$M$20:$M$271,$R33)/SUMIFS(SourceEnergy!$G$20:$G$271,SourceEnergy!$Q$20:$Q$271,S$12,$M$20:$M$271,$R33),0)</f>
        <v>27.079428946229413</v>
      </c>
      <c r="T33" s="214">
        <f>IFERROR(SUMIFS(SourceEnergy!$D$20:$D$271,SourceEnergy!$Q$20:$Q$271,T$12,$M$20:$M$271,$R33)/SUMIFS(SourceEnergy!$G$20:$G$271,SourceEnergy!$Q$20:$Q$271,T$12,$M$20:$M$271,$R33),0)</f>
        <v>31.19996478173525</v>
      </c>
      <c r="U33" s="214">
        <f>IFERROR(SUMIFS(SourceEnergy!$E$20:$E$271,SourceEnergy!$Q$20:$Q$271,U$12,$M$20:$M$271,$R33)/SUMIFS(SourceEnergy!$H$20:$H$271,SourceEnergy!$Q$20:$Q$271,U$12,$M$20:$M$271,$R33),0)</f>
        <v>25.211776188481402</v>
      </c>
      <c r="V33" s="214">
        <f>IFERROR(SUMIFS(SourceEnergy!$E$20:$E$271,SourceEnergy!$Q$20:$Q$271,V$12,$M$20:$M$271,$R33)/SUMIFS(SourceEnergy!$H$20:$H$271,SourceEnergy!$Q$20:$Q$271,V$12,$M$20:$M$271,$R33),0)</f>
        <v>25.732149536064558</v>
      </c>
    </row>
    <row r="34" spans="2:22" outlineLevel="1" x14ac:dyDescent="0.25">
      <c r="B34" s="67">
        <f t="shared" si="22"/>
        <v>43525</v>
      </c>
      <c r="C34" s="61">
        <f>'[1]Table 5'!E34*P34</f>
        <v>37241.59612582624</v>
      </c>
      <c r="D34" s="62">
        <f>IFERROR(G34*'MWH-Split'!S20*'MWH-Split'!U20,"")</f>
        <v>32561.043676853507</v>
      </c>
      <c r="E34" s="63">
        <f>IFERROR(H34*'MWH-Split'!T20*'MWH-Split'!U20,"")</f>
        <v>5914.6993434792284</v>
      </c>
      <c r="F34" s="62">
        <f>'[1]Table 5'!F34*P34</f>
        <v>2283.7080000000001</v>
      </c>
      <c r="G34" s="62">
        <f>IF('MWH-Split'!N20&lt;&gt;0,'MWH-Split'!N20*P34,"")</f>
        <v>1914.614</v>
      </c>
      <c r="H34" s="63">
        <f>IF('MWH-Split'!O20&lt;&gt;0,'MWH-Split'!O20*P34,"")</f>
        <v>369.09399999999999</v>
      </c>
      <c r="I34" s="64">
        <f t="shared" si="28"/>
        <v>16.309999999999999</v>
      </c>
      <c r="J34" s="64">
        <f t="shared" si="28"/>
        <v>17.010000000000002</v>
      </c>
      <c r="K34" s="65">
        <f t="shared" si="28"/>
        <v>16.02</v>
      </c>
      <c r="M34" s="70">
        <f t="shared" si="24"/>
        <v>2019</v>
      </c>
      <c r="N34" s="67">
        <f t="shared" si="29"/>
        <v>43525</v>
      </c>
      <c r="P34" s="68">
        <f>IF('Monthly Levelized'!$K$5+'Monthly Levelized'!$L$5&lt;&gt;0,IFERROR(VLOOKUP(B34,'Monthly Levelized'!$G$5:$I$25,3,FALSE),P33),1)</f>
        <v>1</v>
      </c>
      <c r="Q34" s="213" t="str">
        <f t="shared" si="26"/>
        <v>Winter</v>
      </c>
      <c r="R34" s="211">
        <f t="shared" si="27"/>
        <v>2031</v>
      </c>
      <c r="S34" s="214">
        <f>IFERROR(SUMIFS(SourceEnergy!$D$20:$D$271,SourceEnergy!$Q$20:$Q$271,S$12,$M$20:$M$271,$R34)/SUMIFS(SourceEnergy!$G$20:$G$271,SourceEnergy!$Q$20:$Q$271,S$12,$M$20:$M$271,$R34),0)</f>
        <v>28.47983101052947</v>
      </c>
      <c r="T34" s="214">
        <f>IFERROR(SUMIFS(SourceEnergy!$D$20:$D$271,SourceEnergy!$Q$20:$Q$271,T$12,$M$20:$M$271,$R34)/SUMIFS(SourceEnergy!$G$20:$G$271,SourceEnergy!$Q$20:$Q$271,T$12,$M$20:$M$271,$R34),0)</f>
        <v>32.45758965317804</v>
      </c>
      <c r="U34" s="214">
        <f>IFERROR(SUMIFS(SourceEnergy!$E$20:$E$271,SourceEnergy!$Q$20:$Q$271,U$12,$M$20:$M$271,$R34)/SUMIFS(SourceEnergy!$H$20:$H$271,SourceEnergy!$Q$20:$Q$271,U$12,$M$20:$M$271,$R34),0)</f>
        <v>26.379545861733781</v>
      </c>
      <c r="V34" s="214">
        <f>IFERROR(SUMIFS(SourceEnergy!$E$20:$E$271,SourceEnergy!$Q$20:$Q$271,V$12,$M$20:$M$271,$R34)/SUMIFS(SourceEnergy!$H$20:$H$271,SourceEnergy!$Q$20:$Q$271,V$12,$M$20:$M$271,$R34),0)</f>
        <v>27.044655284970652</v>
      </c>
    </row>
    <row r="35" spans="2:22" outlineLevel="1" x14ac:dyDescent="0.25">
      <c r="B35" s="67">
        <f t="shared" si="22"/>
        <v>43556</v>
      </c>
      <c r="C35" s="61">
        <f>'[1]Table 5'!E35*P35</f>
        <v>39564.609213083982</v>
      </c>
      <c r="D35" s="62">
        <f>IFERROR(G35*'MWH-Split'!S21*'MWH-Split'!U21,"")</f>
        <v>30150.354461078939</v>
      </c>
      <c r="E35" s="63">
        <f>IFERROR(H35*'MWH-Split'!T21*'MWH-Split'!U21,"")</f>
        <v>3754.4460608523273</v>
      </c>
      <c r="F35" s="62">
        <f>'[1]Table 5'!F35*P35</f>
        <v>2637.63</v>
      </c>
      <c r="G35" s="62">
        <f>IF('MWH-Split'!N21&lt;&gt;0,'MWH-Split'!N21*P35,"")</f>
        <v>2245.8020000000001</v>
      </c>
      <c r="H35" s="63">
        <f>IF('MWH-Split'!O21&lt;&gt;0,'MWH-Split'!O21*P35,"")</f>
        <v>391.82799999999997</v>
      </c>
      <c r="I35" s="64">
        <f t="shared" si="28"/>
        <v>15</v>
      </c>
      <c r="J35" s="64">
        <f t="shared" si="28"/>
        <v>13.43</v>
      </c>
      <c r="K35" s="65">
        <f t="shared" si="28"/>
        <v>9.58</v>
      </c>
      <c r="M35" s="70">
        <f t="shared" si="24"/>
        <v>2019</v>
      </c>
      <c r="N35" s="67">
        <f t="shared" si="29"/>
        <v>43556</v>
      </c>
      <c r="P35" s="68">
        <f>IF('Monthly Levelized'!$K$5+'Monthly Levelized'!$L$5&lt;&gt;0,IFERROR(VLOOKUP(B35,'Monthly Levelized'!$G$5:$I$25,3,FALSE),P34),1)</f>
        <v>1</v>
      </c>
      <c r="Q35" s="213" t="str">
        <f t="shared" si="26"/>
        <v>Winter</v>
      </c>
      <c r="R35" s="211">
        <f t="shared" si="27"/>
        <v>2032</v>
      </c>
      <c r="S35" s="214">
        <f>IFERROR(SUMIFS(SourceEnergy!$D$20:$D$271,SourceEnergy!$Q$20:$Q$271,S$12,$M$20:$M$271,$R35)/SUMIFS(SourceEnergy!$G$20:$G$271,SourceEnergy!$Q$20:$Q$271,S$12,$M$20:$M$271,$R35),0)</f>
        <v>30.473137222072339</v>
      </c>
      <c r="T35" s="214">
        <f>IFERROR(SUMIFS(SourceEnergy!$D$20:$D$271,SourceEnergy!$Q$20:$Q$271,T$12,$M$20:$M$271,$R35)/SUMIFS(SourceEnergy!$G$20:$G$271,SourceEnergy!$Q$20:$Q$271,T$12,$M$20:$M$271,$R35),0)</f>
        <v>34.787577406072529</v>
      </c>
      <c r="U35" s="214">
        <f>IFERROR(SUMIFS(SourceEnergy!$E$20:$E$271,SourceEnergy!$Q$20:$Q$271,U$12,$M$20:$M$271,$R35)/SUMIFS(SourceEnergy!$H$20:$H$271,SourceEnergy!$Q$20:$Q$271,U$12,$M$20:$M$271,$R35),0)</f>
        <v>28.079280610496571</v>
      </c>
      <c r="V35" s="214">
        <f>IFERROR(SUMIFS(SourceEnergy!$E$20:$E$271,SourceEnergy!$Q$20:$Q$271,V$12,$M$20:$M$271,$R35)/SUMIFS(SourceEnergy!$H$20:$H$271,SourceEnergy!$Q$20:$Q$271,V$12,$M$20:$M$271,$R35),0)</f>
        <v>29.456765856467982</v>
      </c>
    </row>
    <row r="36" spans="2:22" outlineLevel="1" x14ac:dyDescent="0.25">
      <c r="B36" s="67">
        <f t="shared" si="22"/>
        <v>43586</v>
      </c>
      <c r="C36" s="61">
        <f>'[1]Table 5'!E36*P36</f>
        <v>44760.727351695299</v>
      </c>
      <c r="D36" s="62">
        <f>IFERROR(G36*'MWH-Split'!S22*'MWH-Split'!U22,"")</f>
        <v>33748.211040051632</v>
      </c>
      <c r="E36" s="63">
        <f>IFERROR(H36*'MWH-Split'!T22*'MWH-Split'!U22,"")</f>
        <v>4278.178475069677</v>
      </c>
      <c r="F36" s="62">
        <f>'[1]Table 5'!F36*P36</f>
        <v>3053.252</v>
      </c>
      <c r="G36" s="62">
        <f>IF('MWH-Split'!N22&lt;&gt;0,'MWH-Split'!N22*P36,"")</f>
        <v>2430.7919999999999</v>
      </c>
      <c r="H36" s="63">
        <f>IF('MWH-Split'!O22&lt;&gt;0,'MWH-Split'!O22*P36,"")</f>
        <v>622.46</v>
      </c>
      <c r="I36" s="64">
        <f t="shared" si="28"/>
        <v>14.66</v>
      </c>
      <c r="J36" s="64">
        <f t="shared" si="28"/>
        <v>13.88</v>
      </c>
      <c r="K36" s="65">
        <f t="shared" si="28"/>
        <v>6.87</v>
      </c>
      <c r="M36" s="70">
        <f t="shared" si="24"/>
        <v>2019</v>
      </c>
      <c r="N36" s="67">
        <f t="shared" si="29"/>
        <v>43586</v>
      </c>
      <c r="P36" s="68">
        <f>IF('Monthly Levelized'!$K$5+'Monthly Levelized'!$L$5&lt;&gt;0,IFERROR(VLOOKUP(B36,'Monthly Levelized'!$G$5:$I$25,3,FALSE),P35),1)</f>
        <v>1</v>
      </c>
      <c r="Q36" s="213" t="str">
        <f t="shared" si="26"/>
        <v>Winter</v>
      </c>
      <c r="R36" s="211">
        <f t="shared" si="27"/>
        <v>2033</v>
      </c>
      <c r="S36" s="214">
        <f>IFERROR(SUMIFS(SourceEnergy!$D$20:$D$271,SourceEnergy!$Q$20:$Q$271,S$12,$M$20:$M$271,$R36)/SUMIFS(SourceEnergy!$G$20:$G$271,SourceEnergy!$Q$20:$Q$271,S$12,$M$20:$M$271,$R36),0)</f>
        <v>37.365675558314315</v>
      </c>
      <c r="T36" s="214">
        <f>IFERROR(SUMIFS(SourceEnergy!$D$20:$D$271,SourceEnergy!$Q$20:$Q$271,T$12,$M$20:$M$271,$R36)/SUMIFS(SourceEnergy!$G$20:$G$271,SourceEnergy!$Q$20:$Q$271,T$12,$M$20:$M$271,$R36),0)</f>
        <v>43.038705269561497</v>
      </c>
      <c r="U36" s="214">
        <f>IFERROR(SUMIFS(SourceEnergy!$E$20:$E$271,SourceEnergy!$Q$20:$Q$271,U$12,$M$20:$M$271,$R36)/SUMIFS(SourceEnergy!$H$20:$H$271,SourceEnergy!$Q$20:$Q$271,U$12,$M$20:$M$271,$R36),0)</f>
        <v>34.805653235353986</v>
      </c>
      <c r="V36" s="214">
        <f>IFERROR(SUMIFS(SourceEnergy!$E$20:$E$271,SourceEnergy!$Q$20:$Q$271,V$12,$M$20:$M$271,$R36)/SUMIFS(SourceEnergy!$H$20:$H$271,SourceEnergy!$Q$20:$Q$271,V$12,$M$20:$M$271,$R36),0)</f>
        <v>36.531394565624197</v>
      </c>
    </row>
    <row r="37" spans="2:22" outlineLevel="1" x14ac:dyDescent="0.25">
      <c r="B37" s="67">
        <f t="shared" si="22"/>
        <v>43617</v>
      </c>
      <c r="C37" s="61">
        <f>'[1]Table 5'!E37*P37</f>
        <v>48973.237932950258</v>
      </c>
      <c r="D37" s="62">
        <f>IFERROR(G37*'MWH-Split'!S23*'MWH-Split'!U23,"")</f>
        <v>38880.039972435341</v>
      </c>
      <c r="E37" s="63">
        <f>IFERROR(H37*'MWH-Split'!T23*'MWH-Split'!U23,"")</f>
        <v>5050.7434969508959</v>
      </c>
      <c r="F37" s="62">
        <f>'[1]Table 5'!F37*P37</f>
        <v>3243.72</v>
      </c>
      <c r="G37" s="62">
        <f>IF('MWH-Split'!N23&lt;&gt;0,'MWH-Split'!N23*P37,"")</f>
        <v>2548.0250000000001</v>
      </c>
      <c r="H37" s="63">
        <f>IF('MWH-Split'!O23&lt;&gt;0,'MWH-Split'!O23*P37,"")</f>
        <v>695.69500000000005</v>
      </c>
      <c r="I37" s="64">
        <f t="shared" si="28"/>
        <v>15.1</v>
      </c>
      <c r="J37" s="64">
        <f t="shared" si="28"/>
        <v>15.26</v>
      </c>
      <c r="K37" s="65">
        <f t="shared" si="28"/>
        <v>7.26</v>
      </c>
      <c r="M37" s="70">
        <f t="shared" si="24"/>
        <v>2019</v>
      </c>
      <c r="N37" s="67">
        <f t="shared" si="29"/>
        <v>43617</v>
      </c>
      <c r="P37" s="68">
        <f>IF('Monthly Levelized'!$K$5+'Monthly Levelized'!$L$5&lt;&gt;0,IFERROR(VLOOKUP(B37,'Monthly Levelized'!$G$5:$I$25,3,FALSE),P36),1)</f>
        <v>1</v>
      </c>
      <c r="Q37" s="213" t="str">
        <f t="shared" si="26"/>
        <v>Summer</v>
      </c>
      <c r="R37" s="211">
        <f t="shared" si="27"/>
        <v>2034</v>
      </c>
      <c r="S37" s="214">
        <f>IFERROR(SUMIFS(SourceEnergy!$D$20:$D$271,SourceEnergy!$Q$20:$Q$271,S$12,$M$20:$M$271,$R37)/SUMIFS(SourceEnergy!$G$20:$G$271,SourceEnergy!$Q$20:$Q$271,S$12,$M$20:$M$271,$R37),0)</f>
        <v>43.51435679364986</v>
      </c>
      <c r="T37" s="214">
        <f>IFERROR(SUMIFS(SourceEnergy!$D$20:$D$271,SourceEnergy!$Q$20:$Q$271,T$12,$M$20:$M$271,$R37)/SUMIFS(SourceEnergy!$G$20:$G$271,SourceEnergy!$Q$20:$Q$271,T$12,$M$20:$M$271,$R37),0)</f>
        <v>49.205498566593462</v>
      </c>
      <c r="U37" s="214">
        <f>IFERROR(SUMIFS(SourceEnergy!$E$20:$E$271,SourceEnergy!$Q$20:$Q$271,U$12,$M$20:$M$271,$R37)/SUMIFS(SourceEnergy!$H$20:$H$271,SourceEnergy!$Q$20:$Q$271,U$12,$M$20:$M$271,$R37),0)</f>
        <v>40.678317041131152</v>
      </c>
      <c r="V37" s="214">
        <f>IFERROR(SUMIFS(SourceEnergy!$E$20:$E$271,SourceEnergy!$Q$20:$Q$271,V$12,$M$20:$M$271,$R37)/SUMIFS(SourceEnergy!$H$20:$H$271,SourceEnergy!$Q$20:$Q$271,V$12,$M$20:$M$271,$R37),0)</f>
        <v>42.119603300841774</v>
      </c>
    </row>
    <row r="38" spans="2:22" outlineLevel="1" x14ac:dyDescent="0.25">
      <c r="B38" s="67">
        <f t="shared" si="22"/>
        <v>43647</v>
      </c>
      <c r="C38" s="61">
        <f>'[1]Table 5'!E38*P38</f>
        <v>62006.697332590818</v>
      </c>
      <c r="D38" s="62">
        <f>IFERROR(G38*'MWH-Split'!S24*'MWH-Split'!U24,"")</f>
        <v>53241.111564186845</v>
      </c>
      <c r="E38" s="63">
        <f>IFERROR(H38*'MWH-Split'!T24*'MWH-Split'!U24,"")</f>
        <v>9784.9048763631454</v>
      </c>
      <c r="F38" s="62">
        <f>'[1]Table 5'!F38*P38</f>
        <v>2936.01</v>
      </c>
      <c r="G38" s="62">
        <f>IF('MWH-Split'!N24&lt;&gt;0,'MWH-Split'!N24*P38,"")</f>
        <v>2353.364</v>
      </c>
      <c r="H38" s="63">
        <f>IF('MWH-Split'!O24&lt;&gt;0,'MWH-Split'!O24*P38,"")</f>
        <v>582.64599999999996</v>
      </c>
      <c r="I38" s="64">
        <f t="shared" si="28"/>
        <v>21.12</v>
      </c>
      <c r="J38" s="64">
        <f t="shared" si="28"/>
        <v>22.62</v>
      </c>
      <c r="K38" s="65">
        <f t="shared" si="28"/>
        <v>16.79</v>
      </c>
      <c r="M38" s="70">
        <f t="shared" si="24"/>
        <v>2019</v>
      </c>
      <c r="N38" s="67">
        <f t="shared" si="29"/>
        <v>43647</v>
      </c>
      <c r="P38" s="68">
        <f>IF('Monthly Levelized'!$K$5+'Monthly Levelized'!$L$5&lt;&gt;0,IFERROR(VLOOKUP(B38,'Monthly Levelized'!$G$5:$I$25,3,FALSE),P37),1)</f>
        <v>1</v>
      </c>
      <c r="Q38" s="213" t="str">
        <f t="shared" si="26"/>
        <v>Summer</v>
      </c>
      <c r="R38" s="211">
        <f t="shared" si="27"/>
        <v>2035</v>
      </c>
      <c r="S38" s="214">
        <f>IFERROR(SUMIFS(SourceEnergy!$D$20:$D$271,SourceEnergy!$Q$20:$Q$271,S$12,$M$20:$M$271,$R38)/SUMIFS(SourceEnergy!$G$20:$G$271,SourceEnergy!$Q$20:$Q$271,S$12,$M$20:$M$271,$R38),0)</f>
        <v>83.04411342423505</v>
      </c>
      <c r="T38" s="214">
        <f>IFERROR(SUMIFS(SourceEnergy!$D$20:$D$271,SourceEnergy!$Q$20:$Q$271,T$12,$M$20:$M$271,$R38)/SUMIFS(SourceEnergy!$G$20:$G$271,SourceEnergy!$Q$20:$Q$271,T$12,$M$20:$M$271,$R38),0)</f>
        <v>95.769741526356725</v>
      </c>
      <c r="U38" s="214">
        <f>IFERROR(SUMIFS(SourceEnergy!$E$20:$E$271,SourceEnergy!$Q$20:$Q$271,U$12,$M$20:$M$271,$R38)/SUMIFS(SourceEnergy!$H$20:$H$271,SourceEnergy!$Q$20:$Q$271,U$12,$M$20:$M$271,$R38),0)</f>
        <v>77.414510414440073</v>
      </c>
      <c r="V38" s="214">
        <f>IFERROR(SUMIFS(SourceEnergy!$E$20:$E$271,SourceEnergy!$Q$20:$Q$271,V$12,$M$20:$M$271,$R38)/SUMIFS(SourceEnergy!$H$20:$H$271,SourceEnergy!$Q$20:$Q$271,V$12,$M$20:$M$271,$R38),0)</f>
        <v>81.739627049496576</v>
      </c>
    </row>
    <row r="39" spans="2:22" outlineLevel="1" x14ac:dyDescent="0.25">
      <c r="B39" s="67">
        <f t="shared" si="22"/>
        <v>43678</v>
      </c>
      <c r="C39" s="61">
        <f>'[1]Table 5'!E39*P39</f>
        <v>56771.103114694357</v>
      </c>
      <c r="D39" s="62">
        <f>IFERROR(G39*'MWH-Split'!S25*'MWH-Split'!U25,"")</f>
        <v>54529.554599893607</v>
      </c>
      <c r="E39" s="63">
        <f>IFERROR(H39*'MWH-Split'!T25*'MWH-Split'!U25,"")</f>
        <v>7269.5290669308279</v>
      </c>
      <c r="F39" s="62">
        <f>'[1]Table 5'!F39*P39</f>
        <v>2940.8150000000001</v>
      </c>
      <c r="G39" s="62">
        <f>IF('MWH-Split'!N25&lt;&gt;0,'MWH-Split'!N25*P39,"")</f>
        <v>2504.0340000000001</v>
      </c>
      <c r="H39" s="63">
        <f>IF('MWH-Split'!O25&lt;&gt;0,'MWH-Split'!O25*P39,"")</f>
        <v>436.78100000000001</v>
      </c>
      <c r="I39" s="64">
        <f t="shared" si="28"/>
        <v>19.3</v>
      </c>
      <c r="J39" s="64">
        <f t="shared" si="28"/>
        <v>21.78</v>
      </c>
      <c r="K39" s="65">
        <f t="shared" si="28"/>
        <v>16.64</v>
      </c>
      <c r="M39" s="70">
        <f t="shared" si="24"/>
        <v>2019</v>
      </c>
      <c r="N39" s="67">
        <f t="shared" si="29"/>
        <v>43678</v>
      </c>
      <c r="P39" s="68">
        <f>IF('Monthly Levelized'!$K$5+'Monthly Levelized'!$L$5&lt;&gt;0,IFERROR(VLOOKUP(B39,'Monthly Levelized'!$G$5:$I$25,3,FALSE),P38),1)</f>
        <v>1</v>
      </c>
      <c r="Q39" s="213" t="str">
        <f t="shared" si="26"/>
        <v>Summer</v>
      </c>
      <c r="R39" s="211">
        <f t="shared" si="27"/>
        <v>2036</v>
      </c>
      <c r="S39" s="214">
        <f>IFERROR(SUMIFS(SourceEnergy!$D$20:$D$271,SourceEnergy!$Q$20:$Q$271,S$12,$M$20:$M$271,$R39)/SUMIFS(SourceEnergy!$G$20:$G$271,SourceEnergy!$Q$20:$Q$271,S$12,$M$20:$M$271,$R39),0)</f>
        <v>85.166099936320549</v>
      </c>
      <c r="T39" s="214">
        <f>IFERROR(SUMIFS(SourceEnergy!$D$20:$D$271,SourceEnergy!$Q$20:$Q$271,T$12,$M$20:$M$271,$R39)/SUMIFS(SourceEnergy!$G$20:$G$271,SourceEnergy!$Q$20:$Q$271,T$12,$M$20:$M$271,$R39),0)</f>
        <v>98.224338520989988</v>
      </c>
      <c r="U39" s="214">
        <f>IFERROR(SUMIFS(SourceEnergy!$E$20:$E$271,SourceEnergy!$Q$20:$Q$271,U$12,$M$20:$M$271,$R39)/SUMIFS(SourceEnergy!$H$20:$H$271,SourceEnergy!$Q$20:$Q$271,U$12,$M$20:$M$271,$R39),0)</f>
        <v>80.144284878200196</v>
      </c>
      <c r="V39" s="214">
        <f>IFERROR(SUMIFS(SourceEnergy!$E$20:$E$271,SourceEnergy!$Q$20:$Q$271,V$12,$M$20:$M$271,$R39)/SUMIFS(SourceEnergy!$H$20:$H$271,SourceEnergy!$Q$20:$Q$271,V$12,$M$20:$M$271,$R39),0)</f>
        <v>84.079074863374743</v>
      </c>
    </row>
    <row r="40" spans="2:22" outlineLevel="1" x14ac:dyDescent="0.25">
      <c r="B40" s="67">
        <f t="shared" si="22"/>
        <v>43709</v>
      </c>
      <c r="C40" s="61">
        <f>'[1]Table 5'!E40*P40</f>
        <v>41358.362139463425</v>
      </c>
      <c r="D40" s="62">
        <f>IFERROR(G40*'MWH-Split'!S26*'MWH-Split'!U26,"")</f>
        <v>41771.320782223142</v>
      </c>
      <c r="E40" s="63">
        <f>IFERROR(H40*'MWH-Split'!T26*'MWH-Split'!U26,"")</f>
        <v>7844.1041022334412</v>
      </c>
      <c r="F40" s="62">
        <f>'[1]Table 5'!F40*P40</f>
        <v>2592.3000000000002</v>
      </c>
      <c r="G40" s="62">
        <f>IF('MWH-Split'!N26&lt;&gt;0,'MWH-Split'!N26*P40,"")</f>
        <v>2058.2159999999999</v>
      </c>
      <c r="H40" s="63">
        <f>IF('MWH-Split'!O26&lt;&gt;0,'MWH-Split'!O26*P40,"")</f>
        <v>534.08399999999995</v>
      </c>
      <c r="I40" s="64">
        <f t="shared" si="28"/>
        <v>15.95</v>
      </c>
      <c r="J40" s="64">
        <f t="shared" si="28"/>
        <v>20.29</v>
      </c>
      <c r="K40" s="65">
        <f t="shared" si="28"/>
        <v>14.69</v>
      </c>
      <c r="M40" s="70">
        <f t="shared" si="24"/>
        <v>2019</v>
      </c>
      <c r="N40" s="67">
        <f t="shared" si="29"/>
        <v>43709</v>
      </c>
      <c r="P40" s="68">
        <f>IF('Monthly Levelized'!$K$5+'Monthly Levelized'!$L$5&lt;&gt;0,IFERROR(VLOOKUP(B40,'Monthly Levelized'!$G$5:$I$25,3,FALSE),P39),1)</f>
        <v>1</v>
      </c>
      <c r="Q40" s="213" t="str">
        <f t="shared" si="26"/>
        <v>Summer</v>
      </c>
      <c r="R40" s="211">
        <f t="shared" si="27"/>
        <v>2037</v>
      </c>
      <c r="S40" s="214">
        <f>IFERROR(SUMIFS(SourceEnergy!$D$20:$D$271,SourceEnergy!$Q$20:$Q$271,S$12,$M$20:$M$271,$R40)/SUMIFS(SourceEnergy!$G$20:$G$271,SourceEnergy!$Q$20:$Q$271,S$12,$M$20:$M$271,$R40),0)</f>
        <v>88.116839379231294</v>
      </c>
      <c r="T40" s="214">
        <f>IFERROR(SUMIFS(SourceEnergy!$D$20:$D$271,SourceEnergy!$Q$20:$Q$271,T$12,$M$20:$M$271,$R40)/SUMIFS(SourceEnergy!$G$20:$G$271,SourceEnergy!$Q$20:$Q$271,T$12,$M$20:$M$271,$R40),0)</f>
        <v>100.7573983573037</v>
      </c>
      <c r="U40" s="214">
        <f>IFERROR(SUMIFS(SourceEnergy!$E$20:$E$271,SourceEnergy!$Q$20:$Q$271,U$12,$M$20:$M$271,$R40)/SUMIFS(SourceEnergy!$H$20:$H$271,SourceEnergy!$Q$20:$Q$271,U$12,$M$20:$M$271,$R40),0)</f>
        <v>82.794410367161618</v>
      </c>
      <c r="V40" s="214">
        <f>IFERROR(SUMIFS(SourceEnergy!$E$20:$E$271,SourceEnergy!$Q$20:$Q$271,V$12,$M$20:$M$271,$R40)/SUMIFS(SourceEnergy!$H$20:$H$271,SourceEnergy!$Q$20:$Q$271,V$12,$M$20:$M$271,$R40),0)</f>
        <v>86.846335447140476</v>
      </c>
    </row>
    <row r="41" spans="2:22" outlineLevel="1" x14ac:dyDescent="0.25">
      <c r="B41" s="67">
        <f t="shared" si="22"/>
        <v>43739</v>
      </c>
      <c r="C41" s="61">
        <f>'[1]Table 5'!E41*P41</f>
        <v>34902.083408266306</v>
      </c>
      <c r="D41" s="62">
        <f>IFERROR(G41*'MWH-Split'!S27*'MWH-Split'!U27,"")</f>
        <v>32200.754856259628</v>
      </c>
      <c r="E41" s="63">
        <f>IFERROR(H41*'MWH-Split'!T27*'MWH-Split'!U27,"")</f>
        <v>4284.2202212817492</v>
      </c>
      <c r="F41" s="62">
        <f>'[1]Table 5'!F41*P41</f>
        <v>2101.614</v>
      </c>
      <c r="G41" s="62">
        <f>IF('MWH-Split'!N27&lt;&gt;0,'MWH-Split'!N27*P41,"")</f>
        <v>1830.0060000000001</v>
      </c>
      <c r="H41" s="63">
        <f>IF('MWH-Split'!O27&lt;&gt;0,'MWH-Split'!O27*P41,"")</f>
        <v>271.608</v>
      </c>
      <c r="I41" s="64">
        <f t="shared" si="28"/>
        <v>16.61</v>
      </c>
      <c r="J41" s="64">
        <f t="shared" si="28"/>
        <v>17.600000000000001</v>
      </c>
      <c r="K41" s="65">
        <f t="shared" si="28"/>
        <v>15.77</v>
      </c>
      <c r="M41" s="70">
        <f t="shared" si="24"/>
        <v>2019</v>
      </c>
      <c r="N41" s="67">
        <f t="shared" si="29"/>
        <v>43739</v>
      </c>
      <c r="P41" s="68">
        <f>IF('Monthly Levelized'!$K$5+'Monthly Levelized'!$L$5&lt;&gt;0,IFERROR(VLOOKUP(B41,'Monthly Levelized'!$G$5:$I$25,3,FALSE),P40),1)</f>
        <v>1</v>
      </c>
      <c r="Q41" s="213" t="str">
        <f t="shared" si="26"/>
        <v>Winter</v>
      </c>
      <c r="S41" s="214"/>
      <c r="T41" s="214"/>
      <c r="U41" s="214"/>
      <c r="V41" s="214"/>
    </row>
    <row r="42" spans="2:22" outlineLevel="1" x14ac:dyDescent="0.25">
      <c r="B42" s="67">
        <f t="shared" si="22"/>
        <v>43770</v>
      </c>
      <c r="C42" s="61">
        <f>'[1]Table 5'!E42*P42</f>
        <v>23635.132224798203</v>
      </c>
      <c r="D42" s="62">
        <f>IFERROR(G42*'MWH-Split'!S28*'MWH-Split'!U28,"")</f>
        <v>20561.580291066657</v>
      </c>
      <c r="E42" s="63">
        <f>IFERROR(H42*'MWH-Split'!T28*'MWH-Split'!U28,"")</f>
        <v>3614.8584705262347</v>
      </c>
      <c r="F42" s="62">
        <f>'[1]Table 5'!F42*P42</f>
        <v>1415.55</v>
      </c>
      <c r="G42" s="62">
        <f>IF('MWH-Split'!N28&lt;&gt;0,'MWH-Split'!N28*P42,"")</f>
        <v>1179.625</v>
      </c>
      <c r="H42" s="63">
        <f>IF('MWH-Split'!O28&lt;&gt;0,'MWH-Split'!O28*P42,"")</f>
        <v>235.92500000000001</v>
      </c>
      <c r="I42" s="64">
        <f t="shared" si="28"/>
        <v>16.7</v>
      </c>
      <c r="J42" s="64">
        <f t="shared" si="28"/>
        <v>17.43</v>
      </c>
      <c r="K42" s="65">
        <f t="shared" si="28"/>
        <v>15.32</v>
      </c>
      <c r="M42" s="70">
        <f t="shared" si="24"/>
        <v>2019</v>
      </c>
      <c r="N42" s="67">
        <f t="shared" si="29"/>
        <v>43770</v>
      </c>
      <c r="P42" s="68">
        <f>IF('Monthly Levelized'!$K$5+'Monthly Levelized'!$L$5&lt;&gt;0,IFERROR(VLOOKUP(B42,'Monthly Levelized'!$G$5:$I$25,3,FALSE),P41),1)</f>
        <v>1</v>
      </c>
      <c r="Q42" s="213" t="str">
        <f t="shared" si="26"/>
        <v>Winter</v>
      </c>
      <c r="S42" s="214"/>
      <c r="T42" s="214"/>
      <c r="U42" s="214"/>
      <c r="V42" s="214"/>
    </row>
    <row r="43" spans="2:22" outlineLevel="1" x14ac:dyDescent="0.25">
      <c r="B43" s="78">
        <f t="shared" si="22"/>
        <v>43800</v>
      </c>
      <c r="C43" s="72">
        <f>'[1]Table 5'!E43*P43</f>
        <v>18808.073759704828</v>
      </c>
      <c r="D43" s="73">
        <f>IFERROR(G43*'MWH-Split'!S29*'MWH-Split'!U29,"")</f>
        <v>16515.369894224161</v>
      </c>
      <c r="E43" s="74">
        <f>IFERROR(H43*'MWH-Split'!T29*'MWH-Split'!U29,"")</f>
        <v>3620.0991744863413</v>
      </c>
      <c r="F43" s="73">
        <f>'[1]Table 5'!F43*P43</f>
        <v>1092.0060000000001</v>
      </c>
      <c r="G43" s="73">
        <f>IF('MWH-Split'!N29&lt;&gt;0,'MWH-Split'!N29*P43,"")</f>
        <v>880.65</v>
      </c>
      <c r="H43" s="74">
        <f>IF('MWH-Split'!O29&lt;&gt;0,'MWH-Split'!O29*P43,"")</f>
        <v>211.35599999999999</v>
      </c>
      <c r="I43" s="75">
        <f t="shared" si="28"/>
        <v>17.22</v>
      </c>
      <c r="J43" s="75">
        <f t="shared" si="28"/>
        <v>18.75</v>
      </c>
      <c r="K43" s="76">
        <f t="shared" si="28"/>
        <v>17.13</v>
      </c>
      <c r="M43" s="77">
        <f t="shared" si="24"/>
        <v>2019</v>
      </c>
      <c r="N43" s="78">
        <f t="shared" si="29"/>
        <v>43800</v>
      </c>
      <c r="P43" s="79">
        <f>IF('Monthly Levelized'!$K$5+'Monthly Levelized'!$L$5&lt;&gt;0,IFERROR(VLOOKUP(B43,'Monthly Levelized'!$G$5:$I$25,3,FALSE),P42),1)</f>
        <v>1</v>
      </c>
      <c r="Q43" s="213" t="str">
        <f t="shared" si="26"/>
        <v>Winter</v>
      </c>
      <c r="S43" s="214"/>
      <c r="T43" s="214"/>
      <c r="U43" s="214"/>
      <c r="V43" s="214"/>
    </row>
    <row r="44" spans="2:22" outlineLevel="1" x14ac:dyDescent="0.25">
      <c r="B44" s="80">
        <f t="shared" si="22"/>
        <v>43831</v>
      </c>
      <c r="C44" s="81">
        <f>'[1]Table 5'!E44*P44</f>
        <v>21628.717617094517</v>
      </c>
      <c r="D44" s="82">
        <f>IFERROR(G44*'MWH-Split'!S30*'MWH-Split'!U30,"")</f>
        <v>17123.615422533701</v>
      </c>
      <c r="E44" s="83">
        <f>IFERROR(H44*'MWH-Split'!T30*'MWH-Split'!U30,"")</f>
        <v>2943.9516897004351</v>
      </c>
      <c r="F44" s="82">
        <f>'[1]Table 5'!F44*P44</f>
        <v>1303.6120000000001</v>
      </c>
      <c r="G44" s="82">
        <f>IF('MWH-Split'!N30&lt;&gt;0,'MWH-Split'!N30*P44,"")</f>
        <v>1093.3520000000001</v>
      </c>
      <c r="H44" s="83">
        <f>IF('MWH-Split'!O30&lt;&gt;0,'MWH-Split'!O30*P44,"")</f>
        <v>210.26</v>
      </c>
      <c r="I44" s="84">
        <f t="shared" si="28"/>
        <v>16.59</v>
      </c>
      <c r="J44" s="84">
        <f t="shared" si="28"/>
        <v>15.66</v>
      </c>
      <c r="K44" s="85">
        <f t="shared" si="28"/>
        <v>14</v>
      </c>
      <c r="M44" s="66">
        <f t="shared" si="24"/>
        <v>2020</v>
      </c>
      <c r="N44" s="67">
        <f t="shared" si="29"/>
        <v>43831</v>
      </c>
      <c r="P44" s="86">
        <f>IF('Monthly Levelized'!$K$5+'Monthly Levelized'!$L$5&lt;&gt;0,IFERROR(VLOOKUP(B44,'Monthly Levelized'!$G$5:$I$25,3,FALSE),P43),1)</f>
        <v>1</v>
      </c>
      <c r="Q44" s="213" t="str">
        <f t="shared" si="26"/>
        <v>Winter</v>
      </c>
      <c r="S44" s="214"/>
      <c r="T44" s="214"/>
      <c r="U44" s="214"/>
      <c r="V44" s="214"/>
    </row>
    <row r="45" spans="2:22" outlineLevel="1" x14ac:dyDescent="0.25">
      <c r="B45" s="67">
        <f t="shared" si="22"/>
        <v>43862</v>
      </c>
      <c r="C45" s="61">
        <f>'[1]Table 5'!E45*P45</f>
        <v>24483.903955176473</v>
      </c>
      <c r="D45" s="62">
        <f>IFERROR(G45*'MWH-Split'!S31*'MWH-Split'!U31,"")</f>
        <v>20028.86797829605</v>
      </c>
      <c r="E45" s="63">
        <f>IFERROR(H45*'MWH-Split'!T31*'MWH-Split'!U31,"")</f>
        <v>2834.8509672447599</v>
      </c>
      <c r="F45" s="62">
        <f>'[1]Table 5'!F45*P45</f>
        <v>1511.0740000000001</v>
      </c>
      <c r="G45" s="62">
        <f>IF('MWH-Split'!N31&lt;&gt;0,'MWH-Split'!N31*P45,"")</f>
        <v>1302.6500000000001</v>
      </c>
      <c r="H45" s="63">
        <f>IF('MWH-Split'!O31&lt;&gt;0,'MWH-Split'!O31*P45,"")</f>
        <v>208.42400000000001</v>
      </c>
      <c r="I45" s="64">
        <f t="shared" si="28"/>
        <v>16.2</v>
      </c>
      <c r="J45" s="64">
        <f t="shared" si="28"/>
        <v>15.38</v>
      </c>
      <c r="K45" s="65">
        <f t="shared" si="28"/>
        <v>13.6</v>
      </c>
      <c r="M45" s="70">
        <f t="shared" si="24"/>
        <v>2020</v>
      </c>
      <c r="N45" s="67">
        <f t="shared" si="29"/>
        <v>43862</v>
      </c>
      <c r="P45" s="68">
        <f>IF('Monthly Levelized'!$K$5+'Monthly Levelized'!$L$5&lt;&gt;0,IFERROR(VLOOKUP(B45,'Monthly Levelized'!$G$5:$I$25,3,FALSE),P44),1)</f>
        <v>1</v>
      </c>
      <c r="Q45" s="213" t="str">
        <f t="shared" si="26"/>
        <v>Winter</v>
      </c>
      <c r="S45" s="214"/>
      <c r="T45" s="214"/>
      <c r="U45" s="214"/>
      <c r="V45" s="214"/>
    </row>
    <row r="46" spans="2:22" outlineLevel="1" x14ac:dyDescent="0.25">
      <c r="B46" s="67">
        <f t="shared" si="22"/>
        <v>43891</v>
      </c>
      <c r="C46" s="61">
        <f>'[1]Table 5'!E46*P46</f>
        <v>36452.397503882647</v>
      </c>
      <c r="D46" s="62">
        <f>IFERROR(G46*'MWH-Split'!S32*'MWH-Split'!U32,"")</f>
        <v>27110.145002775</v>
      </c>
      <c r="E46" s="63">
        <f>IFERROR(H46*'MWH-Split'!T32*'MWH-Split'!U32,"")</f>
        <v>4700.7417851478085</v>
      </c>
      <c r="F46" s="62">
        <f>'[1]Table 5'!F46*P46</f>
        <v>2272.2069999999999</v>
      </c>
      <c r="G46" s="62">
        <f>IF('MWH-Split'!N32&lt;&gt;0,'MWH-Split'!N32*P46,"")</f>
        <v>1904.9939999999999</v>
      </c>
      <c r="H46" s="63">
        <f>IF('MWH-Split'!O32&lt;&gt;0,'MWH-Split'!O32*P46,"")</f>
        <v>367.21300000000002</v>
      </c>
      <c r="I46" s="64">
        <f t="shared" si="28"/>
        <v>16.04</v>
      </c>
      <c r="J46" s="64">
        <f t="shared" si="28"/>
        <v>14.23</v>
      </c>
      <c r="K46" s="65">
        <f t="shared" si="28"/>
        <v>12.8</v>
      </c>
      <c r="M46" s="70">
        <f t="shared" si="24"/>
        <v>2020</v>
      </c>
      <c r="N46" s="67">
        <f t="shared" si="29"/>
        <v>43891</v>
      </c>
      <c r="P46" s="68">
        <f>IF('Monthly Levelized'!$K$5+'Monthly Levelized'!$L$5&lt;&gt;0,IFERROR(VLOOKUP(B46,'Monthly Levelized'!$G$5:$I$25,3,FALSE),P45),1)</f>
        <v>1</v>
      </c>
      <c r="Q46" s="213" t="str">
        <f t="shared" si="26"/>
        <v>Winter</v>
      </c>
      <c r="S46" s="214"/>
      <c r="T46" s="214"/>
      <c r="U46" s="214"/>
      <c r="V46" s="214"/>
    </row>
    <row r="47" spans="2:22" outlineLevel="1" x14ac:dyDescent="0.25">
      <c r="B47" s="67">
        <f t="shared" si="22"/>
        <v>43922</v>
      </c>
      <c r="C47" s="61">
        <f>'[1]Table 5'!E47*P47</f>
        <v>35928.203947514296</v>
      </c>
      <c r="D47" s="62">
        <f>IFERROR(G47*'MWH-Split'!S33*'MWH-Split'!U33,"")</f>
        <v>27402.173253834408</v>
      </c>
      <c r="E47" s="63">
        <f>IFERROR(H47*'MWH-Split'!T33*'MWH-Split'!U33,"")</f>
        <v>3657.2030614582382</v>
      </c>
      <c r="F47" s="62">
        <f>'[1]Table 5'!F47*P47</f>
        <v>2624.52</v>
      </c>
      <c r="G47" s="62">
        <f>IF('MWH-Split'!N33&lt;&gt;0,'MWH-Split'!N33*P47,"")</f>
        <v>2234.6480000000001</v>
      </c>
      <c r="H47" s="63">
        <f>IF('MWH-Split'!O33&lt;&gt;0,'MWH-Split'!O33*P47,"")</f>
        <v>389.87200000000001</v>
      </c>
      <c r="I47" s="64">
        <f t="shared" ref="I47:K105" si="30">MAX(ROUND(IF(ISNUMBER(F47),C47/F47,""),2),0)</f>
        <v>13.69</v>
      </c>
      <c r="J47" s="64">
        <f t="shared" si="30"/>
        <v>12.26</v>
      </c>
      <c r="K47" s="65">
        <f t="shared" si="30"/>
        <v>9.3800000000000008</v>
      </c>
      <c r="M47" s="70">
        <f t="shared" si="24"/>
        <v>2020</v>
      </c>
      <c r="N47" s="67">
        <f t="shared" si="29"/>
        <v>43922</v>
      </c>
      <c r="P47" s="68">
        <f>IF('Monthly Levelized'!$K$5+'Monthly Levelized'!$L$5&lt;&gt;0,IFERROR(VLOOKUP(B47,'Monthly Levelized'!$G$5:$I$25,3,FALSE),P46),1)</f>
        <v>1</v>
      </c>
      <c r="Q47" s="213" t="str">
        <f t="shared" si="26"/>
        <v>Winter</v>
      </c>
      <c r="S47" s="214"/>
      <c r="T47" s="214"/>
      <c r="U47" s="214"/>
      <c r="V47" s="214"/>
    </row>
    <row r="48" spans="2:22" outlineLevel="1" x14ac:dyDescent="0.25">
      <c r="B48" s="67">
        <f t="shared" si="22"/>
        <v>43952</v>
      </c>
      <c r="C48" s="61">
        <f>'[1]Table 5'!E48*P48</f>
        <v>36493.540977045894</v>
      </c>
      <c r="D48" s="62">
        <f>IFERROR(G48*'MWH-Split'!S34*'MWH-Split'!U34,"")</f>
        <v>29360.714362558865</v>
      </c>
      <c r="E48" s="63">
        <f>IFERROR(H48*'MWH-Split'!T34*'MWH-Split'!U34,"")</f>
        <v>5156.6826819129737</v>
      </c>
      <c r="F48" s="62">
        <f>'[1]Table 5'!F48*P48</f>
        <v>3038</v>
      </c>
      <c r="G48" s="62">
        <f>IF('MWH-Split'!N34&lt;&gt;0,'MWH-Split'!N34*P48,"")</f>
        <v>2325.625</v>
      </c>
      <c r="H48" s="63">
        <f>IF('MWH-Split'!O34&lt;&gt;0,'MWH-Split'!O34*P48,"")</f>
        <v>712.375</v>
      </c>
      <c r="I48" s="64">
        <f t="shared" si="30"/>
        <v>12.01</v>
      </c>
      <c r="J48" s="64">
        <f t="shared" si="30"/>
        <v>12.62</v>
      </c>
      <c r="K48" s="65">
        <f t="shared" si="30"/>
        <v>7.24</v>
      </c>
      <c r="M48" s="70">
        <f t="shared" si="24"/>
        <v>2020</v>
      </c>
      <c r="N48" s="67">
        <f t="shared" si="29"/>
        <v>43952</v>
      </c>
      <c r="P48" s="68">
        <f>IF('Monthly Levelized'!$K$5+'Monthly Levelized'!$L$5&lt;&gt;0,IFERROR(VLOOKUP(B48,'Monthly Levelized'!$G$5:$I$25,3,FALSE),P47),1)</f>
        <v>1</v>
      </c>
      <c r="Q48" s="213" t="str">
        <f t="shared" si="26"/>
        <v>Winter</v>
      </c>
      <c r="S48" s="214"/>
      <c r="T48" s="214"/>
      <c r="U48" s="214"/>
      <c r="V48" s="214"/>
    </row>
    <row r="49" spans="2:22" outlineLevel="1" x14ac:dyDescent="0.25">
      <c r="B49" s="67">
        <f t="shared" si="22"/>
        <v>43983</v>
      </c>
      <c r="C49" s="61">
        <f>'[1]Table 5'!E49*P49</f>
        <v>38097.386228576303</v>
      </c>
      <c r="D49" s="62">
        <f>IFERROR(G49*'MWH-Split'!S35*'MWH-Split'!U35,"")</f>
        <v>36155.603904877258</v>
      </c>
      <c r="E49" s="63">
        <f>IFERROR(H49*'MWH-Split'!T35*'MWH-Split'!U35,"")</f>
        <v>4457.4941019986627</v>
      </c>
      <c r="F49" s="62">
        <f>'[1]Table 5'!F49*P49</f>
        <v>3227.55</v>
      </c>
      <c r="G49" s="62">
        <f>IF('MWH-Split'!N35&lt;&gt;0,'MWH-Split'!N35*P49,"")</f>
        <v>2636.7379999999998</v>
      </c>
      <c r="H49" s="63">
        <f>IF('MWH-Split'!O35&lt;&gt;0,'MWH-Split'!O35*P49,"")</f>
        <v>590.81200000000001</v>
      </c>
      <c r="I49" s="64">
        <f t="shared" si="30"/>
        <v>11.8</v>
      </c>
      <c r="J49" s="64">
        <f t="shared" si="30"/>
        <v>13.71</v>
      </c>
      <c r="K49" s="65">
        <f t="shared" si="30"/>
        <v>7.54</v>
      </c>
      <c r="M49" s="70">
        <f t="shared" si="24"/>
        <v>2020</v>
      </c>
      <c r="N49" s="67">
        <f t="shared" si="29"/>
        <v>43983</v>
      </c>
      <c r="P49" s="68">
        <f>IF('Monthly Levelized'!$K$5+'Monthly Levelized'!$L$5&lt;&gt;0,IFERROR(VLOOKUP(B49,'Monthly Levelized'!$G$5:$I$25,3,FALSE),P48),1)</f>
        <v>1</v>
      </c>
      <c r="Q49" s="213" t="str">
        <f t="shared" si="26"/>
        <v>Summer</v>
      </c>
      <c r="S49" s="214"/>
      <c r="T49" s="214"/>
      <c r="U49" s="214"/>
      <c r="V49" s="214"/>
    </row>
    <row r="50" spans="2:22" outlineLevel="1" x14ac:dyDescent="0.25">
      <c r="B50" s="67">
        <f t="shared" si="22"/>
        <v>44013</v>
      </c>
      <c r="C50" s="61">
        <f>'[1]Table 5'!E50*P50</f>
        <v>40759.368767231703</v>
      </c>
      <c r="D50" s="62">
        <f>IFERROR(G50*'MWH-Split'!S36*'MWH-Split'!U36,"")</f>
        <v>43171.275672331518</v>
      </c>
      <c r="E50" s="63">
        <f>IFERROR(H50*'MWH-Split'!T36*'MWH-Split'!U36,"")</f>
        <v>6985.3274749736893</v>
      </c>
      <c r="F50" s="62">
        <f>'[1]Table 5'!F50*P50</f>
        <v>2921.3159999999998</v>
      </c>
      <c r="G50" s="62">
        <f>IF('MWH-Split'!N36&lt;&gt;0,'MWH-Split'!N36*P50,"")</f>
        <v>2341.5859999999998</v>
      </c>
      <c r="H50" s="63">
        <f>IF('MWH-Split'!O36&lt;&gt;0,'MWH-Split'!O36*P50,"")</f>
        <v>579.73</v>
      </c>
      <c r="I50" s="64">
        <f t="shared" si="30"/>
        <v>13.95</v>
      </c>
      <c r="J50" s="64">
        <f t="shared" si="30"/>
        <v>18.440000000000001</v>
      </c>
      <c r="K50" s="65">
        <f t="shared" si="30"/>
        <v>12.05</v>
      </c>
      <c r="M50" s="70">
        <f t="shared" si="24"/>
        <v>2020</v>
      </c>
      <c r="N50" s="67">
        <f t="shared" si="29"/>
        <v>44013</v>
      </c>
      <c r="P50" s="68">
        <f>IF('Monthly Levelized'!$K$5+'Monthly Levelized'!$L$5&lt;&gt;0,IFERROR(VLOOKUP(B50,'Monthly Levelized'!$G$5:$I$25,3,FALSE),P49),1)</f>
        <v>1</v>
      </c>
      <c r="Q50" s="213" t="str">
        <f t="shared" si="26"/>
        <v>Summer</v>
      </c>
      <c r="S50" s="214"/>
      <c r="T50" s="214"/>
      <c r="U50" s="214"/>
      <c r="V50" s="214"/>
    </row>
    <row r="51" spans="2:22" outlineLevel="1" x14ac:dyDescent="0.25">
      <c r="B51" s="67">
        <f t="shared" si="22"/>
        <v>44044</v>
      </c>
      <c r="C51" s="61">
        <f>'[1]Table 5'!E51*P51</f>
        <v>40873.106484770775</v>
      </c>
      <c r="D51" s="62">
        <f>IFERROR(G51*'MWH-Split'!S37*'MWH-Split'!U37,"")</f>
        <v>42627.779999202474</v>
      </c>
      <c r="E51" s="63">
        <f>IFERROR(H51*'MWH-Split'!T37*'MWH-Split'!U37,"")</f>
        <v>6285.6154713193491</v>
      </c>
      <c r="F51" s="62">
        <f>'[1]Table 5'!F51*P51</f>
        <v>2926.09</v>
      </c>
      <c r="G51" s="62">
        <f>IF('MWH-Split'!N37&lt;&gt;0,'MWH-Split'!N37*P51,"")</f>
        <v>2399.2280000000001</v>
      </c>
      <c r="H51" s="63">
        <f>IF('MWH-Split'!O37&lt;&gt;0,'MWH-Split'!O37*P51,"")</f>
        <v>526.86199999999997</v>
      </c>
      <c r="I51" s="64">
        <f t="shared" si="30"/>
        <v>13.97</v>
      </c>
      <c r="J51" s="64">
        <f t="shared" si="30"/>
        <v>17.77</v>
      </c>
      <c r="K51" s="65">
        <f t="shared" si="30"/>
        <v>11.93</v>
      </c>
      <c r="M51" s="70">
        <f t="shared" si="24"/>
        <v>2020</v>
      </c>
      <c r="N51" s="67">
        <f t="shared" si="29"/>
        <v>44044</v>
      </c>
      <c r="P51" s="68">
        <f>IF('Monthly Levelized'!$K$5+'Monthly Levelized'!$L$5&lt;&gt;0,IFERROR(VLOOKUP(B51,'Monthly Levelized'!$G$5:$I$25,3,FALSE),P50),1)</f>
        <v>1</v>
      </c>
      <c r="Q51" s="213" t="str">
        <f t="shared" si="26"/>
        <v>Summer</v>
      </c>
      <c r="S51" s="214"/>
      <c r="T51" s="214"/>
      <c r="U51" s="214"/>
      <c r="V51" s="214"/>
    </row>
    <row r="52" spans="2:22" outlineLevel="1" x14ac:dyDescent="0.25">
      <c r="B52" s="67">
        <f t="shared" si="22"/>
        <v>44075</v>
      </c>
      <c r="C52" s="61">
        <f>'[1]Table 5'!E52*P52</f>
        <v>38937.372795984149</v>
      </c>
      <c r="D52" s="62">
        <f>IFERROR(G52*'MWH-Split'!S38*'MWH-Split'!U38,"")</f>
        <v>35402.788786460427</v>
      </c>
      <c r="E52" s="63">
        <f>IFERROR(H52*'MWH-Split'!T38*'MWH-Split'!U38,"")</f>
        <v>4631.632923635384</v>
      </c>
      <c r="F52" s="62">
        <f>'[1]Table 5'!F52*P52</f>
        <v>2579.31</v>
      </c>
      <c r="G52" s="62">
        <f>IF('MWH-Split'!N38&lt;&gt;0,'MWH-Split'!N38*P52,"")</f>
        <v>2133.25</v>
      </c>
      <c r="H52" s="63">
        <f>IF('MWH-Split'!O38&lt;&gt;0,'MWH-Split'!O38*P52,"")</f>
        <v>446.06</v>
      </c>
      <c r="I52" s="64">
        <f t="shared" si="30"/>
        <v>15.1</v>
      </c>
      <c r="J52" s="64">
        <f t="shared" si="30"/>
        <v>16.600000000000001</v>
      </c>
      <c r="K52" s="65">
        <f t="shared" si="30"/>
        <v>10.38</v>
      </c>
      <c r="M52" s="70">
        <f t="shared" si="24"/>
        <v>2020</v>
      </c>
      <c r="N52" s="67">
        <f t="shared" si="29"/>
        <v>44075</v>
      </c>
      <c r="P52" s="68">
        <f>IF('Monthly Levelized'!$K$5+'Monthly Levelized'!$L$5&lt;&gt;0,IFERROR(VLOOKUP(B52,'Monthly Levelized'!$G$5:$I$25,3,FALSE),P51),1)</f>
        <v>1</v>
      </c>
      <c r="Q52" s="213" t="str">
        <f t="shared" si="26"/>
        <v>Summer</v>
      </c>
      <c r="S52" s="214"/>
      <c r="T52" s="214"/>
      <c r="U52" s="214"/>
      <c r="V52" s="214"/>
    </row>
    <row r="53" spans="2:22" outlineLevel="1" x14ac:dyDescent="0.25">
      <c r="B53" s="67">
        <f t="shared" si="22"/>
        <v>44105</v>
      </c>
      <c r="C53" s="61">
        <f>'[1]Table 5'!E53*P53</f>
        <v>31406.426035925746</v>
      </c>
      <c r="D53" s="62">
        <f>IFERROR(G53*'MWH-Split'!S39*'MWH-Split'!U39,"")</f>
        <v>25666.446374998726</v>
      </c>
      <c r="E53" s="63">
        <f>IFERROR(H53*'MWH-Split'!T39*'MWH-Split'!U39,"")</f>
        <v>3469.4771270291831</v>
      </c>
      <c r="F53" s="62">
        <f>'[1]Table 5'!F53*P53</f>
        <v>2091.136</v>
      </c>
      <c r="G53" s="62">
        <f>IF('MWH-Split'!N39&lt;&gt;0,'MWH-Split'!N39*P53,"")</f>
        <v>1820.88</v>
      </c>
      <c r="H53" s="63">
        <f>IF('MWH-Split'!O39&lt;&gt;0,'MWH-Split'!O39*P53,"")</f>
        <v>270.25599999999997</v>
      </c>
      <c r="I53" s="64">
        <f t="shared" si="30"/>
        <v>15.02</v>
      </c>
      <c r="J53" s="64">
        <f t="shared" si="30"/>
        <v>14.1</v>
      </c>
      <c r="K53" s="65">
        <f t="shared" si="30"/>
        <v>12.84</v>
      </c>
      <c r="M53" s="70">
        <f t="shared" si="24"/>
        <v>2020</v>
      </c>
      <c r="N53" s="67">
        <f t="shared" si="29"/>
        <v>44105</v>
      </c>
      <c r="P53" s="68">
        <f>IF('Monthly Levelized'!$K$5+'Monthly Levelized'!$L$5&lt;&gt;0,IFERROR(VLOOKUP(B53,'Monthly Levelized'!$G$5:$I$25,3,FALSE),P52),1)</f>
        <v>1</v>
      </c>
      <c r="Q53" s="213" t="str">
        <f t="shared" si="26"/>
        <v>Winter</v>
      </c>
      <c r="S53" s="214"/>
      <c r="T53" s="214"/>
      <c r="U53" s="214"/>
      <c r="V53" s="214"/>
    </row>
    <row r="54" spans="2:22" outlineLevel="1" x14ac:dyDescent="0.25">
      <c r="B54" s="67">
        <f t="shared" si="22"/>
        <v>44136</v>
      </c>
      <c r="C54" s="61">
        <f>'[1]Table 5'!E54*P54</f>
        <v>22230.194907143712</v>
      </c>
      <c r="D54" s="62">
        <f>IFERROR(G54*'MWH-Split'!S40*'MWH-Split'!U40,"")</f>
        <v>15734.945632194729</v>
      </c>
      <c r="E54" s="63">
        <f>IFERROR(H54*'MWH-Split'!T40*'MWH-Split'!U40,"")</f>
        <v>3515.6848328487522</v>
      </c>
      <c r="F54" s="62">
        <f>'[1]Table 5'!F54*P54</f>
        <v>1408.44</v>
      </c>
      <c r="G54" s="62">
        <f>IF('MWH-Split'!N40&lt;&gt;0,'MWH-Split'!N40*P54,"")</f>
        <v>1126.752</v>
      </c>
      <c r="H54" s="63">
        <f>IF('MWH-Split'!O40&lt;&gt;0,'MWH-Split'!O40*P54,"")</f>
        <v>281.68799999999999</v>
      </c>
      <c r="I54" s="64">
        <f t="shared" si="30"/>
        <v>15.78</v>
      </c>
      <c r="J54" s="64">
        <f t="shared" si="30"/>
        <v>13.96</v>
      </c>
      <c r="K54" s="65">
        <f t="shared" si="30"/>
        <v>12.48</v>
      </c>
      <c r="M54" s="70">
        <f t="shared" si="24"/>
        <v>2020</v>
      </c>
      <c r="N54" s="67">
        <f t="shared" si="29"/>
        <v>44136</v>
      </c>
      <c r="P54" s="68">
        <f>IF('Monthly Levelized'!$K$5+'Monthly Levelized'!$L$5&lt;&gt;0,IFERROR(VLOOKUP(B54,'Monthly Levelized'!$G$5:$I$25,3,FALSE),P53),1)</f>
        <v>1</v>
      </c>
      <c r="Q54" s="213" t="str">
        <f t="shared" si="26"/>
        <v>Winter</v>
      </c>
      <c r="S54" s="214"/>
      <c r="T54" s="214"/>
      <c r="U54" s="214"/>
      <c r="V54" s="214"/>
    </row>
    <row r="55" spans="2:22" outlineLevel="1" x14ac:dyDescent="0.25">
      <c r="B55" s="78">
        <f t="shared" si="22"/>
        <v>44166</v>
      </c>
      <c r="C55" s="72">
        <f>'[1]Table 5'!E55*P55</f>
        <v>17249.807878673077</v>
      </c>
      <c r="D55" s="73">
        <f>IFERROR(G55*'MWH-Split'!S41*'MWH-Split'!U41,"")</f>
        <v>13679.849050791847</v>
      </c>
      <c r="E55" s="74">
        <f>IFERROR(H55*'MWH-Split'!T41*'MWH-Split'!U41,"")</f>
        <v>2437.5595408950835</v>
      </c>
      <c r="F55" s="73">
        <f>'[1]Table 5'!F55*P55</f>
        <v>1086.5809999999999</v>
      </c>
      <c r="G55" s="73">
        <f>IF('MWH-Split'!N41&lt;&gt;0,'MWH-Split'!N41*P55,"")</f>
        <v>911.32600000000002</v>
      </c>
      <c r="H55" s="74">
        <f>IF('MWH-Split'!O41&lt;&gt;0,'MWH-Split'!O41*P55,"")</f>
        <v>175.255</v>
      </c>
      <c r="I55" s="75">
        <f t="shared" si="30"/>
        <v>15.88</v>
      </c>
      <c r="J55" s="75">
        <f t="shared" si="30"/>
        <v>15.01</v>
      </c>
      <c r="K55" s="76">
        <f t="shared" si="30"/>
        <v>13.91</v>
      </c>
      <c r="M55" s="77">
        <f t="shared" si="24"/>
        <v>2020</v>
      </c>
      <c r="N55" s="78">
        <f t="shared" si="29"/>
        <v>44166</v>
      </c>
      <c r="P55" s="79">
        <f>IF('Monthly Levelized'!$K$5+'Monthly Levelized'!$L$5&lt;&gt;0,IFERROR(VLOOKUP(B55,'Monthly Levelized'!$G$5:$I$25,3,FALSE),P54),1)</f>
        <v>1</v>
      </c>
      <c r="Q55" s="213" t="str">
        <f t="shared" si="26"/>
        <v>Winter</v>
      </c>
      <c r="S55" s="214"/>
      <c r="T55" s="214"/>
      <c r="U55" s="214"/>
      <c r="V55" s="214"/>
    </row>
    <row r="56" spans="2:22" outlineLevel="1" x14ac:dyDescent="0.25">
      <c r="B56" s="80">
        <f t="shared" si="22"/>
        <v>44197</v>
      </c>
      <c r="C56" s="81">
        <f>'[1]Table 5'!E56*P56</f>
        <v>21523.162186309695</v>
      </c>
      <c r="D56" s="82">
        <f>IFERROR(G56*'MWH-Split'!S42*'MWH-Split'!U42,"")</f>
        <v>17477.010138489644</v>
      </c>
      <c r="E56" s="83">
        <f>IFERROR(H56*'MWH-Split'!T42*'MWH-Split'!U42,"")</f>
        <v>3869.5822792729296</v>
      </c>
      <c r="F56" s="82">
        <f>'[1]Table 5'!F56*P56</f>
        <v>1297.133</v>
      </c>
      <c r="G56" s="82">
        <f>IF('MWH-Split'!N42&lt;&gt;0,'MWH-Split'!N42*P56,"")</f>
        <v>1046.075</v>
      </c>
      <c r="H56" s="83">
        <f>IF('MWH-Split'!O42&lt;&gt;0,'MWH-Split'!O42*P56,"")</f>
        <v>251.05799999999999</v>
      </c>
      <c r="I56" s="84">
        <f t="shared" si="30"/>
        <v>16.59</v>
      </c>
      <c r="J56" s="84">
        <f t="shared" si="30"/>
        <v>16.71</v>
      </c>
      <c r="K56" s="85">
        <f t="shared" si="30"/>
        <v>15.41</v>
      </c>
      <c r="M56" s="66">
        <f t="shared" si="24"/>
        <v>2021</v>
      </c>
      <c r="N56" s="67">
        <f t="shared" si="29"/>
        <v>44197</v>
      </c>
      <c r="P56" s="86">
        <f>IF('Monthly Levelized'!$K$5+'Monthly Levelized'!$L$5&lt;&gt;0,IFERROR(VLOOKUP(B56,'Monthly Levelized'!$G$5:$I$25,3,FALSE),P55),1)</f>
        <v>1</v>
      </c>
      <c r="Q56" s="213" t="str">
        <f t="shared" si="26"/>
        <v>Winter</v>
      </c>
      <c r="S56" s="214"/>
      <c r="T56" s="214"/>
      <c r="U56" s="214"/>
      <c r="V56" s="214"/>
    </row>
    <row r="57" spans="2:22" outlineLevel="1" x14ac:dyDescent="0.25">
      <c r="B57" s="67">
        <f t="shared" si="22"/>
        <v>44228</v>
      </c>
      <c r="C57" s="61">
        <f>'[1]Table 5'!E57*P57</f>
        <v>23334.693979561329</v>
      </c>
      <c r="D57" s="62">
        <f>IFERROR(G57*'MWH-Split'!S43*'MWH-Split'!U43,"")</f>
        <v>20426.277837742884</v>
      </c>
      <c r="E57" s="63">
        <f>IFERROR(H57*'MWH-Split'!T43*'MWH-Split'!U43,"")</f>
        <v>3111.8512300916282</v>
      </c>
      <c r="F57" s="62">
        <f>'[1]Table 5'!F57*P57</f>
        <v>1451.7439999999999</v>
      </c>
      <c r="G57" s="62">
        <f>IF('MWH-Split'!N43&lt;&gt;0,'MWH-Split'!N43*P57,"")</f>
        <v>1244.3520000000001</v>
      </c>
      <c r="H57" s="63">
        <f>IF('MWH-Split'!O43&lt;&gt;0,'MWH-Split'!O43*P57,"")</f>
        <v>207.392</v>
      </c>
      <c r="I57" s="64">
        <f t="shared" si="30"/>
        <v>16.07</v>
      </c>
      <c r="J57" s="64">
        <f t="shared" si="30"/>
        <v>16.420000000000002</v>
      </c>
      <c r="K57" s="65">
        <f t="shared" si="30"/>
        <v>15</v>
      </c>
      <c r="M57" s="70">
        <f t="shared" si="24"/>
        <v>2021</v>
      </c>
      <c r="N57" s="67">
        <f t="shared" si="29"/>
        <v>44228</v>
      </c>
      <c r="P57" s="68">
        <f>IF('Monthly Levelized'!$K$5+'Monthly Levelized'!$L$5&lt;&gt;0,IFERROR(VLOOKUP(B57,'Monthly Levelized'!$G$5:$I$25,3,FALSE),P56),1)</f>
        <v>1</v>
      </c>
      <c r="Q57" s="213" t="str">
        <f t="shared" si="26"/>
        <v>Winter</v>
      </c>
      <c r="S57" s="214"/>
      <c r="T57" s="214"/>
      <c r="U57" s="214"/>
      <c r="V57" s="214"/>
    </row>
    <row r="58" spans="2:22" outlineLevel="1" x14ac:dyDescent="0.25">
      <c r="B58" s="67">
        <f t="shared" si="22"/>
        <v>44256</v>
      </c>
      <c r="C58" s="61">
        <f>'[1]Table 5'!E58*P58</f>
        <v>38704.974363431334</v>
      </c>
      <c r="D58" s="62">
        <f>IFERROR(G58*'MWH-Split'!S44*'MWH-Split'!U44,"")</f>
        <v>30012.443448615242</v>
      </c>
      <c r="E58" s="63">
        <f>IFERROR(H58*'MWH-Split'!T44*'MWH-Split'!U44,"")</f>
        <v>4149.7183720477196</v>
      </c>
      <c r="F58" s="62">
        <f>'[1]Table 5'!F58*P58</f>
        <v>2260.8919999999998</v>
      </c>
      <c r="G58" s="62">
        <f>IF('MWH-Split'!N44&lt;&gt;0,'MWH-Split'!N44*P58,"")</f>
        <v>1968.4079999999999</v>
      </c>
      <c r="H58" s="63">
        <f>IF('MWH-Split'!O44&lt;&gt;0,'MWH-Split'!O44*P58,"")</f>
        <v>292.48399999999998</v>
      </c>
      <c r="I58" s="64">
        <f t="shared" si="30"/>
        <v>17.12</v>
      </c>
      <c r="J58" s="64">
        <f t="shared" si="30"/>
        <v>15.25</v>
      </c>
      <c r="K58" s="65">
        <f t="shared" si="30"/>
        <v>14.19</v>
      </c>
      <c r="M58" s="70">
        <f t="shared" si="24"/>
        <v>2021</v>
      </c>
      <c r="N58" s="67">
        <f t="shared" si="29"/>
        <v>44256</v>
      </c>
      <c r="P58" s="68">
        <f>IF('Monthly Levelized'!$K$5+'Monthly Levelized'!$L$5&lt;&gt;0,IFERROR(VLOOKUP(B58,'Monthly Levelized'!$G$5:$I$25,3,FALSE),P57),1)</f>
        <v>1</v>
      </c>
      <c r="Q58" s="213" t="str">
        <f t="shared" si="26"/>
        <v>Winter</v>
      </c>
      <c r="S58" s="214"/>
      <c r="T58" s="214"/>
      <c r="U58" s="214"/>
      <c r="V58" s="214"/>
    </row>
    <row r="59" spans="2:22" outlineLevel="1" x14ac:dyDescent="0.25">
      <c r="B59" s="67">
        <f t="shared" si="22"/>
        <v>44287</v>
      </c>
      <c r="C59" s="61">
        <f>'[1]Table 5'!E59*P59</f>
        <v>39236.981794148684</v>
      </c>
      <c r="D59" s="62">
        <f>IFERROR(G59*'MWH-Split'!S45*'MWH-Split'!U45,"")</f>
        <v>29433.250930574151</v>
      </c>
      <c r="E59" s="63">
        <f>IFERROR(H59*'MWH-Split'!T45*'MWH-Split'!U45,"")</f>
        <v>4014.5997836027709</v>
      </c>
      <c r="F59" s="62">
        <f>'[1]Table 5'!F59*P59</f>
        <v>2611.38</v>
      </c>
      <c r="G59" s="62">
        <f>IF('MWH-Split'!N45&lt;&gt;0,'MWH-Split'!N45*P59,"")</f>
        <v>2223.4679999999998</v>
      </c>
      <c r="H59" s="63">
        <f>IF('MWH-Split'!O45&lt;&gt;0,'MWH-Split'!O45*P59,"")</f>
        <v>387.91199999999998</v>
      </c>
      <c r="I59" s="64">
        <f t="shared" si="30"/>
        <v>15.03</v>
      </c>
      <c r="J59" s="64">
        <f t="shared" si="30"/>
        <v>13.24</v>
      </c>
      <c r="K59" s="65">
        <f t="shared" si="30"/>
        <v>10.35</v>
      </c>
      <c r="M59" s="70">
        <f t="shared" si="24"/>
        <v>2021</v>
      </c>
      <c r="N59" s="67">
        <f t="shared" si="29"/>
        <v>44287</v>
      </c>
      <c r="P59" s="68">
        <f>IF('Monthly Levelized'!$K$5+'Monthly Levelized'!$L$5&lt;&gt;0,IFERROR(VLOOKUP(B59,'Monthly Levelized'!$G$5:$I$25,3,FALSE),P58),1)</f>
        <v>1</v>
      </c>
      <c r="Q59" s="213" t="str">
        <f t="shared" si="26"/>
        <v>Winter</v>
      </c>
      <c r="S59" s="214"/>
      <c r="T59" s="214"/>
      <c r="U59" s="214"/>
      <c r="V59" s="214"/>
    </row>
    <row r="60" spans="2:22" outlineLevel="1" x14ac:dyDescent="0.25">
      <c r="B60" s="67">
        <f t="shared" si="22"/>
        <v>44317</v>
      </c>
      <c r="C60" s="61">
        <f>'[1]Table 5'!E60*P60</f>
        <v>42143.769606396556</v>
      </c>
      <c r="D60" s="62">
        <f>IFERROR(G60*'MWH-Split'!S46*'MWH-Split'!U46,"")</f>
        <v>31488.142484456457</v>
      </c>
      <c r="E60" s="63">
        <f>IFERROR(H60*'MWH-Split'!T46*'MWH-Split'!U46,"")</f>
        <v>5786.077342095622</v>
      </c>
      <c r="F60" s="62">
        <f>'[1]Table 5'!F60*P60</f>
        <v>3022.8409999999999</v>
      </c>
      <c r="G60" s="62">
        <f>IF('MWH-Split'!N46&lt;&gt;0,'MWH-Split'!N46*P60,"")</f>
        <v>2314.0250000000001</v>
      </c>
      <c r="H60" s="63">
        <f>IF('MWH-Split'!O46&lt;&gt;0,'MWH-Split'!O46*P60,"")</f>
        <v>708.81600000000003</v>
      </c>
      <c r="I60" s="64">
        <f t="shared" si="30"/>
        <v>13.94</v>
      </c>
      <c r="J60" s="64">
        <f t="shared" si="30"/>
        <v>13.61</v>
      </c>
      <c r="K60" s="65">
        <f t="shared" si="30"/>
        <v>8.16</v>
      </c>
      <c r="M60" s="70">
        <f t="shared" si="24"/>
        <v>2021</v>
      </c>
      <c r="N60" s="67">
        <f t="shared" si="29"/>
        <v>44317</v>
      </c>
      <c r="P60" s="68">
        <f>IF('Monthly Levelized'!$K$5+'Monthly Levelized'!$L$5&lt;&gt;0,IFERROR(VLOOKUP(B60,'Monthly Levelized'!$G$5:$I$25,3,FALSE),P59),1)</f>
        <v>1</v>
      </c>
      <c r="Q60" s="213" t="str">
        <f t="shared" si="26"/>
        <v>Winter</v>
      </c>
      <c r="S60" s="214"/>
      <c r="T60" s="214"/>
      <c r="U60" s="214"/>
      <c r="V60" s="214"/>
    </row>
    <row r="61" spans="2:22" outlineLevel="1" x14ac:dyDescent="0.25">
      <c r="B61" s="67">
        <f t="shared" si="22"/>
        <v>44348</v>
      </c>
      <c r="C61" s="61">
        <f>'[1]Table 5'!E61*P61</f>
        <v>42059.829108834267</v>
      </c>
      <c r="D61" s="62">
        <f>IFERROR(G61*'MWH-Split'!S47*'MWH-Split'!U47,"")</f>
        <v>38612.06972807744</v>
      </c>
      <c r="E61" s="63">
        <f>IFERROR(H61*'MWH-Split'!T47*'MWH-Split'!U47,"")</f>
        <v>4982.2606995356891</v>
      </c>
      <c r="F61" s="62">
        <f>'[1]Table 5'!F61*P61</f>
        <v>3211.41</v>
      </c>
      <c r="G61" s="62">
        <f>IF('MWH-Split'!N47&lt;&gt;0,'MWH-Split'!N47*P61,"")</f>
        <v>2623.556</v>
      </c>
      <c r="H61" s="63">
        <f>IF('MWH-Split'!O47&lt;&gt;0,'MWH-Split'!O47*P61,"")</f>
        <v>587.85400000000004</v>
      </c>
      <c r="I61" s="64">
        <f t="shared" si="30"/>
        <v>13.1</v>
      </c>
      <c r="J61" s="64">
        <f t="shared" si="30"/>
        <v>14.72</v>
      </c>
      <c r="K61" s="65">
        <f t="shared" si="30"/>
        <v>8.48</v>
      </c>
      <c r="M61" s="70">
        <f t="shared" si="24"/>
        <v>2021</v>
      </c>
      <c r="N61" s="67">
        <f t="shared" si="29"/>
        <v>44348</v>
      </c>
      <c r="P61" s="68">
        <f>IF('Monthly Levelized'!$K$5+'Monthly Levelized'!$L$5&lt;&gt;0,IFERROR(VLOOKUP(B61,'Monthly Levelized'!$G$5:$I$25,3,FALSE),P60),1)</f>
        <v>1</v>
      </c>
      <c r="Q61" s="213" t="str">
        <f t="shared" si="26"/>
        <v>Summer</v>
      </c>
      <c r="S61" s="214"/>
      <c r="T61" s="214"/>
      <c r="U61" s="214"/>
      <c r="V61" s="214"/>
    </row>
    <row r="62" spans="2:22" outlineLevel="1" x14ac:dyDescent="0.25">
      <c r="B62" s="67">
        <f t="shared" si="22"/>
        <v>44378</v>
      </c>
      <c r="C62" s="61">
        <f>'[1]Table 5'!E62*P62</f>
        <v>41907.076279789209</v>
      </c>
      <c r="D62" s="62">
        <f>IFERROR(G62*'MWH-Split'!S48*'MWH-Split'!U48,"")</f>
        <v>45899.62329197293</v>
      </c>
      <c r="E62" s="63">
        <f>IFERROR(H62*'MWH-Split'!T48*'MWH-Split'!U48,"")</f>
        <v>7571.555677994711</v>
      </c>
      <c r="F62" s="62">
        <f>'[1]Table 5'!F62*P62</f>
        <v>2906.7150000000001</v>
      </c>
      <c r="G62" s="62">
        <f>IF('MWH-Split'!N48&lt;&gt;0,'MWH-Split'!N48*P62,"")</f>
        <v>2329.9119999999998</v>
      </c>
      <c r="H62" s="63">
        <f>IF('MWH-Split'!O48&lt;&gt;0,'MWH-Split'!O48*P62,"")</f>
        <v>576.803</v>
      </c>
      <c r="I62" s="64">
        <f t="shared" si="30"/>
        <v>14.42</v>
      </c>
      <c r="J62" s="64">
        <f t="shared" si="30"/>
        <v>19.7</v>
      </c>
      <c r="K62" s="65">
        <f t="shared" si="30"/>
        <v>13.13</v>
      </c>
      <c r="M62" s="70">
        <f t="shared" si="24"/>
        <v>2021</v>
      </c>
      <c r="N62" s="67">
        <f t="shared" si="29"/>
        <v>44378</v>
      </c>
      <c r="P62" s="68">
        <f>IF('Monthly Levelized'!$K$5+'Monthly Levelized'!$L$5&lt;&gt;0,IFERROR(VLOOKUP(B62,'Monthly Levelized'!$G$5:$I$25,3,FALSE),P61),1)</f>
        <v>1</v>
      </c>
      <c r="Q62" s="213" t="str">
        <f t="shared" si="26"/>
        <v>Summer</v>
      </c>
      <c r="S62" s="214"/>
      <c r="T62" s="214"/>
      <c r="U62" s="214"/>
      <c r="V62" s="214"/>
    </row>
    <row r="63" spans="2:22" outlineLevel="1" x14ac:dyDescent="0.25">
      <c r="B63" s="67">
        <f t="shared" si="22"/>
        <v>44409</v>
      </c>
      <c r="C63" s="61">
        <f>'[1]Table 5'!E63*P63</f>
        <v>44144.317029982805</v>
      </c>
      <c r="D63" s="62">
        <f>IFERROR(G63*'MWH-Split'!S49*'MWH-Split'!U49,"")</f>
        <v>45397.673660831089</v>
      </c>
      <c r="E63" s="63">
        <f>IFERROR(H63*'MWH-Split'!T49*'MWH-Split'!U49,"")</f>
        <v>6817.5886380465436</v>
      </c>
      <c r="F63" s="62">
        <f>'[1]Table 5'!F63*P63</f>
        <v>2911.4580000000001</v>
      </c>
      <c r="G63" s="62">
        <f>IF('MWH-Split'!N49&lt;&gt;0,'MWH-Split'!N49*P63,"")</f>
        <v>2387.2420000000002</v>
      </c>
      <c r="H63" s="63">
        <f>IF('MWH-Split'!O49&lt;&gt;0,'MWH-Split'!O49*P63,"")</f>
        <v>524.21600000000001</v>
      </c>
      <c r="I63" s="64">
        <f t="shared" si="30"/>
        <v>15.16</v>
      </c>
      <c r="J63" s="64">
        <f t="shared" si="30"/>
        <v>19.02</v>
      </c>
      <c r="K63" s="65">
        <f t="shared" si="30"/>
        <v>13.01</v>
      </c>
      <c r="M63" s="70">
        <f t="shared" si="24"/>
        <v>2021</v>
      </c>
      <c r="N63" s="67">
        <f t="shared" si="29"/>
        <v>44409</v>
      </c>
      <c r="P63" s="68">
        <f>IF('Monthly Levelized'!$K$5+'Monthly Levelized'!$L$5&lt;&gt;0,IFERROR(VLOOKUP(B63,'Monthly Levelized'!$G$5:$I$25,3,FALSE),P62),1)</f>
        <v>1</v>
      </c>
      <c r="Q63" s="213" t="str">
        <f t="shared" si="26"/>
        <v>Summer</v>
      </c>
      <c r="S63" s="214"/>
      <c r="T63" s="214"/>
      <c r="U63" s="214"/>
      <c r="V63" s="214"/>
    </row>
    <row r="64" spans="2:22" outlineLevel="1" x14ac:dyDescent="0.25">
      <c r="B64" s="67">
        <f t="shared" si="22"/>
        <v>44440</v>
      </c>
      <c r="C64" s="61">
        <f>'[1]Table 5'!E64*P64</f>
        <v>45891.027958124876</v>
      </c>
      <c r="D64" s="62">
        <f>IFERROR(G64*'MWH-Split'!S50*'MWH-Split'!U50,"")</f>
        <v>37825.745720680345</v>
      </c>
      <c r="E64" s="63">
        <f>IFERROR(H64*'MWH-Split'!T50*'MWH-Split'!U50,"")</f>
        <v>5071.3594872409485</v>
      </c>
      <c r="F64" s="62">
        <f>'[1]Table 5'!F64*P64</f>
        <v>2566.38</v>
      </c>
      <c r="G64" s="62">
        <f>IF('MWH-Split'!N50&lt;&gt;0,'MWH-Split'!N50*P64,"")</f>
        <v>2122.5500000000002</v>
      </c>
      <c r="H64" s="63">
        <f>IF('MWH-Split'!O50&lt;&gt;0,'MWH-Split'!O50*P64,"")</f>
        <v>443.83</v>
      </c>
      <c r="I64" s="64">
        <f t="shared" si="30"/>
        <v>17.88</v>
      </c>
      <c r="J64" s="64">
        <f t="shared" si="30"/>
        <v>17.82</v>
      </c>
      <c r="K64" s="65">
        <f t="shared" si="30"/>
        <v>11.43</v>
      </c>
      <c r="M64" s="70">
        <f t="shared" si="24"/>
        <v>2021</v>
      </c>
      <c r="N64" s="67">
        <f t="shared" si="29"/>
        <v>44440</v>
      </c>
      <c r="P64" s="68">
        <f>IF('Monthly Levelized'!$K$5+'Monthly Levelized'!$L$5&lt;&gt;0,IFERROR(VLOOKUP(B64,'Monthly Levelized'!$G$5:$I$25,3,FALSE),P63),1)</f>
        <v>1</v>
      </c>
      <c r="Q64" s="213" t="str">
        <f t="shared" si="26"/>
        <v>Summer</v>
      </c>
      <c r="S64" s="214"/>
      <c r="T64" s="214"/>
      <c r="U64" s="214"/>
      <c r="V64" s="214"/>
    </row>
    <row r="65" spans="2:22" outlineLevel="1" x14ac:dyDescent="0.25">
      <c r="B65" s="67">
        <f t="shared" si="22"/>
        <v>44470</v>
      </c>
      <c r="C65" s="61">
        <f>'[1]Table 5'!E65*P65</f>
        <v>32558.281845718622</v>
      </c>
      <c r="D65" s="62">
        <f>IFERROR(G65*'MWH-Split'!S51*'MWH-Split'!U51,"")</f>
        <v>26498.900109361119</v>
      </c>
      <c r="E65" s="63">
        <f>IFERROR(H65*'MWH-Split'!T51*'MWH-Split'!U51,"")</f>
        <v>4761.7494080286551</v>
      </c>
      <c r="F65" s="62">
        <f>'[1]Table 5'!F65*P65</f>
        <v>2080.627</v>
      </c>
      <c r="G65" s="62">
        <f>IF('MWH-Split'!N51&lt;&gt;0,'MWH-Split'!N51*P65,"")</f>
        <v>1744.626</v>
      </c>
      <c r="H65" s="63">
        <f>IF('MWH-Split'!O51&lt;&gt;0,'MWH-Split'!O51*P65,"")</f>
        <v>336.00099999999998</v>
      </c>
      <c r="I65" s="64">
        <f t="shared" si="30"/>
        <v>15.65</v>
      </c>
      <c r="J65" s="64">
        <f t="shared" si="30"/>
        <v>15.19</v>
      </c>
      <c r="K65" s="65">
        <f t="shared" si="30"/>
        <v>14.17</v>
      </c>
      <c r="M65" s="70">
        <f t="shared" si="24"/>
        <v>2021</v>
      </c>
      <c r="N65" s="67">
        <f t="shared" si="29"/>
        <v>44470</v>
      </c>
      <c r="P65" s="68">
        <f>IF('Monthly Levelized'!$K$5+'Monthly Levelized'!$L$5&lt;&gt;0,IFERROR(VLOOKUP(B65,'Monthly Levelized'!$G$5:$I$25,3,FALSE),P64),1)</f>
        <v>1</v>
      </c>
      <c r="Q65" s="213" t="str">
        <f t="shared" si="26"/>
        <v>Winter</v>
      </c>
      <c r="S65" s="214"/>
      <c r="T65" s="214"/>
      <c r="U65" s="214"/>
      <c r="V65" s="214"/>
    </row>
    <row r="66" spans="2:22" outlineLevel="1" x14ac:dyDescent="0.25">
      <c r="B66" s="67">
        <f t="shared" si="22"/>
        <v>44501</v>
      </c>
      <c r="C66" s="61">
        <f>'[1]Table 5'!E66*P66</f>
        <v>21984.432668507099</v>
      </c>
      <c r="D66" s="62">
        <f>IFERROR(G66*'MWH-Split'!S52*'MWH-Split'!U52,"")</f>
        <v>17582.450777176757</v>
      </c>
      <c r="E66" s="63">
        <f>IFERROR(H66*'MWH-Split'!T52*'MWH-Split'!U52,"")</f>
        <v>3225.0080370548508</v>
      </c>
      <c r="F66" s="62">
        <f>'[1]Table 5'!F66*P66</f>
        <v>1401.42</v>
      </c>
      <c r="G66" s="62">
        <f>IF('MWH-Split'!N52&lt;&gt;0,'MWH-Split'!N52*P66,"")</f>
        <v>1167.8499999999999</v>
      </c>
      <c r="H66" s="63">
        <f>IF('MWH-Split'!O52&lt;&gt;0,'MWH-Split'!O52*P66,"")</f>
        <v>233.57</v>
      </c>
      <c r="I66" s="64">
        <f t="shared" si="30"/>
        <v>15.69</v>
      </c>
      <c r="J66" s="64">
        <f t="shared" si="30"/>
        <v>15.06</v>
      </c>
      <c r="K66" s="65">
        <f t="shared" si="30"/>
        <v>13.81</v>
      </c>
      <c r="M66" s="70">
        <f t="shared" si="24"/>
        <v>2021</v>
      </c>
      <c r="N66" s="67">
        <f t="shared" si="29"/>
        <v>44501</v>
      </c>
      <c r="P66" s="68">
        <f>IF('Monthly Levelized'!$K$5+'Monthly Levelized'!$L$5&lt;&gt;0,IFERROR(VLOOKUP(B66,'Monthly Levelized'!$G$5:$I$25,3,FALSE),P65),1)</f>
        <v>1</v>
      </c>
      <c r="Q66" s="213" t="str">
        <f t="shared" si="26"/>
        <v>Winter</v>
      </c>
      <c r="S66" s="214"/>
      <c r="T66" s="214"/>
      <c r="U66" s="214"/>
      <c r="V66" s="214"/>
    </row>
    <row r="67" spans="2:22" outlineLevel="1" x14ac:dyDescent="0.25">
      <c r="B67" s="78">
        <f t="shared" si="22"/>
        <v>44531</v>
      </c>
      <c r="C67" s="72">
        <f>'[1]Table 5'!E67*P67</f>
        <v>17808.389196276665</v>
      </c>
      <c r="D67" s="73">
        <f>IFERROR(G67*'MWH-Split'!S53*'MWH-Split'!U53,"")</f>
        <v>14620.095072412632</v>
      </c>
      <c r="E67" s="74">
        <f>IFERROR(H67*'MWH-Split'!T53*'MWH-Split'!U53,"")</f>
        <v>2661.9018616782873</v>
      </c>
      <c r="F67" s="73">
        <f>'[1]Table 5'!F67*P67</f>
        <v>1081.1559999999999</v>
      </c>
      <c r="G67" s="73">
        <f>IF('MWH-Split'!N53&lt;&gt;0,'MWH-Split'!N53*P67,"")</f>
        <v>906.77599999999995</v>
      </c>
      <c r="H67" s="74">
        <f>IF('MWH-Split'!O53&lt;&gt;0,'MWH-Split'!O53*P67,"")</f>
        <v>174.38</v>
      </c>
      <c r="I67" s="75">
        <f t="shared" si="30"/>
        <v>16.47</v>
      </c>
      <c r="J67" s="75">
        <f t="shared" si="30"/>
        <v>16.12</v>
      </c>
      <c r="K67" s="76">
        <f t="shared" si="30"/>
        <v>15.26</v>
      </c>
      <c r="M67" s="77">
        <f t="shared" si="24"/>
        <v>2021</v>
      </c>
      <c r="N67" s="78">
        <f t="shared" si="29"/>
        <v>44531</v>
      </c>
      <c r="P67" s="79">
        <f>IF('Monthly Levelized'!$K$5+'Monthly Levelized'!$L$5&lt;&gt;0,IFERROR(VLOOKUP(B67,'Monthly Levelized'!$G$5:$I$25,3,FALSE),P66),1)</f>
        <v>1</v>
      </c>
      <c r="Q67" s="213" t="str">
        <f t="shared" si="26"/>
        <v>Winter</v>
      </c>
      <c r="S67" s="214"/>
      <c r="T67" s="214"/>
      <c r="U67" s="214"/>
      <c r="V67" s="214"/>
    </row>
    <row r="68" spans="2:22" outlineLevel="1" x14ac:dyDescent="0.25">
      <c r="B68" s="80">
        <f t="shared" si="22"/>
        <v>44562</v>
      </c>
      <c r="C68" s="81">
        <f>'[1]Table 5'!E68*P68</f>
        <v>21720.837907850742</v>
      </c>
      <c r="D68" s="82">
        <f>IFERROR(G68*'MWH-Split'!S54*'MWH-Split'!U54,"")</f>
        <v>18028.469090749473</v>
      </c>
      <c r="E68" s="83">
        <f>IFERROR(H68*'MWH-Split'!T54*'MWH-Split'!U54,"")</f>
        <v>3959.1498963902959</v>
      </c>
      <c r="F68" s="82">
        <f>'[1]Table 5'!F68*P68</f>
        <v>1290.5609999999999</v>
      </c>
      <c r="G68" s="82">
        <f>IF('MWH-Split'!N54&lt;&gt;0,'MWH-Split'!N54*P68,"")</f>
        <v>1040.7750000000001</v>
      </c>
      <c r="H68" s="83">
        <f>IF('MWH-Split'!O54&lt;&gt;0,'MWH-Split'!O54*P68,"")</f>
        <v>249.786</v>
      </c>
      <c r="I68" s="84">
        <f t="shared" si="30"/>
        <v>16.829999999999998</v>
      </c>
      <c r="J68" s="84">
        <f t="shared" si="30"/>
        <v>17.32</v>
      </c>
      <c r="K68" s="85">
        <f t="shared" si="30"/>
        <v>15.85</v>
      </c>
      <c r="M68" s="66">
        <f t="shared" si="24"/>
        <v>2022</v>
      </c>
      <c r="N68" s="67">
        <f t="shared" si="29"/>
        <v>44562</v>
      </c>
      <c r="P68" s="86">
        <f>IF('Monthly Levelized'!$K$5+'Monthly Levelized'!$L$5&lt;&gt;0,IFERROR(VLOOKUP(B68,'Monthly Levelized'!$G$5:$I$25,3,FALSE),P67),1)</f>
        <v>1</v>
      </c>
      <c r="Q68" s="213" t="str">
        <f t="shared" si="26"/>
        <v>Winter</v>
      </c>
      <c r="S68" s="214"/>
      <c r="T68" s="214"/>
      <c r="U68" s="214"/>
      <c r="V68" s="214"/>
    </row>
    <row r="69" spans="2:22" outlineLevel="1" x14ac:dyDescent="0.25">
      <c r="B69" s="67">
        <f t="shared" si="22"/>
        <v>44593</v>
      </c>
      <c r="C69" s="61">
        <f>'[1]Table 5'!E69*P69</f>
        <v>24024.609735965729</v>
      </c>
      <c r="D69" s="62">
        <f>IFERROR(G69*'MWH-Split'!S55*'MWH-Split'!U55,"")</f>
        <v>21086.989670559091</v>
      </c>
      <c r="E69" s="63">
        <f>IFERROR(H69*'MWH-Split'!T55*'MWH-Split'!U55,"")</f>
        <v>3186.8857648254893</v>
      </c>
      <c r="F69" s="62">
        <f>'[1]Table 5'!F69*P69</f>
        <v>1444.4359999999999</v>
      </c>
      <c r="G69" s="62">
        <f>IF('MWH-Split'!N55&lt;&gt;0,'MWH-Split'!N55*P69,"")</f>
        <v>1238.088</v>
      </c>
      <c r="H69" s="63">
        <f>IF('MWH-Split'!O55&lt;&gt;0,'MWH-Split'!O55*P69,"")</f>
        <v>206.34800000000001</v>
      </c>
      <c r="I69" s="64">
        <f t="shared" si="30"/>
        <v>16.63</v>
      </c>
      <c r="J69" s="64">
        <f t="shared" si="30"/>
        <v>17.03</v>
      </c>
      <c r="K69" s="65">
        <f t="shared" si="30"/>
        <v>15.44</v>
      </c>
      <c r="M69" s="70">
        <f t="shared" si="24"/>
        <v>2022</v>
      </c>
      <c r="N69" s="67">
        <f t="shared" si="29"/>
        <v>44593</v>
      </c>
      <c r="P69" s="68">
        <f>IF('Monthly Levelized'!$K$5+'Monthly Levelized'!$L$5&lt;&gt;0,IFERROR(VLOOKUP(B69,'Monthly Levelized'!$G$5:$I$25,3,FALSE),P68),1)</f>
        <v>1</v>
      </c>
      <c r="Q69" s="213" t="str">
        <f t="shared" si="26"/>
        <v>Winter</v>
      </c>
      <c r="S69" s="214"/>
      <c r="T69" s="214"/>
      <c r="U69" s="214"/>
      <c r="V69" s="214"/>
    </row>
    <row r="70" spans="2:22" outlineLevel="1" x14ac:dyDescent="0.25">
      <c r="B70" s="67">
        <f t="shared" si="22"/>
        <v>44621</v>
      </c>
      <c r="C70" s="61">
        <f>'[1]Table 5'!E70*P70</f>
        <v>39817.881784379482</v>
      </c>
      <c r="D70" s="62">
        <f>IFERROR(G70*'MWH-Split'!S56*'MWH-Split'!U56,"")</f>
        <v>31083.067795237712</v>
      </c>
      <c r="E70" s="63">
        <f>IFERROR(H70*'MWH-Split'!T56*'MWH-Split'!U56,"")</f>
        <v>4258.2486456128372</v>
      </c>
      <c r="F70" s="62">
        <f>'[1]Table 5'!F70*P70</f>
        <v>2249.5149999999999</v>
      </c>
      <c r="G70" s="62">
        <f>IF('MWH-Split'!N56&lt;&gt;0,'MWH-Split'!N56*P70,"")</f>
        <v>1958.499</v>
      </c>
      <c r="H70" s="63">
        <f>IF('MWH-Split'!O56&lt;&gt;0,'MWH-Split'!O56*P70,"")</f>
        <v>291.01600000000002</v>
      </c>
      <c r="I70" s="64">
        <f t="shared" si="30"/>
        <v>17.7</v>
      </c>
      <c r="J70" s="64">
        <f t="shared" si="30"/>
        <v>15.87</v>
      </c>
      <c r="K70" s="65">
        <f t="shared" si="30"/>
        <v>14.63</v>
      </c>
      <c r="M70" s="70">
        <f t="shared" si="24"/>
        <v>2022</v>
      </c>
      <c r="N70" s="67">
        <f t="shared" si="29"/>
        <v>44621</v>
      </c>
      <c r="P70" s="68">
        <f>IF('Monthly Levelized'!$K$5+'Monthly Levelized'!$L$5&lt;&gt;0,IFERROR(VLOOKUP(B70,'Monthly Levelized'!$G$5:$I$25,3,FALSE),P69),1)</f>
        <v>1</v>
      </c>
      <c r="Q70" s="213" t="str">
        <f t="shared" si="26"/>
        <v>Winter</v>
      </c>
      <c r="S70" s="214"/>
      <c r="T70" s="214"/>
      <c r="U70" s="214"/>
      <c r="V70" s="214"/>
    </row>
    <row r="71" spans="2:22" outlineLevel="1" x14ac:dyDescent="0.25">
      <c r="B71" s="67">
        <f t="shared" si="22"/>
        <v>44652</v>
      </c>
      <c r="C71" s="61">
        <f>'[1]Table 5'!E71*P71</f>
        <v>41388.312829762697</v>
      </c>
      <c r="D71" s="62">
        <f>IFERROR(G71*'MWH-Split'!S57*'MWH-Split'!U57,"")</f>
        <v>30692.264949401411</v>
      </c>
      <c r="E71" s="63">
        <f>IFERROR(H71*'MWH-Split'!T57*'MWH-Split'!U57,"")</f>
        <v>4380.0083203559288</v>
      </c>
      <c r="F71" s="62">
        <f>'[1]Table 5'!F71*P71</f>
        <v>2598.27</v>
      </c>
      <c r="G71" s="62">
        <f>IF('MWH-Split'!N57&lt;&gt;0,'MWH-Split'!N57*P71,"")</f>
        <v>2212.288</v>
      </c>
      <c r="H71" s="63">
        <f>IF('MWH-Split'!O57&lt;&gt;0,'MWH-Split'!O57*P71,"")</f>
        <v>385.98200000000003</v>
      </c>
      <c r="I71" s="64">
        <f t="shared" si="30"/>
        <v>15.93</v>
      </c>
      <c r="J71" s="64">
        <f t="shared" si="30"/>
        <v>13.87</v>
      </c>
      <c r="K71" s="65">
        <f t="shared" si="30"/>
        <v>11.35</v>
      </c>
      <c r="M71" s="70">
        <f t="shared" si="24"/>
        <v>2022</v>
      </c>
      <c r="N71" s="67">
        <f t="shared" si="29"/>
        <v>44652</v>
      </c>
      <c r="P71" s="68">
        <f>IF('Monthly Levelized'!$K$5+'Monthly Levelized'!$L$5&lt;&gt;0,IFERROR(VLOOKUP(B71,'Monthly Levelized'!$G$5:$I$25,3,FALSE),P70),1)</f>
        <v>1</v>
      </c>
      <c r="Q71" s="213" t="str">
        <f t="shared" si="26"/>
        <v>Winter</v>
      </c>
      <c r="S71" s="214"/>
      <c r="T71" s="214"/>
      <c r="U71" s="214"/>
      <c r="V71" s="214"/>
    </row>
    <row r="72" spans="2:22" outlineLevel="1" x14ac:dyDescent="0.25">
      <c r="B72" s="67">
        <f t="shared" si="22"/>
        <v>44682</v>
      </c>
      <c r="C72" s="61">
        <f>'[1]Table 5'!E72*P72</f>
        <v>44599.471356108785</v>
      </c>
      <c r="D72" s="62">
        <f>IFERROR(G72*'MWH-Split'!S58*'MWH-Split'!U58,"")</f>
        <v>32789.460386309198</v>
      </c>
      <c r="E72" s="63">
        <f>IFERROR(H72*'MWH-Split'!T58*'MWH-Split'!U58,"")</f>
        <v>6470.5474670239782</v>
      </c>
      <c r="F72" s="62">
        <f>'[1]Table 5'!F72*P72</f>
        <v>3007.6819999999998</v>
      </c>
      <c r="G72" s="62">
        <f>IF('MWH-Split'!N58&lt;&gt;0,'MWH-Split'!N58*P72,"")</f>
        <v>2302.4250000000002</v>
      </c>
      <c r="H72" s="63">
        <f>IF('MWH-Split'!O58&lt;&gt;0,'MWH-Split'!O58*P72,"")</f>
        <v>705.25699999999995</v>
      </c>
      <c r="I72" s="64">
        <f t="shared" si="30"/>
        <v>14.83</v>
      </c>
      <c r="J72" s="64">
        <f t="shared" si="30"/>
        <v>14.24</v>
      </c>
      <c r="K72" s="65">
        <f t="shared" si="30"/>
        <v>9.17</v>
      </c>
      <c r="M72" s="70">
        <f t="shared" si="24"/>
        <v>2022</v>
      </c>
      <c r="N72" s="67">
        <f t="shared" si="29"/>
        <v>44682</v>
      </c>
      <c r="P72" s="68">
        <f>IF('Monthly Levelized'!$K$5+'Monthly Levelized'!$L$5&lt;&gt;0,IFERROR(VLOOKUP(B72,'Monthly Levelized'!$G$5:$I$25,3,FALSE),P71),1)</f>
        <v>1</v>
      </c>
      <c r="Q72" s="213" t="str">
        <f t="shared" si="26"/>
        <v>Winter</v>
      </c>
      <c r="S72" s="214"/>
      <c r="T72" s="214"/>
      <c r="U72" s="214"/>
      <c r="V72" s="214"/>
    </row>
    <row r="73" spans="2:22" outlineLevel="1" x14ac:dyDescent="0.25">
      <c r="B73" s="67">
        <f t="shared" si="22"/>
        <v>44713</v>
      </c>
      <c r="C73" s="61">
        <f>'[1]Table 5'!E73*P73</f>
        <v>44527.040495082736</v>
      </c>
      <c r="D73" s="62">
        <f>IFERROR(G73*'MWH-Split'!S59*'MWH-Split'!U59,"")</f>
        <v>40055.999756494719</v>
      </c>
      <c r="E73" s="63">
        <f>IFERROR(H73*'MWH-Split'!T59*'MWH-Split'!U59,"")</f>
        <v>5547.9461963882541</v>
      </c>
      <c r="F73" s="62">
        <f>'[1]Table 5'!F73*P73</f>
        <v>3195.36</v>
      </c>
      <c r="G73" s="62">
        <f>IF('MWH-Split'!N59&lt;&gt;0,'MWH-Split'!N59*P73,"")</f>
        <v>2610.4520000000002</v>
      </c>
      <c r="H73" s="63">
        <f>IF('MWH-Split'!O59&lt;&gt;0,'MWH-Split'!O59*P73,"")</f>
        <v>584.90800000000002</v>
      </c>
      <c r="I73" s="64">
        <f t="shared" si="30"/>
        <v>13.93</v>
      </c>
      <c r="J73" s="64">
        <f t="shared" si="30"/>
        <v>15.34</v>
      </c>
      <c r="K73" s="65">
        <f t="shared" si="30"/>
        <v>9.49</v>
      </c>
      <c r="M73" s="70">
        <f t="shared" si="24"/>
        <v>2022</v>
      </c>
      <c r="N73" s="67">
        <f t="shared" si="29"/>
        <v>44713</v>
      </c>
      <c r="P73" s="68">
        <f>IF('Monthly Levelized'!$K$5+'Monthly Levelized'!$L$5&lt;&gt;0,IFERROR(VLOOKUP(B73,'Monthly Levelized'!$G$5:$I$25,3,FALSE),P72),1)</f>
        <v>1</v>
      </c>
      <c r="Q73" s="213" t="str">
        <f t="shared" si="26"/>
        <v>Summer</v>
      </c>
      <c r="S73" s="214"/>
      <c r="T73" s="214"/>
      <c r="U73" s="214"/>
      <c r="V73" s="214"/>
    </row>
    <row r="74" spans="2:22" outlineLevel="1" x14ac:dyDescent="0.25">
      <c r="B74" s="67">
        <f t="shared" si="22"/>
        <v>44743</v>
      </c>
      <c r="C74" s="61">
        <f>'[1]Table 5'!E74*P74</f>
        <v>42656.262078583241</v>
      </c>
      <c r="D74" s="62">
        <f>IFERROR(G74*'MWH-Split'!S60*'MWH-Split'!U60,"")</f>
        <v>45421.793206464492</v>
      </c>
      <c r="E74" s="63">
        <f>IFERROR(H74*'MWH-Split'!T60*'MWH-Split'!U60,"")</f>
        <v>9513.7712140465064</v>
      </c>
      <c r="F74" s="62">
        <f>'[1]Table 5'!F74*P74</f>
        <v>2892.2379999999998</v>
      </c>
      <c r="G74" s="62">
        <f>IF('MWH-Split'!N60&lt;&gt;0,'MWH-Split'!N60*P74,"")</f>
        <v>2229.125</v>
      </c>
      <c r="H74" s="63">
        <f>IF('MWH-Split'!O60&lt;&gt;0,'MWH-Split'!O60*P74,"")</f>
        <v>663.11300000000006</v>
      </c>
      <c r="I74" s="64">
        <f t="shared" si="30"/>
        <v>14.75</v>
      </c>
      <c r="J74" s="64">
        <f t="shared" si="30"/>
        <v>20.38</v>
      </c>
      <c r="K74" s="65">
        <f t="shared" si="30"/>
        <v>14.35</v>
      </c>
      <c r="M74" s="70">
        <f t="shared" si="24"/>
        <v>2022</v>
      </c>
      <c r="N74" s="67">
        <f t="shared" si="29"/>
        <v>44743</v>
      </c>
      <c r="P74" s="68">
        <f>IF('Monthly Levelized'!$K$5+'Monthly Levelized'!$L$5&lt;&gt;0,IFERROR(VLOOKUP(B74,'Monthly Levelized'!$G$5:$I$25,3,FALSE),P73),1)</f>
        <v>1</v>
      </c>
      <c r="Q74" s="213" t="str">
        <f t="shared" si="26"/>
        <v>Summer</v>
      </c>
      <c r="S74" s="214"/>
      <c r="T74" s="214"/>
      <c r="U74" s="214"/>
      <c r="V74" s="214"/>
    </row>
    <row r="75" spans="2:22" outlineLevel="1" x14ac:dyDescent="0.25">
      <c r="B75" s="67">
        <f t="shared" si="22"/>
        <v>44774</v>
      </c>
      <c r="C75" s="61">
        <f>'[1]Table 5'!E75*P75</f>
        <v>46389.296256661415</v>
      </c>
      <c r="D75" s="62">
        <f>IFERROR(G75*'MWH-Split'!S61*'MWH-Split'!U61,"")</f>
        <v>48586.64866081372</v>
      </c>
      <c r="E75" s="63">
        <f>IFERROR(H75*'MWH-Split'!T61*'MWH-Split'!U61,"")</f>
        <v>6120.9573013733725</v>
      </c>
      <c r="F75" s="62">
        <f>'[1]Table 5'!F75*P75</f>
        <v>2896.9189999999999</v>
      </c>
      <c r="G75" s="62">
        <f>IF('MWH-Split'!N61&lt;&gt;0,'MWH-Split'!N61*P75,"")</f>
        <v>2466.6660000000002</v>
      </c>
      <c r="H75" s="63">
        <f>IF('MWH-Split'!O61&lt;&gt;0,'MWH-Split'!O61*P75,"")</f>
        <v>430.25299999999999</v>
      </c>
      <c r="I75" s="64">
        <f t="shared" si="30"/>
        <v>16.010000000000002</v>
      </c>
      <c r="J75" s="64">
        <f t="shared" si="30"/>
        <v>19.7</v>
      </c>
      <c r="K75" s="65">
        <f t="shared" si="30"/>
        <v>14.23</v>
      </c>
      <c r="M75" s="70">
        <f t="shared" si="24"/>
        <v>2022</v>
      </c>
      <c r="N75" s="67">
        <f t="shared" si="29"/>
        <v>44774</v>
      </c>
      <c r="P75" s="68">
        <f>IF('Monthly Levelized'!$K$5+'Monthly Levelized'!$L$5&lt;&gt;0,IFERROR(VLOOKUP(B75,'Monthly Levelized'!$G$5:$I$25,3,FALSE),P74),1)</f>
        <v>1</v>
      </c>
      <c r="Q75" s="213" t="str">
        <f t="shared" si="26"/>
        <v>Summer</v>
      </c>
      <c r="S75" s="214"/>
      <c r="T75" s="214"/>
      <c r="U75" s="214"/>
      <c r="V75" s="214"/>
    </row>
    <row r="76" spans="2:22" outlineLevel="1" x14ac:dyDescent="0.25">
      <c r="B76" s="67">
        <f t="shared" si="22"/>
        <v>44805</v>
      </c>
      <c r="C76" s="61">
        <f>'[1]Table 5'!E76*P76</f>
        <v>48256.360802471638</v>
      </c>
      <c r="D76" s="62">
        <f>IFERROR(G76*'MWH-Split'!S62*'MWH-Split'!U62,"")</f>
        <v>39089.375957310622</v>
      </c>
      <c r="E76" s="63">
        <f>IFERROR(H76*'MWH-Split'!T62*'MWH-Split'!U62,"")</f>
        <v>5589.6069046097382</v>
      </c>
      <c r="F76" s="62">
        <f>'[1]Table 5'!F76*P76</f>
        <v>2553.5700000000002</v>
      </c>
      <c r="G76" s="62">
        <f>IF('MWH-Split'!N62&lt;&gt;0,'MWH-Split'!N62*P76,"")</f>
        <v>2111.9499999999998</v>
      </c>
      <c r="H76" s="63">
        <f>IF('MWH-Split'!O62&lt;&gt;0,'MWH-Split'!O62*P76,"")</f>
        <v>441.62</v>
      </c>
      <c r="I76" s="64">
        <f t="shared" si="30"/>
        <v>18.899999999999999</v>
      </c>
      <c r="J76" s="64">
        <f t="shared" si="30"/>
        <v>18.510000000000002</v>
      </c>
      <c r="K76" s="65">
        <f t="shared" si="30"/>
        <v>12.66</v>
      </c>
      <c r="M76" s="70">
        <f t="shared" si="24"/>
        <v>2022</v>
      </c>
      <c r="N76" s="67">
        <f t="shared" si="29"/>
        <v>44805</v>
      </c>
      <c r="P76" s="68">
        <f>IF('Monthly Levelized'!$K$5+'Monthly Levelized'!$L$5&lt;&gt;0,IFERROR(VLOOKUP(B76,'Monthly Levelized'!$G$5:$I$25,3,FALSE),P75),1)</f>
        <v>1</v>
      </c>
      <c r="Q76" s="213" t="str">
        <f t="shared" si="26"/>
        <v>Summer</v>
      </c>
      <c r="S76" s="214"/>
      <c r="T76" s="214"/>
      <c r="U76" s="214"/>
      <c r="V76" s="214"/>
    </row>
    <row r="77" spans="2:22" outlineLevel="1" x14ac:dyDescent="0.25">
      <c r="B77" s="67">
        <f t="shared" si="22"/>
        <v>44835</v>
      </c>
      <c r="C77" s="61">
        <f>'[1]Table 5'!E77*P77</f>
        <v>33551.298288270831</v>
      </c>
      <c r="D77" s="62">
        <f>IFERROR(G77*'MWH-Split'!S63*'MWH-Split'!U63,"")</f>
        <v>27449.667878760069</v>
      </c>
      <c r="E77" s="63">
        <f>IFERROR(H77*'MWH-Split'!T63*'MWH-Split'!U63,"")</f>
        <v>5143.815692514594</v>
      </c>
      <c r="F77" s="62">
        <f>'[1]Table 5'!F77*P77</f>
        <v>2070.2109999999998</v>
      </c>
      <c r="G77" s="62">
        <f>IF('MWH-Split'!N63&lt;&gt;0,'MWH-Split'!N63*P77,"")</f>
        <v>1735.89</v>
      </c>
      <c r="H77" s="63">
        <f>IF('MWH-Split'!O63&lt;&gt;0,'MWH-Split'!O63*P77,"")</f>
        <v>334.32100000000003</v>
      </c>
      <c r="I77" s="64">
        <f t="shared" si="30"/>
        <v>16.21</v>
      </c>
      <c r="J77" s="64">
        <f t="shared" si="30"/>
        <v>15.81</v>
      </c>
      <c r="K77" s="65">
        <f t="shared" si="30"/>
        <v>15.39</v>
      </c>
      <c r="M77" s="70">
        <f t="shared" si="24"/>
        <v>2022</v>
      </c>
      <c r="N77" s="67">
        <f t="shared" si="29"/>
        <v>44835</v>
      </c>
      <c r="P77" s="68">
        <f>IF('Monthly Levelized'!$K$5+'Monthly Levelized'!$L$5&lt;&gt;0,IFERROR(VLOOKUP(B77,'Monthly Levelized'!$G$5:$I$25,3,FALSE),P76),1)</f>
        <v>1</v>
      </c>
      <c r="Q77" s="213" t="str">
        <f t="shared" si="26"/>
        <v>Winter</v>
      </c>
      <c r="S77" s="214"/>
      <c r="T77" s="214"/>
      <c r="U77" s="214"/>
      <c r="V77" s="214"/>
    </row>
    <row r="78" spans="2:22" outlineLevel="1" x14ac:dyDescent="0.25">
      <c r="B78" s="67">
        <f t="shared" si="22"/>
        <v>44866</v>
      </c>
      <c r="C78" s="61">
        <f>'[1]Table 5'!E78*P78</f>
        <v>22706.62067809701</v>
      </c>
      <c r="D78" s="62">
        <f>IFERROR(G78*'MWH-Split'!S64*'MWH-Split'!U64,"")</f>
        <v>18220.581874307136</v>
      </c>
      <c r="E78" s="63">
        <f>IFERROR(H78*'MWH-Split'!T64*'MWH-Split'!U64,"")</f>
        <v>3491.5074403811896</v>
      </c>
      <c r="F78" s="62">
        <f>'[1]Table 5'!F78*P78</f>
        <v>1394.4</v>
      </c>
      <c r="G78" s="62">
        <f>IF('MWH-Split'!N64&lt;&gt;0,'MWH-Split'!N64*P78,"")</f>
        <v>1162</v>
      </c>
      <c r="H78" s="63">
        <f>IF('MWH-Split'!O64&lt;&gt;0,'MWH-Split'!O64*P78,"")</f>
        <v>232.4</v>
      </c>
      <c r="I78" s="64">
        <f t="shared" si="30"/>
        <v>16.28</v>
      </c>
      <c r="J78" s="64">
        <f t="shared" si="30"/>
        <v>15.68</v>
      </c>
      <c r="K78" s="65">
        <f t="shared" si="30"/>
        <v>15.02</v>
      </c>
      <c r="M78" s="70">
        <f t="shared" si="24"/>
        <v>2022</v>
      </c>
      <c r="N78" s="67">
        <f t="shared" si="29"/>
        <v>44866</v>
      </c>
      <c r="P78" s="68">
        <f>IF('Monthly Levelized'!$K$5+'Monthly Levelized'!$L$5&lt;&gt;0,IFERROR(VLOOKUP(B78,'Monthly Levelized'!$G$5:$I$25,3,FALSE),P77),1)</f>
        <v>1</v>
      </c>
      <c r="Q78" s="213" t="str">
        <f t="shared" si="26"/>
        <v>Winter</v>
      </c>
      <c r="S78" s="214"/>
      <c r="T78" s="214"/>
      <c r="U78" s="214"/>
      <c r="V78" s="214"/>
    </row>
    <row r="79" spans="2:22" outlineLevel="1" x14ac:dyDescent="0.25">
      <c r="B79" s="78">
        <f t="shared" si="22"/>
        <v>44896</v>
      </c>
      <c r="C79" s="72">
        <f>'[1]Table 5'!E79*P79</f>
        <v>18491.54800671339</v>
      </c>
      <c r="D79" s="73">
        <f>IFERROR(G79*'MWH-Split'!S65*'MWH-Split'!U65,"")</f>
        <v>15104.742661790258</v>
      </c>
      <c r="E79" s="74">
        <f>IFERROR(H79*'MWH-Split'!T65*'MWH-Split'!U65,"")</f>
        <v>2858.0334882276243</v>
      </c>
      <c r="F79" s="73">
        <f>'[1]Table 5'!F79*P79</f>
        <v>1075.731</v>
      </c>
      <c r="G79" s="73">
        <f>IF('MWH-Split'!N65&lt;&gt;0,'MWH-Split'!N65*P79,"")</f>
        <v>902.226</v>
      </c>
      <c r="H79" s="74">
        <f>IF('MWH-Split'!O65&lt;&gt;0,'MWH-Split'!O65*P79,"")</f>
        <v>173.505</v>
      </c>
      <c r="I79" s="75">
        <f t="shared" si="30"/>
        <v>17.190000000000001</v>
      </c>
      <c r="J79" s="75">
        <f t="shared" si="30"/>
        <v>16.739999999999998</v>
      </c>
      <c r="K79" s="76">
        <f t="shared" si="30"/>
        <v>16.47</v>
      </c>
      <c r="M79" s="77">
        <f t="shared" si="24"/>
        <v>2022</v>
      </c>
      <c r="N79" s="78">
        <f t="shared" si="29"/>
        <v>44896</v>
      </c>
      <c r="P79" s="79">
        <f>IF('Monthly Levelized'!$K$5+'Monthly Levelized'!$L$5&lt;&gt;0,IFERROR(VLOOKUP(B79,'Monthly Levelized'!$G$5:$I$25,3,FALSE),P78),1)</f>
        <v>1</v>
      </c>
      <c r="Q79" s="213" t="str">
        <f t="shared" si="26"/>
        <v>Winter</v>
      </c>
      <c r="S79" s="214"/>
      <c r="T79" s="214"/>
      <c r="U79" s="214"/>
      <c r="V79" s="214"/>
    </row>
    <row r="80" spans="2:22" outlineLevel="1" x14ac:dyDescent="0.25">
      <c r="B80" s="80">
        <f t="shared" si="22"/>
        <v>44927</v>
      </c>
      <c r="C80" s="81">
        <f>'[1]Table 5'!E80*P80</f>
        <v>22544.445098131895</v>
      </c>
      <c r="D80" s="82">
        <f>IFERROR(G80*'MWH-Split'!S66*'MWH-Split'!U66,"")</f>
        <v>18967.980781112878</v>
      </c>
      <c r="E80" s="83">
        <f>IFERROR(H80*'MWH-Split'!T66*'MWH-Split'!U66,"")</f>
        <v>4133.9641116405573</v>
      </c>
      <c r="F80" s="82">
        <f>'[1]Table 5'!F80*P80</f>
        <v>1284.175</v>
      </c>
      <c r="G80" s="82">
        <f>IF('MWH-Split'!N66&lt;&gt;0,'MWH-Split'!N66*P80,"")</f>
        <v>1035.625</v>
      </c>
      <c r="H80" s="83">
        <f>IF('MWH-Split'!O66&lt;&gt;0,'MWH-Split'!O66*P80,"")</f>
        <v>248.55</v>
      </c>
      <c r="I80" s="84">
        <f t="shared" si="30"/>
        <v>17.559999999999999</v>
      </c>
      <c r="J80" s="84">
        <f t="shared" si="30"/>
        <v>18.32</v>
      </c>
      <c r="K80" s="85">
        <f t="shared" si="30"/>
        <v>16.63</v>
      </c>
      <c r="M80" s="66">
        <f t="shared" si="24"/>
        <v>2023</v>
      </c>
      <c r="N80" s="67">
        <f t="shared" si="29"/>
        <v>44927</v>
      </c>
      <c r="P80" s="86">
        <f>IF('Monthly Levelized'!$K$5+'Monthly Levelized'!$L$5&lt;&gt;0,IFERROR(VLOOKUP(B80,'Monthly Levelized'!$G$5:$I$25,3,FALSE),P79),1)</f>
        <v>1</v>
      </c>
      <c r="Q80" s="213" t="str">
        <f t="shared" si="26"/>
        <v>Winter</v>
      </c>
      <c r="S80" s="214"/>
      <c r="T80" s="214"/>
      <c r="U80" s="214"/>
      <c r="V80" s="214"/>
    </row>
    <row r="81" spans="2:22" outlineLevel="1" x14ac:dyDescent="0.25">
      <c r="B81" s="67">
        <f t="shared" si="22"/>
        <v>44958</v>
      </c>
      <c r="C81" s="61">
        <f>'[1]Table 5'!E81*P81</f>
        <v>24885.547288388014</v>
      </c>
      <c r="D81" s="62">
        <f>IFERROR(G81*'MWH-Split'!S67*'MWH-Split'!U67,"")</f>
        <v>22199.721201294768</v>
      </c>
      <c r="E81" s="63">
        <f>IFERROR(H81*'MWH-Split'!T67*'MWH-Split'!U67,"")</f>
        <v>3330.2568579393219</v>
      </c>
      <c r="F81" s="62">
        <f>'[1]Table 5'!F81*P81</f>
        <v>1437.212</v>
      </c>
      <c r="G81" s="62">
        <f>IF('MWH-Split'!N67&lt;&gt;0,'MWH-Split'!N67*P81,"")</f>
        <v>1231.896</v>
      </c>
      <c r="H81" s="63">
        <f>IF('MWH-Split'!O67&lt;&gt;0,'MWH-Split'!O67*P81,"")</f>
        <v>205.316</v>
      </c>
      <c r="I81" s="64">
        <f t="shared" si="30"/>
        <v>17.32</v>
      </c>
      <c r="J81" s="64">
        <f t="shared" si="30"/>
        <v>18.02</v>
      </c>
      <c r="K81" s="65">
        <f t="shared" si="30"/>
        <v>16.22</v>
      </c>
      <c r="M81" s="70">
        <f t="shared" si="24"/>
        <v>2023</v>
      </c>
      <c r="N81" s="67">
        <f t="shared" si="29"/>
        <v>44958</v>
      </c>
      <c r="P81" s="68">
        <f>IF('Monthly Levelized'!$K$5+'Monthly Levelized'!$L$5&lt;&gt;0,IFERROR(VLOOKUP(B81,'Monthly Levelized'!$G$5:$I$25,3,FALSE),P80),1)</f>
        <v>1</v>
      </c>
      <c r="Q81" s="213" t="str">
        <f t="shared" si="26"/>
        <v>Winter</v>
      </c>
      <c r="S81" s="214"/>
      <c r="T81" s="214"/>
      <c r="U81" s="214"/>
      <c r="V81" s="214"/>
    </row>
    <row r="82" spans="2:22" outlineLevel="1" x14ac:dyDescent="0.25">
      <c r="B82" s="67">
        <f t="shared" si="22"/>
        <v>44986</v>
      </c>
      <c r="C82" s="61">
        <f>'[1]Table 5'!E82*P82</f>
        <v>42815.48224812746</v>
      </c>
      <c r="D82" s="62">
        <f>IFERROR(G82*'MWH-Split'!S68*'MWH-Split'!U68,"")</f>
        <v>32820.709071502548</v>
      </c>
      <c r="E82" s="63">
        <f>IFERROR(H82*'MWH-Split'!T68*'MWH-Split'!U68,"")</f>
        <v>4458.1955070742479</v>
      </c>
      <c r="F82" s="62">
        <f>'[1]Table 5'!F82*P82</f>
        <v>2238.3240000000001</v>
      </c>
      <c r="G82" s="62">
        <f>IF('MWH-Split'!N68&lt;&gt;0,'MWH-Split'!N68*P82,"")</f>
        <v>1948.752</v>
      </c>
      <c r="H82" s="63">
        <f>IF('MWH-Split'!O68&lt;&gt;0,'MWH-Split'!O68*P82,"")</f>
        <v>289.572</v>
      </c>
      <c r="I82" s="64">
        <f t="shared" si="30"/>
        <v>19.13</v>
      </c>
      <c r="J82" s="64">
        <f t="shared" si="30"/>
        <v>16.84</v>
      </c>
      <c r="K82" s="65">
        <f t="shared" si="30"/>
        <v>15.4</v>
      </c>
      <c r="M82" s="70">
        <f t="shared" si="24"/>
        <v>2023</v>
      </c>
      <c r="N82" s="67">
        <f t="shared" si="29"/>
        <v>44986</v>
      </c>
      <c r="P82" s="68">
        <f>IF('Monthly Levelized'!$K$5+'Monthly Levelized'!$L$5&lt;&gt;0,IFERROR(VLOOKUP(B82,'Monthly Levelized'!$G$5:$I$25,3,FALSE),P81),1)</f>
        <v>1</v>
      </c>
      <c r="Q82" s="213" t="str">
        <f t="shared" si="26"/>
        <v>Winter</v>
      </c>
      <c r="S82" s="214"/>
      <c r="T82" s="214"/>
      <c r="U82" s="214"/>
      <c r="V82" s="214"/>
    </row>
    <row r="83" spans="2:22" outlineLevel="1" x14ac:dyDescent="0.25">
      <c r="B83" s="67">
        <f t="shared" si="22"/>
        <v>45017</v>
      </c>
      <c r="C83" s="61">
        <f>'[1]Table 5'!E83*P83</f>
        <v>42645.62105448544</v>
      </c>
      <c r="D83" s="62">
        <f>IFERROR(G83*'MWH-Split'!S69*'MWH-Split'!U69,"")</f>
        <v>31354.775187298685</v>
      </c>
      <c r="E83" s="63">
        <f>IFERROR(H83*'MWH-Split'!T69*'MWH-Split'!U69,"")</f>
        <v>6663.0487390457874</v>
      </c>
      <c r="F83" s="62">
        <f>'[1]Table 5'!F83*P83</f>
        <v>2585.2800000000002</v>
      </c>
      <c r="G83" s="62">
        <f>IF('MWH-Split'!N69&lt;&gt;0,'MWH-Split'!N69*P83,"")</f>
        <v>2116.5749999999998</v>
      </c>
      <c r="H83" s="63">
        <f>IF('MWH-Split'!O69&lt;&gt;0,'MWH-Split'!O69*P83,"")</f>
        <v>468.70499999999998</v>
      </c>
      <c r="I83" s="64">
        <f t="shared" si="30"/>
        <v>16.5</v>
      </c>
      <c r="J83" s="64">
        <f t="shared" si="30"/>
        <v>14.81</v>
      </c>
      <c r="K83" s="65">
        <f t="shared" si="30"/>
        <v>14.22</v>
      </c>
      <c r="M83" s="70">
        <f t="shared" si="24"/>
        <v>2023</v>
      </c>
      <c r="N83" s="67">
        <f t="shared" si="29"/>
        <v>45017</v>
      </c>
      <c r="P83" s="68">
        <f>IF('Monthly Levelized'!$K$5+'Monthly Levelized'!$L$5&lt;&gt;0,IFERROR(VLOOKUP(B83,'Monthly Levelized'!$G$5:$I$25,3,FALSE),P82),1)</f>
        <v>1</v>
      </c>
      <c r="Q83" s="213" t="str">
        <f t="shared" si="26"/>
        <v>Winter</v>
      </c>
      <c r="S83" s="214"/>
      <c r="T83" s="214"/>
      <c r="U83" s="214"/>
      <c r="V83" s="214"/>
    </row>
    <row r="84" spans="2:22" outlineLevel="1" x14ac:dyDescent="0.25">
      <c r="B84" s="67">
        <f t="shared" si="22"/>
        <v>45047</v>
      </c>
      <c r="C84" s="61">
        <f>'[1]Table 5'!E84*P84</f>
        <v>48471.257897302508</v>
      </c>
      <c r="D84" s="62">
        <f>IFERROR(G84*'MWH-Split'!S70*'MWH-Split'!U70,"")</f>
        <v>35321.837047596251</v>
      </c>
      <c r="E84" s="63">
        <f>IFERROR(H84*'MWH-Split'!T70*'MWH-Split'!U70,"")</f>
        <v>7050.0665288037226</v>
      </c>
      <c r="F84" s="62">
        <f>'[1]Table 5'!F84*P84</f>
        <v>2992.616</v>
      </c>
      <c r="G84" s="62">
        <f>IF('MWH-Split'!N70&lt;&gt;0,'MWH-Split'!N70*P84,"")</f>
        <v>2382.5100000000002</v>
      </c>
      <c r="H84" s="63">
        <f>IF('MWH-Split'!O70&lt;&gt;0,'MWH-Split'!O70*P84,"")</f>
        <v>610.10599999999999</v>
      </c>
      <c r="I84" s="64">
        <f t="shared" si="30"/>
        <v>16.2</v>
      </c>
      <c r="J84" s="64">
        <f t="shared" si="30"/>
        <v>14.83</v>
      </c>
      <c r="K84" s="65">
        <f t="shared" si="30"/>
        <v>11.56</v>
      </c>
      <c r="M84" s="70">
        <f t="shared" si="24"/>
        <v>2023</v>
      </c>
      <c r="N84" s="67">
        <f t="shared" si="29"/>
        <v>45047</v>
      </c>
      <c r="P84" s="68">
        <f>IF('Monthly Levelized'!$K$5+'Monthly Levelized'!$L$5&lt;&gt;0,IFERROR(VLOOKUP(B84,'Monthly Levelized'!$G$5:$I$25,3,FALSE),P83),1)</f>
        <v>1</v>
      </c>
      <c r="Q84" s="213" t="str">
        <f t="shared" si="26"/>
        <v>Winter</v>
      </c>
      <c r="S84" s="214"/>
      <c r="T84" s="214"/>
      <c r="U84" s="214"/>
      <c r="V84" s="214"/>
    </row>
    <row r="85" spans="2:22" outlineLevel="1" x14ac:dyDescent="0.25">
      <c r="B85" s="67">
        <f t="shared" ref="B85:B148" si="31">EDATE(B84,1)</f>
        <v>45078</v>
      </c>
      <c r="C85" s="61">
        <f>'[1]Table 5'!E85*P85</f>
        <v>50840.038594275713</v>
      </c>
      <c r="D85" s="62">
        <f>IFERROR(G85*'MWH-Split'!S71*'MWH-Split'!U71,"")</f>
        <v>41066.292846218006</v>
      </c>
      <c r="E85" s="63">
        <f>IFERROR(H85*'MWH-Split'!T71*'MWH-Split'!U71,"")</f>
        <v>6996.8606338541813</v>
      </c>
      <c r="F85" s="62">
        <f>'[1]Table 5'!F85*P85</f>
        <v>3179.37</v>
      </c>
      <c r="G85" s="62">
        <f>IF('MWH-Split'!N71&lt;&gt;0,'MWH-Split'!N71*P85,"")</f>
        <v>2597.3739999999998</v>
      </c>
      <c r="H85" s="63">
        <f>IF('MWH-Split'!O71&lt;&gt;0,'MWH-Split'!O71*P85,"")</f>
        <v>581.99599999999998</v>
      </c>
      <c r="I85" s="64">
        <f t="shared" si="30"/>
        <v>15.99</v>
      </c>
      <c r="J85" s="64">
        <f t="shared" si="30"/>
        <v>15.81</v>
      </c>
      <c r="K85" s="65">
        <f t="shared" si="30"/>
        <v>12.02</v>
      </c>
      <c r="M85" s="70">
        <f t="shared" ref="M85:M148" si="32">YEAR(B85)</f>
        <v>2023</v>
      </c>
      <c r="N85" s="67">
        <f t="shared" si="29"/>
        <v>45078</v>
      </c>
      <c r="P85" s="68">
        <f>IF('Monthly Levelized'!$K$5+'Monthly Levelized'!$L$5&lt;&gt;0,IFERROR(VLOOKUP(B85,'Monthly Levelized'!$G$5:$I$25,3,FALSE),P84),1)</f>
        <v>1</v>
      </c>
      <c r="Q85" s="213" t="str">
        <f t="shared" ref="Q85:Q148" si="33">IF(AND(MONTH(N85)&gt;=6,MONTH(N85)&lt;=9),"Summer","Winter")</f>
        <v>Summer</v>
      </c>
      <c r="S85" s="214"/>
      <c r="T85" s="214"/>
      <c r="U85" s="214"/>
      <c r="V85" s="214"/>
    </row>
    <row r="86" spans="2:22" outlineLevel="1" x14ac:dyDescent="0.25">
      <c r="B86" s="67">
        <f t="shared" si="31"/>
        <v>45108</v>
      </c>
      <c r="C86" s="61">
        <f>'[1]Table 5'!E86*P86</f>
        <v>48787.335496157408</v>
      </c>
      <c r="D86" s="62">
        <f>IFERROR(G86*'MWH-Split'!S72*'MWH-Split'!U72,"")</f>
        <v>48810.305372978779</v>
      </c>
      <c r="E86" s="63">
        <f>IFERROR(H86*'MWH-Split'!T72*'MWH-Split'!U72,"")</f>
        <v>10777.667957905524</v>
      </c>
      <c r="F86" s="62">
        <f>'[1]Table 5'!F86*P86</f>
        <v>2877.6990000000001</v>
      </c>
      <c r="G86" s="62">
        <f>IF('MWH-Split'!N72&lt;&gt;0,'MWH-Split'!N72*P86,"")</f>
        <v>2217.9250000000002</v>
      </c>
      <c r="H86" s="63">
        <f>IF('MWH-Split'!O72&lt;&gt;0,'MWH-Split'!O72*P86,"")</f>
        <v>659.774</v>
      </c>
      <c r="I86" s="64">
        <f t="shared" si="30"/>
        <v>16.95</v>
      </c>
      <c r="J86" s="64">
        <f t="shared" si="30"/>
        <v>22.01</v>
      </c>
      <c r="K86" s="65">
        <f t="shared" si="30"/>
        <v>16.34</v>
      </c>
      <c r="M86" s="70">
        <f t="shared" si="32"/>
        <v>2023</v>
      </c>
      <c r="N86" s="67">
        <f t="shared" si="29"/>
        <v>45108</v>
      </c>
      <c r="P86" s="68">
        <f>IF('Monthly Levelized'!$K$5+'Monthly Levelized'!$L$5&lt;&gt;0,IFERROR(VLOOKUP(B86,'Monthly Levelized'!$G$5:$I$25,3,FALSE),P85),1)</f>
        <v>1</v>
      </c>
      <c r="Q86" s="213" t="str">
        <f t="shared" si="33"/>
        <v>Summer</v>
      </c>
      <c r="S86" s="214"/>
      <c r="T86" s="214"/>
      <c r="U86" s="214"/>
      <c r="V86" s="214"/>
    </row>
    <row r="87" spans="2:22" outlineLevel="1" x14ac:dyDescent="0.25">
      <c r="B87" s="67">
        <f t="shared" si="31"/>
        <v>45139</v>
      </c>
      <c r="C87" s="61">
        <f>'[1]Table 5'!E87*P87</f>
        <v>51734.822632491589</v>
      </c>
      <c r="D87" s="62">
        <f>IFERROR(G87*'MWH-Split'!S73*'MWH-Split'!U73,"")</f>
        <v>54774.699567322903</v>
      </c>
      <c r="E87" s="63">
        <f>IFERROR(H87*'MWH-Split'!T73*'MWH-Split'!U73,"")</f>
        <v>7136.2807425248902</v>
      </c>
      <c r="F87" s="62">
        <f>'[1]Table 5'!F87*P87</f>
        <v>2882.4110000000001</v>
      </c>
      <c r="G87" s="62">
        <f>IF('MWH-Split'!N73&lt;&gt;0,'MWH-Split'!N73*P87,"")</f>
        <v>2454.3270000000002</v>
      </c>
      <c r="H87" s="63">
        <f>IF('MWH-Split'!O73&lt;&gt;0,'MWH-Split'!O73*P87,"")</f>
        <v>428.084</v>
      </c>
      <c r="I87" s="64">
        <f t="shared" si="30"/>
        <v>17.95</v>
      </c>
      <c r="J87" s="64">
        <f t="shared" si="30"/>
        <v>22.32</v>
      </c>
      <c r="K87" s="65">
        <f t="shared" si="30"/>
        <v>16.670000000000002</v>
      </c>
      <c r="M87" s="70">
        <f t="shared" si="32"/>
        <v>2023</v>
      </c>
      <c r="N87" s="67">
        <f t="shared" si="29"/>
        <v>45139</v>
      </c>
      <c r="P87" s="68">
        <f>IF('Monthly Levelized'!$K$5+'Monthly Levelized'!$L$5&lt;&gt;0,IFERROR(VLOOKUP(B87,'Monthly Levelized'!$G$5:$I$25,3,FALSE),P86),1)</f>
        <v>1</v>
      </c>
      <c r="Q87" s="213" t="str">
        <f t="shared" si="33"/>
        <v>Summer</v>
      </c>
      <c r="S87" s="214"/>
      <c r="T87" s="214"/>
      <c r="U87" s="214"/>
      <c r="V87" s="214"/>
    </row>
    <row r="88" spans="2:22" outlineLevel="1" x14ac:dyDescent="0.25">
      <c r="B88" s="67">
        <f t="shared" si="31"/>
        <v>45170</v>
      </c>
      <c r="C88" s="61">
        <f>'[1]Table 5'!E88*P88</f>
        <v>56330.253009021282</v>
      </c>
      <c r="D88" s="62">
        <f>IFERROR(G88*'MWH-Split'!S74*'MWH-Split'!U74,"")</f>
        <v>41664.158073135448</v>
      </c>
      <c r="E88" s="63">
        <f>IFERROR(H88*'MWH-Split'!T74*'MWH-Split'!U74,"")</f>
        <v>6590.3237207881302</v>
      </c>
      <c r="F88" s="62">
        <f>'[1]Table 5'!F88*P88</f>
        <v>2540.79</v>
      </c>
      <c r="G88" s="62">
        <f>IF('MWH-Split'!N74&lt;&gt;0,'MWH-Split'!N74*P88,"")</f>
        <v>2101.375</v>
      </c>
      <c r="H88" s="63">
        <f>IF('MWH-Split'!O74&lt;&gt;0,'MWH-Split'!O74*P88,"")</f>
        <v>439.41500000000002</v>
      </c>
      <c r="I88" s="64">
        <f t="shared" si="30"/>
        <v>22.17</v>
      </c>
      <c r="J88" s="64">
        <f t="shared" si="30"/>
        <v>19.829999999999998</v>
      </c>
      <c r="K88" s="65">
        <f t="shared" si="30"/>
        <v>15</v>
      </c>
      <c r="M88" s="70">
        <f t="shared" si="32"/>
        <v>2023</v>
      </c>
      <c r="N88" s="67">
        <f t="shared" si="29"/>
        <v>45170</v>
      </c>
      <c r="P88" s="68">
        <f>IF('Monthly Levelized'!$K$5+'Monthly Levelized'!$L$5&lt;&gt;0,IFERROR(VLOOKUP(B88,'Monthly Levelized'!$G$5:$I$25,3,FALSE),P87),1)</f>
        <v>1</v>
      </c>
      <c r="Q88" s="213" t="str">
        <f t="shared" si="33"/>
        <v>Summer</v>
      </c>
      <c r="S88" s="214"/>
      <c r="T88" s="214"/>
      <c r="U88" s="214"/>
      <c r="V88" s="214"/>
    </row>
    <row r="89" spans="2:22" outlineLevel="1" x14ac:dyDescent="0.25">
      <c r="B89" s="67">
        <f t="shared" si="31"/>
        <v>45200</v>
      </c>
      <c r="C89" s="61">
        <f>'[1]Table 5'!E89*P89</f>
        <v>33573.224711433053</v>
      </c>
      <c r="D89" s="62">
        <f>IFERROR(G89*'MWH-Split'!S75*'MWH-Split'!U75,"")</f>
        <v>31481.367044339175</v>
      </c>
      <c r="E89" s="63">
        <f>IFERROR(H89*'MWH-Split'!T75*'MWH-Split'!U75,"")</f>
        <v>5608.8736069186898</v>
      </c>
      <c r="F89" s="62">
        <f>'[1]Table 5'!F89*P89</f>
        <v>2059.857</v>
      </c>
      <c r="G89" s="62">
        <f>IF('MWH-Split'!N75&lt;&gt;0,'MWH-Split'!N75*P89,"")</f>
        <v>1727.2059999999999</v>
      </c>
      <c r="H89" s="63">
        <f>IF('MWH-Split'!O75&lt;&gt;0,'MWH-Split'!O75*P89,"")</f>
        <v>332.65100000000001</v>
      </c>
      <c r="I89" s="64">
        <f t="shared" si="30"/>
        <v>16.3</v>
      </c>
      <c r="J89" s="64">
        <f t="shared" si="30"/>
        <v>18.23</v>
      </c>
      <c r="K89" s="65">
        <f t="shared" si="30"/>
        <v>16.86</v>
      </c>
      <c r="M89" s="70">
        <f t="shared" si="32"/>
        <v>2023</v>
      </c>
      <c r="N89" s="67">
        <f t="shared" si="29"/>
        <v>45200</v>
      </c>
      <c r="P89" s="68">
        <f>IF('Monthly Levelized'!$K$5+'Monthly Levelized'!$L$5&lt;&gt;0,IFERROR(VLOOKUP(B89,'Monthly Levelized'!$G$5:$I$25,3,FALSE),P88),1)</f>
        <v>1</v>
      </c>
      <c r="Q89" s="213" t="str">
        <f t="shared" si="33"/>
        <v>Winter</v>
      </c>
      <c r="S89" s="214"/>
      <c r="T89" s="214"/>
      <c r="U89" s="214"/>
      <c r="V89" s="214"/>
    </row>
    <row r="90" spans="2:22" outlineLevel="1" x14ac:dyDescent="0.25">
      <c r="B90" s="67">
        <f t="shared" si="31"/>
        <v>45231</v>
      </c>
      <c r="C90" s="61">
        <f>'[1]Table 5'!E90*P90</f>
        <v>24885.214622750878</v>
      </c>
      <c r="D90" s="62">
        <f>IFERROR(G90*'MWH-Split'!S76*'MWH-Split'!U76,"")</f>
        <v>21471.799221132464</v>
      </c>
      <c r="E90" s="63">
        <f>IFERROR(H90*'MWH-Split'!T76*'MWH-Split'!U76,"")</f>
        <v>3946.7195468190021</v>
      </c>
      <c r="F90" s="62">
        <f>'[1]Table 5'!F90*P90</f>
        <v>1387.41</v>
      </c>
      <c r="G90" s="62">
        <f>IF('MWH-Split'!N76&lt;&gt;0,'MWH-Split'!N76*P90,"")</f>
        <v>1156.175</v>
      </c>
      <c r="H90" s="63">
        <f>IF('MWH-Split'!O76&lt;&gt;0,'MWH-Split'!O76*P90,"")</f>
        <v>231.23500000000001</v>
      </c>
      <c r="I90" s="64">
        <f t="shared" si="30"/>
        <v>17.940000000000001</v>
      </c>
      <c r="J90" s="64">
        <f t="shared" si="30"/>
        <v>18.57</v>
      </c>
      <c r="K90" s="65">
        <f t="shared" si="30"/>
        <v>17.07</v>
      </c>
      <c r="M90" s="70">
        <f t="shared" si="32"/>
        <v>2023</v>
      </c>
      <c r="N90" s="67">
        <f t="shared" si="29"/>
        <v>45231</v>
      </c>
      <c r="P90" s="68">
        <f>IF('Monthly Levelized'!$K$5+'Monthly Levelized'!$L$5&lt;&gt;0,IFERROR(VLOOKUP(B90,'Monthly Levelized'!$G$5:$I$25,3,FALSE),P89),1)</f>
        <v>1</v>
      </c>
      <c r="Q90" s="213" t="str">
        <f t="shared" si="33"/>
        <v>Winter</v>
      </c>
      <c r="S90" s="214"/>
      <c r="T90" s="214"/>
      <c r="U90" s="214"/>
      <c r="V90" s="214"/>
    </row>
    <row r="91" spans="2:22" outlineLevel="1" x14ac:dyDescent="0.25">
      <c r="B91" s="78">
        <f t="shared" si="31"/>
        <v>45261</v>
      </c>
      <c r="C91" s="72">
        <f>'[1]Table 5'!E91*P91</f>
        <v>19638.374405413866</v>
      </c>
      <c r="D91" s="73">
        <f>IFERROR(G91*'MWH-Split'!S77*'MWH-Split'!U77,"")</f>
        <v>16739.987678428322</v>
      </c>
      <c r="E91" s="74">
        <f>IFERROR(H91*'MWH-Split'!T77*'MWH-Split'!U77,"")</f>
        <v>3785.7260123047699</v>
      </c>
      <c r="F91" s="73">
        <f>'[1]Table 5'!F91*P91</f>
        <v>1070.306</v>
      </c>
      <c r="G91" s="73">
        <f>IF('MWH-Split'!N77&lt;&gt;0,'MWH-Split'!N77*P91,"")</f>
        <v>863.15</v>
      </c>
      <c r="H91" s="74">
        <f>IF('MWH-Split'!O77&lt;&gt;0,'MWH-Split'!O77*P91,"")</f>
        <v>207.15600000000001</v>
      </c>
      <c r="I91" s="75">
        <f t="shared" si="30"/>
        <v>18.350000000000001</v>
      </c>
      <c r="J91" s="75">
        <f t="shared" si="30"/>
        <v>19.39</v>
      </c>
      <c r="K91" s="76">
        <f t="shared" si="30"/>
        <v>18.27</v>
      </c>
      <c r="M91" s="77">
        <f t="shared" si="32"/>
        <v>2023</v>
      </c>
      <c r="N91" s="78">
        <f t="shared" si="29"/>
        <v>45261</v>
      </c>
      <c r="P91" s="79">
        <f>IF('Monthly Levelized'!$K$5+'Monthly Levelized'!$L$5&lt;&gt;0,IFERROR(VLOOKUP(B91,'Monthly Levelized'!$G$5:$I$25,3,FALSE),P90),1)</f>
        <v>1</v>
      </c>
      <c r="Q91" s="213" t="str">
        <f t="shared" si="33"/>
        <v>Winter</v>
      </c>
      <c r="S91" s="214"/>
      <c r="T91" s="214"/>
      <c r="U91" s="214"/>
      <c r="V91" s="214"/>
    </row>
    <row r="92" spans="2:22" outlineLevel="1" x14ac:dyDescent="0.25">
      <c r="B92" s="80">
        <f t="shared" si="31"/>
        <v>45292</v>
      </c>
      <c r="C92" s="81">
        <f>'[1]Table 5'!E92*P92</f>
        <v>23114.831305205822</v>
      </c>
      <c r="D92" s="82">
        <f>IFERROR(G92*'MWH-Split'!S78*'MWH-Split'!U78,"")</f>
        <v>18390.301953132752</v>
      </c>
      <c r="E92" s="83">
        <f>IFERROR(H92*'MWH-Split'!T78*'MWH-Split'!U78,"")</f>
        <v>3207.6031580289373</v>
      </c>
      <c r="F92" s="82">
        <f>'[1]Table 5'!F92*P92</f>
        <v>1277.6959999999999</v>
      </c>
      <c r="G92" s="82">
        <f>IF('MWH-Split'!N78&lt;&gt;0,'MWH-Split'!N78*P92,"")</f>
        <v>1071.616</v>
      </c>
      <c r="H92" s="83">
        <f>IF('MWH-Split'!O78&lt;&gt;0,'MWH-Split'!O78*P92,"")</f>
        <v>206.08</v>
      </c>
      <c r="I92" s="84">
        <f t="shared" si="30"/>
        <v>18.09</v>
      </c>
      <c r="J92" s="84">
        <f t="shared" si="30"/>
        <v>17.16</v>
      </c>
      <c r="K92" s="85">
        <f t="shared" si="30"/>
        <v>15.56</v>
      </c>
      <c r="M92" s="66">
        <f t="shared" si="32"/>
        <v>2024</v>
      </c>
      <c r="N92" s="67">
        <f t="shared" si="29"/>
        <v>45292</v>
      </c>
      <c r="P92" s="86">
        <f>IF('Monthly Levelized'!$K$5+'Monthly Levelized'!$L$5&lt;&gt;0,IFERROR(VLOOKUP(B92,'Monthly Levelized'!$G$5:$I$25,3,FALSE),P91),1)</f>
        <v>1</v>
      </c>
      <c r="Q92" s="213" t="str">
        <f t="shared" si="33"/>
        <v>Winter</v>
      </c>
      <c r="S92" s="214"/>
      <c r="T92" s="214"/>
      <c r="U92" s="214"/>
      <c r="V92" s="214"/>
    </row>
    <row r="93" spans="2:22" outlineLevel="1" x14ac:dyDescent="0.25">
      <c r="B93" s="67">
        <f t="shared" si="31"/>
        <v>45323</v>
      </c>
      <c r="C93" s="61">
        <f>'[1]Table 5'!E93*P93</f>
        <v>28034.691789716482</v>
      </c>
      <c r="D93" s="62">
        <f>IFERROR(G93*'MWH-Split'!S79*'MWH-Split'!U79,"")</f>
        <v>22140.120208160686</v>
      </c>
      <c r="E93" s="63">
        <f>IFERROR(H93*'MWH-Split'!T79*'MWH-Split'!U79,"")</f>
        <v>3214.5495420711363</v>
      </c>
      <c r="F93" s="62">
        <f>'[1]Table 5'!F93*P93</f>
        <v>1481.03</v>
      </c>
      <c r="G93" s="62">
        <f>IF('MWH-Split'!N79&lt;&gt;0,'MWH-Split'!N79*P93,"")</f>
        <v>1276.75</v>
      </c>
      <c r="H93" s="63">
        <f>IF('MWH-Split'!O79&lt;&gt;0,'MWH-Split'!O79*P93,"")</f>
        <v>204.28</v>
      </c>
      <c r="I93" s="64">
        <f t="shared" si="30"/>
        <v>18.93</v>
      </c>
      <c r="J93" s="64">
        <f t="shared" si="30"/>
        <v>17.34</v>
      </c>
      <c r="K93" s="65">
        <f t="shared" si="30"/>
        <v>15.74</v>
      </c>
      <c r="M93" s="70">
        <f t="shared" si="32"/>
        <v>2024</v>
      </c>
      <c r="N93" s="67">
        <f t="shared" si="29"/>
        <v>45323</v>
      </c>
      <c r="P93" s="68">
        <f>IF('Monthly Levelized'!$K$5+'Monthly Levelized'!$L$5&lt;&gt;0,IFERROR(VLOOKUP(B93,'Monthly Levelized'!$G$5:$I$25,3,FALSE),P92),1)</f>
        <v>1</v>
      </c>
      <c r="Q93" s="213" t="str">
        <f t="shared" si="33"/>
        <v>Winter</v>
      </c>
      <c r="S93" s="214"/>
      <c r="T93" s="214"/>
      <c r="U93" s="214"/>
      <c r="V93" s="214"/>
    </row>
    <row r="94" spans="2:22" outlineLevel="1" x14ac:dyDescent="0.25">
      <c r="B94" s="67">
        <f t="shared" si="31"/>
        <v>45352</v>
      </c>
      <c r="C94" s="61">
        <f>'[1]Table 5'!E94*P94</f>
        <v>47171.08406598866</v>
      </c>
      <c r="D94" s="62">
        <f>IFERROR(G94*'MWH-Split'!S80*'MWH-Split'!U80,"")</f>
        <v>29700.419526357426</v>
      </c>
      <c r="E94" s="63">
        <f>IFERROR(H94*'MWH-Split'!T80*'MWH-Split'!U80,"")</f>
        <v>5340.8637675525679</v>
      </c>
      <c r="F94" s="62">
        <f>'[1]Table 5'!F94*P94</f>
        <v>2227.1329999999998</v>
      </c>
      <c r="G94" s="62">
        <f>IF('MWH-Split'!N80&lt;&gt;0,'MWH-Split'!N80*P94,"")</f>
        <v>1867.19</v>
      </c>
      <c r="H94" s="63">
        <f>IF('MWH-Split'!O80&lt;&gt;0,'MWH-Split'!O80*P94,"")</f>
        <v>359.94299999999998</v>
      </c>
      <c r="I94" s="64">
        <f t="shared" si="30"/>
        <v>21.18</v>
      </c>
      <c r="J94" s="64">
        <f t="shared" si="30"/>
        <v>15.91</v>
      </c>
      <c r="K94" s="65">
        <f t="shared" si="30"/>
        <v>14.84</v>
      </c>
      <c r="M94" s="70">
        <f t="shared" si="32"/>
        <v>2024</v>
      </c>
      <c r="N94" s="67">
        <f t="shared" si="29"/>
        <v>45352</v>
      </c>
      <c r="P94" s="68">
        <f>IF('Monthly Levelized'!$K$5+'Monthly Levelized'!$L$5&lt;&gt;0,IFERROR(VLOOKUP(B94,'Monthly Levelized'!$G$5:$I$25,3,FALSE),P93),1)</f>
        <v>1</v>
      </c>
      <c r="Q94" s="213" t="str">
        <f t="shared" si="33"/>
        <v>Winter</v>
      </c>
      <c r="S94" s="214"/>
      <c r="T94" s="214"/>
      <c r="U94" s="214"/>
      <c r="V94" s="214"/>
    </row>
    <row r="95" spans="2:22" outlineLevel="1" x14ac:dyDescent="0.25">
      <c r="B95" s="67">
        <f t="shared" si="31"/>
        <v>45383</v>
      </c>
      <c r="C95" s="61">
        <f>'[1]Table 5'!E95*P95</f>
        <v>45941.02354003489</v>
      </c>
      <c r="D95" s="62">
        <f>IFERROR(G95*'MWH-Split'!S81*'MWH-Split'!U81,"")</f>
        <v>29147.131799210067</v>
      </c>
      <c r="E95" s="63">
        <f>IFERROR(H95*'MWH-Split'!T81*'MWH-Split'!U81,"")</f>
        <v>4753.3792778428588</v>
      </c>
      <c r="F95" s="62">
        <f>'[1]Table 5'!F95*P95</f>
        <v>2572.35</v>
      </c>
      <c r="G95" s="62">
        <f>IF('MWH-Split'!N81&lt;&gt;0,'MWH-Split'!N81*P95,"")</f>
        <v>2190.2399999999998</v>
      </c>
      <c r="H95" s="63">
        <f>IF('MWH-Split'!O81&lt;&gt;0,'MWH-Split'!O81*P95,"")</f>
        <v>382.11</v>
      </c>
      <c r="I95" s="64">
        <f t="shared" si="30"/>
        <v>17.86</v>
      </c>
      <c r="J95" s="64">
        <f t="shared" si="30"/>
        <v>13.31</v>
      </c>
      <c r="K95" s="65">
        <f t="shared" si="30"/>
        <v>12.44</v>
      </c>
      <c r="M95" s="70">
        <f t="shared" si="32"/>
        <v>2024</v>
      </c>
      <c r="N95" s="67">
        <f t="shared" si="29"/>
        <v>45383</v>
      </c>
      <c r="P95" s="68">
        <f>IF('Monthly Levelized'!$K$5+'Monthly Levelized'!$L$5&lt;&gt;0,IFERROR(VLOOKUP(B95,'Monthly Levelized'!$G$5:$I$25,3,FALSE),P94),1)</f>
        <v>1</v>
      </c>
      <c r="Q95" s="213" t="str">
        <f t="shared" si="33"/>
        <v>Winter</v>
      </c>
      <c r="S95" s="214"/>
      <c r="T95" s="214"/>
      <c r="U95" s="214"/>
      <c r="V95" s="214"/>
    </row>
    <row r="96" spans="2:22" outlineLevel="1" x14ac:dyDescent="0.25">
      <c r="B96" s="67">
        <f t="shared" si="31"/>
        <v>45413</v>
      </c>
      <c r="C96" s="61">
        <f>'[1]Table 5'!E96*P96</f>
        <v>49822.132551267743</v>
      </c>
      <c r="D96" s="62">
        <f>IFERROR(G96*'MWH-Split'!S82*'MWH-Split'!U82,"")</f>
        <v>30915.826364368873</v>
      </c>
      <c r="E96" s="63">
        <f>IFERROR(H96*'MWH-Split'!T82*'MWH-Split'!U82,"")</f>
        <v>7189.2750690869943</v>
      </c>
      <c r="F96" s="62">
        <f>'[1]Table 5'!F96*P96</f>
        <v>2977.674</v>
      </c>
      <c r="G96" s="62">
        <f>IF('MWH-Split'!N82&lt;&gt;0,'MWH-Split'!N82*P96,"")</f>
        <v>2370.6280000000002</v>
      </c>
      <c r="H96" s="63">
        <f>IF('MWH-Split'!O82&lt;&gt;0,'MWH-Split'!O82*P96,"")</f>
        <v>607.04600000000005</v>
      </c>
      <c r="I96" s="64">
        <f t="shared" si="30"/>
        <v>16.73</v>
      </c>
      <c r="J96" s="64">
        <f t="shared" si="30"/>
        <v>13.04</v>
      </c>
      <c r="K96" s="65">
        <f t="shared" si="30"/>
        <v>11.84</v>
      </c>
      <c r="M96" s="70">
        <f t="shared" si="32"/>
        <v>2024</v>
      </c>
      <c r="N96" s="67">
        <f t="shared" si="29"/>
        <v>45413</v>
      </c>
      <c r="P96" s="68">
        <f>IF('Monthly Levelized'!$K$5+'Monthly Levelized'!$L$5&lt;&gt;0,IFERROR(VLOOKUP(B96,'Monthly Levelized'!$G$5:$I$25,3,FALSE),P95),1)</f>
        <v>1</v>
      </c>
      <c r="Q96" s="213" t="str">
        <f t="shared" si="33"/>
        <v>Winter</v>
      </c>
      <c r="S96" s="214"/>
      <c r="T96" s="214"/>
      <c r="U96" s="214"/>
      <c r="V96" s="214"/>
    </row>
    <row r="97" spans="2:22" outlineLevel="1" x14ac:dyDescent="0.25">
      <c r="B97" s="67">
        <f t="shared" si="31"/>
        <v>45444</v>
      </c>
      <c r="C97" s="61">
        <f>'[1]Table 5'!E97*P97</f>
        <v>53638.791777133942</v>
      </c>
      <c r="D97" s="62">
        <f>IFERROR(G97*'MWH-Split'!S83*'MWH-Split'!U83,"")</f>
        <v>34221.01145781963</v>
      </c>
      <c r="E97" s="63">
        <f>IFERROR(H97*'MWH-Split'!T83*'MWH-Split'!U83,"")</f>
        <v>8395.5433398153436</v>
      </c>
      <c r="F97" s="62">
        <f>'[1]Table 5'!F97*P97</f>
        <v>3163.47</v>
      </c>
      <c r="G97" s="62">
        <f>IF('MWH-Split'!N83&lt;&gt;0,'MWH-Split'!N83*P97,"")</f>
        <v>2484.9749999999999</v>
      </c>
      <c r="H97" s="63">
        <f>IF('MWH-Split'!O83&lt;&gt;0,'MWH-Split'!O83*P97,"")</f>
        <v>678.495</v>
      </c>
      <c r="I97" s="64">
        <f t="shared" si="30"/>
        <v>16.96</v>
      </c>
      <c r="J97" s="64">
        <f t="shared" si="30"/>
        <v>13.77</v>
      </c>
      <c r="K97" s="65">
        <f t="shared" si="30"/>
        <v>12.37</v>
      </c>
      <c r="M97" s="70">
        <f t="shared" si="32"/>
        <v>2024</v>
      </c>
      <c r="N97" s="67">
        <f t="shared" ref="N97:N160" si="34">IF(ISNUMBER(F97),IF(F97&lt;&gt;0,B97,""),"")</f>
        <v>45444</v>
      </c>
      <c r="P97" s="68">
        <f>IF('Monthly Levelized'!$K$5+'Monthly Levelized'!$L$5&lt;&gt;0,IFERROR(VLOOKUP(B97,'Monthly Levelized'!$G$5:$I$25,3,FALSE),P96),1)</f>
        <v>1</v>
      </c>
      <c r="Q97" s="213" t="str">
        <f t="shared" si="33"/>
        <v>Summer</v>
      </c>
      <c r="S97" s="214"/>
      <c r="T97" s="214"/>
      <c r="U97" s="214"/>
      <c r="V97" s="214"/>
    </row>
    <row r="98" spans="2:22" outlineLevel="1" x14ac:dyDescent="0.25">
      <c r="B98" s="67">
        <f t="shared" si="31"/>
        <v>45474</v>
      </c>
      <c r="C98" s="61">
        <f>'[1]Table 5'!E98*P98</f>
        <v>52175.697595655918</v>
      </c>
      <c r="D98" s="62">
        <f>IFERROR(G98*'MWH-Split'!S84*'MWH-Split'!U84,"")</f>
        <v>45957.743417914477</v>
      </c>
      <c r="E98" s="63">
        <f>IFERROR(H98*'MWH-Split'!T84*'MWH-Split'!U84,"")</f>
        <v>8830.4827422895924</v>
      </c>
      <c r="F98" s="62">
        <f>'[1]Table 5'!F98*P98</f>
        <v>2863.3150000000001</v>
      </c>
      <c r="G98" s="62">
        <f>IF('MWH-Split'!N84&lt;&gt;0,'MWH-Split'!N84*P98,"")</f>
        <v>2295.1239999999998</v>
      </c>
      <c r="H98" s="63">
        <f>IF('MWH-Split'!O84&lt;&gt;0,'MWH-Split'!O84*P98,"")</f>
        <v>568.19100000000003</v>
      </c>
      <c r="I98" s="64">
        <f t="shared" si="30"/>
        <v>18.22</v>
      </c>
      <c r="J98" s="64">
        <f t="shared" si="30"/>
        <v>20.02</v>
      </c>
      <c r="K98" s="65">
        <f t="shared" si="30"/>
        <v>15.54</v>
      </c>
      <c r="M98" s="70">
        <f t="shared" si="32"/>
        <v>2024</v>
      </c>
      <c r="N98" s="67">
        <f t="shared" si="34"/>
        <v>45474</v>
      </c>
      <c r="P98" s="68">
        <f>IF('Monthly Levelized'!$K$5+'Monthly Levelized'!$L$5&lt;&gt;0,IFERROR(VLOOKUP(B98,'Monthly Levelized'!$G$5:$I$25,3,FALSE),P97),1)</f>
        <v>1</v>
      </c>
      <c r="Q98" s="213" t="str">
        <f t="shared" si="33"/>
        <v>Summer</v>
      </c>
      <c r="S98" s="214"/>
      <c r="T98" s="214"/>
      <c r="U98" s="214"/>
      <c r="V98" s="214"/>
    </row>
    <row r="99" spans="2:22" outlineLevel="1" x14ac:dyDescent="0.25">
      <c r="B99" s="67">
        <f t="shared" si="31"/>
        <v>45505</v>
      </c>
      <c r="C99" s="61">
        <f>'[1]Table 5'!E99*P99</f>
        <v>57599.915363997221</v>
      </c>
      <c r="D99" s="62">
        <f>IFERROR(G99*'MWH-Split'!S85*'MWH-Split'!U85,"")</f>
        <v>51647.550141819389</v>
      </c>
      <c r="E99" s="63">
        <f>IFERROR(H99*'MWH-Split'!T85*'MWH-Split'!U85,"")</f>
        <v>6909.7270093677971</v>
      </c>
      <c r="F99" s="62">
        <f>'[1]Table 5'!F99*P99</f>
        <v>2868.027</v>
      </c>
      <c r="G99" s="62">
        <f>IF('MWH-Split'!N85&lt;&gt;0,'MWH-Split'!N85*P99,"")</f>
        <v>2442.069</v>
      </c>
      <c r="H99" s="63">
        <f>IF('MWH-Split'!O85&lt;&gt;0,'MWH-Split'!O85*P99,"")</f>
        <v>425.95800000000003</v>
      </c>
      <c r="I99" s="64">
        <f t="shared" si="30"/>
        <v>20.079999999999998</v>
      </c>
      <c r="J99" s="64">
        <f t="shared" si="30"/>
        <v>21.15</v>
      </c>
      <c r="K99" s="65">
        <f t="shared" si="30"/>
        <v>16.22</v>
      </c>
      <c r="M99" s="70">
        <f t="shared" si="32"/>
        <v>2024</v>
      </c>
      <c r="N99" s="67">
        <f t="shared" si="34"/>
        <v>45505</v>
      </c>
      <c r="P99" s="68">
        <f>IF('Monthly Levelized'!$K$5+'Monthly Levelized'!$L$5&lt;&gt;0,IFERROR(VLOOKUP(B99,'Monthly Levelized'!$G$5:$I$25,3,FALSE),P98),1)</f>
        <v>1</v>
      </c>
      <c r="Q99" s="213" t="str">
        <f t="shared" si="33"/>
        <v>Summer</v>
      </c>
      <c r="S99" s="214"/>
      <c r="T99" s="214"/>
      <c r="U99" s="214"/>
      <c r="V99" s="214"/>
    </row>
    <row r="100" spans="2:22" outlineLevel="1" x14ac:dyDescent="0.25">
      <c r="B100" s="67">
        <f t="shared" si="31"/>
        <v>45536</v>
      </c>
      <c r="C100" s="61">
        <f>'[1]Table 5'!E100*P100</f>
        <v>55217.849770486355</v>
      </c>
      <c r="D100" s="62">
        <f>IFERROR(G100*'MWH-Split'!S86*'MWH-Split'!U86,"")</f>
        <v>35948.220546404766</v>
      </c>
      <c r="E100" s="63">
        <f>IFERROR(H100*'MWH-Split'!T86*'MWH-Split'!U86,"")</f>
        <v>7666.2276132776442</v>
      </c>
      <c r="F100" s="62">
        <f>'[1]Table 5'!F100*P100</f>
        <v>2528.13</v>
      </c>
      <c r="G100" s="62">
        <f>IF('MWH-Split'!N86&lt;&gt;0,'MWH-Split'!N86*P100,"")</f>
        <v>2007.2639999999999</v>
      </c>
      <c r="H100" s="63">
        <f>IF('MWH-Split'!O86&lt;&gt;0,'MWH-Split'!O86*P100,"")</f>
        <v>520.86599999999999</v>
      </c>
      <c r="I100" s="64">
        <f t="shared" si="30"/>
        <v>21.84</v>
      </c>
      <c r="J100" s="64">
        <f t="shared" si="30"/>
        <v>17.91</v>
      </c>
      <c r="K100" s="65">
        <f t="shared" si="30"/>
        <v>14.72</v>
      </c>
      <c r="M100" s="70">
        <f t="shared" si="32"/>
        <v>2024</v>
      </c>
      <c r="N100" s="67">
        <f t="shared" si="34"/>
        <v>45536</v>
      </c>
      <c r="P100" s="68">
        <f>IF('Monthly Levelized'!$K$5+'Monthly Levelized'!$L$5&lt;&gt;0,IFERROR(VLOOKUP(B100,'Monthly Levelized'!$G$5:$I$25,3,FALSE),P99),1)</f>
        <v>1</v>
      </c>
      <c r="Q100" s="213" t="str">
        <f t="shared" si="33"/>
        <v>Summer</v>
      </c>
      <c r="S100" s="214"/>
      <c r="T100" s="214"/>
      <c r="U100" s="214"/>
      <c r="V100" s="214"/>
    </row>
    <row r="101" spans="2:22" outlineLevel="1" x14ac:dyDescent="0.25">
      <c r="B101" s="67">
        <f t="shared" si="31"/>
        <v>45566</v>
      </c>
      <c r="C101" s="61">
        <f>'[1]Table 5'!E101*P101</f>
        <v>-30077.528287529945</v>
      </c>
      <c r="D101" s="62">
        <f>IFERROR(G101*'MWH-Split'!S87*'MWH-Split'!U87,"")</f>
        <v>31252.428655273961</v>
      </c>
      <c r="E101" s="63">
        <f>IFERROR(H101*'MWH-Split'!T87*'MWH-Split'!U87,"")</f>
        <v>4116.1898759824289</v>
      </c>
      <c r="F101" s="62">
        <f>'[1]Table 5'!F101*P101</f>
        <v>2049.627</v>
      </c>
      <c r="G101" s="62">
        <f>IF('MWH-Split'!N87&lt;&gt;0,'MWH-Split'!N87*P101,"")</f>
        <v>1784.7270000000001</v>
      </c>
      <c r="H101" s="63">
        <f>IF('MWH-Split'!O87&lt;&gt;0,'MWH-Split'!O87*P101,"")</f>
        <v>264.89999999999998</v>
      </c>
      <c r="I101" s="64">
        <f t="shared" si="30"/>
        <v>0</v>
      </c>
      <c r="J101" s="64">
        <f t="shared" si="30"/>
        <v>17.510000000000002</v>
      </c>
      <c r="K101" s="65">
        <f t="shared" si="30"/>
        <v>15.54</v>
      </c>
      <c r="M101" s="70">
        <f t="shared" si="32"/>
        <v>2024</v>
      </c>
      <c r="N101" s="67">
        <f t="shared" si="34"/>
        <v>45566</v>
      </c>
      <c r="P101" s="68">
        <f>IF('Monthly Levelized'!$K$5+'Monthly Levelized'!$L$5&lt;&gt;0,IFERROR(VLOOKUP(B101,'Monthly Levelized'!$G$5:$I$25,3,FALSE),P100),1)</f>
        <v>1</v>
      </c>
      <c r="Q101" s="213" t="str">
        <f t="shared" si="33"/>
        <v>Winter</v>
      </c>
      <c r="S101" s="214"/>
      <c r="T101" s="214"/>
      <c r="U101" s="214"/>
      <c r="V101" s="214"/>
    </row>
    <row r="102" spans="2:22" outlineLevel="1" x14ac:dyDescent="0.25">
      <c r="B102" s="67">
        <f t="shared" si="31"/>
        <v>45597</v>
      </c>
      <c r="C102" s="61">
        <f>'[1]Table 5'!E102*P102</f>
        <v>30107.624423384666</v>
      </c>
      <c r="D102" s="62">
        <f>IFERROR(G102*'MWH-Split'!S88*'MWH-Split'!U88,"")</f>
        <v>20958.024467976549</v>
      </c>
      <c r="E102" s="63">
        <f>IFERROR(H102*'MWH-Split'!T88*'MWH-Split'!U88,"")</f>
        <v>3729.4075356726116</v>
      </c>
      <c r="F102" s="62">
        <f>'[1]Table 5'!F102*P102</f>
        <v>1380.45</v>
      </c>
      <c r="G102" s="62">
        <f>IF('MWH-Split'!N88&lt;&gt;0,'MWH-Split'!N88*P102,"")</f>
        <v>1150.375</v>
      </c>
      <c r="H102" s="63">
        <f>IF('MWH-Split'!O88&lt;&gt;0,'MWH-Split'!O88*P102,"")</f>
        <v>230.07499999999999</v>
      </c>
      <c r="I102" s="64">
        <f>MAX(ROUND(IF(ISNUMBER(F102),C102/F102,""),2),0)</f>
        <v>21.81</v>
      </c>
      <c r="J102" s="64">
        <f t="shared" si="30"/>
        <v>18.22</v>
      </c>
      <c r="K102" s="65">
        <f t="shared" si="30"/>
        <v>16.21</v>
      </c>
      <c r="M102" s="70">
        <f t="shared" si="32"/>
        <v>2024</v>
      </c>
      <c r="N102" s="67">
        <f t="shared" si="34"/>
        <v>45597</v>
      </c>
      <c r="P102" s="68">
        <f>IF('Monthly Levelized'!$K$5+'Monthly Levelized'!$L$5&lt;&gt;0,IFERROR(VLOOKUP(B102,'Monthly Levelized'!$G$5:$I$25,3,FALSE),P101),1)</f>
        <v>1</v>
      </c>
      <c r="Q102" s="213" t="str">
        <f t="shared" si="33"/>
        <v>Winter</v>
      </c>
      <c r="S102" s="214"/>
      <c r="T102" s="214"/>
      <c r="U102" s="214"/>
      <c r="V102" s="214"/>
    </row>
    <row r="103" spans="2:22" outlineLevel="1" x14ac:dyDescent="0.25">
      <c r="B103" s="78">
        <f t="shared" si="31"/>
        <v>45627</v>
      </c>
      <c r="C103" s="72">
        <f>'[1]Table 5'!E103*P103</f>
        <v>20459.387977570295</v>
      </c>
      <c r="D103" s="73">
        <f>IFERROR(G103*'MWH-Split'!S89*'MWH-Split'!U89,"")</f>
        <v>16065.499933420571</v>
      </c>
      <c r="E103" s="74">
        <f>IFERROR(H103*'MWH-Split'!T89*'MWH-Split'!U89,"")</f>
        <v>3507.9744700649899</v>
      </c>
      <c r="F103" s="73">
        <f>'[1]Table 5'!F103*P103</f>
        <v>1064.9739999999999</v>
      </c>
      <c r="G103" s="73">
        <f>IF('MWH-Split'!N89&lt;&gt;0,'MWH-Split'!N89*P103,"")</f>
        <v>858.85</v>
      </c>
      <c r="H103" s="74">
        <f>IF('MWH-Split'!O89&lt;&gt;0,'MWH-Split'!O89*P103,"")</f>
        <v>206.124</v>
      </c>
      <c r="I103" s="75">
        <f t="shared" si="30"/>
        <v>19.21</v>
      </c>
      <c r="J103" s="75">
        <f t="shared" si="30"/>
        <v>18.71</v>
      </c>
      <c r="K103" s="76">
        <f t="shared" si="30"/>
        <v>17.02</v>
      </c>
      <c r="M103" s="77">
        <f t="shared" si="32"/>
        <v>2024</v>
      </c>
      <c r="N103" s="78">
        <f t="shared" si="34"/>
        <v>45627</v>
      </c>
      <c r="P103" s="79">
        <f>IF('Monthly Levelized'!$K$5+'Monthly Levelized'!$L$5&lt;&gt;0,IFERROR(VLOOKUP(B103,'Monthly Levelized'!$G$5:$I$25,3,FALSE),P102),1)</f>
        <v>1</v>
      </c>
      <c r="Q103" s="213" t="str">
        <f t="shared" si="33"/>
        <v>Winter</v>
      </c>
      <c r="S103" s="214"/>
      <c r="T103" s="214"/>
      <c r="U103" s="214"/>
      <c r="V103" s="214"/>
    </row>
    <row r="104" spans="2:22" outlineLevel="1" x14ac:dyDescent="0.25">
      <c r="B104" s="80">
        <f t="shared" si="31"/>
        <v>45658</v>
      </c>
      <c r="C104" s="81">
        <f>'[1]Table 5'!E104*P104</f>
        <v>25507.410451680422</v>
      </c>
      <c r="D104" s="82">
        <f>IFERROR(G104*'MWH-Split'!S90*'MWH-Split'!U90,"")</f>
        <v>22093.740205223028</v>
      </c>
      <c r="E104" s="83">
        <f>IFERROR(H104*'MWH-Split'!T90*'MWH-Split'!U90,"")</f>
        <v>3849.5027211518459</v>
      </c>
      <c r="F104" s="82">
        <f>'[1]Table 5'!F104*P104</f>
        <v>1271.3720000000001</v>
      </c>
      <c r="G104" s="82">
        <f>IF('MWH-Split'!N90&lt;&gt;0,'MWH-Split'!N90*P104,"")</f>
        <v>1066.3119999999999</v>
      </c>
      <c r="H104" s="83">
        <f>IF('MWH-Split'!O90&lt;&gt;0,'MWH-Split'!O90*P104,"")</f>
        <v>205.06</v>
      </c>
      <c r="I104" s="84">
        <f t="shared" si="30"/>
        <v>20.059999999999999</v>
      </c>
      <c r="J104" s="84">
        <f t="shared" si="30"/>
        <v>20.72</v>
      </c>
      <c r="K104" s="85">
        <f t="shared" si="30"/>
        <v>18.77</v>
      </c>
      <c r="M104" s="66">
        <f t="shared" si="32"/>
        <v>2025</v>
      </c>
      <c r="N104" s="67">
        <f t="shared" si="34"/>
        <v>45658</v>
      </c>
      <c r="P104" s="86">
        <f>IF('Monthly Levelized'!$K$5+'Monthly Levelized'!$L$5&lt;&gt;0,IFERROR(VLOOKUP(B104,'Monthly Levelized'!$G$5:$I$25,3,FALSE),P103),1)</f>
        <v>1</v>
      </c>
      <c r="Q104" s="213" t="str">
        <f t="shared" si="33"/>
        <v>Winter</v>
      </c>
      <c r="S104" s="214"/>
      <c r="T104" s="214"/>
      <c r="U104" s="214"/>
      <c r="V104" s="214"/>
    </row>
    <row r="105" spans="2:22" outlineLevel="1" x14ac:dyDescent="0.25">
      <c r="B105" s="67">
        <f t="shared" si="31"/>
        <v>45689</v>
      </c>
      <c r="C105" s="61">
        <f>'[1]Table 5'!E105*P105</f>
        <v>26594.82295525074</v>
      </c>
      <c r="D105" s="62">
        <f>IFERROR(G105*'MWH-Split'!S91*'MWH-Split'!U91,"")</f>
        <v>26102.10490733185</v>
      </c>
      <c r="E105" s="63">
        <f>IFERROR(H105*'MWH-Split'!T91*'MWH-Split'!U91,"")</f>
        <v>3973.4993365768623</v>
      </c>
      <c r="F105" s="62">
        <f>'[1]Table 5'!F105*P105</f>
        <v>1422.876</v>
      </c>
      <c r="G105" s="62">
        <f>IF('MWH-Split'!N91&lt;&gt;0,'MWH-Split'!N91*P105,"")</f>
        <v>1219.6079999999999</v>
      </c>
      <c r="H105" s="63">
        <f>IF('MWH-Split'!O91&lt;&gt;0,'MWH-Split'!O91*P105,"")</f>
        <v>203.268</v>
      </c>
      <c r="I105" s="64">
        <f t="shared" si="30"/>
        <v>18.690000000000001</v>
      </c>
      <c r="J105" s="64">
        <f t="shared" si="30"/>
        <v>21.4</v>
      </c>
      <c r="K105" s="65">
        <f t="shared" si="30"/>
        <v>19.55</v>
      </c>
      <c r="M105" s="70">
        <f t="shared" si="32"/>
        <v>2025</v>
      </c>
      <c r="N105" s="67">
        <f t="shared" si="34"/>
        <v>45689</v>
      </c>
      <c r="P105" s="68">
        <f>IF('Monthly Levelized'!$K$5+'Monthly Levelized'!$L$5&lt;&gt;0,IFERROR(VLOOKUP(B105,'Monthly Levelized'!$G$5:$I$25,3,FALSE),P104),1)</f>
        <v>1</v>
      </c>
      <c r="Q105" s="213" t="str">
        <f t="shared" si="33"/>
        <v>Winter</v>
      </c>
      <c r="S105" s="214"/>
      <c r="T105" s="214"/>
      <c r="U105" s="214"/>
      <c r="V105" s="214"/>
    </row>
    <row r="106" spans="2:22" outlineLevel="1" x14ac:dyDescent="0.25">
      <c r="B106" s="67">
        <f t="shared" si="31"/>
        <v>45717</v>
      </c>
      <c r="C106" s="61">
        <f>'[1]Table 5'!E106*P106</f>
        <v>47054.48240557313</v>
      </c>
      <c r="D106" s="62">
        <f>IFERROR(G106*'MWH-Split'!S92*'MWH-Split'!U92,"")</f>
        <v>35919.48879395469</v>
      </c>
      <c r="E106" s="63">
        <f>IFERROR(H106*'MWH-Split'!T92*'MWH-Split'!U92,"")</f>
        <v>6567.134793834548</v>
      </c>
      <c r="F106" s="62">
        <f>'[1]Table 5'!F106*P106</f>
        <v>2216.0659999999998</v>
      </c>
      <c r="G106" s="62">
        <f>IF('MWH-Split'!N92&lt;&gt;0,'MWH-Split'!N92*P106,"")</f>
        <v>1857.9079999999999</v>
      </c>
      <c r="H106" s="63">
        <f>IF('MWH-Split'!O92&lt;&gt;0,'MWH-Split'!O92*P106,"")</f>
        <v>358.15800000000002</v>
      </c>
      <c r="I106" s="64">
        <f t="shared" ref="I106:K169" si="35">MAX(ROUND(IF(ISNUMBER(F106),C106/F106,""),2),0)</f>
        <v>21.23</v>
      </c>
      <c r="J106" s="64">
        <f t="shared" si="35"/>
        <v>19.329999999999998</v>
      </c>
      <c r="K106" s="65">
        <f t="shared" si="35"/>
        <v>18.34</v>
      </c>
      <c r="M106" s="70">
        <f t="shared" si="32"/>
        <v>2025</v>
      </c>
      <c r="N106" s="67">
        <f t="shared" si="34"/>
        <v>45717</v>
      </c>
      <c r="P106" s="68">
        <f>IF('Monthly Levelized'!$K$5+'Monthly Levelized'!$L$5&lt;&gt;0,IFERROR(VLOOKUP(B106,'Monthly Levelized'!$G$5:$I$25,3,FALSE),P105),1)</f>
        <v>1</v>
      </c>
      <c r="Q106" s="213" t="str">
        <f t="shared" si="33"/>
        <v>Winter</v>
      </c>
      <c r="S106" s="214"/>
      <c r="T106" s="214"/>
      <c r="U106" s="214"/>
      <c r="V106" s="214"/>
    </row>
    <row r="107" spans="2:22" outlineLevel="1" x14ac:dyDescent="0.25">
      <c r="B107" s="67">
        <f t="shared" si="31"/>
        <v>45748</v>
      </c>
      <c r="C107" s="61">
        <f>'[1]Table 5'!E107*P107</f>
        <v>47180.032073989511</v>
      </c>
      <c r="D107" s="62">
        <f>IFERROR(G107*'MWH-Split'!S93*'MWH-Split'!U93,"")</f>
        <v>33740.908913836538</v>
      </c>
      <c r="E107" s="63">
        <f>IFERROR(H107*'MWH-Split'!T93*'MWH-Split'!U93,"")</f>
        <v>5368.9313850835524</v>
      </c>
      <c r="F107" s="62">
        <f>'[1]Table 5'!F107*P107</f>
        <v>2559.48</v>
      </c>
      <c r="G107" s="62">
        <f>IF('MWH-Split'!N93&lt;&gt;0,'MWH-Split'!N93*P107,"")</f>
        <v>2179.268</v>
      </c>
      <c r="H107" s="63">
        <f>IF('MWH-Split'!O93&lt;&gt;0,'MWH-Split'!O93*P107,"")</f>
        <v>380.21199999999999</v>
      </c>
      <c r="I107" s="64">
        <f t="shared" si="35"/>
        <v>18.43</v>
      </c>
      <c r="J107" s="64">
        <f t="shared" si="35"/>
        <v>15.48</v>
      </c>
      <c r="K107" s="65">
        <f t="shared" si="35"/>
        <v>14.12</v>
      </c>
      <c r="M107" s="70">
        <f t="shared" si="32"/>
        <v>2025</v>
      </c>
      <c r="N107" s="67">
        <f t="shared" si="34"/>
        <v>45748</v>
      </c>
      <c r="P107" s="68">
        <f>IF('Monthly Levelized'!$K$5+'Monthly Levelized'!$L$5&lt;&gt;0,IFERROR(VLOOKUP(B107,'Monthly Levelized'!$G$5:$I$25,3,FALSE),P106),1)</f>
        <v>1</v>
      </c>
      <c r="Q107" s="213" t="str">
        <f t="shared" si="33"/>
        <v>Winter</v>
      </c>
      <c r="S107" s="214"/>
      <c r="T107" s="214"/>
      <c r="U107" s="214"/>
      <c r="V107" s="214"/>
    </row>
    <row r="108" spans="2:22" outlineLevel="1" x14ac:dyDescent="0.25">
      <c r="B108" s="67">
        <f t="shared" si="31"/>
        <v>45778</v>
      </c>
      <c r="C108" s="61">
        <f>'[1]Table 5'!E108*P108</f>
        <v>52262.63442517817</v>
      </c>
      <c r="D108" s="62">
        <f>IFERROR(G108*'MWH-Split'!S94*'MWH-Split'!U94,"")</f>
        <v>35545.379614819321</v>
      </c>
      <c r="E108" s="63">
        <f>IFERROR(H108*'MWH-Split'!T94*'MWH-Split'!U94,"")</f>
        <v>8348.9489497459854</v>
      </c>
      <c r="F108" s="62">
        <f>'[1]Table 5'!F108*P108</f>
        <v>2962.7939999999999</v>
      </c>
      <c r="G108" s="62">
        <f>IF('MWH-Split'!N94&lt;&gt;0,'MWH-Split'!N94*P108,"")</f>
        <v>2358.7719999999999</v>
      </c>
      <c r="H108" s="63">
        <f>IF('MWH-Split'!O94&lt;&gt;0,'MWH-Split'!O94*P108,"")</f>
        <v>604.02200000000005</v>
      </c>
      <c r="I108" s="64">
        <f t="shared" si="35"/>
        <v>17.64</v>
      </c>
      <c r="J108" s="64">
        <f t="shared" si="35"/>
        <v>15.07</v>
      </c>
      <c r="K108" s="65">
        <f t="shared" si="35"/>
        <v>13.82</v>
      </c>
      <c r="M108" s="70">
        <f t="shared" si="32"/>
        <v>2025</v>
      </c>
      <c r="N108" s="67">
        <f t="shared" si="34"/>
        <v>45778</v>
      </c>
      <c r="P108" s="68">
        <f>IF('Monthly Levelized'!$K$5+'Monthly Levelized'!$L$5&lt;&gt;0,IFERROR(VLOOKUP(B108,'Monthly Levelized'!$G$5:$I$25,3,FALSE),P107),1)</f>
        <v>1</v>
      </c>
      <c r="Q108" s="213" t="str">
        <f t="shared" si="33"/>
        <v>Winter</v>
      </c>
      <c r="S108" s="214"/>
      <c r="T108" s="214"/>
      <c r="U108" s="214"/>
      <c r="V108" s="214"/>
    </row>
    <row r="109" spans="2:22" outlineLevel="1" x14ac:dyDescent="0.25">
      <c r="B109" s="67">
        <f t="shared" si="31"/>
        <v>45809</v>
      </c>
      <c r="C109" s="61">
        <f>'[1]Table 5'!E109*P109</f>
        <v>56708.277726083994</v>
      </c>
      <c r="D109" s="62">
        <f>IFERROR(G109*'MWH-Split'!S95*'MWH-Split'!U95,"")</f>
        <v>40437.148969562688</v>
      </c>
      <c r="E109" s="63">
        <f>IFERROR(H109*'MWH-Split'!T95*'MWH-Split'!U95,"")</f>
        <v>9699.7941886416265</v>
      </c>
      <c r="F109" s="62">
        <f>'[1]Table 5'!F109*P109</f>
        <v>3147.63</v>
      </c>
      <c r="G109" s="62">
        <f>IF('MWH-Split'!N95&lt;&gt;0,'MWH-Split'!N95*P109,"")</f>
        <v>2472.5250000000001</v>
      </c>
      <c r="H109" s="63">
        <f>IF('MWH-Split'!O95&lt;&gt;0,'MWH-Split'!O95*P109,"")</f>
        <v>675.10500000000002</v>
      </c>
      <c r="I109" s="64">
        <f t="shared" si="35"/>
        <v>18.02</v>
      </c>
      <c r="J109" s="64">
        <f t="shared" si="35"/>
        <v>16.350000000000001</v>
      </c>
      <c r="K109" s="65">
        <f t="shared" si="35"/>
        <v>14.37</v>
      </c>
      <c r="M109" s="70">
        <f t="shared" si="32"/>
        <v>2025</v>
      </c>
      <c r="N109" s="67">
        <f t="shared" si="34"/>
        <v>45809</v>
      </c>
      <c r="P109" s="68">
        <f>IF('Monthly Levelized'!$K$5+'Monthly Levelized'!$L$5&lt;&gt;0,IFERROR(VLOOKUP(B109,'Monthly Levelized'!$G$5:$I$25,3,FALSE),P108),1)</f>
        <v>1</v>
      </c>
      <c r="Q109" s="213" t="str">
        <f t="shared" si="33"/>
        <v>Summer</v>
      </c>
      <c r="S109" s="214"/>
      <c r="T109" s="214"/>
      <c r="U109" s="214"/>
      <c r="V109" s="214"/>
    </row>
    <row r="110" spans="2:22" outlineLevel="1" x14ac:dyDescent="0.25">
      <c r="B110" s="67">
        <f t="shared" si="31"/>
        <v>45839</v>
      </c>
      <c r="C110" s="61">
        <f>'[1]Table 5'!E110*P110</f>
        <v>52694.382146120071</v>
      </c>
      <c r="D110" s="62">
        <f>IFERROR(G110*'MWH-Split'!S96*'MWH-Split'!U96,"")</f>
        <v>53247.686633717552</v>
      </c>
      <c r="E110" s="63">
        <f>IFERROR(H110*'MWH-Split'!T96*'MWH-Split'!U96,"")</f>
        <v>10245.733050020683</v>
      </c>
      <c r="F110" s="62">
        <f>'[1]Table 5'!F110*P110</f>
        <v>2849.0239999999999</v>
      </c>
      <c r="G110" s="62">
        <f>IF('MWH-Split'!N96&lt;&gt;0,'MWH-Split'!N96*P110,"")</f>
        <v>2283.6320000000001</v>
      </c>
      <c r="H110" s="63">
        <f>IF('MWH-Split'!O96&lt;&gt;0,'MWH-Split'!O96*P110,"")</f>
        <v>565.39200000000005</v>
      </c>
      <c r="I110" s="64">
        <f t="shared" si="35"/>
        <v>18.5</v>
      </c>
      <c r="J110" s="64">
        <f t="shared" si="35"/>
        <v>23.32</v>
      </c>
      <c r="K110" s="65">
        <f t="shared" si="35"/>
        <v>18.12</v>
      </c>
      <c r="M110" s="70">
        <f t="shared" si="32"/>
        <v>2025</v>
      </c>
      <c r="N110" s="67">
        <f t="shared" si="34"/>
        <v>45839</v>
      </c>
      <c r="P110" s="68">
        <f>IF('Monthly Levelized'!$K$5+'Monthly Levelized'!$L$5&lt;&gt;0,IFERROR(VLOOKUP(B110,'Monthly Levelized'!$G$5:$I$25,3,FALSE),P109),1)</f>
        <v>1</v>
      </c>
      <c r="Q110" s="213" t="str">
        <f t="shared" si="33"/>
        <v>Summer</v>
      </c>
      <c r="S110" s="214"/>
      <c r="T110" s="214"/>
      <c r="U110" s="214"/>
      <c r="V110" s="214"/>
    </row>
    <row r="111" spans="2:22" outlineLevel="1" x14ac:dyDescent="0.25">
      <c r="B111" s="67">
        <f t="shared" si="31"/>
        <v>45870</v>
      </c>
      <c r="C111" s="61">
        <f>'[1]Table 5'!E111*P111</f>
        <v>56612.079983025789</v>
      </c>
      <c r="D111" s="62">
        <f>IFERROR(G111*'MWH-Split'!S97*'MWH-Split'!U97,"")</f>
        <v>59338.367988758342</v>
      </c>
      <c r="E111" s="63">
        <f>IFERROR(H111*'MWH-Split'!T97*'MWH-Split'!U97,"")</f>
        <v>9916.248002480379</v>
      </c>
      <c r="F111" s="62">
        <f>'[1]Table 5'!F111*P111</f>
        <v>2853.7049999999999</v>
      </c>
      <c r="G111" s="62">
        <f>IF('MWH-Split'!N97&lt;&gt;0,'MWH-Split'!N97*P111,"")</f>
        <v>2339.87</v>
      </c>
      <c r="H111" s="63">
        <f>IF('MWH-Split'!O97&lt;&gt;0,'MWH-Split'!O97*P111,"")</f>
        <v>513.83500000000004</v>
      </c>
      <c r="I111" s="64">
        <f t="shared" si="35"/>
        <v>19.84</v>
      </c>
      <c r="J111" s="64">
        <f t="shared" si="35"/>
        <v>25.36</v>
      </c>
      <c r="K111" s="65">
        <f t="shared" si="35"/>
        <v>19.3</v>
      </c>
      <c r="M111" s="70">
        <f t="shared" si="32"/>
        <v>2025</v>
      </c>
      <c r="N111" s="67">
        <f t="shared" si="34"/>
        <v>45870</v>
      </c>
      <c r="P111" s="68">
        <f>IF('Monthly Levelized'!$K$5+'Monthly Levelized'!$L$5&lt;&gt;0,IFERROR(VLOOKUP(B111,'Monthly Levelized'!$G$5:$I$25,3,FALSE),P110),1)</f>
        <v>1</v>
      </c>
      <c r="Q111" s="213" t="str">
        <f t="shared" si="33"/>
        <v>Summer</v>
      </c>
      <c r="S111" s="214"/>
      <c r="T111" s="214"/>
      <c r="U111" s="214"/>
      <c r="V111" s="214"/>
    </row>
    <row r="112" spans="2:22" outlineLevel="1" x14ac:dyDescent="0.25">
      <c r="B112" s="67">
        <f t="shared" si="31"/>
        <v>45901</v>
      </c>
      <c r="C112" s="61">
        <f>'[1]Table 5'!E112*P112</f>
        <v>57579.206329762936</v>
      </c>
      <c r="D112" s="62">
        <f>IFERROR(G112*'MWH-Split'!S98*'MWH-Split'!U98,"")</f>
        <v>44460.621659808741</v>
      </c>
      <c r="E112" s="63">
        <f>IFERROR(H112*'MWH-Split'!T98*'MWH-Split'!U98,"")</f>
        <v>7453.3566294969596</v>
      </c>
      <c r="F112" s="62">
        <f>'[1]Table 5'!F112*P112</f>
        <v>2515.44</v>
      </c>
      <c r="G112" s="62">
        <f>IF('MWH-Split'!N98&lt;&gt;0,'MWH-Split'!N98*P112,"")</f>
        <v>2080.4250000000002</v>
      </c>
      <c r="H112" s="63">
        <f>IF('MWH-Split'!O98&lt;&gt;0,'MWH-Split'!O98*P112,"")</f>
        <v>435.01499999999999</v>
      </c>
      <c r="I112" s="64">
        <f t="shared" si="35"/>
        <v>22.89</v>
      </c>
      <c r="J112" s="64">
        <f t="shared" si="35"/>
        <v>21.37</v>
      </c>
      <c r="K112" s="65">
        <f t="shared" si="35"/>
        <v>17.13</v>
      </c>
      <c r="M112" s="70">
        <f t="shared" si="32"/>
        <v>2025</v>
      </c>
      <c r="N112" s="67">
        <f t="shared" si="34"/>
        <v>45901</v>
      </c>
      <c r="P112" s="68">
        <f>IF('Monthly Levelized'!$K$5+'Monthly Levelized'!$L$5&lt;&gt;0,IFERROR(VLOOKUP(B112,'Monthly Levelized'!$G$5:$I$25,3,FALSE),P111),1)</f>
        <v>1</v>
      </c>
      <c r="Q112" s="213" t="str">
        <f t="shared" si="33"/>
        <v>Summer</v>
      </c>
      <c r="S112" s="214"/>
      <c r="T112" s="214"/>
      <c r="U112" s="214"/>
      <c r="V112" s="214"/>
    </row>
    <row r="113" spans="2:22" outlineLevel="1" x14ac:dyDescent="0.25">
      <c r="B113" s="67">
        <f t="shared" si="31"/>
        <v>45931</v>
      </c>
      <c r="C113" s="61">
        <f>'[1]Table 5'!E113*P113</f>
        <v>39875.718378588557</v>
      </c>
      <c r="D113" s="62">
        <f>IFERROR(G113*'MWH-Split'!S99*'MWH-Split'!U99,"")</f>
        <v>36032.852085705003</v>
      </c>
      <c r="E113" s="63">
        <f>IFERROR(H113*'MWH-Split'!T99*'MWH-Split'!U99,"")</f>
        <v>4731.960219615904</v>
      </c>
      <c r="F113" s="62">
        <f>'[1]Table 5'!F113*P113</f>
        <v>2039.3969999999999</v>
      </c>
      <c r="G113" s="62">
        <f>IF('MWH-Split'!N99&lt;&gt;0,'MWH-Split'!N99*P113,"")</f>
        <v>1775.817</v>
      </c>
      <c r="H113" s="63">
        <f>IF('MWH-Split'!O99&lt;&gt;0,'MWH-Split'!O99*P113,"")</f>
        <v>263.58</v>
      </c>
      <c r="I113" s="64">
        <f t="shared" si="35"/>
        <v>19.55</v>
      </c>
      <c r="J113" s="64">
        <f t="shared" si="35"/>
        <v>20.29</v>
      </c>
      <c r="K113" s="65">
        <f t="shared" si="35"/>
        <v>17.95</v>
      </c>
      <c r="M113" s="70">
        <f t="shared" si="32"/>
        <v>2025</v>
      </c>
      <c r="N113" s="67">
        <f t="shared" si="34"/>
        <v>45931</v>
      </c>
      <c r="P113" s="68">
        <f>IF('Monthly Levelized'!$K$5+'Monthly Levelized'!$L$5&lt;&gt;0,IFERROR(VLOOKUP(B113,'Monthly Levelized'!$G$5:$I$25,3,FALSE),P112),1)</f>
        <v>1</v>
      </c>
      <c r="Q113" s="213" t="str">
        <f t="shared" si="33"/>
        <v>Winter</v>
      </c>
      <c r="S113" s="214"/>
      <c r="T113" s="214"/>
      <c r="U113" s="214"/>
      <c r="V113" s="214"/>
    </row>
    <row r="114" spans="2:22" outlineLevel="1" x14ac:dyDescent="0.25">
      <c r="B114" s="67">
        <f t="shared" si="31"/>
        <v>45962</v>
      </c>
      <c r="C114" s="61">
        <f>'[1]Table 5'!E114*P114</f>
        <v>25959.657152578235</v>
      </c>
      <c r="D114" s="62">
        <f>IFERROR(G114*'MWH-Split'!S100*'MWH-Split'!U100,"")</f>
        <v>23368.324885951104</v>
      </c>
      <c r="E114" s="63">
        <f>IFERROR(H114*'MWH-Split'!T100*'MWH-Split'!U100,"")</f>
        <v>5209.7015884353696</v>
      </c>
      <c r="F114" s="62">
        <f>'[1]Table 5'!F114*P114</f>
        <v>1373.61</v>
      </c>
      <c r="G114" s="62">
        <f>IF('MWH-Split'!N100&lt;&gt;0,'MWH-Split'!N100*P114,"")</f>
        <v>1098.8879999999999</v>
      </c>
      <c r="H114" s="63">
        <f>IF('MWH-Split'!O100&lt;&gt;0,'MWH-Split'!O100*P114,"")</f>
        <v>274.72199999999998</v>
      </c>
      <c r="I114" s="64">
        <f t="shared" si="35"/>
        <v>18.899999999999999</v>
      </c>
      <c r="J114" s="64">
        <f t="shared" si="35"/>
        <v>21.27</v>
      </c>
      <c r="K114" s="65">
        <f t="shared" si="35"/>
        <v>18.96</v>
      </c>
      <c r="M114" s="70">
        <f t="shared" si="32"/>
        <v>2025</v>
      </c>
      <c r="N114" s="67">
        <f t="shared" si="34"/>
        <v>45962</v>
      </c>
      <c r="P114" s="68">
        <f>IF('Monthly Levelized'!$K$5+'Monthly Levelized'!$L$5&lt;&gt;0,IFERROR(VLOOKUP(B114,'Monthly Levelized'!$G$5:$I$25,3,FALSE),P113),1)</f>
        <v>1</v>
      </c>
      <c r="Q114" s="213" t="str">
        <f t="shared" si="33"/>
        <v>Winter</v>
      </c>
      <c r="S114" s="214"/>
      <c r="T114" s="214"/>
      <c r="U114" s="214"/>
      <c r="V114" s="214"/>
    </row>
    <row r="115" spans="2:22" outlineLevel="1" x14ac:dyDescent="0.25">
      <c r="B115" s="78">
        <f t="shared" si="31"/>
        <v>45992</v>
      </c>
      <c r="C115" s="72">
        <f>'[1]Table 5'!E115*P115</f>
        <v>20224.081182152033</v>
      </c>
      <c r="D115" s="73">
        <f>IFERROR(G115*'MWH-Split'!S101*'MWH-Split'!U101,"")</f>
        <v>19270.912923136042</v>
      </c>
      <c r="E115" s="74">
        <f>IFERROR(H115*'MWH-Split'!T101*'MWH-Split'!U101,"")</f>
        <v>3330.4367630949278</v>
      </c>
      <c r="F115" s="73">
        <f>'[1]Table 5'!F115*P115</f>
        <v>1059.7349999999999</v>
      </c>
      <c r="G115" s="73">
        <f>IF('MWH-Split'!N101&lt;&gt;0,'MWH-Split'!N101*P115,"")</f>
        <v>888.81</v>
      </c>
      <c r="H115" s="74">
        <f>IF('MWH-Split'!O101&lt;&gt;0,'MWH-Split'!O101*P115,"")</f>
        <v>170.92500000000001</v>
      </c>
      <c r="I115" s="75">
        <f t="shared" si="35"/>
        <v>19.079999999999998</v>
      </c>
      <c r="J115" s="75">
        <f t="shared" si="35"/>
        <v>21.68</v>
      </c>
      <c r="K115" s="76">
        <f t="shared" si="35"/>
        <v>19.48</v>
      </c>
      <c r="M115" s="77">
        <f t="shared" si="32"/>
        <v>2025</v>
      </c>
      <c r="N115" s="78">
        <f t="shared" si="34"/>
        <v>45992</v>
      </c>
      <c r="P115" s="79">
        <f>IF('Monthly Levelized'!$K$5+'Monthly Levelized'!$L$5&lt;&gt;0,IFERROR(VLOOKUP(B115,'Monthly Levelized'!$G$5:$I$25,3,FALSE),P114),1)</f>
        <v>1</v>
      </c>
      <c r="Q115" s="213" t="str">
        <f t="shared" si="33"/>
        <v>Winter</v>
      </c>
      <c r="S115" s="214"/>
      <c r="T115" s="214"/>
      <c r="U115" s="214"/>
      <c r="V115" s="214"/>
    </row>
    <row r="116" spans="2:22" outlineLevel="1" x14ac:dyDescent="0.25">
      <c r="B116" s="80">
        <f t="shared" si="31"/>
        <v>46023</v>
      </c>
      <c r="C116" s="81">
        <f>'[1]Table 5'!E116*P116</f>
        <v>26602.17549341917</v>
      </c>
      <c r="D116" s="82">
        <f>IFERROR(G116*'MWH-Split'!S102*'MWH-Split'!U102,"")</f>
        <v>23240.106147436301</v>
      </c>
      <c r="E116" s="83">
        <f>IFERROR(H116*'MWH-Split'!T102*'MWH-Split'!U102,"")</f>
        <v>4031.4833734574986</v>
      </c>
      <c r="F116" s="82">
        <f>'[1]Table 5'!F116*P116</f>
        <v>1265.0170000000001</v>
      </c>
      <c r="G116" s="82">
        <f>IF('MWH-Split'!N102&lt;&gt;0,'MWH-Split'!N102*P116,"")</f>
        <v>1060.982</v>
      </c>
      <c r="H116" s="83">
        <f>IF('MWH-Split'!O102&lt;&gt;0,'MWH-Split'!O102*P116,"")</f>
        <v>204.035</v>
      </c>
      <c r="I116" s="84">
        <f t="shared" si="35"/>
        <v>21.03</v>
      </c>
      <c r="J116" s="84">
        <f t="shared" si="35"/>
        <v>21.9</v>
      </c>
      <c r="K116" s="85">
        <f t="shared" si="35"/>
        <v>19.760000000000002</v>
      </c>
      <c r="M116" s="66">
        <f t="shared" si="32"/>
        <v>2026</v>
      </c>
      <c r="N116" s="67">
        <f t="shared" si="34"/>
        <v>46023</v>
      </c>
      <c r="P116" s="86">
        <f>IF('Monthly Levelized'!$K$5+'Monthly Levelized'!$L$5&lt;&gt;0,IFERROR(VLOOKUP(B116,'Monthly Levelized'!$G$5:$I$25,3,FALSE),P115),1)</f>
        <v>1</v>
      </c>
      <c r="Q116" s="213" t="str">
        <f t="shared" si="33"/>
        <v>Winter</v>
      </c>
      <c r="S116" s="214"/>
      <c r="T116" s="214"/>
      <c r="U116" s="214"/>
      <c r="V116" s="214"/>
    </row>
    <row r="117" spans="2:22" outlineLevel="1" x14ac:dyDescent="0.25">
      <c r="B117" s="67">
        <f t="shared" si="31"/>
        <v>46054</v>
      </c>
      <c r="C117" s="61">
        <f>'[1]Table 5'!E117*P117</f>
        <v>28914.839602783322</v>
      </c>
      <c r="D117" s="62">
        <f>IFERROR(G117*'MWH-Split'!S103*'MWH-Split'!U103,"")</f>
        <v>26961.495608777797</v>
      </c>
      <c r="E117" s="63">
        <f>IFERROR(H117*'MWH-Split'!T103*'MWH-Split'!U103,"")</f>
        <v>4087.5703433654421</v>
      </c>
      <c r="F117" s="62">
        <f>'[1]Table 5'!F117*P117</f>
        <v>1415.7639999999999</v>
      </c>
      <c r="G117" s="62">
        <f>IF('MWH-Split'!N103&lt;&gt;0,'MWH-Split'!N103*P117,"")</f>
        <v>1213.5119999999999</v>
      </c>
      <c r="H117" s="63">
        <f>IF('MWH-Split'!O103&lt;&gt;0,'MWH-Split'!O103*P117,"")</f>
        <v>202.25200000000001</v>
      </c>
      <c r="I117" s="64">
        <f t="shared" si="35"/>
        <v>20.420000000000002</v>
      </c>
      <c r="J117" s="64">
        <f t="shared" si="35"/>
        <v>22.22</v>
      </c>
      <c r="K117" s="65">
        <f t="shared" si="35"/>
        <v>20.21</v>
      </c>
      <c r="M117" s="70">
        <f t="shared" si="32"/>
        <v>2026</v>
      </c>
      <c r="N117" s="67">
        <f t="shared" si="34"/>
        <v>46054</v>
      </c>
      <c r="P117" s="68">
        <f>IF('Monthly Levelized'!$K$5+'Monthly Levelized'!$L$5&lt;&gt;0,IFERROR(VLOOKUP(B117,'Monthly Levelized'!$G$5:$I$25,3,FALSE),P116),1)</f>
        <v>1</v>
      </c>
      <c r="Q117" s="213" t="str">
        <f t="shared" si="33"/>
        <v>Winter</v>
      </c>
      <c r="S117" s="214"/>
      <c r="T117" s="214"/>
      <c r="U117" s="214"/>
      <c r="V117" s="214"/>
    </row>
    <row r="118" spans="2:22" outlineLevel="1" x14ac:dyDescent="0.25">
      <c r="B118" s="67">
        <f t="shared" si="31"/>
        <v>46082</v>
      </c>
      <c r="C118" s="61">
        <f>'[1]Table 5'!E118*P118</f>
        <v>49502.462798550725</v>
      </c>
      <c r="D118" s="62">
        <f>IFERROR(G118*'MWH-Split'!S104*'MWH-Split'!U104,"")</f>
        <v>36075.460647151311</v>
      </c>
      <c r="E118" s="63">
        <f>IFERROR(H118*'MWH-Split'!T104*'MWH-Split'!U104,"")</f>
        <v>6619.1976991591773</v>
      </c>
      <c r="F118" s="62">
        <f>'[1]Table 5'!F118*P118</f>
        <v>2204.9369999999999</v>
      </c>
      <c r="G118" s="62">
        <f>IF('MWH-Split'!N104&lt;&gt;0,'MWH-Split'!N104*P118,"")</f>
        <v>1848.5740000000001</v>
      </c>
      <c r="H118" s="63">
        <f>IF('MWH-Split'!O104&lt;&gt;0,'MWH-Split'!O104*P118,"")</f>
        <v>356.363</v>
      </c>
      <c r="I118" s="64">
        <f t="shared" si="35"/>
        <v>22.45</v>
      </c>
      <c r="J118" s="64">
        <f t="shared" si="35"/>
        <v>19.52</v>
      </c>
      <c r="K118" s="65">
        <f t="shared" si="35"/>
        <v>18.57</v>
      </c>
      <c r="M118" s="70">
        <f t="shared" si="32"/>
        <v>2026</v>
      </c>
      <c r="N118" s="67">
        <f t="shared" si="34"/>
        <v>46082</v>
      </c>
      <c r="P118" s="68">
        <f>IF('Monthly Levelized'!$K$5+'Monthly Levelized'!$L$5&lt;&gt;0,IFERROR(VLOOKUP(B118,'Monthly Levelized'!$G$5:$I$25,3,FALSE),P117),1)</f>
        <v>1</v>
      </c>
      <c r="Q118" s="213" t="str">
        <f t="shared" si="33"/>
        <v>Winter</v>
      </c>
      <c r="S118" s="214"/>
      <c r="T118" s="214"/>
      <c r="U118" s="214"/>
      <c r="V118" s="214"/>
    </row>
    <row r="119" spans="2:22" outlineLevel="1" x14ac:dyDescent="0.25">
      <c r="B119" s="67">
        <f t="shared" si="31"/>
        <v>46113</v>
      </c>
      <c r="C119" s="61">
        <f>'[1]Table 5'!E119*P119</f>
        <v>47940.804052323103</v>
      </c>
      <c r="D119" s="62">
        <f>IFERROR(G119*'MWH-Split'!S105*'MWH-Split'!U105,"")</f>
        <v>34482.280337182536</v>
      </c>
      <c r="E119" s="63">
        <f>IFERROR(H119*'MWH-Split'!T105*'MWH-Split'!U105,"")</f>
        <v>5579.1341429630502</v>
      </c>
      <c r="F119" s="62">
        <f>'[1]Table 5'!F119*P119</f>
        <v>2546.6999999999998</v>
      </c>
      <c r="G119" s="62">
        <f>IF('MWH-Split'!N105&lt;&gt;0,'MWH-Split'!N105*P119,"")</f>
        <v>2168.4</v>
      </c>
      <c r="H119" s="63">
        <f>IF('MWH-Split'!O105&lt;&gt;0,'MWH-Split'!O105*P119,"")</f>
        <v>378.3</v>
      </c>
      <c r="I119" s="64">
        <f t="shared" si="35"/>
        <v>18.82</v>
      </c>
      <c r="J119" s="64">
        <f t="shared" si="35"/>
        <v>15.9</v>
      </c>
      <c r="K119" s="65">
        <f t="shared" si="35"/>
        <v>14.75</v>
      </c>
      <c r="M119" s="70">
        <f t="shared" si="32"/>
        <v>2026</v>
      </c>
      <c r="N119" s="67">
        <f t="shared" si="34"/>
        <v>46113</v>
      </c>
      <c r="P119" s="68">
        <f>IF('Monthly Levelized'!$K$5+'Monthly Levelized'!$L$5&lt;&gt;0,IFERROR(VLOOKUP(B119,'Monthly Levelized'!$G$5:$I$25,3,FALSE),P118),1)</f>
        <v>1</v>
      </c>
      <c r="Q119" s="213" t="str">
        <f t="shared" si="33"/>
        <v>Winter</v>
      </c>
      <c r="S119" s="214"/>
      <c r="T119" s="214"/>
      <c r="U119" s="214"/>
      <c r="V119" s="214"/>
    </row>
    <row r="120" spans="2:22" outlineLevel="1" x14ac:dyDescent="0.25">
      <c r="B120" s="67">
        <f t="shared" si="31"/>
        <v>46143</v>
      </c>
      <c r="C120" s="61">
        <f>'[1]Table 5'!E120*P120</f>
        <v>53163.856125205755</v>
      </c>
      <c r="D120" s="62">
        <f>IFERROR(G120*'MWH-Split'!S106*'MWH-Split'!U106,"")</f>
        <v>35901.558064460311</v>
      </c>
      <c r="E120" s="63">
        <f>IFERROR(H120*'MWH-Split'!T106*'MWH-Split'!U106,"")</f>
        <v>10021.344800765335</v>
      </c>
      <c r="F120" s="62">
        <f>'[1]Table 5'!F120*P120</f>
        <v>2948.0070000000001</v>
      </c>
      <c r="G120" s="62">
        <f>IF('MWH-Split'!N106&lt;&gt;0,'MWH-Split'!N106*P120,"")</f>
        <v>2256.7249999999999</v>
      </c>
      <c r="H120" s="63">
        <f>IF('MWH-Split'!O106&lt;&gt;0,'MWH-Split'!O106*P120,"")</f>
        <v>691.28200000000004</v>
      </c>
      <c r="I120" s="64">
        <f t="shared" si="35"/>
        <v>18.03</v>
      </c>
      <c r="J120" s="64">
        <f t="shared" si="35"/>
        <v>15.91</v>
      </c>
      <c r="K120" s="65">
        <f t="shared" si="35"/>
        <v>14.5</v>
      </c>
      <c r="M120" s="70">
        <f t="shared" si="32"/>
        <v>2026</v>
      </c>
      <c r="N120" s="67">
        <f t="shared" si="34"/>
        <v>46143</v>
      </c>
      <c r="P120" s="68">
        <f>IF('Monthly Levelized'!$K$5+'Monthly Levelized'!$L$5&lt;&gt;0,IFERROR(VLOOKUP(B120,'Monthly Levelized'!$G$5:$I$25,3,FALSE),P119),1)</f>
        <v>1</v>
      </c>
      <c r="Q120" s="213" t="str">
        <f t="shared" si="33"/>
        <v>Winter</v>
      </c>
      <c r="S120" s="214"/>
      <c r="T120" s="214"/>
      <c r="U120" s="214"/>
      <c r="V120" s="214"/>
    </row>
    <row r="121" spans="2:22" outlineLevel="1" x14ac:dyDescent="0.25">
      <c r="B121" s="67">
        <f t="shared" si="31"/>
        <v>46174</v>
      </c>
      <c r="C121" s="61">
        <f>'[1]Table 5'!E121*P121</f>
        <v>59739.260166496038</v>
      </c>
      <c r="D121" s="62">
        <f>IFERROR(G121*'MWH-Split'!S107*'MWH-Split'!U107,"")</f>
        <v>44995.805672378396</v>
      </c>
      <c r="E121" s="63">
        <f>IFERROR(H121*'MWH-Split'!T107*'MWH-Split'!U107,"")</f>
        <v>8786.8441249689222</v>
      </c>
      <c r="F121" s="62">
        <f>'[1]Table 5'!F121*P121</f>
        <v>3131.88</v>
      </c>
      <c r="G121" s="62">
        <f>IF('MWH-Split'!N107&lt;&gt;0,'MWH-Split'!N107*P121,"")</f>
        <v>2558.5819999999999</v>
      </c>
      <c r="H121" s="63">
        <f>IF('MWH-Split'!O107&lt;&gt;0,'MWH-Split'!O107*P121,"")</f>
        <v>573.298</v>
      </c>
      <c r="I121" s="64">
        <f t="shared" si="35"/>
        <v>19.07</v>
      </c>
      <c r="J121" s="64">
        <f t="shared" si="35"/>
        <v>17.59</v>
      </c>
      <c r="K121" s="65">
        <f t="shared" si="35"/>
        <v>15.33</v>
      </c>
      <c r="M121" s="70">
        <f t="shared" si="32"/>
        <v>2026</v>
      </c>
      <c r="N121" s="67">
        <f t="shared" si="34"/>
        <v>46174</v>
      </c>
      <c r="P121" s="68">
        <f>IF('Monthly Levelized'!$K$5+'Monthly Levelized'!$L$5&lt;&gt;0,IFERROR(VLOOKUP(B121,'Monthly Levelized'!$G$5:$I$25,3,FALSE),P120),1)</f>
        <v>1</v>
      </c>
      <c r="Q121" s="213" t="str">
        <f t="shared" si="33"/>
        <v>Summer</v>
      </c>
      <c r="S121" s="214"/>
      <c r="T121" s="214"/>
      <c r="U121" s="214"/>
      <c r="V121" s="214"/>
    </row>
    <row r="122" spans="2:22" outlineLevel="1" x14ac:dyDescent="0.25">
      <c r="B122" s="67">
        <f t="shared" si="31"/>
        <v>46204</v>
      </c>
      <c r="C122" s="61">
        <f>'[1]Table 5'!E122*P122</f>
        <v>55821.058940380812</v>
      </c>
      <c r="D122" s="62">
        <f>IFERROR(G122*'MWH-Split'!S108*'MWH-Split'!U108,"")</f>
        <v>56600.496365994564</v>
      </c>
      <c r="E122" s="63">
        <f>IFERROR(H122*'MWH-Split'!T108*'MWH-Split'!U108,"")</f>
        <v>10915.873298128095</v>
      </c>
      <c r="F122" s="62">
        <f>'[1]Table 5'!F122*P122</f>
        <v>2834.7640000000001</v>
      </c>
      <c r="G122" s="62">
        <f>IF('MWH-Split'!N108&lt;&gt;0,'MWH-Split'!N108*P122,"")</f>
        <v>2272.2179999999998</v>
      </c>
      <c r="H122" s="63">
        <f>IF('MWH-Split'!O108&lt;&gt;0,'MWH-Split'!O108*P122,"")</f>
        <v>562.54600000000005</v>
      </c>
      <c r="I122" s="64">
        <f t="shared" si="35"/>
        <v>19.690000000000001</v>
      </c>
      <c r="J122" s="64">
        <f t="shared" si="35"/>
        <v>24.91</v>
      </c>
      <c r="K122" s="65">
        <f t="shared" si="35"/>
        <v>19.399999999999999</v>
      </c>
      <c r="M122" s="70">
        <f t="shared" si="32"/>
        <v>2026</v>
      </c>
      <c r="N122" s="67">
        <f t="shared" si="34"/>
        <v>46204</v>
      </c>
      <c r="P122" s="68">
        <f>IF('Monthly Levelized'!$K$5+'Monthly Levelized'!$L$5&lt;&gt;0,IFERROR(VLOOKUP(B122,'Monthly Levelized'!$G$5:$I$25,3,FALSE),P121),1)</f>
        <v>1</v>
      </c>
      <c r="Q122" s="213" t="str">
        <f t="shared" si="33"/>
        <v>Summer</v>
      </c>
      <c r="S122" s="214"/>
      <c r="T122" s="214"/>
      <c r="U122" s="214"/>
      <c r="V122" s="214"/>
    </row>
    <row r="123" spans="2:22" outlineLevel="1" x14ac:dyDescent="0.25">
      <c r="B123" s="67">
        <f t="shared" si="31"/>
        <v>46235</v>
      </c>
      <c r="C123" s="61">
        <f>'[1]Table 5'!E123*P123</f>
        <v>59557.746613442898</v>
      </c>
      <c r="D123" s="62">
        <f>IFERROR(G123*'MWH-Split'!S109*'MWH-Split'!U109,"")</f>
        <v>61315.398073269294</v>
      </c>
      <c r="E123" s="63">
        <f>IFERROR(H123*'MWH-Split'!T109*'MWH-Split'!U109,"")</f>
        <v>10336.818229357059</v>
      </c>
      <c r="F123" s="62">
        <f>'[1]Table 5'!F123*P123</f>
        <v>2839.3519999999999</v>
      </c>
      <c r="G123" s="62">
        <f>IF('MWH-Split'!N109&lt;&gt;0,'MWH-Split'!N109*P123,"")</f>
        <v>2328.1179999999999</v>
      </c>
      <c r="H123" s="63">
        <f>IF('MWH-Split'!O109&lt;&gt;0,'MWH-Split'!O109*P123,"")</f>
        <v>511.23399999999998</v>
      </c>
      <c r="I123" s="64">
        <f t="shared" si="35"/>
        <v>20.98</v>
      </c>
      <c r="J123" s="64">
        <f t="shared" si="35"/>
        <v>26.34</v>
      </c>
      <c r="K123" s="65">
        <f t="shared" si="35"/>
        <v>20.22</v>
      </c>
      <c r="M123" s="70">
        <f t="shared" si="32"/>
        <v>2026</v>
      </c>
      <c r="N123" s="67">
        <f t="shared" si="34"/>
        <v>46235</v>
      </c>
      <c r="P123" s="68">
        <f>IF('Monthly Levelized'!$K$5+'Monthly Levelized'!$L$5&lt;&gt;0,IFERROR(VLOOKUP(B123,'Monthly Levelized'!$G$5:$I$25,3,FALSE),P122),1)</f>
        <v>1</v>
      </c>
      <c r="Q123" s="213" t="str">
        <f t="shared" si="33"/>
        <v>Summer</v>
      </c>
      <c r="S123" s="214"/>
      <c r="T123" s="214"/>
      <c r="U123" s="214"/>
      <c r="V123" s="214"/>
    </row>
    <row r="124" spans="2:22" outlineLevel="1" x14ac:dyDescent="0.25">
      <c r="B124" s="67">
        <f t="shared" si="31"/>
        <v>46266</v>
      </c>
      <c r="C124" s="61">
        <f>'[1]Table 5'!E124*P124</f>
        <v>56893.914663165808</v>
      </c>
      <c r="D124" s="62">
        <f>IFERROR(G124*'MWH-Split'!S110*'MWH-Split'!U110,"")</f>
        <v>45581.388858304876</v>
      </c>
      <c r="E124" s="63">
        <f>IFERROR(H124*'MWH-Split'!T110*'MWH-Split'!U110,"")</f>
        <v>7747.0821172583901</v>
      </c>
      <c r="F124" s="62">
        <f>'[1]Table 5'!F124*P124</f>
        <v>2502.9299999999998</v>
      </c>
      <c r="G124" s="62">
        <f>IF('MWH-Split'!N110&lt;&gt;0,'MWH-Split'!N110*P124,"")</f>
        <v>2070.0749999999998</v>
      </c>
      <c r="H124" s="63">
        <f>IF('MWH-Split'!O110&lt;&gt;0,'MWH-Split'!O110*P124,"")</f>
        <v>432.85500000000002</v>
      </c>
      <c r="I124" s="64">
        <f t="shared" si="35"/>
        <v>22.73</v>
      </c>
      <c r="J124" s="64">
        <f t="shared" si="35"/>
        <v>22.02</v>
      </c>
      <c r="K124" s="65">
        <f t="shared" si="35"/>
        <v>17.899999999999999</v>
      </c>
      <c r="M124" s="70">
        <f t="shared" si="32"/>
        <v>2026</v>
      </c>
      <c r="N124" s="67">
        <f t="shared" si="34"/>
        <v>46266</v>
      </c>
      <c r="P124" s="68">
        <f>IF('Monthly Levelized'!$K$5+'Monthly Levelized'!$L$5&lt;&gt;0,IFERROR(VLOOKUP(B124,'Monthly Levelized'!$G$5:$I$25,3,FALSE),P123),1)</f>
        <v>1</v>
      </c>
      <c r="Q124" s="213" t="str">
        <f t="shared" si="33"/>
        <v>Summer</v>
      </c>
      <c r="S124" s="214"/>
      <c r="T124" s="214"/>
      <c r="U124" s="214"/>
      <c r="V124" s="214"/>
    </row>
    <row r="125" spans="2:22" outlineLevel="1" x14ac:dyDescent="0.25">
      <c r="B125" s="67">
        <f t="shared" si="31"/>
        <v>46296</v>
      </c>
      <c r="C125" s="61">
        <f>'[1]Table 5'!E125*P125</f>
        <v>42353.784643620253</v>
      </c>
      <c r="D125" s="62">
        <f>IFERROR(G125*'MWH-Split'!S111*'MWH-Split'!U111,"")</f>
        <v>37675.282940471792</v>
      </c>
      <c r="E125" s="63">
        <f>IFERROR(H125*'MWH-Split'!T111*'MWH-Split'!U111,"")</f>
        <v>4986.3894912441947</v>
      </c>
      <c r="F125" s="62">
        <f>'[1]Table 5'!F125*P125</f>
        <v>2029.105</v>
      </c>
      <c r="G125" s="62">
        <f>IF('MWH-Split'!N111&lt;&gt;0,'MWH-Split'!N111*P125,"")</f>
        <v>1766.88</v>
      </c>
      <c r="H125" s="63">
        <f>IF('MWH-Split'!O111&lt;&gt;0,'MWH-Split'!O111*P125,"")</f>
        <v>262.22500000000002</v>
      </c>
      <c r="I125" s="64">
        <f t="shared" si="35"/>
        <v>20.87</v>
      </c>
      <c r="J125" s="64">
        <f t="shared" si="35"/>
        <v>21.32</v>
      </c>
      <c r="K125" s="65">
        <f t="shared" si="35"/>
        <v>19.02</v>
      </c>
      <c r="M125" s="70">
        <f t="shared" si="32"/>
        <v>2026</v>
      </c>
      <c r="N125" s="67">
        <f t="shared" si="34"/>
        <v>46296</v>
      </c>
      <c r="P125" s="68">
        <f>IF('Monthly Levelized'!$K$5+'Monthly Levelized'!$L$5&lt;&gt;0,IFERROR(VLOOKUP(B125,'Monthly Levelized'!$G$5:$I$25,3,FALSE),P124),1)</f>
        <v>1</v>
      </c>
      <c r="Q125" s="213" t="str">
        <f t="shared" si="33"/>
        <v>Winter</v>
      </c>
      <c r="S125" s="214"/>
      <c r="T125" s="214"/>
      <c r="U125" s="214"/>
      <c r="V125" s="214"/>
    </row>
    <row r="126" spans="2:22" outlineLevel="1" x14ac:dyDescent="0.25">
      <c r="B126" s="67">
        <f t="shared" si="31"/>
        <v>46327</v>
      </c>
      <c r="C126" s="61">
        <f>'[1]Table 5'!E126*P126</f>
        <v>27137.906163871288</v>
      </c>
      <c r="D126" s="62">
        <f>IFERROR(G126*'MWH-Split'!S112*'MWH-Split'!U112,"")</f>
        <v>23905.564424643384</v>
      </c>
      <c r="E126" s="63">
        <f>IFERROR(H126*'MWH-Split'!T112*'MWH-Split'!U112,"")</f>
        <v>5325.1519527208193</v>
      </c>
      <c r="F126" s="62">
        <f>'[1]Table 5'!F126*P126</f>
        <v>1366.71</v>
      </c>
      <c r="G126" s="62">
        <f>IF('MWH-Split'!N112&lt;&gt;0,'MWH-Split'!N112*P126,"")</f>
        <v>1093.3679999999999</v>
      </c>
      <c r="H126" s="63">
        <f>IF('MWH-Split'!O112&lt;&gt;0,'MWH-Split'!O112*P126,"")</f>
        <v>273.34199999999998</v>
      </c>
      <c r="I126" s="64">
        <f t="shared" si="35"/>
        <v>19.86</v>
      </c>
      <c r="J126" s="64">
        <f t="shared" si="35"/>
        <v>21.86</v>
      </c>
      <c r="K126" s="65">
        <f t="shared" si="35"/>
        <v>19.48</v>
      </c>
      <c r="M126" s="70">
        <f t="shared" si="32"/>
        <v>2026</v>
      </c>
      <c r="N126" s="67">
        <f t="shared" si="34"/>
        <v>46327</v>
      </c>
      <c r="P126" s="68">
        <f>IF('Monthly Levelized'!$K$5+'Monthly Levelized'!$L$5&lt;&gt;0,IFERROR(VLOOKUP(B126,'Monthly Levelized'!$G$5:$I$25,3,FALSE),P125),1)</f>
        <v>1</v>
      </c>
      <c r="Q126" s="213" t="str">
        <f t="shared" si="33"/>
        <v>Winter</v>
      </c>
      <c r="S126" s="214"/>
      <c r="T126" s="214"/>
      <c r="U126" s="214"/>
      <c r="V126" s="214"/>
    </row>
    <row r="127" spans="2:22" outlineLevel="1" x14ac:dyDescent="0.25">
      <c r="B127" s="78">
        <f t="shared" si="31"/>
        <v>46357</v>
      </c>
      <c r="C127" s="72">
        <f>'[1]Table 5'!E127*P127</f>
        <v>20520.406041681767</v>
      </c>
      <c r="D127" s="73">
        <f>IFERROR(G127*'MWH-Split'!S113*'MWH-Split'!U113,"")</f>
        <v>19581.26086860252</v>
      </c>
      <c r="E127" s="74">
        <f>IFERROR(H127*'MWH-Split'!T113*'MWH-Split'!U113,"")</f>
        <v>3395.2277228799858</v>
      </c>
      <c r="F127" s="73">
        <f>'[1]Table 5'!F127*P127</f>
        <v>1054.3720000000001</v>
      </c>
      <c r="G127" s="73">
        <f>IF('MWH-Split'!N113&lt;&gt;0,'MWH-Split'!N113*P127,"")</f>
        <v>884.31200000000001</v>
      </c>
      <c r="H127" s="74">
        <f>IF('MWH-Split'!O113&lt;&gt;0,'MWH-Split'!O113*P127,"")</f>
        <v>170.06</v>
      </c>
      <c r="I127" s="75">
        <f t="shared" si="35"/>
        <v>19.46</v>
      </c>
      <c r="J127" s="75">
        <f t="shared" si="35"/>
        <v>22.14</v>
      </c>
      <c r="K127" s="76">
        <f t="shared" si="35"/>
        <v>19.96</v>
      </c>
      <c r="M127" s="77">
        <f t="shared" si="32"/>
        <v>2026</v>
      </c>
      <c r="N127" s="78">
        <f t="shared" si="34"/>
        <v>46357</v>
      </c>
      <c r="P127" s="79">
        <f>IF('Monthly Levelized'!$K$5+'Monthly Levelized'!$L$5&lt;&gt;0,IFERROR(VLOOKUP(B127,'Monthly Levelized'!$G$5:$I$25,3,FALSE),P126),1)</f>
        <v>1</v>
      </c>
      <c r="Q127" s="213" t="str">
        <f t="shared" si="33"/>
        <v>Winter</v>
      </c>
      <c r="S127" s="214"/>
      <c r="T127" s="214"/>
      <c r="U127" s="214"/>
      <c r="V127" s="214"/>
    </row>
    <row r="128" spans="2:22" outlineLevel="1" x14ac:dyDescent="0.25">
      <c r="B128" s="80">
        <f t="shared" si="31"/>
        <v>46388</v>
      </c>
      <c r="C128" s="81">
        <f>'[1]Table 5'!E128*P128</f>
        <v>26923.463406950235</v>
      </c>
      <c r="D128" s="82">
        <f>IFERROR(G128*'MWH-Split'!S114*'MWH-Split'!U114,"")</f>
        <v>22738.615145705091</v>
      </c>
      <c r="E128" s="83">
        <f>IFERROR(H128*'MWH-Split'!T114*'MWH-Split'!U114,"")</f>
        <v>5014.9063630684741</v>
      </c>
      <c r="F128" s="82">
        <f>'[1]Table 5'!F128*P128</f>
        <v>1258.662</v>
      </c>
      <c r="G128" s="82">
        <f>IF('MWH-Split'!N114&lt;&gt;0,'MWH-Split'!N114*P128,"")</f>
        <v>1015.05</v>
      </c>
      <c r="H128" s="83">
        <f>IF('MWH-Split'!O114&lt;&gt;0,'MWH-Split'!O114*P128,"")</f>
        <v>243.61199999999999</v>
      </c>
      <c r="I128" s="84">
        <f t="shared" si="35"/>
        <v>21.39</v>
      </c>
      <c r="J128" s="84">
        <f t="shared" si="35"/>
        <v>22.4</v>
      </c>
      <c r="K128" s="85">
        <f t="shared" si="35"/>
        <v>20.59</v>
      </c>
      <c r="M128" s="66">
        <f t="shared" si="32"/>
        <v>2027</v>
      </c>
      <c r="N128" s="67">
        <f t="shared" si="34"/>
        <v>46388</v>
      </c>
      <c r="P128" s="86">
        <f>IF('Monthly Levelized'!$K$5+'Monthly Levelized'!$L$5&lt;&gt;0,IFERROR(VLOOKUP(B128,'Monthly Levelized'!$G$5:$I$25,3,FALSE),P127),1)</f>
        <v>1</v>
      </c>
      <c r="Q128" s="213" t="str">
        <f t="shared" si="33"/>
        <v>Winter</v>
      </c>
      <c r="S128" s="214"/>
      <c r="T128" s="214"/>
      <c r="U128" s="214"/>
      <c r="V128" s="214"/>
    </row>
    <row r="129" spans="2:22" outlineLevel="1" x14ac:dyDescent="0.25">
      <c r="B129" s="67">
        <f t="shared" si="31"/>
        <v>46419</v>
      </c>
      <c r="C129" s="61">
        <f>'[1]Table 5'!E129*P129</f>
        <v>30154.484787642956</v>
      </c>
      <c r="D129" s="62">
        <f>IFERROR(G129*'MWH-Split'!S115*'MWH-Split'!U115,"")</f>
        <v>27820.960777919339</v>
      </c>
      <c r="E129" s="63">
        <f>IFERROR(H129*'MWH-Split'!T115*'MWH-Split'!U115,"")</f>
        <v>4247.6337367162259</v>
      </c>
      <c r="F129" s="62">
        <f>'[1]Table 5'!F129*P129</f>
        <v>1408.68</v>
      </c>
      <c r="G129" s="62">
        <f>IF('MWH-Split'!N115&lt;&gt;0,'MWH-Split'!N115*P129,"")</f>
        <v>1207.44</v>
      </c>
      <c r="H129" s="63">
        <f>IF('MWH-Split'!O115&lt;&gt;0,'MWH-Split'!O115*P129,"")</f>
        <v>201.24</v>
      </c>
      <c r="I129" s="64">
        <f t="shared" si="35"/>
        <v>21.41</v>
      </c>
      <c r="J129" s="64">
        <f t="shared" si="35"/>
        <v>23.04</v>
      </c>
      <c r="K129" s="65">
        <f t="shared" si="35"/>
        <v>21.11</v>
      </c>
      <c r="M129" s="70">
        <f t="shared" si="32"/>
        <v>2027</v>
      </c>
      <c r="N129" s="67">
        <f t="shared" si="34"/>
        <v>46419</v>
      </c>
      <c r="P129" s="68">
        <f>IF('Monthly Levelized'!$K$5+'Monthly Levelized'!$L$5&lt;&gt;0,IFERROR(VLOOKUP(B129,'Monthly Levelized'!$G$5:$I$25,3,FALSE),P128),1)</f>
        <v>1</v>
      </c>
      <c r="Q129" s="213" t="str">
        <f t="shared" si="33"/>
        <v>Winter</v>
      </c>
      <c r="S129" s="214"/>
      <c r="T129" s="214"/>
      <c r="U129" s="214"/>
      <c r="V129" s="214"/>
    </row>
    <row r="130" spans="2:22" outlineLevel="1" x14ac:dyDescent="0.25">
      <c r="B130" s="67">
        <f t="shared" si="31"/>
        <v>46447</v>
      </c>
      <c r="C130" s="61">
        <f>'[1]Table 5'!E130*P130</f>
        <v>50401.091669648886</v>
      </c>
      <c r="D130" s="62">
        <f>IFERROR(G130*'MWH-Split'!S116*'MWH-Split'!U116,"")</f>
        <v>39175.489945535017</v>
      </c>
      <c r="E130" s="63">
        <f>IFERROR(H130*'MWH-Split'!T116*'MWH-Split'!U116,"")</f>
        <v>5611.3166892117506</v>
      </c>
      <c r="F130" s="62">
        <f>'[1]Table 5'!F130*P130</f>
        <v>2193.87</v>
      </c>
      <c r="G130" s="62">
        <f>IF('MWH-Split'!N116&lt;&gt;0,'MWH-Split'!N116*P130,"")</f>
        <v>1910.0609999999999</v>
      </c>
      <c r="H130" s="63">
        <f>IF('MWH-Split'!O116&lt;&gt;0,'MWH-Split'!O116*P130,"")</f>
        <v>283.80900000000003</v>
      </c>
      <c r="I130" s="64">
        <f t="shared" si="35"/>
        <v>22.97</v>
      </c>
      <c r="J130" s="64">
        <f t="shared" si="35"/>
        <v>20.51</v>
      </c>
      <c r="K130" s="65">
        <f t="shared" si="35"/>
        <v>19.77</v>
      </c>
      <c r="M130" s="70">
        <f t="shared" si="32"/>
        <v>2027</v>
      </c>
      <c r="N130" s="67">
        <f t="shared" si="34"/>
        <v>46447</v>
      </c>
      <c r="P130" s="68">
        <f>IF('Monthly Levelized'!$K$5+'Monthly Levelized'!$L$5&lt;&gt;0,IFERROR(VLOOKUP(B130,'Monthly Levelized'!$G$5:$I$25,3,FALSE),P129),1)</f>
        <v>1</v>
      </c>
      <c r="Q130" s="213" t="str">
        <f t="shared" si="33"/>
        <v>Winter</v>
      </c>
      <c r="S130" s="214"/>
      <c r="T130" s="214"/>
      <c r="U130" s="214"/>
      <c r="V130" s="214"/>
    </row>
    <row r="131" spans="2:22" outlineLevel="1" x14ac:dyDescent="0.25">
      <c r="B131" s="67">
        <f t="shared" si="31"/>
        <v>46478</v>
      </c>
      <c r="C131" s="61">
        <f>'[1]Table 5'!E131*P131</f>
        <v>49111.824406936765</v>
      </c>
      <c r="D131" s="62">
        <f>IFERROR(G131*'MWH-Split'!S117*'MWH-Split'!U117,"")</f>
        <v>36759.173950622098</v>
      </c>
      <c r="E131" s="63">
        <f>IFERROR(H131*'MWH-Split'!T117*'MWH-Split'!U117,"")</f>
        <v>5913.4723775096018</v>
      </c>
      <c r="F131" s="62">
        <f>'[1]Table 5'!F131*P131</f>
        <v>2533.98</v>
      </c>
      <c r="G131" s="62">
        <f>IF('MWH-Split'!N117&lt;&gt;0,'MWH-Split'!N117*P131,"")</f>
        <v>2157.558</v>
      </c>
      <c r="H131" s="63">
        <f>IF('MWH-Split'!O117&lt;&gt;0,'MWH-Split'!O117*P131,"")</f>
        <v>376.42200000000003</v>
      </c>
      <c r="I131" s="64">
        <f t="shared" si="35"/>
        <v>19.38</v>
      </c>
      <c r="J131" s="64">
        <f t="shared" si="35"/>
        <v>17.04</v>
      </c>
      <c r="K131" s="65">
        <f t="shared" si="35"/>
        <v>15.71</v>
      </c>
      <c r="M131" s="70">
        <f t="shared" si="32"/>
        <v>2027</v>
      </c>
      <c r="N131" s="67">
        <f t="shared" si="34"/>
        <v>46478</v>
      </c>
      <c r="P131" s="68">
        <f>IF('Monthly Levelized'!$K$5+'Monthly Levelized'!$L$5&lt;&gt;0,IFERROR(VLOOKUP(B131,'Monthly Levelized'!$G$5:$I$25,3,FALSE),P130),1)</f>
        <v>1</v>
      </c>
      <c r="Q131" s="213" t="str">
        <f t="shared" si="33"/>
        <v>Winter</v>
      </c>
      <c r="S131" s="214"/>
      <c r="T131" s="214"/>
      <c r="U131" s="214"/>
      <c r="V131" s="214"/>
    </row>
    <row r="132" spans="2:22" outlineLevel="1" x14ac:dyDescent="0.25">
      <c r="B132" s="67">
        <f t="shared" si="31"/>
        <v>46508</v>
      </c>
      <c r="C132" s="61">
        <f>'[1]Table 5'!E132*P132</f>
        <v>55046.468516677618</v>
      </c>
      <c r="D132" s="62">
        <f>IFERROR(G132*'MWH-Split'!S118*'MWH-Split'!U118,"")</f>
        <v>38345.052125772592</v>
      </c>
      <c r="E132" s="63">
        <f>IFERROR(H132*'MWH-Split'!T118*'MWH-Split'!U118,"")</f>
        <v>10830.707013241856</v>
      </c>
      <c r="F132" s="62">
        <f>'[1]Table 5'!F132*P132</f>
        <v>2933.2510000000002</v>
      </c>
      <c r="G132" s="62">
        <f>IF('MWH-Split'!N118&lt;&gt;0,'MWH-Split'!N118*P132,"")</f>
        <v>2245.4499999999998</v>
      </c>
      <c r="H132" s="63">
        <f>IF('MWH-Split'!O118&lt;&gt;0,'MWH-Split'!O118*P132,"")</f>
        <v>687.80100000000004</v>
      </c>
      <c r="I132" s="64">
        <f t="shared" si="35"/>
        <v>18.77</v>
      </c>
      <c r="J132" s="64">
        <f t="shared" si="35"/>
        <v>17.079999999999998</v>
      </c>
      <c r="K132" s="65">
        <f t="shared" si="35"/>
        <v>15.75</v>
      </c>
      <c r="M132" s="70">
        <f t="shared" si="32"/>
        <v>2027</v>
      </c>
      <c r="N132" s="67">
        <f t="shared" si="34"/>
        <v>46508</v>
      </c>
      <c r="P132" s="68">
        <f>IF('Monthly Levelized'!$K$5+'Monthly Levelized'!$L$5&lt;&gt;0,IFERROR(VLOOKUP(B132,'Monthly Levelized'!$G$5:$I$25,3,FALSE),P131),1)</f>
        <v>1</v>
      </c>
      <c r="Q132" s="213" t="str">
        <f t="shared" si="33"/>
        <v>Winter</v>
      </c>
      <c r="S132" s="214"/>
      <c r="T132" s="214"/>
      <c r="U132" s="214"/>
      <c r="V132" s="214"/>
    </row>
    <row r="133" spans="2:22" outlineLevel="1" x14ac:dyDescent="0.25">
      <c r="B133" s="67">
        <f t="shared" si="31"/>
        <v>46539</v>
      </c>
      <c r="C133" s="61">
        <f>'[1]Table 5'!E133*P133</f>
        <v>61826.08263990283</v>
      </c>
      <c r="D133" s="62">
        <f>IFERROR(G133*'MWH-Split'!S119*'MWH-Split'!U119,"")</f>
        <v>47188.22502847435</v>
      </c>
      <c r="E133" s="63">
        <f>IFERROR(H133*'MWH-Split'!T119*'MWH-Split'!U119,"")</f>
        <v>9332.0977681971053</v>
      </c>
      <c r="F133" s="62">
        <f>'[1]Table 5'!F133*P133</f>
        <v>3116.28</v>
      </c>
      <c r="G133" s="62">
        <f>IF('MWH-Split'!N119&lt;&gt;0,'MWH-Split'!N119*P133,"")</f>
        <v>2545.8420000000001</v>
      </c>
      <c r="H133" s="63">
        <f>IF('MWH-Split'!O119&lt;&gt;0,'MWH-Split'!O119*P133,"")</f>
        <v>570.43799999999999</v>
      </c>
      <c r="I133" s="64">
        <f t="shared" si="35"/>
        <v>19.84</v>
      </c>
      <c r="J133" s="64">
        <f t="shared" si="35"/>
        <v>18.54</v>
      </c>
      <c r="K133" s="65">
        <f t="shared" si="35"/>
        <v>16.36</v>
      </c>
      <c r="M133" s="70">
        <f t="shared" si="32"/>
        <v>2027</v>
      </c>
      <c r="N133" s="67">
        <f t="shared" si="34"/>
        <v>46539</v>
      </c>
      <c r="P133" s="68">
        <f>IF('Monthly Levelized'!$K$5+'Monthly Levelized'!$L$5&lt;&gt;0,IFERROR(VLOOKUP(B133,'Monthly Levelized'!$G$5:$I$25,3,FALSE),P132),1)</f>
        <v>1</v>
      </c>
      <c r="Q133" s="213" t="str">
        <f t="shared" si="33"/>
        <v>Summer</v>
      </c>
      <c r="S133" s="214"/>
      <c r="T133" s="214"/>
      <c r="U133" s="214"/>
      <c r="V133" s="214"/>
    </row>
    <row r="134" spans="2:22" outlineLevel="1" x14ac:dyDescent="0.25">
      <c r="B134" s="67">
        <f t="shared" si="31"/>
        <v>46569</v>
      </c>
      <c r="C134" s="61">
        <f>'[1]Table 5'!E134*P134</f>
        <v>57639.985171705484</v>
      </c>
      <c r="D134" s="62">
        <f>IFERROR(G134*'MWH-Split'!S120*'MWH-Split'!U120,"")</f>
        <v>58485.53461813071</v>
      </c>
      <c r="E134" s="63">
        <f>IFERROR(H134*'MWH-Split'!T120*'MWH-Split'!U120,"")</f>
        <v>11468.877371574472</v>
      </c>
      <c r="F134" s="62">
        <f>'[1]Table 5'!F134*P134</f>
        <v>2820.5659999999998</v>
      </c>
      <c r="G134" s="62">
        <f>IF('MWH-Split'!N120&lt;&gt;0,'MWH-Split'!N120*P134,"")</f>
        <v>2260.8560000000002</v>
      </c>
      <c r="H134" s="63">
        <f>IF('MWH-Split'!O120&lt;&gt;0,'MWH-Split'!O120*P134,"")</f>
        <v>559.71</v>
      </c>
      <c r="I134" s="64">
        <f t="shared" si="35"/>
        <v>20.440000000000001</v>
      </c>
      <c r="J134" s="64">
        <f t="shared" si="35"/>
        <v>25.87</v>
      </c>
      <c r="K134" s="65">
        <f t="shared" si="35"/>
        <v>20.49</v>
      </c>
      <c r="M134" s="70">
        <f t="shared" si="32"/>
        <v>2027</v>
      </c>
      <c r="N134" s="67">
        <f t="shared" si="34"/>
        <v>46569</v>
      </c>
      <c r="P134" s="68">
        <f>IF('Monthly Levelized'!$K$5+'Monthly Levelized'!$L$5&lt;&gt;0,IFERROR(VLOOKUP(B134,'Monthly Levelized'!$G$5:$I$25,3,FALSE),P133),1)</f>
        <v>1</v>
      </c>
      <c r="Q134" s="213" t="str">
        <f t="shared" si="33"/>
        <v>Summer</v>
      </c>
      <c r="S134" s="214"/>
      <c r="T134" s="214"/>
      <c r="U134" s="214"/>
      <c r="V134" s="214"/>
    </row>
    <row r="135" spans="2:22" outlineLevel="1" x14ac:dyDescent="0.25">
      <c r="B135" s="67">
        <f t="shared" si="31"/>
        <v>46600</v>
      </c>
      <c r="C135" s="61">
        <f>'[1]Table 5'!E135*P135</f>
        <v>63185.448741465807</v>
      </c>
      <c r="D135" s="62">
        <f>IFERROR(G135*'MWH-Split'!S121*'MWH-Split'!U121,"")</f>
        <v>63447.213597920047</v>
      </c>
      <c r="E135" s="63">
        <f>IFERROR(H135*'MWH-Split'!T121*'MWH-Split'!U121,"")</f>
        <v>10784.057810735247</v>
      </c>
      <c r="F135" s="62">
        <f>'[1]Table 5'!F135*P135</f>
        <v>2825.2159999999999</v>
      </c>
      <c r="G135" s="62">
        <f>IF('MWH-Split'!N121&lt;&gt;0,'MWH-Split'!N121*P135,"")</f>
        <v>2316.5219999999999</v>
      </c>
      <c r="H135" s="63">
        <f>IF('MWH-Split'!O121&lt;&gt;0,'MWH-Split'!O121*P135,"")</f>
        <v>508.69400000000002</v>
      </c>
      <c r="I135" s="64">
        <f t="shared" si="35"/>
        <v>22.36</v>
      </c>
      <c r="J135" s="64">
        <f t="shared" si="35"/>
        <v>27.39</v>
      </c>
      <c r="K135" s="65">
        <f t="shared" si="35"/>
        <v>21.2</v>
      </c>
      <c r="M135" s="70">
        <f t="shared" si="32"/>
        <v>2027</v>
      </c>
      <c r="N135" s="67">
        <f t="shared" si="34"/>
        <v>46600</v>
      </c>
      <c r="P135" s="68">
        <f>IF('Monthly Levelized'!$K$5+'Monthly Levelized'!$L$5&lt;&gt;0,IFERROR(VLOOKUP(B135,'Monthly Levelized'!$G$5:$I$25,3,FALSE),P134),1)</f>
        <v>1</v>
      </c>
      <c r="Q135" s="213" t="str">
        <f t="shared" si="33"/>
        <v>Summer</v>
      </c>
      <c r="S135" s="214"/>
      <c r="T135" s="214"/>
      <c r="U135" s="214"/>
      <c r="V135" s="214"/>
    </row>
    <row r="136" spans="2:22" outlineLevel="1" x14ac:dyDescent="0.25">
      <c r="B136" s="67">
        <f t="shared" si="31"/>
        <v>46631</v>
      </c>
      <c r="C136" s="61">
        <f>'[1]Table 5'!E136*P136</f>
        <v>61257.604206413031</v>
      </c>
      <c r="D136" s="62">
        <f>IFERROR(G136*'MWH-Split'!S122*'MWH-Split'!U122,"")</f>
        <v>46795.745959418877</v>
      </c>
      <c r="E136" s="63">
        <f>IFERROR(H136*'MWH-Split'!T122*'MWH-Split'!U122,"")</f>
        <v>8100.2621876173907</v>
      </c>
      <c r="F136" s="62">
        <f>'[1]Table 5'!F136*P136</f>
        <v>2490.39</v>
      </c>
      <c r="G136" s="62">
        <f>IF('MWH-Split'!N122&lt;&gt;0,'MWH-Split'!N122*P136,"")</f>
        <v>2059.6999999999998</v>
      </c>
      <c r="H136" s="63">
        <f>IF('MWH-Split'!O122&lt;&gt;0,'MWH-Split'!O122*P136,"")</f>
        <v>430.69</v>
      </c>
      <c r="I136" s="64">
        <f t="shared" si="35"/>
        <v>24.6</v>
      </c>
      <c r="J136" s="64">
        <f t="shared" si="35"/>
        <v>22.72</v>
      </c>
      <c r="K136" s="65">
        <f t="shared" si="35"/>
        <v>18.809999999999999</v>
      </c>
      <c r="M136" s="70">
        <f t="shared" si="32"/>
        <v>2027</v>
      </c>
      <c r="N136" s="67">
        <f t="shared" si="34"/>
        <v>46631</v>
      </c>
      <c r="P136" s="68">
        <f>IF('Monthly Levelized'!$K$5+'Monthly Levelized'!$L$5&lt;&gt;0,IFERROR(VLOOKUP(B136,'Monthly Levelized'!$G$5:$I$25,3,FALSE),P135),1)</f>
        <v>1</v>
      </c>
      <c r="Q136" s="213" t="str">
        <f t="shared" si="33"/>
        <v>Summer</v>
      </c>
      <c r="S136" s="214"/>
      <c r="T136" s="214"/>
      <c r="U136" s="214"/>
      <c r="V136" s="214"/>
    </row>
    <row r="137" spans="2:22" outlineLevel="1" x14ac:dyDescent="0.25">
      <c r="B137" s="67">
        <f t="shared" si="31"/>
        <v>46661</v>
      </c>
      <c r="C137" s="61">
        <f>'[1]Table 5'!E137*P137</f>
        <v>43733.76333335042</v>
      </c>
      <c r="D137" s="62">
        <f>IFERROR(G137*'MWH-Split'!S123*'MWH-Split'!U123,"")</f>
        <v>37845.961698989478</v>
      </c>
      <c r="E137" s="63">
        <f>IFERROR(H137*'MWH-Split'!T123*'MWH-Split'!U123,"")</f>
        <v>6511.6206414837952</v>
      </c>
      <c r="F137" s="62">
        <f>'[1]Table 5'!F137*P137</f>
        <v>2019.03</v>
      </c>
      <c r="G137" s="62">
        <f>IF('MWH-Split'!N123&lt;&gt;0,'MWH-Split'!N123*P137,"")</f>
        <v>1692.99</v>
      </c>
      <c r="H137" s="63">
        <f>IF('MWH-Split'!O123&lt;&gt;0,'MWH-Split'!O123*P137,"")</f>
        <v>326.04000000000002</v>
      </c>
      <c r="I137" s="64">
        <f t="shared" si="35"/>
        <v>21.66</v>
      </c>
      <c r="J137" s="64">
        <f t="shared" si="35"/>
        <v>22.35</v>
      </c>
      <c r="K137" s="65">
        <f t="shared" si="35"/>
        <v>19.97</v>
      </c>
      <c r="M137" s="70">
        <f t="shared" si="32"/>
        <v>2027</v>
      </c>
      <c r="N137" s="67">
        <f t="shared" si="34"/>
        <v>46661</v>
      </c>
      <c r="P137" s="68">
        <f>IF('Monthly Levelized'!$K$5+'Monthly Levelized'!$L$5&lt;&gt;0,IFERROR(VLOOKUP(B137,'Monthly Levelized'!$G$5:$I$25,3,FALSE),P136),1)</f>
        <v>1</v>
      </c>
      <c r="Q137" s="213" t="str">
        <f t="shared" si="33"/>
        <v>Winter</v>
      </c>
      <c r="S137" s="214"/>
      <c r="T137" s="214"/>
      <c r="U137" s="214"/>
      <c r="V137" s="214"/>
    </row>
    <row r="138" spans="2:22" outlineLevel="1" x14ac:dyDescent="0.25">
      <c r="B138" s="67">
        <f t="shared" si="31"/>
        <v>46692</v>
      </c>
      <c r="C138" s="61">
        <f>'[1]Table 5'!E138*P138</f>
        <v>27897.121275618672</v>
      </c>
      <c r="D138" s="62">
        <f>IFERROR(G138*'MWH-Split'!S124*'MWH-Split'!U124,"")</f>
        <v>25995.354649641475</v>
      </c>
      <c r="E138" s="63">
        <f>IFERROR(H138*'MWH-Split'!T124*'MWH-Split'!U124,"")</f>
        <v>4594.390468335002</v>
      </c>
      <c r="F138" s="62">
        <f>'[1]Table 5'!F138*P138</f>
        <v>1359.93</v>
      </c>
      <c r="G138" s="62">
        <f>IF('MWH-Split'!N124&lt;&gt;0,'MWH-Split'!N124*P138,"")</f>
        <v>1133.2750000000001</v>
      </c>
      <c r="H138" s="63">
        <f>IF('MWH-Split'!O124&lt;&gt;0,'MWH-Split'!O124*P138,"")</f>
        <v>226.655</v>
      </c>
      <c r="I138" s="64">
        <f t="shared" si="35"/>
        <v>20.51</v>
      </c>
      <c r="J138" s="64">
        <f t="shared" si="35"/>
        <v>22.94</v>
      </c>
      <c r="K138" s="65">
        <f t="shared" si="35"/>
        <v>20.27</v>
      </c>
      <c r="M138" s="70">
        <f t="shared" si="32"/>
        <v>2027</v>
      </c>
      <c r="N138" s="67">
        <f t="shared" si="34"/>
        <v>46692</v>
      </c>
      <c r="P138" s="68">
        <f>IF('Monthly Levelized'!$K$5+'Monthly Levelized'!$L$5&lt;&gt;0,IFERROR(VLOOKUP(B138,'Monthly Levelized'!$G$5:$I$25,3,FALSE),P137),1)</f>
        <v>1</v>
      </c>
      <c r="Q138" s="213" t="str">
        <f t="shared" si="33"/>
        <v>Winter</v>
      </c>
      <c r="S138" s="214"/>
      <c r="T138" s="214"/>
      <c r="U138" s="214"/>
      <c r="V138" s="214"/>
    </row>
    <row r="139" spans="2:22" outlineLevel="1" x14ac:dyDescent="0.25">
      <c r="B139" s="78">
        <f t="shared" si="31"/>
        <v>46722</v>
      </c>
      <c r="C139" s="72">
        <f>'[1]Table 5'!E139*P139</f>
        <v>23305.424280822277</v>
      </c>
      <c r="D139" s="73">
        <f>IFERROR(G139*'MWH-Split'!S125*'MWH-Split'!U125,"")</f>
        <v>19959.080663031647</v>
      </c>
      <c r="E139" s="74">
        <f>IFERROR(H139*'MWH-Split'!T125*'MWH-Split'!U125,"")</f>
        <v>3517.0118482833782</v>
      </c>
      <c r="F139" s="73">
        <f>'[1]Table 5'!F139*P139</f>
        <v>1049.133</v>
      </c>
      <c r="G139" s="73">
        <f>IF('MWH-Split'!N125&lt;&gt;0,'MWH-Split'!N125*P139,"")</f>
        <v>879.91800000000001</v>
      </c>
      <c r="H139" s="74">
        <f>IF('MWH-Split'!O125&lt;&gt;0,'MWH-Split'!O125*P139,"")</f>
        <v>169.215</v>
      </c>
      <c r="I139" s="75">
        <f t="shared" si="35"/>
        <v>22.21</v>
      </c>
      <c r="J139" s="75">
        <f t="shared" si="35"/>
        <v>22.68</v>
      </c>
      <c r="K139" s="76">
        <f t="shared" si="35"/>
        <v>20.78</v>
      </c>
      <c r="M139" s="77">
        <f t="shared" si="32"/>
        <v>2027</v>
      </c>
      <c r="N139" s="78">
        <f t="shared" si="34"/>
        <v>46722</v>
      </c>
      <c r="P139" s="79">
        <f>IF('Monthly Levelized'!$K$5+'Monthly Levelized'!$L$5&lt;&gt;0,IFERROR(VLOOKUP(B139,'Monthly Levelized'!$G$5:$I$25,3,FALSE),P138),1)</f>
        <v>1</v>
      </c>
      <c r="Q139" s="213" t="str">
        <f t="shared" si="33"/>
        <v>Winter</v>
      </c>
      <c r="S139" s="214"/>
      <c r="T139" s="214"/>
      <c r="U139" s="214"/>
      <c r="V139" s="214"/>
    </row>
    <row r="140" spans="2:22" outlineLevel="1" x14ac:dyDescent="0.25">
      <c r="B140" s="80">
        <f t="shared" si="31"/>
        <v>46753</v>
      </c>
      <c r="C140" s="81">
        <f>'[1]Table 5'!E140*P140</f>
        <v>29169.194112986326</v>
      </c>
      <c r="D140" s="82">
        <f>IFERROR(G140*'MWH-Split'!S126*'MWH-Split'!U126,"")</f>
        <v>24419.971069210693</v>
      </c>
      <c r="E140" s="83">
        <f>IFERROR(H140*'MWH-Split'!T126*'MWH-Split'!U126,"")</f>
        <v>5399.791069314535</v>
      </c>
      <c r="F140" s="82">
        <f>'[1]Table 5'!F140*P140</f>
        <v>1252.338</v>
      </c>
      <c r="G140" s="82">
        <f>IF('MWH-Split'!N126&lt;&gt;0,'MWH-Split'!N126*P140,"")</f>
        <v>1009.95</v>
      </c>
      <c r="H140" s="83">
        <f>IF('MWH-Split'!O126&lt;&gt;0,'MWH-Split'!O126*P140,"")</f>
        <v>242.38800000000001</v>
      </c>
      <c r="I140" s="84">
        <f t="shared" si="35"/>
        <v>23.29</v>
      </c>
      <c r="J140" s="84">
        <f t="shared" si="35"/>
        <v>24.18</v>
      </c>
      <c r="K140" s="85">
        <f t="shared" si="35"/>
        <v>22.28</v>
      </c>
      <c r="M140" s="66">
        <f t="shared" si="32"/>
        <v>2028</v>
      </c>
      <c r="N140" s="67">
        <f t="shared" si="34"/>
        <v>46753</v>
      </c>
      <c r="P140" s="86">
        <f>IF('Monthly Levelized'!$K$5+'Monthly Levelized'!$L$5&lt;&gt;0,IFERROR(VLOOKUP(B140,'Monthly Levelized'!$G$5:$I$25,3,FALSE),P139),1)</f>
        <v>1</v>
      </c>
      <c r="Q140" s="213" t="str">
        <f t="shared" si="33"/>
        <v>Winter</v>
      </c>
      <c r="S140" s="214"/>
      <c r="T140" s="214"/>
      <c r="U140" s="214"/>
      <c r="V140" s="214"/>
    </row>
    <row r="141" spans="2:22" outlineLevel="1" x14ac:dyDescent="0.25">
      <c r="B141" s="67">
        <f t="shared" si="31"/>
        <v>46784</v>
      </c>
      <c r="C141" s="61">
        <f>'[1]Table 5'!E141*P141</f>
        <v>34021.548134565353</v>
      </c>
      <c r="D141" s="62">
        <f>IFERROR(G141*'MWH-Split'!S127*'MWH-Split'!U127,"")</f>
        <v>31441.058367490023</v>
      </c>
      <c r="E141" s="63">
        <f>IFERROR(H141*'MWH-Split'!T127*'MWH-Split'!U127,"")</f>
        <v>4636.1026352065492</v>
      </c>
      <c r="F141" s="62">
        <f>'[1]Table 5'!F141*P141</f>
        <v>1451.682</v>
      </c>
      <c r="G141" s="62">
        <f>IF('MWH-Split'!N127&lt;&gt;0,'MWH-Split'!N127*P141,"")</f>
        <v>1251.45</v>
      </c>
      <c r="H141" s="63">
        <f>IF('MWH-Split'!O127&lt;&gt;0,'MWH-Split'!O127*P141,"")</f>
        <v>200.232</v>
      </c>
      <c r="I141" s="64">
        <f t="shared" si="35"/>
        <v>23.44</v>
      </c>
      <c r="J141" s="64">
        <f t="shared" si="35"/>
        <v>25.12</v>
      </c>
      <c r="K141" s="65">
        <f t="shared" si="35"/>
        <v>23.15</v>
      </c>
      <c r="M141" s="70">
        <f t="shared" si="32"/>
        <v>2028</v>
      </c>
      <c r="N141" s="67">
        <f t="shared" si="34"/>
        <v>46784</v>
      </c>
      <c r="P141" s="68">
        <f>IF('Monthly Levelized'!$K$5+'Monthly Levelized'!$L$5&lt;&gt;0,IFERROR(VLOOKUP(B141,'Monthly Levelized'!$G$5:$I$25,3,FALSE),P140),1)</f>
        <v>1</v>
      </c>
      <c r="Q141" s="213" t="str">
        <f t="shared" si="33"/>
        <v>Winter</v>
      </c>
      <c r="S141" s="214"/>
      <c r="T141" s="214"/>
      <c r="U141" s="214"/>
      <c r="V141" s="214"/>
    </row>
    <row r="142" spans="2:22" outlineLevel="1" x14ac:dyDescent="0.25">
      <c r="B142" s="67">
        <f t="shared" si="31"/>
        <v>46813</v>
      </c>
      <c r="C142" s="61">
        <f>'[1]Table 5'!E142*P142</f>
        <v>52853.148813337088</v>
      </c>
      <c r="D142" s="62">
        <f>IFERROR(G142*'MWH-Split'!S128*'MWH-Split'!U128,"")</f>
        <v>42395.992844121822</v>
      </c>
      <c r="E142" s="63">
        <f>IFERROR(H142*'MWH-Split'!T128*'MWH-Split'!U128,"")</f>
        <v>6041.3657685456537</v>
      </c>
      <c r="F142" s="62">
        <f>'[1]Table 5'!F142*P142</f>
        <v>2182.9580000000001</v>
      </c>
      <c r="G142" s="62">
        <f>IF('MWH-Split'!N128&lt;&gt;0,'MWH-Split'!N128*P142,"")</f>
        <v>1900.557</v>
      </c>
      <c r="H142" s="63">
        <f>IF('MWH-Split'!O128&lt;&gt;0,'MWH-Split'!O128*P142,"")</f>
        <v>282.40100000000001</v>
      </c>
      <c r="I142" s="64">
        <f t="shared" si="35"/>
        <v>24.21</v>
      </c>
      <c r="J142" s="64">
        <f t="shared" si="35"/>
        <v>22.31</v>
      </c>
      <c r="K142" s="65">
        <f t="shared" si="35"/>
        <v>21.39</v>
      </c>
      <c r="M142" s="70">
        <f t="shared" si="32"/>
        <v>2028</v>
      </c>
      <c r="N142" s="67">
        <f t="shared" si="34"/>
        <v>46813</v>
      </c>
      <c r="P142" s="68">
        <f>IF('Monthly Levelized'!$K$5+'Monthly Levelized'!$L$5&lt;&gt;0,IFERROR(VLOOKUP(B142,'Monthly Levelized'!$G$5:$I$25,3,FALSE),P141),1)</f>
        <v>1</v>
      </c>
      <c r="Q142" s="213" t="str">
        <f t="shared" si="33"/>
        <v>Winter</v>
      </c>
      <c r="S142" s="214"/>
      <c r="T142" s="214"/>
      <c r="U142" s="214"/>
      <c r="V142" s="214"/>
    </row>
    <row r="143" spans="2:22" outlineLevel="1" x14ac:dyDescent="0.25">
      <c r="B143" s="67">
        <f t="shared" si="31"/>
        <v>46844</v>
      </c>
      <c r="C143" s="61">
        <f>'[1]Table 5'!E143*P143</f>
        <v>59760.809343710542</v>
      </c>
      <c r="D143" s="62">
        <f>IFERROR(G143*'MWH-Split'!S129*'MWH-Split'!U129,"")</f>
        <v>38779.297064244129</v>
      </c>
      <c r="E143" s="63">
        <f>IFERROR(H143*'MWH-Split'!T129*'MWH-Split'!U129,"")</f>
        <v>7951.1421169188661</v>
      </c>
      <c r="F143" s="62">
        <f>'[1]Table 5'!F143*P143</f>
        <v>2521.29</v>
      </c>
      <c r="G143" s="62">
        <f>IF('MWH-Split'!N129&lt;&gt;0,'MWH-Split'!N129*P143,"")</f>
        <v>2064.1999999999998</v>
      </c>
      <c r="H143" s="63">
        <f>IF('MWH-Split'!O129&lt;&gt;0,'MWH-Split'!O129*P143,"")</f>
        <v>457.09</v>
      </c>
      <c r="I143" s="64">
        <f t="shared" si="35"/>
        <v>23.7</v>
      </c>
      <c r="J143" s="64">
        <f t="shared" si="35"/>
        <v>18.79</v>
      </c>
      <c r="K143" s="65">
        <f t="shared" si="35"/>
        <v>17.399999999999999</v>
      </c>
      <c r="M143" s="70">
        <f t="shared" si="32"/>
        <v>2028</v>
      </c>
      <c r="N143" s="67">
        <f t="shared" si="34"/>
        <v>46844</v>
      </c>
      <c r="P143" s="68">
        <f>IF('Monthly Levelized'!$K$5+'Monthly Levelized'!$L$5&lt;&gt;0,IFERROR(VLOOKUP(B143,'Monthly Levelized'!$G$5:$I$25,3,FALSE),P142),1)</f>
        <v>1</v>
      </c>
      <c r="Q143" s="213" t="str">
        <f t="shared" si="33"/>
        <v>Winter</v>
      </c>
      <c r="S143" s="214"/>
      <c r="T143" s="214"/>
      <c r="U143" s="214"/>
      <c r="V143" s="214"/>
    </row>
    <row r="144" spans="2:22" outlineLevel="1" x14ac:dyDescent="0.25">
      <c r="B144" s="67">
        <f t="shared" si="31"/>
        <v>46874</v>
      </c>
      <c r="C144" s="61">
        <f>'[1]Table 5'!E144*P144</f>
        <v>61600.817929685116</v>
      </c>
      <c r="D144" s="62">
        <f>IFERROR(G144*'MWH-Split'!S130*'MWH-Split'!U130,"")</f>
        <v>44334.568218749824</v>
      </c>
      <c r="E144" s="63">
        <f>IFERROR(H144*'MWH-Split'!T130*'MWH-Split'!U130,"")</f>
        <v>10450.872230471527</v>
      </c>
      <c r="F144" s="62">
        <f>'[1]Table 5'!F144*P144</f>
        <v>2918.681</v>
      </c>
      <c r="G144" s="62">
        <f>IF('MWH-Split'!N130&lt;&gt;0,'MWH-Split'!N130*P144,"")</f>
        <v>2323.6460000000002</v>
      </c>
      <c r="H144" s="63">
        <f>IF('MWH-Split'!O130&lt;&gt;0,'MWH-Split'!O130*P144,"")</f>
        <v>595.03499999999997</v>
      </c>
      <c r="I144" s="64">
        <f t="shared" si="35"/>
        <v>21.11</v>
      </c>
      <c r="J144" s="64">
        <f t="shared" si="35"/>
        <v>19.079999999999998</v>
      </c>
      <c r="K144" s="65">
        <f t="shared" si="35"/>
        <v>17.559999999999999</v>
      </c>
      <c r="M144" s="70">
        <f t="shared" si="32"/>
        <v>2028</v>
      </c>
      <c r="N144" s="67">
        <f t="shared" si="34"/>
        <v>46874</v>
      </c>
      <c r="P144" s="68">
        <f>IF('Monthly Levelized'!$K$5+'Monthly Levelized'!$L$5&lt;&gt;0,IFERROR(VLOOKUP(B144,'Monthly Levelized'!$G$5:$I$25,3,FALSE),P143),1)</f>
        <v>1</v>
      </c>
      <c r="Q144" s="213" t="str">
        <f t="shared" si="33"/>
        <v>Winter</v>
      </c>
      <c r="S144" s="214"/>
      <c r="T144" s="214"/>
      <c r="U144" s="214"/>
      <c r="V144" s="214"/>
    </row>
    <row r="145" spans="2:22" outlineLevel="1" x14ac:dyDescent="0.25">
      <c r="B145" s="67">
        <f t="shared" si="31"/>
        <v>46905</v>
      </c>
      <c r="C145" s="61">
        <f>'[1]Table 5'!E145*P145</f>
        <v>65429.38357719779</v>
      </c>
      <c r="D145" s="62">
        <f>IFERROR(G145*'MWH-Split'!S131*'MWH-Split'!U131,"")</f>
        <v>51998.123709421467</v>
      </c>
      <c r="E145" s="63">
        <f>IFERROR(H145*'MWH-Split'!T131*'MWH-Split'!U131,"")</f>
        <v>10276.658853718753</v>
      </c>
      <c r="F145" s="62">
        <f>'[1]Table 5'!F145*P145</f>
        <v>3100.65</v>
      </c>
      <c r="G145" s="62">
        <f>IF('MWH-Split'!N131&lt;&gt;0,'MWH-Split'!N131*P145,"")</f>
        <v>2533.076</v>
      </c>
      <c r="H145" s="63">
        <f>IF('MWH-Split'!O131&lt;&gt;0,'MWH-Split'!O131*P145,"")</f>
        <v>567.57399999999996</v>
      </c>
      <c r="I145" s="64">
        <f t="shared" si="35"/>
        <v>21.1</v>
      </c>
      <c r="J145" s="64">
        <f t="shared" si="35"/>
        <v>20.53</v>
      </c>
      <c r="K145" s="65">
        <f t="shared" si="35"/>
        <v>18.11</v>
      </c>
      <c r="M145" s="70">
        <f t="shared" si="32"/>
        <v>2028</v>
      </c>
      <c r="N145" s="67">
        <f t="shared" si="34"/>
        <v>46905</v>
      </c>
      <c r="P145" s="68">
        <f>IF('Monthly Levelized'!$K$5+'Monthly Levelized'!$L$5&lt;&gt;0,IFERROR(VLOOKUP(B145,'Monthly Levelized'!$G$5:$I$25,3,FALSE),P144),1)</f>
        <v>1</v>
      </c>
      <c r="Q145" s="213" t="str">
        <f t="shared" si="33"/>
        <v>Summer</v>
      </c>
      <c r="S145" s="214"/>
      <c r="T145" s="214"/>
      <c r="U145" s="214"/>
      <c r="V145" s="214"/>
    </row>
    <row r="146" spans="2:22" outlineLevel="1" x14ac:dyDescent="0.25">
      <c r="B146" s="67">
        <f t="shared" si="31"/>
        <v>46935</v>
      </c>
      <c r="C146" s="61">
        <f>'[1]Table 5'!E146*P146</f>
        <v>69257.993314951658</v>
      </c>
      <c r="D146" s="62">
        <f>IFERROR(G146*'MWH-Split'!S132*'MWH-Split'!U132,"")</f>
        <v>61722.178270308825</v>
      </c>
      <c r="E146" s="63">
        <f>IFERROR(H146*'MWH-Split'!T132*'MWH-Split'!U132,"")</f>
        <v>14672.940334028523</v>
      </c>
      <c r="F146" s="62">
        <f>'[1]Table 5'!F146*P146</f>
        <v>2806.4920000000002</v>
      </c>
      <c r="G146" s="62">
        <f>IF('MWH-Split'!N132&lt;&gt;0,'MWH-Split'!N132*P146,"")</f>
        <v>2163.0250000000001</v>
      </c>
      <c r="H146" s="63">
        <f>IF('MWH-Split'!O132&lt;&gt;0,'MWH-Split'!O132*P146,"")</f>
        <v>643.46699999999998</v>
      </c>
      <c r="I146" s="64">
        <f t="shared" si="35"/>
        <v>24.68</v>
      </c>
      <c r="J146" s="64">
        <f t="shared" si="35"/>
        <v>28.54</v>
      </c>
      <c r="K146" s="65">
        <f t="shared" si="35"/>
        <v>22.8</v>
      </c>
      <c r="M146" s="70">
        <f t="shared" si="32"/>
        <v>2028</v>
      </c>
      <c r="N146" s="67">
        <f t="shared" si="34"/>
        <v>46935</v>
      </c>
      <c r="P146" s="68">
        <f>IF('Monthly Levelized'!$K$5+'Monthly Levelized'!$L$5&lt;&gt;0,IFERROR(VLOOKUP(B146,'Monthly Levelized'!$G$5:$I$25,3,FALSE),P145),1)</f>
        <v>1</v>
      </c>
      <c r="Q146" s="213" t="str">
        <f t="shared" si="33"/>
        <v>Summer</v>
      </c>
      <c r="S146" s="214"/>
      <c r="T146" s="214"/>
      <c r="U146" s="214"/>
      <c r="V146" s="214"/>
    </row>
    <row r="147" spans="2:22" outlineLevel="1" x14ac:dyDescent="0.25">
      <c r="B147" s="67">
        <f t="shared" si="31"/>
        <v>46966</v>
      </c>
      <c r="C147" s="61">
        <f>'[1]Table 5'!E147*P147</f>
        <v>67285.18960121274</v>
      </c>
      <c r="D147" s="62">
        <f>IFERROR(G147*'MWH-Split'!S133*'MWH-Split'!U133,"")</f>
        <v>71938.650120180653</v>
      </c>
      <c r="E147" s="63">
        <f>IFERROR(H147*'MWH-Split'!T133*'MWH-Split'!U133,"")</f>
        <v>9757.0164738621133</v>
      </c>
      <c r="F147" s="62">
        <f>'[1]Table 5'!F147*P147</f>
        <v>2811.1109999999999</v>
      </c>
      <c r="G147" s="62">
        <f>IF('MWH-Split'!N133&lt;&gt;0,'MWH-Split'!N133*P147,"")</f>
        <v>2393.6039999999998</v>
      </c>
      <c r="H147" s="63">
        <f>IF('MWH-Split'!O133&lt;&gt;0,'MWH-Split'!O133*P147,"")</f>
        <v>417.50700000000001</v>
      </c>
      <c r="I147" s="64">
        <f t="shared" si="35"/>
        <v>23.94</v>
      </c>
      <c r="J147" s="64">
        <f t="shared" si="35"/>
        <v>30.05</v>
      </c>
      <c r="K147" s="65">
        <f t="shared" si="35"/>
        <v>23.37</v>
      </c>
      <c r="M147" s="70">
        <f t="shared" si="32"/>
        <v>2028</v>
      </c>
      <c r="N147" s="67">
        <f t="shared" si="34"/>
        <v>46966</v>
      </c>
      <c r="P147" s="68">
        <f>IF('Monthly Levelized'!$K$5+'Monthly Levelized'!$L$5&lt;&gt;0,IFERROR(VLOOKUP(B147,'Monthly Levelized'!$G$5:$I$25,3,FALSE),P146),1)</f>
        <v>1</v>
      </c>
      <c r="Q147" s="213" t="str">
        <f t="shared" si="33"/>
        <v>Summer</v>
      </c>
      <c r="S147" s="214"/>
      <c r="T147" s="214"/>
      <c r="U147" s="214"/>
      <c r="V147" s="214"/>
    </row>
    <row r="148" spans="2:22" outlineLevel="1" x14ac:dyDescent="0.25">
      <c r="B148" s="67">
        <f t="shared" si="31"/>
        <v>46997</v>
      </c>
      <c r="C148" s="61">
        <f>'[1]Table 5'!E148*P148</f>
        <v>60147.165192723274</v>
      </c>
      <c r="D148" s="62">
        <f>IFERROR(G148*'MWH-Split'!S134*'MWH-Split'!U134,"")</f>
        <v>50566.372985239446</v>
      </c>
      <c r="E148" s="63">
        <f>IFERROR(H148*'MWH-Split'!T134*'MWH-Split'!U134,"")</f>
        <v>8982.4486011594072</v>
      </c>
      <c r="F148" s="62">
        <f>'[1]Table 5'!F148*P148</f>
        <v>2477.88</v>
      </c>
      <c r="G148" s="62">
        <f>IF('MWH-Split'!N134&lt;&gt;0,'MWH-Split'!N134*P148,"")</f>
        <v>2049.35</v>
      </c>
      <c r="H148" s="63">
        <f>IF('MWH-Split'!O134&lt;&gt;0,'MWH-Split'!O134*P148,"")</f>
        <v>428.53</v>
      </c>
      <c r="I148" s="64">
        <f t="shared" si="35"/>
        <v>24.27</v>
      </c>
      <c r="J148" s="64">
        <f t="shared" si="35"/>
        <v>24.67</v>
      </c>
      <c r="K148" s="65">
        <f t="shared" si="35"/>
        <v>20.96</v>
      </c>
      <c r="M148" s="70">
        <f t="shared" si="32"/>
        <v>2028</v>
      </c>
      <c r="N148" s="67">
        <f t="shared" si="34"/>
        <v>46997</v>
      </c>
      <c r="P148" s="68">
        <f>IF('Monthly Levelized'!$K$5+'Monthly Levelized'!$L$5&lt;&gt;0,IFERROR(VLOOKUP(B148,'Monthly Levelized'!$G$5:$I$25,3,FALSE),P147),1)</f>
        <v>1</v>
      </c>
      <c r="Q148" s="213" t="str">
        <f t="shared" si="33"/>
        <v>Summer</v>
      </c>
      <c r="S148" s="214"/>
      <c r="T148" s="214"/>
      <c r="U148" s="214"/>
      <c r="V148" s="214"/>
    </row>
    <row r="149" spans="2:22" outlineLevel="1" x14ac:dyDescent="0.25">
      <c r="B149" s="67">
        <f t="shared" ref="B149:B212" si="36">EDATE(B148,1)</f>
        <v>47027</v>
      </c>
      <c r="C149" s="61">
        <f>'[1]Table 5'!E149*P149</f>
        <v>47341.214884996414</v>
      </c>
      <c r="D149" s="62">
        <f>IFERROR(G149*'MWH-Split'!S135*'MWH-Split'!U135,"")</f>
        <v>41011.256902946552</v>
      </c>
      <c r="E149" s="63">
        <f>IFERROR(H149*'MWH-Split'!T135*'MWH-Split'!U135,"")</f>
        <v>7098.9832967995826</v>
      </c>
      <c r="F149" s="62">
        <f>'[1]Table 5'!F149*P149</f>
        <v>2008.924</v>
      </c>
      <c r="G149" s="62">
        <f>IF('MWH-Split'!N135&lt;&gt;0,'MWH-Split'!N135*P149,"")</f>
        <v>1684.5139999999999</v>
      </c>
      <c r="H149" s="63">
        <f>IF('MWH-Split'!O135&lt;&gt;0,'MWH-Split'!O135*P149,"")</f>
        <v>324.41000000000003</v>
      </c>
      <c r="I149" s="64">
        <f t="shared" si="35"/>
        <v>23.57</v>
      </c>
      <c r="J149" s="64">
        <f t="shared" si="35"/>
        <v>24.35</v>
      </c>
      <c r="K149" s="65">
        <f t="shared" si="35"/>
        <v>21.88</v>
      </c>
      <c r="M149" s="70">
        <f t="shared" ref="M149:M212" si="37">YEAR(B149)</f>
        <v>2028</v>
      </c>
      <c r="N149" s="67">
        <f t="shared" si="34"/>
        <v>47027</v>
      </c>
      <c r="P149" s="68">
        <f>IF('Monthly Levelized'!$K$5+'Monthly Levelized'!$L$5&lt;&gt;0,IFERROR(VLOOKUP(B149,'Monthly Levelized'!$G$5:$I$25,3,FALSE),P148),1)</f>
        <v>1</v>
      </c>
      <c r="Q149" s="213" t="str">
        <f t="shared" ref="Q149:Q212" si="38">IF(AND(MONTH(N149)&gt;=6,MONTH(N149)&lt;=9),"Summer","Winter")</f>
        <v>Winter</v>
      </c>
      <c r="S149" s="214"/>
      <c r="T149" s="214"/>
      <c r="U149" s="214"/>
      <c r="V149" s="214"/>
    </row>
    <row r="150" spans="2:22" outlineLevel="1" x14ac:dyDescent="0.25">
      <c r="B150" s="67">
        <f t="shared" si="36"/>
        <v>47058</v>
      </c>
      <c r="C150" s="61">
        <f>'[1]Table 5'!E150*P150</f>
        <v>31665.36151432991</v>
      </c>
      <c r="D150" s="62">
        <f>IFERROR(G150*'MWH-Split'!S136*'MWH-Split'!U136,"")</f>
        <v>28937.091523472558</v>
      </c>
      <c r="E150" s="63">
        <f>IFERROR(H150*'MWH-Split'!T136*'MWH-Split'!U136,"")</f>
        <v>5158.5578433067858</v>
      </c>
      <c r="F150" s="62">
        <f>'[1]Table 5'!F150*P150</f>
        <v>1353.06</v>
      </c>
      <c r="G150" s="62">
        <f>IF('MWH-Split'!N136&lt;&gt;0,'MWH-Split'!N136*P150,"")</f>
        <v>1127.55</v>
      </c>
      <c r="H150" s="63">
        <f>IF('MWH-Split'!O136&lt;&gt;0,'MWH-Split'!O136*P150,"")</f>
        <v>225.51</v>
      </c>
      <c r="I150" s="64">
        <f t="shared" si="35"/>
        <v>23.4</v>
      </c>
      <c r="J150" s="64">
        <f t="shared" si="35"/>
        <v>25.66</v>
      </c>
      <c r="K150" s="65">
        <f t="shared" si="35"/>
        <v>22.88</v>
      </c>
      <c r="M150" s="70">
        <f t="shared" si="37"/>
        <v>2028</v>
      </c>
      <c r="N150" s="67">
        <f t="shared" si="34"/>
        <v>47058</v>
      </c>
      <c r="P150" s="68">
        <f>IF('Monthly Levelized'!$K$5+'Monthly Levelized'!$L$5&lt;&gt;0,IFERROR(VLOOKUP(B150,'Monthly Levelized'!$G$5:$I$25,3,FALSE),P149),1)</f>
        <v>1</v>
      </c>
      <c r="Q150" s="213" t="str">
        <f t="shared" si="38"/>
        <v>Winter</v>
      </c>
      <c r="S150" s="214"/>
      <c r="T150" s="214"/>
      <c r="U150" s="214"/>
      <c r="V150" s="214"/>
    </row>
    <row r="151" spans="2:22" outlineLevel="1" x14ac:dyDescent="0.25">
      <c r="B151" s="78">
        <f t="shared" si="36"/>
        <v>47088</v>
      </c>
      <c r="C151" s="72">
        <f>'[1]Table 5'!E151*P151</f>
        <v>25411.16902717948</v>
      </c>
      <c r="D151" s="73">
        <f>IFERROR(G151*'MWH-Split'!S137*'MWH-Split'!U137,"")</f>
        <v>21236.805583147303</v>
      </c>
      <c r="E151" s="74">
        <f>IFERROR(H151*'MWH-Split'!T137*'MWH-Split'!U137,"")</f>
        <v>4735.7495650102082</v>
      </c>
      <c r="F151" s="73">
        <f>'[1]Table 5'!F151*P151</f>
        <v>1043.8630000000001</v>
      </c>
      <c r="G151" s="73">
        <f>IF('MWH-Split'!N137&lt;&gt;0,'MWH-Split'!N137*P151,"")</f>
        <v>841.82500000000005</v>
      </c>
      <c r="H151" s="74">
        <f>IF('MWH-Split'!O137&lt;&gt;0,'MWH-Split'!O137*P151,"")</f>
        <v>202.03800000000001</v>
      </c>
      <c r="I151" s="75">
        <f t="shared" si="35"/>
        <v>24.34</v>
      </c>
      <c r="J151" s="75">
        <f t="shared" si="35"/>
        <v>25.23</v>
      </c>
      <c r="K151" s="76">
        <f t="shared" si="35"/>
        <v>23.44</v>
      </c>
      <c r="M151" s="77">
        <f t="shared" si="37"/>
        <v>2028</v>
      </c>
      <c r="N151" s="78">
        <f t="shared" si="34"/>
        <v>47088</v>
      </c>
      <c r="P151" s="79">
        <f>IF('Monthly Levelized'!$K$5+'Monthly Levelized'!$L$5&lt;&gt;0,IFERROR(VLOOKUP(B151,'Monthly Levelized'!$G$5:$I$25,3,FALSE),P150),1)</f>
        <v>1</v>
      </c>
      <c r="Q151" s="213" t="str">
        <f t="shared" si="38"/>
        <v>Winter</v>
      </c>
      <c r="S151" s="214"/>
      <c r="T151" s="214"/>
      <c r="U151" s="214"/>
      <c r="V151" s="214"/>
    </row>
    <row r="152" spans="2:22" outlineLevel="1" x14ac:dyDescent="0.25">
      <c r="B152" s="80">
        <f t="shared" si="36"/>
        <v>47119</v>
      </c>
      <c r="C152" s="81">
        <f>'[1]Table 5'!E152*P152</f>
        <v>-11797.822194010019</v>
      </c>
      <c r="D152" s="82">
        <f>IFERROR(G152*'MWH-Split'!S138*'MWH-Split'!U138,"")</f>
        <v>27029.047668490119</v>
      </c>
      <c r="E152" s="83">
        <f>IFERROR(H152*'MWH-Split'!T138*'MWH-Split'!U138,"")</f>
        <v>4791.5231581092648</v>
      </c>
      <c r="F152" s="82">
        <f>'[1]Table 5'!F152*P152</f>
        <v>1246.107</v>
      </c>
      <c r="G152" s="82">
        <f>IF('MWH-Split'!N138&lt;&gt;0,'MWH-Split'!N138*P152,"")</f>
        <v>1045.1220000000001</v>
      </c>
      <c r="H152" s="83">
        <f>IF('MWH-Split'!O138&lt;&gt;0,'MWH-Split'!O138*P152,"")</f>
        <v>200.98500000000001</v>
      </c>
      <c r="I152" s="84">
        <f t="shared" si="35"/>
        <v>0</v>
      </c>
      <c r="J152" s="84">
        <f t="shared" si="35"/>
        <v>25.86</v>
      </c>
      <c r="K152" s="85">
        <f t="shared" si="35"/>
        <v>23.84</v>
      </c>
      <c r="M152" s="66">
        <f t="shared" si="37"/>
        <v>2029</v>
      </c>
      <c r="N152" s="67">
        <f t="shared" si="34"/>
        <v>47119</v>
      </c>
      <c r="P152" s="86">
        <f>IF('Monthly Levelized'!$K$5+'Monthly Levelized'!$L$5&lt;&gt;0,IFERROR(VLOOKUP(B152,'Monthly Levelized'!$G$5:$I$25,3,FALSE),P151),1)</f>
        <v>1</v>
      </c>
      <c r="Q152" s="213" t="str">
        <f t="shared" si="38"/>
        <v>Winter</v>
      </c>
      <c r="S152" s="214"/>
      <c r="T152" s="214"/>
      <c r="U152" s="214"/>
      <c r="V152" s="214"/>
    </row>
    <row r="153" spans="2:22" outlineLevel="1" x14ac:dyDescent="0.25">
      <c r="B153" s="67">
        <f t="shared" si="36"/>
        <v>47150</v>
      </c>
      <c r="C153" s="61">
        <f>'[1]Table 5'!E153*P153</f>
        <v>34948.621652066708</v>
      </c>
      <c r="D153" s="62">
        <f>IFERROR(G153*'MWH-Split'!S139*'MWH-Split'!U139,"")</f>
        <v>31747.409664473827</v>
      </c>
      <c r="E153" s="63">
        <f>IFERROR(H153*'MWH-Split'!T139*'MWH-Split'!U139,"")</f>
        <v>4923.4413494821447</v>
      </c>
      <c r="F153" s="62">
        <f>'[1]Table 5'!F153*P153</f>
        <v>1394.568</v>
      </c>
      <c r="G153" s="62">
        <f>IF('MWH-Split'!N139&lt;&gt;0,'MWH-Split'!N139*P153,"")</f>
        <v>1195.3440000000001</v>
      </c>
      <c r="H153" s="63">
        <f>IF('MWH-Split'!O139&lt;&gt;0,'MWH-Split'!O139*P153,"")</f>
        <v>199.22399999999999</v>
      </c>
      <c r="I153" s="64">
        <f t="shared" si="35"/>
        <v>25.06</v>
      </c>
      <c r="J153" s="64">
        <f t="shared" si="35"/>
        <v>26.56</v>
      </c>
      <c r="K153" s="65">
        <f t="shared" si="35"/>
        <v>24.71</v>
      </c>
      <c r="M153" s="70">
        <f t="shared" si="37"/>
        <v>2029</v>
      </c>
      <c r="N153" s="67">
        <f t="shared" si="34"/>
        <v>47150</v>
      </c>
      <c r="P153" s="68">
        <f>IF('Monthly Levelized'!$K$5+'Monthly Levelized'!$L$5&lt;&gt;0,IFERROR(VLOOKUP(B153,'Monthly Levelized'!$G$5:$I$25,3,FALSE),P152),1)</f>
        <v>1</v>
      </c>
      <c r="Q153" s="213" t="str">
        <f t="shared" si="38"/>
        <v>Winter</v>
      </c>
      <c r="S153" s="214"/>
      <c r="T153" s="214"/>
      <c r="U153" s="214"/>
      <c r="V153" s="214"/>
    </row>
    <row r="154" spans="2:22" outlineLevel="1" x14ac:dyDescent="0.25">
      <c r="B154" s="67">
        <f t="shared" si="36"/>
        <v>47178</v>
      </c>
      <c r="C154" s="61">
        <f>'[1]Table 5'!E154*P154</f>
        <v>54264.048511326313</v>
      </c>
      <c r="D154" s="62">
        <f>IFERROR(G154*'MWH-Split'!S140*'MWH-Split'!U140,"")</f>
        <v>44646.351702759537</v>
      </c>
      <c r="E154" s="63">
        <f>IFERROR(H154*'MWH-Split'!T140*'MWH-Split'!U140,"")</f>
        <v>6479.5996542525609</v>
      </c>
      <c r="F154" s="62">
        <f>'[1]Table 5'!F154*P154</f>
        <v>2171.9839999999999</v>
      </c>
      <c r="G154" s="62">
        <f>IF('MWH-Split'!N140&lt;&gt;0,'MWH-Split'!N140*P154,"")</f>
        <v>1890.999</v>
      </c>
      <c r="H154" s="63">
        <f>IF('MWH-Split'!O140&lt;&gt;0,'MWH-Split'!O140*P154,"")</f>
        <v>280.98500000000001</v>
      </c>
      <c r="I154" s="64">
        <f t="shared" si="35"/>
        <v>24.98</v>
      </c>
      <c r="J154" s="64">
        <f t="shared" si="35"/>
        <v>23.61</v>
      </c>
      <c r="K154" s="65">
        <f t="shared" si="35"/>
        <v>23.06</v>
      </c>
      <c r="M154" s="70">
        <f t="shared" si="37"/>
        <v>2029</v>
      </c>
      <c r="N154" s="67">
        <f t="shared" si="34"/>
        <v>47178</v>
      </c>
      <c r="P154" s="68">
        <f>IF('Monthly Levelized'!$K$5+'Monthly Levelized'!$L$5&lt;&gt;0,IFERROR(VLOOKUP(B154,'Monthly Levelized'!$G$5:$I$25,3,FALSE),P153),1)</f>
        <v>1</v>
      </c>
      <c r="Q154" s="213" t="str">
        <f t="shared" si="38"/>
        <v>Winter</v>
      </c>
      <c r="S154" s="214"/>
      <c r="T154" s="214"/>
      <c r="U154" s="214"/>
      <c r="V154" s="214"/>
    </row>
    <row r="155" spans="2:22" outlineLevel="1" x14ac:dyDescent="0.25">
      <c r="B155" s="67">
        <f t="shared" si="36"/>
        <v>47209</v>
      </c>
      <c r="C155" s="61">
        <f>'[1]Table 5'!E155*P155</f>
        <v>54899.0966822505</v>
      </c>
      <c r="D155" s="62">
        <f>IFERROR(G155*'MWH-Split'!S141*'MWH-Split'!U141,"")</f>
        <v>40227.895965960081</v>
      </c>
      <c r="E155" s="63">
        <f>IFERROR(H155*'MWH-Split'!T141*'MWH-Split'!U141,"")</f>
        <v>8245.757406606961</v>
      </c>
      <c r="F155" s="62">
        <f>'[1]Table 5'!F155*P155</f>
        <v>2508.66</v>
      </c>
      <c r="G155" s="62">
        <f>IF('MWH-Split'!N141&lt;&gt;0,'MWH-Split'!N141*P155,"")</f>
        <v>2053.85</v>
      </c>
      <c r="H155" s="63">
        <f>IF('MWH-Split'!O141&lt;&gt;0,'MWH-Split'!O141*P155,"")</f>
        <v>454.81</v>
      </c>
      <c r="I155" s="64">
        <f t="shared" si="35"/>
        <v>21.88</v>
      </c>
      <c r="J155" s="64">
        <f t="shared" si="35"/>
        <v>19.59</v>
      </c>
      <c r="K155" s="65">
        <f t="shared" si="35"/>
        <v>18.13</v>
      </c>
      <c r="M155" s="70">
        <f t="shared" si="37"/>
        <v>2029</v>
      </c>
      <c r="N155" s="67">
        <f t="shared" si="34"/>
        <v>47209</v>
      </c>
      <c r="P155" s="68">
        <f>IF('Monthly Levelized'!$K$5+'Monthly Levelized'!$L$5&lt;&gt;0,IFERROR(VLOOKUP(B155,'Monthly Levelized'!$G$5:$I$25,3,FALSE),P154),1)</f>
        <v>1</v>
      </c>
      <c r="Q155" s="213" t="str">
        <f t="shared" si="38"/>
        <v>Winter</v>
      </c>
      <c r="S155" s="214"/>
      <c r="T155" s="214"/>
      <c r="U155" s="214"/>
      <c r="V155" s="214"/>
    </row>
    <row r="156" spans="2:22" outlineLevel="1" x14ac:dyDescent="0.25">
      <c r="B156" s="67">
        <f t="shared" si="36"/>
        <v>47239</v>
      </c>
      <c r="C156" s="61">
        <f>'[1]Table 5'!E156*P156</f>
        <v>66810.921283721924</v>
      </c>
      <c r="D156" s="62">
        <f>IFERROR(G156*'MWH-Split'!S142*'MWH-Split'!U142,"")</f>
        <v>46410.470398747588</v>
      </c>
      <c r="E156" s="63">
        <f>IFERROR(H156*'MWH-Split'!T142*'MWH-Split'!U142,"")</f>
        <v>10955.173190220137</v>
      </c>
      <c r="F156" s="62">
        <f>'[1]Table 5'!F156*P156</f>
        <v>2903.9560000000001</v>
      </c>
      <c r="G156" s="62">
        <f>IF('MWH-Split'!N142&lt;&gt;0,'MWH-Split'!N142*P156,"")</f>
        <v>2311.92</v>
      </c>
      <c r="H156" s="63">
        <f>IF('MWH-Split'!O142&lt;&gt;0,'MWH-Split'!O142*P156,"")</f>
        <v>592.03599999999994</v>
      </c>
      <c r="I156" s="64">
        <f t="shared" si="35"/>
        <v>23.01</v>
      </c>
      <c r="J156" s="64">
        <f t="shared" si="35"/>
        <v>20.07</v>
      </c>
      <c r="K156" s="65">
        <f t="shared" si="35"/>
        <v>18.5</v>
      </c>
      <c r="M156" s="70">
        <f t="shared" si="37"/>
        <v>2029</v>
      </c>
      <c r="N156" s="67">
        <f t="shared" si="34"/>
        <v>47239</v>
      </c>
      <c r="P156" s="68">
        <f>IF('Monthly Levelized'!$K$5+'Monthly Levelized'!$L$5&lt;&gt;0,IFERROR(VLOOKUP(B156,'Monthly Levelized'!$G$5:$I$25,3,FALSE),P155),1)</f>
        <v>1</v>
      </c>
      <c r="Q156" s="213" t="str">
        <f t="shared" si="38"/>
        <v>Winter</v>
      </c>
      <c r="S156" s="214"/>
      <c r="T156" s="214"/>
      <c r="U156" s="214"/>
      <c r="V156" s="214"/>
    </row>
    <row r="157" spans="2:22" outlineLevel="1" x14ac:dyDescent="0.25">
      <c r="B157" s="67">
        <f t="shared" si="36"/>
        <v>47270</v>
      </c>
      <c r="C157" s="61">
        <f>'[1]Table 5'!E157*P157</f>
        <v>71107.271430850029</v>
      </c>
      <c r="D157" s="62">
        <f>IFERROR(G157*'MWH-Split'!S143*'MWH-Split'!U143,"")</f>
        <v>52110.476905934374</v>
      </c>
      <c r="E157" s="63">
        <f>IFERROR(H157*'MWH-Split'!T143*'MWH-Split'!U143,"")</f>
        <v>10538.151701174258</v>
      </c>
      <c r="F157" s="62">
        <f>'[1]Table 5'!F157*P157</f>
        <v>3085.17</v>
      </c>
      <c r="G157" s="62">
        <f>IF('MWH-Split'!N143&lt;&gt;0,'MWH-Split'!N143*P157,"")</f>
        <v>2520.4140000000002</v>
      </c>
      <c r="H157" s="63">
        <f>IF('MWH-Split'!O143&lt;&gt;0,'MWH-Split'!O143*P157,"")</f>
        <v>564.75599999999997</v>
      </c>
      <c r="I157" s="64">
        <f t="shared" si="35"/>
        <v>23.05</v>
      </c>
      <c r="J157" s="64">
        <f t="shared" si="35"/>
        <v>20.68</v>
      </c>
      <c r="K157" s="65">
        <f t="shared" si="35"/>
        <v>18.66</v>
      </c>
      <c r="M157" s="70">
        <f t="shared" si="37"/>
        <v>2029</v>
      </c>
      <c r="N157" s="67">
        <f t="shared" si="34"/>
        <v>47270</v>
      </c>
      <c r="P157" s="68">
        <f>IF('Monthly Levelized'!$K$5+'Monthly Levelized'!$L$5&lt;&gt;0,IFERROR(VLOOKUP(B157,'Monthly Levelized'!$G$5:$I$25,3,FALSE),P156),1)</f>
        <v>1</v>
      </c>
      <c r="Q157" s="213" t="str">
        <f t="shared" si="38"/>
        <v>Summer</v>
      </c>
      <c r="S157" s="214"/>
      <c r="T157" s="214"/>
      <c r="U157" s="214"/>
      <c r="V157" s="214"/>
    </row>
    <row r="158" spans="2:22" outlineLevel="1" x14ac:dyDescent="0.25">
      <c r="B158" s="67">
        <f t="shared" si="36"/>
        <v>47300</v>
      </c>
      <c r="C158" s="61">
        <f>'[1]Table 5'!E158*P158</f>
        <v>75090.916450113058</v>
      </c>
      <c r="D158" s="62">
        <f>IFERROR(G158*'MWH-Split'!S144*'MWH-Split'!U144,"")</f>
        <v>63744.914998473898</v>
      </c>
      <c r="E158" s="63">
        <f>IFERROR(H158*'MWH-Split'!T144*'MWH-Split'!U144,"")</f>
        <v>15252.477814903041</v>
      </c>
      <c r="F158" s="62">
        <f>'[1]Table 5'!F158*P158</f>
        <v>2792.4180000000001</v>
      </c>
      <c r="G158" s="62">
        <f>IF('MWH-Split'!N144&lt;&gt;0,'MWH-Split'!N144*P158,"")</f>
        <v>2152.1999999999998</v>
      </c>
      <c r="H158" s="63">
        <f>IF('MWH-Split'!O144&lt;&gt;0,'MWH-Split'!O144*P158,"")</f>
        <v>640.21799999999996</v>
      </c>
      <c r="I158" s="64">
        <f t="shared" si="35"/>
        <v>26.89</v>
      </c>
      <c r="J158" s="64">
        <f t="shared" si="35"/>
        <v>29.62</v>
      </c>
      <c r="K158" s="65">
        <f t="shared" si="35"/>
        <v>23.82</v>
      </c>
      <c r="M158" s="70">
        <f t="shared" si="37"/>
        <v>2029</v>
      </c>
      <c r="N158" s="67">
        <f t="shared" si="34"/>
        <v>47300</v>
      </c>
      <c r="P158" s="68">
        <f>IF('Monthly Levelized'!$K$5+'Monthly Levelized'!$L$5&lt;&gt;0,IFERROR(VLOOKUP(B158,'Monthly Levelized'!$G$5:$I$25,3,FALSE),P157),1)</f>
        <v>1</v>
      </c>
      <c r="Q158" s="213" t="str">
        <f t="shared" si="38"/>
        <v>Summer</v>
      </c>
      <c r="S158" s="214"/>
      <c r="T158" s="214"/>
      <c r="U158" s="214"/>
      <c r="V158" s="214"/>
    </row>
    <row r="159" spans="2:22" outlineLevel="1" x14ac:dyDescent="0.25">
      <c r="B159" s="67">
        <f t="shared" si="36"/>
        <v>47331</v>
      </c>
      <c r="C159" s="61">
        <f>'[1]Table 5'!E159*P159</f>
        <v>71881.366118788719</v>
      </c>
      <c r="D159" s="62">
        <f>IFERROR(G159*'MWH-Split'!S145*'MWH-Split'!U145,"")</f>
        <v>75302.913254052299</v>
      </c>
      <c r="E159" s="63">
        <f>IFERROR(H159*'MWH-Split'!T145*'MWH-Split'!U145,"")</f>
        <v>10354.593166560111</v>
      </c>
      <c r="F159" s="62">
        <f>'[1]Table 5'!F159*P159</f>
        <v>2797.0369999999998</v>
      </c>
      <c r="G159" s="62">
        <f>IF('MWH-Split'!N145&lt;&gt;0,'MWH-Split'!N145*P159,"")</f>
        <v>2381.616</v>
      </c>
      <c r="H159" s="63">
        <f>IF('MWH-Split'!O145&lt;&gt;0,'MWH-Split'!O145*P159,"")</f>
        <v>415.42099999999999</v>
      </c>
      <c r="I159" s="64">
        <f t="shared" si="35"/>
        <v>25.7</v>
      </c>
      <c r="J159" s="64">
        <f t="shared" si="35"/>
        <v>31.62</v>
      </c>
      <c r="K159" s="65">
        <f t="shared" si="35"/>
        <v>24.93</v>
      </c>
      <c r="M159" s="70">
        <f t="shared" si="37"/>
        <v>2029</v>
      </c>
      <c r="N159" s="67">
        <f t="shared" si="34"/>
        <v>47331</v>
      </c>
      <c r="P159" s="68">
        <f>IF('Monthly Levelized'!$K$5+'Monthly Levelized'!$L$5&lt;&gt;0,IFERROR(VLOOKUP(B159,'Monthly Levelized'!$G$5:$I$25,3,FALSE),P158),1)</f>
        <v>1</v>
      </c>
      <c r="Q159" s="213" t="str">
        <f t="shared" si="38"/>
        <v>Summer</v>
      </c>
      <c r="S159" s="214"/>
      <c r="T159" s="214"/>
      <c r="U159" s="214"/>
      <c r="V159" s="214"/>
    </row>
    <row r="160" spans="2:22" outlineLevel="1" x14ac:dyDescent="0.25">
      <c r="B160" s="67">
        <f t="shared" si="36"/>
        <v>47362</v>
      </c>
      <c r="C160" s="61">
        <f>'[1]Table 5'!E160*P160</f>
        <v>95263.295608520508</v>
      </c>
      <c r="D160" s="62">
        <f>IFERROR(G160*'MWH-Split'!S146*'MWH-Split'!U146,"")</f>
        <v>52583.956689351675</v>
      </c>
      <c r="E160" s="63">
        <f>IFERROR(H160*'MWH-Split'!T146*'MWH-Split'!U146,"")</f>
        <v>11509.765311808429</v>
      </c>
      <c r="F160" s="62">
        <f>'[1]Table 5'!F160*P160</f>
        <v>2465.58</v>
      </c>
      <c r="G160" s="62">
        <f>IF('MWH-Split'!N146&lt;&gt;0,'MWH-Split'!N146*P160,"")</f>
        <v>1957.6079999999999</v>
      </c>
      <c r="H160" s="63">
        <f>IF('MWH-Split'!O146&lt;&gt;0,'MWH-Split'!O146*P160,"")</f>
        <v>507.97199999999998</v>
      </c>
      <c r="I160" s="64">
        <f t="shared" si="35"/>
        <v>38.64</v>
      </c>
      <c r="J160" s="64">
        <f t="shared" si="35"/>
        <v>26.86</v>
      </c>
      <c r="K160" s="65">
        <f t="shared" si="35"/>
        <v>22.66</v>
      </c>
      <c r="M160" s="70">
        <f t="shared" si="37"/>
        <v>2029</v>
      </c>
      <c r="N160" s="67">
        <f t="shared" si="34"/>
        <v>47362</v>
      </c>
      <c r="P160" s="68">
        <f>IF('Monthly Levelized'!$K$5+'Monthly Levelized'!$L$5&lt;&gt;0,IFERROR(VLOOKUP(B160,'Monthly Levelized'!$G$5:$I$25,3,FALSE),P159),1)</f>
        <v>1</v>
      </c>
      <c r="Q160" s="213" t="str">
        <f t="shared" si="38"/>
        <v>Summer</v>
      </c>
      <c r="S160" s="214"/>
      <c r="T160" s="214"/>
      <c r="U160" s="214"/>
      <c r="V160" s="214"/>
    </row>
    <row r="161" spans="2:22" outlineLevel="1" x14ac:dyDescent="0.25">
      <c r="B161" s="67">
        <f t="shared" si="36"/>
        <v>47392</v>
      </c>
      <c r="C161" s="61">
        <f>'[1]Table 5'!E161*P161</f>
        <v>52278.94829750061</v>
      </c>
      <c r="D161" s="62">
        <f>IFERROR(G161*'MWH-Split'!S147*'MWH-Split'!U147,"")</f>
        <v>45713.41371797875</v>
      </c>
      <c r="E161" s="63">
        <f>IFERROR(H161*'MWH-Split'!T147*'MWH-Split'!U147,"")</f>
        <v>6083.238168570213</v>
      </c>
      <c r="F161" s="62">
        <f>'[1]Table 5'!F161*P161</f>
        <v>1998.8489999999999</v>
      </c>
      <c r="G161" s="62">
        <f>IF('MWH-Split'!N147&lt;&gt;0,'MWH-Split'!N147*P161,"")</f>
        <v>1740.528</v>
      </c>
      <c r="H161" s="63">
        <f>IF('MWH-Split'!O147&lt;&gt;0,'MWH-Split'!O147*P161,"")</f>
        <v>258.32100000000003</v>
      </c>
      <c r="I161" s="64">
        <f t="shared" si="35"/>
        <v>26.15</v>
      </c>
      <c r="J161" s="64">
        <f t="shared" si="35"/>
        <v>26.26</v>
      </c>
      <c r="K161" s="65">
        <f t="shared" si="35"/>
        <v>23.55</v>
      </c>
      <c r="M161" s="70">
        <f t="shared" si="37"/>
        <v>2029</v>
      </c>
      <c r="N161" s="67">
        <f t="shared" ref="N161:N224" si="39">IF(ISNUMBER(F161),IF(F161&lt;&gt;0,B161,""),"")</f>
        <v>47392</v>
      </c>
      <c r="P161" s="68">
        <f>IF('Monthly Levelized'!$K$5+'Monthly Levelized'!$L$5&lt;&gt;0,IFERROR(VLOOKUP(B161,'Monthly Levelized'!$G$5:$I$25,3,FALSE),P160),1)</f>
        <v>1</v>
      </c>
      <c r="Q161" s="213" t="str">
        <f t="shared" si="38"/>
        <v>Winter</v>
      </c>
      <c r="S161" s="214"/>
      <c r="T161" s="214"/>
      <c r="U161" s="214"/>
      <c r="V161" s="214"/>
    </row>
    <row r="162" spans="2:22" outlineLevel="1" x14ac:dyDescent="0.25">
      <c r="B162" s="67">
        <f t="shared" si="36"/>
        <v>47423</v>
      </c>
      <c r="C162" s="61">
        <f>'[1]Table 5'!E162*P162</f>
        <v>35042.124408274889</v>
      </c>
      <c r="D162" s="62">
        <f>IFERROR(G162*'MWH-Split'!S148*'MWH-Split'!U148,"")</f>
        <v>29929.560283815517</v>
      </c>
      <c r="E162" s="63">
        <f>IFERROR(H162*'MWH-Split'!T148*'MWH-Split'!U148,"")</f>
        <v>5434.2875343628357</v>
      </c>
      <c r="F162" s="62">
        <f>'[1]Table 5'!F162*P162</f>
        <v>1346.34</v>
      </c>
      <c r="G162" s="62">
        <f>IF('MWH-Split'!N148&lt;&gt;0,'MWH-Split'!N148*P162,"")</f>
        <v>1121.95</v>
      </c>
      <c r="H162" s="63">
        <f>IF('MWH-Split'!O148&lt;&gt;0,'MWH-Split'!O148*P162,"")</f>
        <v>224.39</v>
      </c>
      <c r="I162" s="64">
        <f t="shared" si="35"/>
        <v>26.03</v>
      </c>
      <c r="J162" s="64">
        <f t="shared" si="35"/>
        <v>26.68</v>
      </c>
      <c r="K162" s="65">
        <f t="shared" si="35"/>
        <v>24.22</v>
      </c>
      <c r="M162" s="70">
        <f t="shared" si="37"/>
        <v>2029</v>
      </c>
      <c r="N162" s="67">
        <f t="shared" si="39"/>
        <v>47423</v>
      </c>
      <c r="P162" s="68">
        <f>IF('Monthly Levelized'!$K$5+'Monthly Levelized'!$L$5&lt;&gt;0,IFERROR(VLOOKUP(B162,'Monthly Levelized'!$G$5:$I$25,3,FALSE),P161),1)</f>
        <v>1</v>
      </c>
      <c r="Q162" s="213" t="str">
        <f t="shared" si="38"/>
        <v>Winter</v>
      </c>
      <c r="S162" s="214"/>
      <c r="T162" s="214"/>
      <c r="U162" s="214"/>
      <c r="V162" s="214"/>
    </row>
    <row r="163" spans="2:22" outlineLevel="1" x14ac:dyDescent="0.25">
      <c r="B163" s="78">
        <f t="shared" si="36"/>
        <v>47453</v>
      </c>
      <c r="C163" s="72">
        <f>'[1]Table 5'!E163*P163</f>
        <v>32322.898242950439</v>
      </c>
      <c r="D163" s="73">
        <f>IFERROR(G163*'MWH-Split'!S149*'MWH-Split'!U149,"")</f>
        <v>22932.55845148295</v>
      </c>
      <c r="E163" s="74">
        <f>IFERROR(H163*'MWH-Split'!T149*'MWH-Split'!U149,"")</f>
        <v>5164.7083347830567</v>
      </c>
      <c r="F163" s="73">
        <f>'[1]Table 5'!F163*P163</f>
        <v>1038.624</v>
      </c>
      <c r="G163" s="73">
        <f>IF('MWH-Split'!N149&lt;&gt;0,'MWH-Split'!N149*P163,"")</f>
        <v>837.6</v>
      </c>
      <c r="H163" s="74">
        <f>IF('MWH-Split'!O149&lt;&gt;0,'MWH-Split'!O149*P163,"")</f>
        <v>201.024</v>
      </c>
      <c r="I163" s="75">
        <f t="shared" si="35"/>
        <v>31.12</v>
      </c>
      <c r="J163" s="75">
        <f t="shared" si="35"/>
        <v>27.38</v>
      </c>
      <c r="K163" s="76">
        <f t="shared" si="35"/>
        <v>25.69</v>
      </c>
      <c r="M163" s="77">
        <f t="shared" si="37"/>
        <v>2029</v>
      </c>
      <c r="N163" s="78">
        <f t="shared" si="39"/>
        <v>47453</v>
      </c>
      <c r="P163" s="79">
        <f>IF('Monthly Levelized'!$K$5+'Monthly Levelized'!$L$5&lt;&gt;0,IFERROR(VLOOKUP(B163,'Monthly Levelized'!$G$5:$I$25,3,FALSE),P162),1)</f>
        <v>1</v>
      </c>
      <c r="Q163" s="213" t="str">
        <f t="shared" si="38"/>
        <v>Winter</v>
      </c>
      <c r="S163" s="214"/>
      <c r="T163" s="214"/>
      <c r="U163" s="214"/>
      <c r="V163" s="214"/>
    </row>
    <row r="164" spans="2:22" outlineLevel="1" x14ac:dyDescent="0.25">
      <c r="B164" s="80">
        <f t="shared" si="36"/>
        <v>47484</v>
      </c>
      <c r="C164" s="81">
        <f>'[1]Table 5'!E164*P164</f>
        <v>41567.386119931936</v>
      </c>
      <c r="D164" s="82">
        <f>IFERROR(G164*'MWH-Split'!S150*'MWH-Split'!U150,"")</f>
        <v>31408.403851685438</v>
      </c>
      <c r="E164" s="83">
        <f>IFERROR(H164*'MWH-Split'!T150*'MWH-Split'!U150,"")</f>
        <v>5639.6580395510409</v>
      </c>
      <c r="F164" s="82">
        <f>'[1]Table 5'!F164*P164</f>
        <v>1239.876</v>
      </c>
      <c r="G164" s="82">
        <f>IF('MWH-Split'!N150&lt;&gt;0,'MWH-Split'!N150*P164,"")</f>
        <v>1039.896</v>
      </c>
      <c r="H164" s="83">
        <f>IF('MWH-Split'!O150&lt;&gt;0,'MWH-Split'!O150*P164,"")</f>
        <v>199.98</v>
      </c>
      <c r="I164" s="84">
        <f t="shared" si="35"/>
        <v>33.53</v>
      </c>
      <c r="J164" s="84">
        <f t="shared" si="35"/>
        <v>30.2</v>
      </c>
      <c r="K164" s="85">
        <f t="shared" si="35"/>
        <v>28.2</v>
      </c>
      <c r="M164" s="66">
        <f t="shared" si="37"/>
        <v>2030</v>
      </c>
      <c r="N164" s="67">
        <f t="shared" si="39"/>
        <v>47484</v>
      </c>
      <c r="P164" s="86">
        <f>IF('Monthly Levelized'!$K$5+'Monthly Levelized'!$L$5&lt;&gt;0,IFERROR(VLOOKUP(B164,'Monthly Levelized'!$G$5:$I$25,3,FALSE),P163),1)</f>
        <v>1</v>
      </c>
      <c r="Q164" s="213" t="str">
        <f t="shared" si="38"/>
        <v>Winter</v>
      </c>
      <c r="S164" s="214"/>
      <c r="T164" s="214"/>
      <c r="U164" s="214"/>
      <c r="V164" s="214"/>
    </row>
    <row r="165" spans="2:22" outlineLevel="1" x14ac:dyDescent="0.25">
      <c r="B165" s="67">
        <f t="shared" si="36"/>
        <v>47515</v>
      </c>
      <c r="C165" s="61">
        <f>'[1]Table 5'!E165*P165</f>
        <v>42960.142350643873</v>
      </c>
      <c r="D165" s="62">
        <f>IFERROR(G165*'MWH-Split'!S151*'MWH-Split'!U151,"")</f>
        <v>36034.975215225488</v>
      </c>
      <c r="E165" s="63">
        <f>IFERROR(H165*'MWH-Split'!T151*'MWH-Split'!U151,"")</f>
        <v>5595.1273567118478</v>
      </c>
      <c r="F165" s="62">
        <f>'[1]Table 5'!F165*P165</f>
        <v>1387.652</v>
      </c>
      <c r="G165" s="62">
        <f>IF('MWH-Split'!N151&lt;&gt;0,'MWH-Split'!N151*P165,"")</f>
        <v>1189.4159999999999</v>
      </c>
      <c r="H165" s="63">
        <f>IF('MWH-Split'!O151&lt;&gt;0,'MWH-Split'!O151*P165,"")</f>
        <v>198.23599999999999</v>
      </c>
      <c r="I165" s="64">
        <f t="shared" si="35"/>
        <v>30.96</v>
      </c>
      <c r="J165" s="64">
        <f t="shared" si="35"/>
        <v>30.3</v>
      </c>
      <c r="K165" s="65">
        <f t="shared" si="35"/>
        <v>28.22</v>
      </c>
      <c r="M165" s="70">
        <f t="shared" si="37"/>
        <v>2030</v>
      </c>
      <c r="N165" s="67">
        <f t="shared" si="39"/>
        <v>47515</v>
      </c>
      <c r="P165" s="68">
        <f>IF('Monthly Levelized'!$K$5+'Monthly Levelized'!$L$5&lt;&gt;0,IFERROR(VLOOKUP(B165,'Monthly Levelized'!$G$5:$I$25,3,FALSE),P164),1)</f>
        <v>1</v>
      </c>
      <c r="Q165" s="213" t="str">
        <f t="shared" si="38"/>
        <v>Winter</v>
      </c>
      <c r="S165" s="214"/>
      <c r="T165" s="214"/>
      <c r="U165" s="214"/>
      <c r="V165" s="214"/>
    </row>
    <row r="166" spans="2:22" outlineLevel="1" x14ac:dyDescent="0.25">
      <c r="B166" s="67">
        <f t="shared" si="36"/>
        <v>47543</v>
      </c>
      <c r="C166" s="61">
        <f>'[1]Table 5'!E166*P166</f>
        <v>59448.741849273443</v>
      </c>
      <c r="D166" s="62">
        <f>IFERROR(G166*'MWH-Split'!S152*'MWH-Split'!U152,"")</f>
        <v>48399.249053057698</v>
      </c>
      <c r="E166" s="63">
        <f>IFERROR(H166*'MWH-Split'!T152*'MWH-Split'!U152,"")</f>
        <v>9131.2207431727511</v>
      </c>
      <c r="F166" s="62">
        <f>'[1]Table 5'!F166*P166</f>
        <v>2161.134</v>
      </c>
      <c r="G166" s="62">
        <f>IF('MWH-Split'!N152&lt;&gt;0,'MWH-Split'!N152*P166,"")</f>
        <v>1811.8620000000001</v>
      </c>
      <c r="H166" s="63">
        <f>IF('MWH-Split'!O152&lt;&gt;0,'MWH-Split'!O152*P166,"")</f>
        <v>349.27199999999999</v>
      </c>
      <c r="I166" s="64">
        <f t="shared" si="35"/>
        <v>27.51</v>
      </c>
      <c r="J166" s="64">
        <f t="shared" si="35"/>
        <v>26.71</v>
      </c>
      <c r="K166" s="65">
        <f t="shared" si="35"/>
        <v>26.14</v>
      </c>
      <c r="M166" s="70">
        <f t="shared" si="37"/>
        <v>2030</v>
      </c>
      <c r="N166" s="67">
        <f t="shared" si="39"/>
        <v>47543</v>
      </c>
      <c r="P166" s="68">
        <f>IF('Monthly Levelized'!$K$5+'Monthly Levelized'!$L$5&lt;&gt;0,IFERROR(VLOOKUP(B166,'Monthly Levelized'!$G$5:$I$25,3,FALSE),P165),1)</f>
        <v>1</v>
      </c>
      <c r="Q166" s="213" t="str">
        <f t="shared" si="38"/>
        <v>Winter</v>
      </c>
      <c r="S166" s="214"/>
      <c r="T166" s="214"/>
      <c r="U166" s="214"/>
      <c r="V166" s="214"/>
    </row>
    <row r="167" spans="2:22" outlineLevel="1" x14ac:dyDescent="0.25">
      <c r="B167" s="67">
        <f t="shared" si="36"/>
        <v>47574</v>
      </c>
      <c r="C167" s="61">
        <f>'[1]Table 5'!E167*P167</f>
        <v>59747.489663124084</v>
      </c>
      <c r="D167" s="62">
        <f>IFERROR(G167*'MWH-Split'!S153*'MWH-Split'!U153,"")</f>
        <v>47569.114406008026</v>
      </c>
      <c r="E167" s="63">
        <f>IFERROR(H167*'MWH-Split'!T153*'MWH-Split'!U153,"")</f>
        <v>7857.4300493242399</v>
      </c>
      <c r="F167" s="62">
        <f>'[1]Table 5'!F167*P167</f>
        <v>2496.15</v>
      </c>
      <c r="G167" s="62">
        <f>IF('MWH-Split'!N153&lt;&gt;0,'MWH-Split'!N153*P167,"")</f>
        <v>2125.3440000000001</v>
      </c>
      <c r="H167" s="63">
        <f>IF('MWH-Split'!O153&lt;&gt;0,'MWH-Split'!O153*P167,"")</f>
        <v>370.80599999999998</v>
      </c>
      <c r="I167" s="64">
        <f t="shared" si="35"/>
        <v>23.94</v>
      </c>
      <c r="J167" s="64">
        <f t="shared" si="35"/>
        <v>22.38</v>
      </c>
      <c r="K167" s="65">
        <f t="shared" si="35"/>
        <v>21.19</v>
      </c>
      <c r="M167" s="70">
        <f t="shared" si="37"/>
        <v>2030</v>
      </c>
      <c r="N167" s="67">
        <f t="shared" si="39"/>
        <v>47574</v>
      </c>
      <c r="P167" s="68">
        <f>IF('Monthly Levelized'!$K$5+'Monthly Levelized'!$L$5&lt;&gt;0,IFERROR(VLOOKUP(B167,'Monthly Levelized'!$G$5:$I$25,3,FALSE),P166),1)</f>
        <v>1</v>
      </c>
      <c r="Q167" s="213" t="str">
        <f t="shared" si="38"/>
        <v>Winter</v>
      </c>
      <c r="S167" s="214"/>
      <c r="T167" s="214"/>
      <c r="U167" s="214"/>
      <c r="V167" s="214"/>
    </row>
    <row r="168" spans="2:22" outlineLevel="1" x14ac:dyDescent="0.25">
      <c r="B168" s="67">
        <f t="shared" si="36"/>
        <v>47604</v>
      </c>
      <c r="C168" s="61">
        <f>'[1]Table 5'!E168*P168</f>
        <v>73557.745376586914</v>
      </c>
      <c r="D168" s="62">
        <f>IFERROR(G168*'MWH-Split'!S154*'MWH-Split'!U154,"")</f>
        <v>53711.023701423132</v>
      </c>
      <c r="E168" s="63">
        <f>IFERROR(H168*'MWH-Split'!T154*'MWH-Split'!U154,"")</f>
        <v>12721.076844202129</v>
      </c>
      <c r="F168" s="62">
        <f>'[1]Table 5'!F168*P168</f>
        <v>2889.51</v>
      </c>
      <c r="G168" s="62">
        <f>IF('MWH-Split'!N154&lt;&gt;0,'MWH-Split'!N154*P168,"")</f>
        <v>2300.4279999999999</v>
      </c>
      <c r="H168" s="63">
        <f>IF('MWH-Split'!O154&lt;&gt;0,'MWH-Split'!O154*P168,"")</f>
        <v>589.08199999999999</v>
      </c>
      <c r="I168" s="64">
        <f t="shared" si="35"/>
        <v>25.46</v>
      </c>
      <c r="J168" s="64">
        <f t="shared" si="35"/>
        <v>23.35</v>
      </c>
      <c r="K168" s="65">
        <f t="shared" si="35"/>
        <v>21.59</v>
      </c>
      <c r="M168" s="70">
        <f t="shared" si="37"/>
        <v>2030</v>
      </c>
      <c r="N168" s="67">
        <f t="shared" si="39"/>
        <v>47604</v>
      </c>
      <c r="P168" s="68">
        <f>IF('Monthly Levelized'!$K$5+'Monthly Levelized'!$L$5&lt;&gt;0,IFERROR(VLOOKUP(B168,'Monthly Levelized'!$G$5:$I$25,3,FALSE),P167),1)</f>
        <v>1</v>
      </c>
      <c r="Q168" s="213" t="str">
        <f t="shared" si="38"/>
        <v>Winter</v>
      </c>
      <c r="S168" s="214"/>
      <c r="T168" s="214"/>
      <c r="U168" s="214"/>
      <c r="V168" s="214"/>
    </row>
    <row r="169" spans="2:22" outlineLevel="1" x14ac:dyDescent="0.25">
      <c r="B169" s="67">
        <f t="shared" si="36"/>
        <v>47635</v>
      </c>
      <c r="C169" s="61">
        <f>'[1]Table 5'!E169*P169</f>
        <v>74877.229498594999</v>
      </c>
      <c r="D169" s="62">
        <f>IFERROR(G169*'MWH-Split'!S155*'MWH-Split'!U155,"")</f>
        <v>57771.538384910411</v>
      </c>
      <c r="E169" s="63">
        <f>IFERROR(H169*'MWH-Split'!T155*'MWH-Split'!U155,"")</f>
        <v>14451.105399658063</v>
      </c>
      <c r="F169" s="62">
        <f>'[1]Table 5'!F169*P169</f>
        <v>3069.75</v>
      </c>
      <c r="G169" s="62">
        <f>IF('MWH-Split'!N155&lt;&gt;0,'MWH-Split'!N155*P169,"")</f>
        <v>2411.375</v>
      </c>
      <c r="H169" s="63">
        <f>IF('MWH-Split'!O155&lt;&gt;0,'MWH-Split'!O155*P169,"")</f>
        <v>658.375</v>
      </c>
      <c r="I169" s="64">
        <f t="shared" si="35"/>
        <v>24.39</v>
      </c>
      <c r="J169" s="64">
        <f t="shared" si="35"/>
        <v>23.96</v>
      </c>
      <c r="K169" s="65">
        <f t="shared" si="35"/>
        <v>21.95</v>
      </c>
      <c r="M169" s="70">
        <f t="shared" si="37"/>
        <v>2030</v>
      </c>
      <c r="N169" s="67">
        <f t="shared" si="39"/>
        <v>47635</v>
      </c>
      <c r="P169" s="68">
        <f>IF('Monthly Levelized'!$K$5+'Monthly Levelized'!$L$5&lt;&gt;0,IFERROR(VLOOKUP(B169,'Monthly Levelized'!$G$5:$I$25,3,FALSE),P168),1)</f>
        <v>1</v>
      </c>
      <c r="Q169" s="213" t="str">
        <f t="shared" si="38"/>
        <v>Summer</v>
      </c>
      <c r="S169" s="214"/>
      <c r="T169" s="214"/>
      <c r="U169" s="214"/>
      <c r="V169" s="214"/>
    </row>
    <row r="170" spans="2:22" outlineLevel="1" x14ac:dyDescent="0.25">
      <c r="B170" s="67">
        <f t="shared" si="36"/>
        <v>47665</v>
      </c>
      <c r="C170" s="61">
        <f>'[1]Table 5'!E170*P170</f>
        <v>85359.53674814105</v>
      </c>
      <c r="D170" s="62">
        <f>IFERROR(G170*'MWH-Split'!S156*'MWH-Split'!U156,"")</f>
        <v>76076.927141522348</v>
      </c>
      <c r="E170" s="63">
        <f>IFERROR(H170*'MWH-Split'!T156*'MWH-Split'!U156,"")</f>
        <v>15081.916420898297</v>
      </c>
      <c r="F170" s="62">
        <f>'[1]Table 5'!F170*P170</f>
        <v>2778.4369999999999</v>
      </c>
      <c r="G170" s="62">
        <f>IF('MWH-Split'!N156&lt;&gt;0,'MWH-Split'!N156*P170,"")</f>
        <v>2227.0819999999999</v>
      </c>
      <c r="H170" s="63">
        <f>IF('MWH-Split'!O156&lt;&gt;0,'MWH-Split'!O156*P170,"")</f>
        <v>551.35500000000002</v>
      </c>
      <c r="I170" s="64">
        <f t="shared" ref="I170:K185" si="40">MAX(ROUND(IF(ISNUMBER(F170),C170/F170,""),2),0)</f>
        <v>30.72</v>
      </c>
      <c r="J170" s="64">
        <f t="shared" si="40"/>
        <v>34.159999999999997</v>
      </c>
      <c r="K170" s="65">
        <f t="shared" si="40"/>
        <v>27.35</v>
      </c>
      <c r="M170" s="70">
        <f t="shared" si="37"/>
        <v>2030</v>
      </c>
      <c r="N170" s="67">
        <f t="shared" si="39"/>
        <v>47665</v>
      </c>
      <c r="P170" s="68">
        <f>IF('Monthly Levelized'!$K$5+'Monthly Levelized'!$L$5&lt;&gt;0,IFERROR(VLOOKUP(B170,'Monthly Levelized'!$G$5:$I$25,3,FALSE),P169),1)</f>
        <v>1</v>
      </c>
      <c r="Q170" s="213" t="str">
        <f t="shared" si="38"/>
        <v>Summer</v>
      </c>
      <c r="S170" s="214"/>
      <c r="T170" s="214"/>
      <c r="U170" s="214"/>
      <c r="V170" s="214"/>
    </row>
    <row r="171" spans="2:22" outlineLevel="1" x14ac:dyDescent="0.25">
      <c r="B171" s="67">
        <f t="shared" si="36"/>
        <v>47696</v>
      </c>
      <c r="C171" s="61">
        <f>'[1]Table 5'!E171*P171</f>
        <v>82758.570593655109</v>
      </c>
      <c r="D171" s="62">
        <f>IFERROR(G171*'MWH-Split'!S157*'MWH-Split'!U157,"")</f>
        <v>85285.610494090826</v>
      </c>
      <c r="E171" s="63">
        <f>IFERROR(H171*'MWH-Split'!T157*'MWH-Split'!U157,"")</f>
        <v>11915.010026314047</v>
      </c>
      <c r="F171" s="62">
        <f>'[1]Table 5'!F171*P171</f>
        <v>2783.056</v>
      </c>
      <c r="G171" s="62">
        <f>IF('MWH-Split'!N157&lt;&gt;0,'MWH-Split'!N157*P171,"")</f>
        <v>2369.7089999999998</v>
      </c>
      <c r="H171" s="63">
        <f>IF('MWH-Split'!O157&lt;&gt;0,'MWH-Split'!O157*P171,"")</f>
        <v>413.34699999999998</v>
      </c>
      <c r="I171" s="64">
        <f t="shared" si="40"/>
        <v>29.74</v>
      </c>
      <c r="J171" s="64">
        <f t="shared" si="40"/>
        <v>35.99</v>
      </c>
      <c r="K171" s="65">
        <f t="shared" si="40"/>
        <v>28.83</v>
      </c>
      <c r="M171" s="70">
        <f t="shared" si="37"/>
        <v>2030</v>
      </c>
      <c r="N171" s="67">
        <f t="shared" si="39"/>
        <v>47696</v>
      </c>
      <c r="P171" s="68">
        <f>IF('Monthly Levelized'!$K$5+'Monthly Levelized'!$L$5&lt;&gt;0,IFERROR(VLOOKUP(B171,'Monthly Levelized'!$G$5:$I$25,3,FALSE),P170),1)</f>
        <v>1</v>
      </c>
      <c r="Q171" s="213" t="str">
        <f t="shared" si="38"/>
        <v>Summer</v>
      </c>
      <c r="S171" s="214"/>
      <c r="T171" s="214"/>
      <c r="U171" s="214"/>
      <c r="V171" s="214"/>
    </row>
    <row r="172" spans="2:22" outlineLevel="1" x14ac:dyDescent="0.25">
      <c r="B172" s="67">
        <f t="shared" si="36"/>
        <v>47727</v>
      </c>
      <c r="C172" s="61">
        <f>'[1]Table 5'!E172*P172</f>
        <v>69916.601392835379</v>
      </c>
      <c r="D172" s="62">
        <f>IFERROR(G172*'MWH-Split'!S158*'MWH-Split'!U158,"")</f>
        <v>60290.749367021745</v>
      </c>
      <c r="E172" s="63">
        <f>IFERROR(H172*'MWH-Split'!T158*'MWH-Split'!U158,"")</f>
        <v>13322.822708493461</v>
      </c>
      <c r="F172" s="62">
        <f>'[1]Table 5'!F172*P172</f>
        <v>2453.19</v>
      </c>
      <c r="G172" s="62">
        <f>IF('MWH-Split'!N158&lt;&gt;0,'MWH-Split'!N158*P172,"")</f>
        <v>1947.768</v>
      </c>
      <c r="H172" s="63">
        <f>IF('MWH-Split'!O158&lt;&gt;0,'MWH-Split'!O158*P172,"")</f>
        <v>505.42200000000003</v>
      </c>
      <c r="I172" s="64">
        <f t="shared" si="40"/>
        <v>28.5</v>
      </c>
      <c r="J172" s="64">
        <f t="shared" si="40"/>
        <v>30.95</v>
      </c>
      <c r="K172" s="65">
        <f t="shared" si="40"/>
        <v>26.36</v>
      </c>
      <c r="M172" s="70">
        <f t="shared" si="37"/>
        <v>2030</v>
      </c>
      <c r="N172" s="67">
        <f t="shared" si="39"/>
        <v>47727</v>
      </c>
      <c r="P172" s="68">
        <f>IF('Monthly Levelized'!$K$5+'Monthly Levelized'!$L$5&lt;&gt;0,IFERROR(VLOOKUP(B172,'Monthly Levelized'!$G$5:$I$25,3,FALSE),P171),1)</f>
        <v>1</v>
      </c>
      <c r="Q172" s="213" t="str">
        <f t="shared" si="38"/>
        <v>Summer</v>
      </c>
      <c r="S172" s="214"/>
      <c r="T172" s="214"/>
      <c r="U172" s="214"/>
      <c r="V172" s="214"/>
    </row>
    <row r="173" spans="2:22" outlineLevel="1" x14ac:dyDescent="0.25">
      <c r="B173" s="67">
        <f t="shared" si="36"/>
        <v>47757</v>
      </c>
      <c r="C173" s="61">
        <f>'[1]Table 5'!E173*P173</f>
        <v>58140.484123319387</v>
      </c>
      <c r="D173" s="62">
        <f>IFERROR(G173*'MWH-Split'!S159*'MWH-Split'!U159,"")</f>
        <v>51539.178629057191</v>
      </c>
      <c r="E173" s="63">
        <f>IFERROR(H173*'MWH-Split'!T159*'MWH-Split'!U159,"")</f>
        <v>6997.0590367525483</v>
      </c>
      <c r="F173" s="62">
        <f>'[1]Table 5'!F173*P173</f>
        <v>1988.867</v>
      </c>
      <c r="G173" s="62">
        <f>IF('MWH-Split'!N159&lt;&gt;0,'MWH-Split'!N159*P173,"")</f>
        <v>1731.8340000000001</v>
      </c>
      <c r="H173" s="63">
        <f>IF('MWH-Split'!O159&lt;&gt;0,'MWH-Split'!O159*P173,"")</f>
        <v>257.03300000000002</v>
      </c>
      <c r="I173" s="64">
        <f t="shared" si="40"/>
        <v>29.23</v>
      </c>
      <c r="J173" s="64">
        <f t="shared" si="40"/>
        <v>29.76</v>
      </c>
      <c r="K173" s="65">
        <f t="shared" si="40"/>
        <v>27.22</v>
      </c>
      <c r="M173" s="70">
        <f t="shared" si="37"/>
        <v>2030</v>
      </c>
      <c r="N173" s="67">
        <f t="shared" si="39"/>
        <v>47757</v>
      </c>
      <c r="P173" s="68">
        <f>IF('Monthly Levelized'!$K$5+'Monthly Levelized'!$L$5&lt;&gt;0,IFERROR(VLOOKUP(B173,'Monthly Levelized'!$G$5:$I$25,3,FALSE),P172),1)</f>
        <v>1</v>
      </c>
      <c r="Q173" s="213" t="str">
        <f t="shared" si="38"/>
        <v>Winter</v>
      </c>
      <c r="S173" s="214"/>
      <c r="T173" s="214"/>
      <c r="U173" s="214"/>
      <c r="V173" s="214"/>
    </row>
    <row r="174" spans="2:22" outlineLevel="1" x14ac:dyDescent="0.25">
      <c r="B174" s="67">
        <f t="shared" si="36"/>
        <v>47788</v>
      </c>
      <c r="C174" s="61">
        <f>'[1]Table 5'!E174*P174</f>
        <v>38512.363576024771</v>
      </c>
      <c r="D174" s="62">
        <f>IFERROR(G174*'MWH-Split'!S160*'MWH-Split'!U160,"")</f>
        <v>33999.985595788079</v>
      </c>
      <c r="E174" s="63">
        <f>IFERROR(H174*'MWH-Split'!T160*'MWH-Split'!U160,"")</f>
        <v>6285.0412933266143</v>
      </c>
      <c r="F174" s="62">
        <f>'[1]Table 5'!F174*P174</f>
        <v>1339.65</v>
      </c>
      <c r="G174" s="62">
        <f>IF('MWH-Split'!N160&lt;&gt;0,'MWH-Split'!N160*P174,"")</f>
        <v>1116.375</v>
      </c>
      <c r="H174" s="63">
        <f>IF('MWH-Split'!O160&lt;&gt;0,'MWH-Split'!O160*P174,"")</f>
        <v>223.27500000000001</v>
      </c>
      <c r="I174" s="64">
        <f t="shared" si="40"/>
        <v>28.75</v>
      </c>
      <c r="J174" s="64">
        <f t="shared" si="40"/>
        <v>30.46</v>
      </c>
      <c r="K174" s="65">
        <f t="shared" si="40"/>
        <v>28.15</v>
      </c>
      <c r="M174" s="70">
        <f t="shared" si="37"/>
        <v>2030</v>
      </c>
      <c r="N174" s="67">
        <f t="shared" si="39"/>
        <v>47788</v>
      </c>
      <c r="P174" s="68">
        <f>IF('Monthly Levelized'!$K$5+'Monthly Levelized'!$L$5&lt;&gt;0,IFERROR(VLOOKUP(B174,'Monthly Levelized'!$G$5:$I$25,3,FALSE),P173),1)</f>
        <v>1</v>
      </c>
      <c r="Q174" s="213" t="str">
        <f t="shared" si="38"/>
        <v>Winter</v>
      </c>
      <c r="S174" s="214"/>
      <c r="T174" s="214"/>
      <c r="U174" s="214"/>
      <c r="V174" s="214"/>
    </row>
    <row r="175" spans="2:22" outlineLevel="1" x14ac:dyDescent="0.25">
      <c r="B175" s="78">
        <f t="shared" si="36"/>
        <v>47818</v>
      </c>
      <c r="C175" s="72">
        <f>'[1]Table 5'!E175*P175</f>
        <v>36525.963347017765</v>
      </c>
      <c r="D175" s="73">
        <f>IFERROR(G175*'MWH-Split'!S161*'MWH-Split'!U161,"")</f>
        <v>26316.03242678602</v>
      </c>
      <c r="E175" s="74">
        <f>IFERROR(H175*'MWH-Split'!T161*'MWH-Split'!U161,"")</f>
        <v>5971.9984541672729</v>
      </c>
      <c r="F175" s="73">
        <f>'[1]Table 5'!F175*P175</f>
        <v>1033.509</v>
      </c>
      <c r="G175" s="73">
        <f>IF('MWH-Split'!N161&lt;&gt;0,'MWH-Split'!N161*P175,"")</f>
        <v>833.47500000000002</v>
      </c>
      <c r="H175" s="74">
        <f>IF('MWH-Split'!O161&lt;&gt;0,'MWH-Split'!O161*P175,"")</f>
        <v>200.03399999999999</v>
      </c>
      <c r="I175" s="75">
        <f t="shared" si="40"/>
        <v>35.340000000000003</v>
      </c>
      <c r="J175" s="75">
        <f t="shared" si="40"/>
        <v>31.57</v>
      </c>
      <c r="K175" s="76">
        <f t="shared" si="40"/>
        <v>29.85</v>
      </c>
      <c r="M175" s="77">
        <f t="shared" si="37"/>
        <v>2030</v>
      </c>
      <c r="N175" s="78">
        <f t="shared" si="39"/>
        <v>47818</v>
      </c>
      <c r="P175" s="79">
        <f>IF('Monthly Levelized'!$K$5+'Monthly Levelized'!$L$5&lt;&gt;0,IFERROR(VLOOKUP(B175,'Monthly Levelized'!$G$5:$I$25,3,FALSE),P174),1)</f>
        <v>1</v>
      </c>
      <c r="Q175" s="213" t="str">
        <f t="shared" si="38"/>
        <v>Winter</v>
      </c>
      <c r="S175" s="214"/>
      <c r="T175" s="214"/>
      <c r="U175" s="214"/>
      <c r="V175" s="214"/>
    </row>
    <row r="176" spans="2:22" outlineLevel="1" x14ac:dyDescent="0.25">
      <c r="B176" s="80">
        <f t="shared" si="36"/>
        <v>47849</v>
      </c>
      <c r="C176" s="81">
        <f>'[1]Table 5'!E176*P176</f>
        <v>45393.743282556534</v>
      </c>
      <c r="D176" s="82">
        <f>IFERROR(G176*'MWH-Split'!S162*'MWH-Split'!U162,"")</f>
        <v>33388.938617584565</v>
      </c>
      <c r="E176" s="83">
        <f>IFERROR(H176*'MWH-Split'!T162*'MWH-Split'!U162,"")</f>
        <v>6026.8925343113624</v>
      </c>
      <c r="F176" s="82">
        <f>'[1]Table 5'!F176*P176</f>
        <v>1233.7070000000001</v>
      </c>
      <c r="G176" s="82">
        <f>IF('MWH-Split'!N162&lt;&gt;0,'MWH-Split'!N162*P176,"")</f>
        <v>1034.722</v>
      </c>
      <c r="H176" s="83">
        <f>IF('MWH-Split'!O162&lt;&gt;0,'MWH-Split'!O162*P176,"")</f>
        <v>198.98500000000001</v>
      </c>
      <c r="I176" s="84">
        <f t="shared" si="40"/>
        <v>36.79</v>
      </c>
      <c r="J176" s="84">
        <f t="shared" si="40"/>
        <v>32.270000000000003</v>
      </c>
      <c r="K176" s="85">
        <f t="shared" si="40"/>
        <v>30.29</v>
      </c>
      <c r="M176" s="66">
        <f t="shared" si="37"/>
        <v>2031</v>
      </c>
      <c r="N176" s="67">
        <f t="shared" si="39"/>
        <v>47849</v>
      </c>
      <c r="P176" s="86">
        <f>IF('Monthly Levelized'!$K$5+'Monthly Levelized'!$L$5&lt;&gt;0,IFERROR(VLOOKUP(B176,'Monthly Levelized'!$G$5:$I$25,3,FALSE),P175),1)</f>
        <v>1</v>
      </c>
      <c r="Q176" s="213" t="str">
        <f t="shared" si="38"/>
        <v>Winter</v>
      </c>
      <c r="S176" s="214"/>
      <c r="T176" s="214"/>
      <c r="U176" s="214"/>
      <c r="V176" s="214"/>
    </row>
    <row r="177" spans="2:22" outlineLevel="1" x14ac:dyDescent="0.25">
      <c r="B177" s="67">
        <f t="shared" si="36"/>
        <v>47880</v>
      </c>
      <c r="C177" s="61">
        <f>'[1]Table 5'!E177*P177</f>
        <v>46072.510347783566</v>
      </c>
      <c r="D177" s="62">
        <f>IFERROR(G177*'MWH-Split'!S163*'MWH-Split'!U163,"")</f>
        <v>38057.547786212854</v>
      </c>
      <c r="E177" s="63">
        <f>IFERROR(H177*'MWH-Split'!T163*'MWH-Split'!U163,"")</f>
        <v>5890.6741676601232</v>
      </c>
      <c r="F177" s="62">
        <f>'[1]Table 5'!F177*P177</f>
        <v>1380.68</v>
      </c>
      <c r="G177" s="62">
        <f>IF('MWH-Split'!N163&lt;&gt;0,'MWH-Split'!N163*P177,"")</f>
        <v>1183.44</v>
      </c>
      <c r="H177" s="63">
        <f>IF('MWH-Split'!O163&lt;&gt;0,'MWH-Split'!O163*P177,"")</f>
        <v>197.24</v>
      </c>
      <c r="I177" s="64">
        <f t="shared" si="40"/>
        <v>33.369999999999997</v>
      </c>
      <c r="J177" s="64">
        <f t="shared" si="40"/>
        <v>32.159999999999997</v>
      </c>
      <c r="K177" s="65">
        <f t="shared" si="40"/>
        <v>29.87</v>
      </c>
      <c r="M177" s="70">
        <f t="shared" si="37"/>
        <v>2031</v>
      </c>
      <c r="N177" s="67">
        <f t="shared" si="39"/>
        <v>47880</v>
      </c>
      <c r="P177" s="68">
        <f>IF('Monthly Levelized'!$K$5+'Monthly Levelized'!$L$5&lt;&gt;0,IFERROR(VLOOKUP(B177,'Monthly Levelized'!$G$5:$I$25,3,FALSE),P176),1)</f>
        <v>1</v>
      </c>
      <c r="Q177" s="213" t="str">
        <f t="shared" si="38"/>
        <v>Winter</v>
      </c>
      <c r="S177" s="214"/>
      <c r="T177" s="214"/>
      <c r="U177" s="214"/>
      <c r="V177" s="214"/>
    </row>
    <row r="178" spans="2:22" outlineLevel="1" x14ac:dyDescent="0.25">
      <c r="B178" s="67">
        <f t="shared" si="36"/>
        <v>47908</v>
      </c>
      <c r="C178" s="61">
        <f>'[1]Table 5'!E178*P178</f>
        <v>61115.048136502504</v>
      </c>
      <c r="D178" s="62">
        <f>IFERROR(G178*'MWH-Split'!S164*'MWH-Split'!U164,"")</f>
        <v>50642.717789337585</v>
      </c>
      <c r="E178" s="63">
        <f>IFERROR(H178*'MWH-Split'!T164*'MWH-Split'!U164,"")</f>
        <v>9479.410311113179</v>
      </c>
      <c r="F178" s="62">
        <f>'[1]Table 5'!F178*P178</f>
        <v>2150.377</v>
      </c>
      <c r="G178" s="62">
        <f>IF('MWH-Split'!N164&lt;&gt;0,'MWH-Split'!N164*P178,"")</f>
        <v>1802.84</v>
      </c>
      <c r="H178" s="63">
        <f>IF('MWH-Split'!O164&lt;&gt;0,'MWH-Split'!O164*P178,"")</f>
        <v>347.53699999999998</v>
      </c>
      <c r="I178" s="64">
        <f t="shared" si="40"/>
        <v>28.42</v>
      </c>
      <c r="J178" s="64">
        <f t="shared" si="40"/>
        <v>28.09</v>
      </c>
      <c r="K178" s="65">
        <f t="shared" si="40"/>
        <v>27.28</v>
      </c>
      <c r="M178" s="70">
        <f t="shared" si="37"/>
        <v>2031</v>
      </c>
      <c r="N178" s="67">
        <f t="shared" si="39"/>
        <v>47908</v>
      </c>
      <c r="P178" s="68">
        <f>IF('Monthly Levelized'!$K$5+'Monthly Levelized'!$L$5&lt;&gt;0,IFERROR(VLOOKUP(B178,'Monthly Levelized'!$G$5:$I$25,3,FALSE),P177),1)</f>
        <v>1</v>
      </c>
      <c r="Q178" s="213" t="str">
        <f t="shared" si="38"/>
        <v>Winter</v>
      </c>
      <c r="S178" s="214"/>
      <c r="T178" s="214"/>
      <c r="U178" s="214"/>
      <c r="V178" s="214"/>
    </row>
    <row r="179" spans="2:22" outlineLevel="1" x14ac:dyDescent="0.25">
      <c r="B179" s="67">
        <f t="shared" si="36"/>
        <v>47939</v>
      </c>
      <c r="C179" s="61">
        <f>'[1]Table 5'!E179*P179</f>
        <v>62484.502021551132</v>
      </c>
      <c r="D179" s="62">
        <f>IFERROR(G179*'MWH-Split'!S165*'MWH-Split'!U165,"")</f>
        <v>51837.716312981654</v>
      </c>
      <c r="E179" s="63">
        <f>IFERROR(H179*'MWH-Split'!T165*'MWH-Split'!U165,"")</f>
        <v>8405.0391324085576</v>
      </c>
      <c r="F179" s="62">
        <f>'[1]Table 5'!F179*P179</f>
        <v>2483.64</v>
      </c>
      <c r="G179" s="62">
        <f>IF('MWH-Split'!N165&lt;&gt;0,'MWH-Split'!N165*P179,"")</f>
        <v>2114.71</v>
      </c>
      <c r="H179" s="63">
        <f>IF('MWH-Split'!O165&lt;&gt;0,'MWH-Split'!O165*P179,"")</f>
        <v>368.93</v>
      </c>
      <c r="I179" s="64">
        <f t="shared" si="40"/>
        <v>25.16</v>
      </c>
      <c r="J179" s="64">
        <f t="shared" si="40"/>
        <v>24.51</v>
      </c>
      <c r="K179" s="65">
        <f t="shared" si="40"/>
        <v>22.78</v>
      </c>
      <c r="M179" s="70">
        <f t="shared" si="37"/>
        <v>2031</v>
      </c>
      <c r="N179" s="67">
        <f t="shared" si="39"/>
        <v>47939</v>
      </c>
      <c r="P179" s="68">
        <f>IF('Monthly Levelized'!$K$5+'Monthly Levelized'!$L$5&lt;&gt;0,IFERROR(VLOOKUP(B179,'Monthly Levelized'!$G$5:$I$25,3,FALSE),P178),1)</f>
        <v>1</v>
      </c>
      <c r="Q179" s="213" t="str">
        <f t="shared" si="38"/>
        <v>Winter</v>
      </c>
      <c r="S179" s="214"/>
      <c r="T179" s="214"/>
      <c r="U179" s="214"/>
      <c r="V179" s="214"/>
    </row>
    <row r="180" spans="2:22" outlineLevel="1" x14ac:dyDescent="0.25">
      <c r="B180" s="67">
        <f t="shared" si="36"/>
        <v>47969</v>
      </c>
      <c r="C180" s="61">
        <f>'[1]Table 5'!E180*P180</f>
        <v>73674.369982302189</v>
      </c>
      <c r="D180" s="62">
        <f>IFERROR(G180*'MWH-Split'!S166*'MWH-Split'!U166,"")</f>
        <v>56308.897530236478</v>
      </c>
      <c r="E180" s="63">
        <f>IFERROR(H180*'MWH-Split'!T166*'MWH-Split'!U166,"")</f>
        <v>13283.030597185327</v>
      </c>
      <c r="F180" s="62">
        <f>'[1]Table 5'!F180*P180</f>
        <v>2875.0949999999998</v>
      </c>
      <c r="G180" s="62">
        <f>IF('MWH-Split'!N166&lt;&gt;0,'MWH-Split'!N166*P180,"")</f>
        <v>2288.9360000000001</v>
      </c>
      <c r="H180" s="63">
        <f>IF('MWH-Split'!O166&lt;&gt;0,'MWH-Split'!O166*P180,"")</f>
        <v>586.15899999999999</v>
      </c>
      <c r="I180" s="64">
        <f t="shared" si="40"/>
        <v>25.63</v>
      </c>
      <c r="J180" s="64">
        <f t="shared" si="40"/>
        <v>24.6</v>
      </c>
      <c r="K180" s="65">
        <f t="shared" si="40"/>
        <v>22.66</v>
      </c>
      <c r="M180" s="70">
        <f t="shared" si="37"/>
        <v>2031</v>
      </c>
      <c r="N180" s="67">
        <f t="shared" si="39"/>
        <v>47969</v>
      </c>
      <c r="P180" s="68">
        <f>IF('Monthly Levelized'!$K$5+'Monthly Levelized'!$L$5&lt;&gt;0,IFERROR(VLOOKUP(B180,'Monthly Levelized'!$G$5:$I$25,3,FALSE),P179),1)</f>
        <v>1</v>
      </c>
      <c r="Q180" s="213" t="str">
        <f t="shared" si="38"/>
        <v>Winter</v>
      </c>
      <c r="S180" s="214"/>
      <c r="T180" s="214"/>
      <c r="U180" s="214"/>
      <c r="V180" s="214"/>
    </row>
    <row r="181" spans="2:22" outlineLevel="1" x14ac:dyDescent="0.25">
      <c r="B181" s="67">
        <f t="shared" si="36"/>
        <v>48000</v>
      </c>
      <c r="C181" s="61">
        <f>'[1]Table 5'!E181*P181</f>
        <v>77002.874089092016</v>
      </c>
      <c r="D181" s="62">
        <f>IFERROR(G181*'MWH-Split'!S167*'MWH-Split'!U167,"")</f>
        <v>61346.27909186163</v>
      </c>
      <c r="E181" s="63">
        <f>IFERROR(H181*'MWH-Split'!T167*'MWH-Split'!U167,"")</f>
        <v>15143.937381794021</v>
      </c>
      <c r="F181" s="62">
        <f>'[1]Table 5'!F181*P181</f>
        <v>3054.36</v>
      </c>
      <c r="G181" s="62">
        <f>IF('MWH-Split'!N167&lt;&gt;0,'MWH-Split'!N167*P181,"")</f>
        <v>2399.2750000000001</v>
      </c>
      <c r="H181" s="63">
        <f>IF('MWH-Split'!O167&lt;&gt;0,'MWH-Split'!O167*P181,"")</f>
        <v>655.08500000000004</v>
      </c>
      <c r="I181" s="64">
        <f t="shared" si="40"/>
        <v>25.21</v>
      </c>
      <c r="J181" s="64">
        <f t="shared" si="40"/>
        <v>25.57</v>
      </c>
      <c r="K181" s="65">
        <f t="shared" si="40"/>
        <v>23.12</v>
      </c>
      <c r="M181" s="70">
        <f t="shared" si="37"/>
        <v>2031</v>
      </c>
      <c r="N181" s="67">
        <f t="shared" si="39"/>
        <v>48000</v>
      </c>
      <c r="P181" s="68">
        <f>IF('Monthly Levelized'!$K$5+'Monthly Levelized'!$L$5&lt;&gt;0,IFERROR(VLOOKUP(B181,'Monthly Levelized'!$G$5:$I$25,3,FALSE),P180),1)</f>
        <v>1</v>
      </c>
      <c r="Q181" s="213" t="str">
        <f t="shared" si="38"/>
        <v>Summer</v>
      </c>
      <c r="S181" s="214"/>
      <c r="T181" s="214"/>
      <c r="U181" s="214"/>
      <c r="V181" s="214"/>
    </row>
    <row r="182" spans="2:22" outlineLevel="1" x14ac:dyDescent="0.25">
      <c r="B182" s="67">
        <f t="shared" si="36"/>
        <v>48030</v>
      </c>
      <c r="C182" s="61">
        <f>'[1]Table 5'!E182*P182</f>
        <v>90355.676601111889</v>
      </c>
      <c r="D182" s="62">
        <f>IFERROR(G182*'MWH-Split'!S168*'MWH-Split'!U168,"")</f>
        <v>78244.130037957948</v>
      </c>
      <c r="E182" s="63">
        <f>IFERROR(H182*'MWH-Split'!T168*'MWH-Split'!U168,"")</f>
        <v>15641.41782369919</v>
      </c>
      <c r="F182" s="62">
        <f>'[1]Table 5'!F182*P182</f>
        <v>2764.6109999999999</v>
      </c>
      <c r="G182" s="62">
        <f>IF('MWH-Split'!N168&lt;&gt;0,'MWH-Split'!N168*P182,"")</f>
        <v>2215.98</v>
      </c>
      <c r="H182" s="63">
        <f>IF('MWH-Split'!O168&lt;&gt;0,'MWH-Split'!O168*P182,"")</f>
        <v>548.63099999999997</v>
      </c>
      <c r="I182" s="64">
        <f t="shared" si="40"/>
        <v>32.68</v>
      </c>
      <c r="J182" s="64">
        <f t="shared" si="40"/>
        <v>35.31</v>
      </c>
      <c r="K182" s="65">
        <f t="shared" si="40"/>
        <v>28.51</v>
      </c>
      <c r="M182" s="70">
        <f t="shared" si="37"/>
        <v>2031</v>
      </c>
      <c r="N182" s="67">
        <f t="shared" si="39"/>
        <v>48030</v>
      </c>
      <c r="P182" s="68">
        <f>IF('Monthly Levelized'!$K$5+'Monthly Levelized'!$L$5&lt;&gt;0,IFERROR(VLOOKUP(B182,'Monthly Levelized'!$G$5:$I$25,3,FALSE),P181),1)</f>
        <v>1</v>
      </c>
      <c r="Q182" s="213" t="str">
        <f t="shared" si="38"/>
        <v>Summer</v>
      </c>
      <c r="S182" s="214"/>
      <c r="T182" s="214"/>
      <c r="U182" s="214"/>
      <c r="V182" s="214"/>
    </row>
    <row r="183" spans="2:22" outlineLevel="1" x14ac:dyDescent="0.25">
      <c r="B183" s="67">
        <f t="shared" si="36"/>
        <v>48061</v>
      </c>
      <c r="C183" s="61">
        <f>'[1]Table 5'!E183*P183</f>
        <v>88527.481247097254</v>
      </c>
      <c r="D183" s="62">
        <f>IFERROR(G183*'MWH-Split'!S169*'MWH-Split'!U169,"")</f>
        <v>84646.622911633647</v>
      </c>
      <c r="E183" s="63">
        <f>IFERROR(H183*'MWH-Split'!T169*'MWH-Split'!U169,"")</f>
        <v>15111.048962395991</v>
      </c>
      <c r="F183" s="62">
        <f>'[1]Table 5'!F183*P183</f>
        <v>2769.0749999999998</v>
      </c>
      <c r="G183" s="62">
        <f>IF('MWH-Split'!N169&lt;&gt;0,'MWH-Split'!N169*P183,"")</f>
        <v>2270.4760000000001</v>
      </c>
      <c r="H183" s="63">
        <f>IF('MWH-Split'!O169&lt;&gt;0,'MWH-Split'!O169*P183,"")</f>
        <v>498.59899999999999</v>
      </c>
      <c r="I183" s="64">
        <f t="shared" si="40"/>
        <v>31.97</v>
      </c>
      <c r="J183" s="64">
        <f t="shared" si="40"/>
        <v>37.28</v>
      </c>
      <c r="K183" s="65">
        <f t="shared" si="40"/>
        <v>30.31</v>
      </c>
      <c r="M183" s="70">
        <f t="shared" si="37"/>
        <v>2031</v>
      </c>
      <c r="N183" s="67">
        <f t="shared" si="39"/>
        <v>48061</v>
      </c>
      <c r="P183" s="68">
        <f>IF('Monthly Levelized'!$K$5+'Monthly Levelized'!$L$5&lt;&gt;0,IFERROR(VLOOKUP(B183,'Monthly Levelized'!$G$5:$I$25,3,FALSE),P182),1)</f>
        <v>1</v>
      </c>
      <c r="Q183" s="213" t="str">
        <f t="shared" si="38"/>
        <v>Summer</v>
      </c>
      <c r="S183" s="214"/>
      <c r="T183" s="214"/>
      <c r="U183" s="214"/>
      <c r="V183" s="214"/>
    </row>
    <row r="184" spans="2:22" outlineLevel="1" x14ac:dyDescent="0.25">
      <c r="B184" s="67">
        <f t="shared" si="36"/>
        <v>48092</v>
      </c>
      <c r="C184" s="61">
        <f>'[1]Table 5'!E184*P184</f>
        <v>69830.623558312654</v>
      </c>
      <c r="D184" s="62">
        <f>IFERROR(G184*'MWH-Split'!S170*'MWH-Split'!U170,"")</f>
        <v>64782.581210549855</v>
      </c>
      <c r="E184" s="63">
        <f>IFERROR(H184*'MWH-Split'!T170*'MWH-Split'!U170,"")</f>
        <v>11559.019422095969</v>
      </c>
      <c r="F184" s="62">
        <f>'[1]Table 5'!F184*P184</f>
        <v>2440.9499999999998</v>
      </c>
      <c r="G184" s="62">
        <f>IF('MWH-Split'!N170&lt;&gt;0,'MWH-Split'!N170*P184,"")</f>
        <v>2018.8</v>
      </c>
      <c r="H184" s="63">
        <f>IF('MWH-Split'!O170&lt;&gt;0,'MWH-Split'!O170*P184,"")</f>
        <v>422.15</v>
      </c>
      <c r="I184" s="64">
        <f t="shared" si="40"/>
        <v>28.61</v>
      </c>
      <c r="J184" s="64">
        <f t="shared" si="40"/>
        <v>32.090000000000003</v>
      </c>
      <c r="K184" s="65">
        <f t="shared" si="40"/>
        <v>27.38</v>
      </c>
      <c r="M184" s="70">
        <f t="shared" si="37"/>
        <v>2031</v>
      </c>
      <c r="N184" s="67">
        <f t="shared" si="39"/>
        <v>48092</v>
      </c>
      <c r="P184" s="68">
        <f>IF('Monthly Levelized'!$K$5+'Monthly Levelized'!$L$5&lt;&gt;0,IFERROR(VLOOKUP(B184,'Monthly Levelized'!$G$5:$I$25,3,FALSE),P183),1)</f>
        <v>1</v>
      </c>
      <c r="Q184" s="213" t="str">
        <f t="shared" si="38"/>
        <v>Summer</v>
      </c>
      <c r="S184" s="214"/>
      <c r="T184" s="214"/>
      <c r="U184" s="214"/>
      <c r="V184" s="214"/>
    </row>
    <row r="185" spans="2:22" outlineLevel="1" x14ac:dyDescent="0.25">
      <c r="B185" s="67">
        <f t="shared" si="36"/>
        <v>48122</v>
      </c>
      <c r="C185" s="61">
        <f>'[1]Table 5'!E185*P185</f>
        <v>60063.788692504168</v>
      </c>
      <c r="D185" s="62">
        <f>IFERROR(G185*'MWH-Split'!S171*'MWH-Split'!U171,"")</f>
        <v>52267.774759374464</v>
      </c>
      <c r="E185" s="63">
        <f>IFERROR(H185*'MWH-Split'!T171*'MWH-Split'!U171,"")</f>
        <v>7092.4056558484444</v>
      </c>
      <c r="F185" s="62">
        <f>'[1]Table 5'!F185*P185</f>
        <v>1978.9469999999999</v>
      </c>
      <c r="G185" s="62">
        <f>IF('MWH-Split'!N171&lt;&gt;0,'MWH-Split'!N171*P185,"")</f>
        <v>1723.194</v>
      </c>
      <c r="H185" s="63">
        <f>IF('MWH-Split'!O171&lt;&gt;0,'MWH-Split'!O171*P185,"")</f>
        <v>255.75299999999999</v>
      </c>
      <c r="I185" s="64">
        <f t="shared" si="40"/>
        <v>30.35</v>
      </c>
      <c r="J185" s="64">
        <f t="shared" si="40"/>
        <v>30.33</v>
      </c>
      <c r="K185" s="65">
        <f t="shared" si="40"/>
        <v>27.73</v>
      </c>
      <c r="M185" s="70">
        <f t="shared" si="37"/>
        <v>2031</v>
      </c>
      <c r="N185" s="67">
        <f t="shared" si="39"/>
        <v>48122</v>
      </c>
      <c r="P185" s="68">
        <f>IF('Monthly Levelized'!$K$5+'Monthly Levelized'!$L$5&lt;&gt;0,IFERROR(VLOOKUP(B185,'Monthly Levelized'!$G$5:$I$25,3,FALSE),P184),1)</f>
        <v>1</v>
      </c>
      <c r="Q185" s="213" t="str">
        <f t="shared" si="38"/>
        <v>Winter</v>
      </c>
      <c r="S185" s="214"/>
      <c r="T185" s="214"/>
      <c r="U185" s="214"/>
      <c r="V185" s="214"/>
    </row>
    <row r="186" spans="2:22" outlineLevel="1" x14ac:dyDescent="0.25">
      <c r="B186" s="67">
        <f t="shared" si="36"/>
        <v>48153</v>
      </c>
      <c r="C186" s="61">
        <f>'[1]Table 5'!E186*P186</f>
        <v>39308.270639389753</v>
      </c>
      <c r="D186" s="62">
        <f>IFERROR(G186*'MWH-Split'!S172*'MWH-Split'!U172,"")</f>
        <v>33204.399398756388</v>
      </c>
      <c r="E186" s="63">
        <f>IFERROR(H186*'MWH-Split'!T172*'MWH-Split'!U172,"")</f>
        <v>7673.014824603174</v>
      </c>
      <c r="F186" s="62">
        <f>'[1]Table 5'!F186*P186</f>
        <v>1332.96</v>
      </c>
      <c r="G186" s="62">
        <f>IF('MWH-Split'!N172&lt;&gt;0,'MWH-Split'!N172*P186,"")</f>
        <v>1066.3679999999999</v>
      </c>
      <c r="H186" s="63">
        <f>IF('MWH-Split'!O172&lt;&gt;0,'MWH-Split'!O172*P186,"")</f>
        <v>266.59199999999998</v>
      </c>
      <c r="I186" s="64">
        <f t="shared" ref="I186:K199" si="41">MAX(ROUND(IF(ISNUMBER(F186),C186/F186,""),2),0)</f>
        <v>29.49</v>
      </c>
      <c r="J186" s="64">
        <f t="shared" si="41"/>
        <v>31.14</v>
      </c>
      <c r="K186" s="65">
        <f t="shared" si="41"/>
        <v>28.78</v>
      </c>
      <c r="M186" s="70">
        <f t="shared" si="37"/>
        <v>2031</v>
      </c>
      <c r="N186" s="67">
        <f t="shared" si="39"/>
        <v>48153</v>
      </c>
      <c r="P186" s="68">
        <f>IF('Monthly Levelized'!$K$5+'Monthly Levelized'!$L$5&lt;&gt;0,IFERROR(VLOOKUP(B186,'Monthly Levelized'!$G$5:$I$25,3,FALSE),P185),1)</f>
        <v>1</v>
      </c>
      <c r="Q186" s="213" t="str">
        <f t="shared" si="38"/>
        <v>Winter</v>
      </c>
      <c r="S186" s="214"/>
      <c r="T186" s="214"/>
      <c r="U186" s="214"/>
      <c r="V186" s="214"/>
    </row>
    <row r="187" spans="2:22" outlineLevel="1" x14ac:dyDescent="0.25">
      <c r="B187" s="78">
        <f t="shared" si="36"/>
        <v>48183</v>
      </c>
      <c r="C187" s="72">
        <f>'[1]Table 5'!E187*P187</f>
        <v>39555.719251543283</v>
      </c>
      <c r="D187" s="62">
        <f>IFERROR(G187*'MWH-Split'!S173*'MWH-Split'!U173,"")</f>
        <v>28232.389382206526</v>
      </c>
      <c r="E187" s="63">
        <f>IFERROR(H187*'MWH-Split'!T173*'MWH-Split'!U173,"")</f>
        <v>5118.7222079380099</v>
      </c>
      <c r="F187" s="73">
        <f>'[1]Table 5'!F187*P187</f>
        <v>1028.27</v>
      </c>
      <c r="G187" s="62">
        <f>IF('MWH-Split'!N173&lt;&gt;0,'MWH-Split'!N173*P187,"")</f>
        <v>862.42</v>
      </c>
      <c r="H187" s="63">
        <f>IF('MWH-Split'!O173&lt;&gt;0,'MWH-Split'!O173*P187,"")</f>
        <v>165.85</v>
      </c>
      <c r="I187" s="75">
        <f t="shared" si="41"/>
        <v>38.47</v>
      </c>
      <c r="J187" s="75">
        <f t="shared" si="41"/>
        <v>32.74</v>
      </c>
      <c r="K187" s="76">
        <f t="shared" si="41"/>
        <v>30.86</v>
      </c>
      <c r="M187" s="77">
        <f t="shared" si="37"/>
        <v>2031</v>
      </c>
      <c r="N187" s="78">
        <f t="shared" si="39"/>
        <v>48183</v>
      </c>
      <c r="P187" s="79">
        <f>IF('Monthly Levelized'!$K$5+'Monthly Levelized'!$L$5&lt;&gt;0,IFERROR(VLOOKUP(B187,'Monthly Levelized'!$G$5:$I$25,3,FALSE),P186),1)</f>
        <v>1</v>
      </c>
      <c r="Q187" s="213" t="str">
        <f t="shared" si="38"/>
        <v>Winter</v>
      </c>
      <c r="S187" s="214"/>
      <c r="T187" s="214"/>
      <c r="U187" s="214"/>
      <c r="V187" s="214"/>
    </row>
    <row r="188" spans="2:22" outlineLevel="1" x14ac:dyDescent="0.25">
      <c r="B188" s="80">
        <f t="shared" si="36"/>
        <v>48214</v>
      </c>
      <c r="C188" s="81">
        <f>'[1]Table 5'!E188*P188</f>
        <v>47652.978676944971</v>
      </c>
      <c r="D188" s="62">
        <f>IFERROR(G188*'MWH-Split'!S174*'MWH-Split'!U174,"")</f>
        <v>34827.990968078469</v>
      </c>
      <c r="E188" s="63">
        <f>IFERROR(H188*'MWH-Split'!T174*'MWH-Split'!U174,"")</f>
        <v>6337.3855693468486</v>
      </c>
      <c r="F188" s="82">
        <f>'[1]Table 5'!F188*P188</f>
        <v>1227.538</v>
      </c>
      <c r="G188" s="62">
        <f>IF('MWH-Split'!N174&lt;&gt;0,'MWH-Split'!N174*P188,"")</f>
        <v>1029.548</v>
      </c>
      <c r="H188" s="63">
        <f>IF('MWH-Split'!O174&lt;&gt;0,'MWH-Split'!O174*P188,"")</f>
        <v>197.99</v>
      </c>
      <c r="I188" s="84">
        <f t="shared" si="41"/>
        <v>38.82</v>
      </c>
      <c r="J188" s="84">
        <f t="shared" si="41"/>
        <v>33.83</v>
      </c>
      <c r="K188" s="85">
        <f t="shared" si="41"/>
        <v>32.01</v>
      </c>
      <c r="M188" s="66">
        <f t="shared" si="37"/>
        <v>2032</v>
      </c>
      <c r="N188" s="67">
        <f t="shared" si="39"/>
        <v>48214</v>
      </c>
      <c r="P188" s="86">
        <f>IF('Monthly Levelized'!$K$5+'Monthly Levelized'!$L$5&lt;&gt;0,IFERROR(VLOOKUP(B188,'Monthly Levelized'!$G$5:$I$25,3,FALSE),P187),1)</f>
        <v>1</v>
      </c>
      <c r="Q188" s="213" t="str">
        <f t="shared" si="38"/>
        <v>Winter</v>
      </c>
      <c r="S188" s="214"/>
      <c r="T188" s="214"/>
      <c r="U188" s="214"/>
      <c r="V188" s="214"/>
    </row>
    <row r="189" spans="2:22" outlineLevel="1" x14ac:dyDescent="0.25">
      <c r="B189" s="67">
        <f t="shared" si="36"/>
        <v>48245</v>
      </c>
      <c r="C189" s="61">
        <f>'[1]Table 5'!E189*P189</f>
        <v>49387.842852920294</v>
      </c>
      <c r="D189" s="62">
        <f>IFERROR(G189*'MWH-Split'!S175*'MWH-Split'!U175,"")</f>
        <v>39436.70180456058</v>
      </c>
      <c r="E189" s="63">
        <f>IFERROR(H189*'MWH-Split'!T175*'MWH-Split'!U175,"")</f>
        <v>7667.0470791119524</v>
      </c>
      <c r="F189" s="62">
        <f>'[1]Table 5'!F189*P189</f>
        <v>1422.885</v>
      </c>
      <c r="G189" s="62">
        <f>IF('MWH-Split'!N175&lt;&gt;0,'MWH-Split'!N175*P189,"")</f>
        <v>1177.56</v>
      </c>
      <c r="H189" s="63">
        <f>IF('MWH-Split'!O175&lt;&gt;0,'MWH-Split'!O175*P189,"")</f>
        <v>245.32499999999999</v>
      </c>
      <c r="I189" s="64">
        <f t="shared" si="41"/>
        <v>34.71</v>
      </c>
      <c r="J189" s="64">
        <f t="shared" si="41"/>
        <v>33.49</v>
      </c>
      <c r="K189" s="65">
        <f t="shared" si="41"/>
        <v>31.25</v>
      </c>
      <c r="M189" s="70">
        <f t="shared" si="37"/>
        <v>2032</v>
      </c>
      <c r="N189" s="67">
        <f t="shared" si="39"/>
        <v>48245</v>
      </c>
      <c r="P189" s="68">
        <f>IF('Monthly Levelized'!$K$5+'Monthly Levelized'!$L$5&lt;&gt;0,IFERROR(VLOOKUP(B189,'Monthly Levelized'!$G$5:$I$25,3,FALSE),P188),1)</f>
        <v>1</v>
      </c>
      <c r="Q189" s="213" t="str">
        <f t="shared" si="38"/>
        <v>Winter</v>
      </c>
      <c r="S189" s="214"/>
      <c r="T189" s="214"/>
      <c r="U189" s="214"/>
      <c r="V189" s="214"/>
    </row>
    <row r="190" spans="2:22" outlineLevel="1" x14ac:dyDescent="0.25">
      <c r="B190" s="67">
        <f t="shared" si="36"/>
        <v>48274</v>
      </c>
      <c r="C190" s="61">
        <f>'[1]Table 5'!E190*P190</f>
        <v>63294.150646865368</v>
      </c>
      <c r="D190" s="62">
        <f>IFERROR(G190*'MWH-Split'!S176*'MWH-Split'!U176,"")</f>
        <v>54606.48284951604</v>
      </c>
      <c r="E190" s="63">
        <f>IFERROR(H190*'MWH-Split'!T176*'MWH-Split'!U176,"")</f>
        <v>7937.8902902343461</v>
      </c>
      <c r="F190" s="62">
        <f>'[1]Table 5'!F190*P190</f>
        <v>2139.62</v>
      </c>
      <c r="G190" s="62">
        <f>IF('MWH-Split'!N176&lt;&gt;0,'MWH-Split'!N176*P190,"")</f>
        <v>1862.8109999999999</v>
      </c>
      <c r="H190" s="63">
        <f>IF('MWH-Split'!O176&lt;&gt;0,'MWH-Split'!O176*P190,"")</f>
        <v>276.80900000000003</v>
      </c>
      <c r="I190" s="64">
        <f t="shared" si="41"/>
        <v>29.58</v>
      </c>
      <c r="J190" s="64">
        <f t="shared" si="41"/>
        <v>29.31</v>
      </c>
      <c r="K190" s="65">
        <f t="shared" si="41"/>
        <v>28.68</v>
      </c>
      <c r="M190" s="70">
        <f t="shared" si="37"/>
        <v>2032</v>
      </c>
      <c r="N190" s="67">
        <f t="shared" si="39"/>
        <v>48274</v>
      </c>
      <c r="P190" s="68">
        <f>IF('Monthly Levelized'!$K$5+'Monthly Levelized'!$L$5&lt;&gt;0,IFERROR(VLOOKUP(B190,'Monthly Levelized'!$G$5:$I$25,3,FALSE),P189),1)</f>
        <v>1</v>
      </c>
      <c r="Q190" s="213" t="str">
        <f t="shared" si="38"/>
        <v>Winter</v>
      </c>
      <c r="S190" s="214"/>
      <c r="T190" s="214"/>
      <c r="U190" s="214"/>
      <c r="V190" s="214"/>
    </row>
    <row r="191" spans="2:22" outlineLevel="1" x14ac:dyDescent="0.25">
      <c r="B191" s="67">
        <f t="shared" si="36"/>
        <v>48305</v>
      </c>
      <c r="C191" s="61">
        <f>'[1]Table 5'!E191*P191</f>
        <v>64284.321698248386</v>
      </c>
      <c r="D191" s="62">
        <f>IFERROR(G191*'MWH-Split'!S177*'MWH-Split'!U177,"")</f>
        <v>55431.440191690759</v>
      </c>
      <c r="E191" s="63">
        <f>IFERROR(H191*'MWH-Split'!T177*'MWH-Split'!U177,"")</f>
        <v>8867.5398851500595</v>
      </c>
      <c r="F191" s="62">
        <f>'[1]Table 5'!F191*P191</f>
        <v>2471.2800000000002</v>
      </c>
      <c r="G191" s="62">
        <f>IF('MWH-Split'!N177&lt;&gt;0,'MWH-Split'!N177*P191,"")</f>
        <v>2104.1799999999998</v>
      </c>
      <c r="H191" s="63">
        <f>IF('MWH-Split'!O177&lt;&gt;0,'MWH-Split'!O177*P191,"")</f>
        <v>367.1</v>
      </c>
      <c r="I191" s="64">
        <f t="shared" si="41"/>
        <v>26.01</v>
      </c>
      <c r="J191" s="64">
        <f t="shared" si="41"/>
        <v>26.34</v>
      </c>
      <c r="K191" s="65">
        <f t="shared" si="41"/>
        <v>24.16</v>
      </c>
      <c r="M191" s="70">
        <f t="shared" si="37"/>
        <v>2032</v>
      </c>
      <c r="N191" s="67">
        <f t="shared" si="39"/>
        <v>48305</v>
      </c>
      <c r="P191" s="68">
        <f>IF('Monthly Levelized'!$K$5+'Monthly Levelized'!$L$5&lt;&gt;0,IFERROR(VLOOKUP(B191,'Monthly Levelized'!$G$5:$I$25,3,FALSE),P190),1)</f>
        <v>1</v>
      </c>
      <c r="Q191" s="213" t="str">
        <f t="shared" si="38"/>
        <v>Winter</v>
      </c>
      <c r="S191" s="214"/>
      <c r="T191" s="214"/>
      <c r="U191" s="214"/>
      <c r="V191" s="214"/>
    </row>
    <row r="192" spans="2:22" outlineLevel="1" x14ac:dyDescent="0.25">
      <c r="B192" s="67">
        <f t="shared" si="36"/>
        <v>48335</v>
      </c>
      <c r="C192" s="61">
        <f>'[1]Table 5'!E192*P192</f>
        <v>77750.026095241308</v>
      </c>
      <c r="D192" s="62">
        <f>IFERROR(G192*'MWH-Split'!S178*'MWH-Split'!U178,"")</f>
        <v>57999.895684870535</v>
      </c>
      <c r="E192" s="63">
        <f>IFERROR(H192*'MWH-Split'!T178*'MWH-Split'!U178,"")</f>
        <v>16302.900421682263</v>
      </c>
      <c r="F192" s="62">
        <f>'[1]Table 5'!F192*P192</f>
        <v>2860.6179999999999</v>
      </c>
      <c r="G192" s="62">
        <f>IF('MWH-Split'!N178&lt;&gt;0,'MWH-Split'!N178*P192,"")</f>
        <v>2189.8249999999998</v>
      </c>
      <c r="H192" s="63">
        <f>IF('MWH-Split'!O178&lt;&gt;0,'MWH-Split'!O178*P192,"")</f>
        <v>670.79300000000001</v>
      </c>
      <c r="I192" s="64">
        <f t="shared" si="41"/>
        <v>27.18</v>
      </c>
      <c r="J192" s="64">
        <f t="shared" si="41"/>
        <v>26.49</v>
      </c>
      <c r="K192" s="65">
        <f t="shared" si="41"/>
        <v>24.3</v>
      </c>
      <c r="M192" s="70">
        <f t="shared" si="37"/>
        <v>2032</v>
      </c>
      <c r="N192" s="67">
        <f t="shared" si="39"/>
        <v>48335</v>
      </c>
      <c r="P192" s="68">
        <f>IF('Monthly Levelized'!$K$5+'Monthly Levelized'!$L$5&lt;&gt;0,IFERROR(VLOOKUP(B192,'Monthly Levelized'!$G$5:$I$25,3,FALSE),P191),1)</f>
        <v>1</v>
      </c>
      <c r="Q192" s="213" t="str">
        <f t="shared" si="38"/>
        <v>Winter</v>
      </c>
      <c r="S192" s="214"/>
      <c r="T192" s="214"/>
      <c r="U192" s="214"/>
      <c r="V192" s="214"/>
    </row>
    <row r="193" spans="2:22" outlineLevel="1" x14ac:dyDescent="0.25">
      <c r="B193" s="67">
        <f t="shared" si="36"/>
        <v>48366</v>
      </c>
      <c r="C193" s="61">
        <f>'[1]Table 5'!E193*P193</f>
        <v>78974.205328524113</v>
      </c>
      <c r="D193" s="62">
        <f>IFERROR(G193*'MWH-Split'!S179*'MWH-Split'!U179,"")</f>
        <v>69068.483877514271</v>
      </c>
      <c r="E193" s="63">
        <f>IFERROR(H193*'MWH-Split'!T179*'MWH-Split'!U179,"")</f>
        <v>13901.943563302131</v>
      </c>
      <c r="F193" s="62">
        <f>'[1]Table 5'!F193*P193</f>
        <v>3039.09</v>
      </c>
      <c r="G193" s="62">
        <f>IF('MWH-Split'!N179&lt;&gt;0,'MWH-Split'!N179*P193,"")</f>
        <v>2482.7919999999999</v>
      </c>
      <c r="H193" s="63">
        <f>IF('MWH-Split'!O179&lt;&gt;0,'MWH-Split'!O179*P193,"")</f>
        <v>556.298</v>
      </c>
      <c r="I193" s="64">
        <f t="shared" si="41"/>
        <v>25.99</v>
      </c>
      <c r="J193" s="64">
        <f t="shared" si="41"/>
        <v>27.82</v>
      </c>
      <c r="K193" s="65">
        <f t="shared" si="41"/>
        <v>24.99</v>
      </c>
      <c r="M193" s="70">
        <f t="shared" si="37"/>
        <v>2032</v>
      </c>
      <c r="N193" s="67">
        <f t="shared" si="39"/>
        <v>48366</v>
      </c>
      <c r="P193" s="68">
        <f>IF('Monthly Levelized'!$K$5+'Monthly Levelized'!$L$5&lt;&gt;0,IFERROR(VLOOKUP(B193,'Monthly Levelized'!$G$5:$I$25,3,FALSE),P192),1)</f>
        <v>1</v>
      </c>
      <c r="Q193" s="213" t="str">
        <f t="shared" si="38"/>
        <v>Summer</v>
      </c>
      <c r="S193" s="214"/>
      <c r="T193" s="214"/>
      <c r="U193" s="214"/>
      <c r="V193" s="214"/>
    </row>
    <row r="194" spans="2:22" outlineLevel="1" x14ac:dyDescent="0.25">
      <c r="B194" s="67">
        <f t="shared" si="36"/>
        <v>48396</v>
      </c>
      <c r="C194" s="61">
        <f>'[1]Table 5'!E194*P194</f>
        <v>108072.27752438188</v>
      </c>
      <c r="D194" s="62">
        <f>IFERROR(G194*'MWH-Split'!S180*'MWH-Split'!U180,"")</f>
        <v>82927.980247054424</v>
      </c>
      <c r="E194" s="63">
        <f>IFERROR(H194*'MWH-Split'!T180*'MWH-Split'!U180,"")</f>
        <v>16797.608056691206</v>
      </c>
      <c r="F194" s="62">
        <f>'[1]Table 5'!F194*P194</f>
        <v>2750.7539999999999</v>
      </c>
      <c r="G194" s="62">
        <f>IF('MWH-Split'!N180&lt;&gt;0,'MWH-Split'!N180*P194,"")</f>
        <v>2204.8780000000002</v>
      </c>
      <c r="H194" s="63">
        <f>IF('MWH-Split'!O180&lt;&gt;0,'MWH-Split'!O180*P194,"")</f>
        <v>545.87599999999998</v>
      </c>
      <c r="I194" s="64">
        <f t="shared" si="41"/>
        <v>39.29</v>
      </c>
      <c r="J194" s="64">
        <f t="shared" si="41"/>
        <v>37.61</v>
      </c>
      <c r="K194" s="65">
        <f t="shared" si="41"/>
        <v>30.77</v>
      </c>
      <c r="M194" s="70">
        <f t="shared" si="37"/>
        <v>2032</v>
      </c>
      <c r="N194" s="67">
        <f t="shared" si="39"/>
        <v>48396</v>
      </c>
      <c r="P194" s="68">
        <f>IF('Monthly Levelized'!$K$5+'Monthly Levelized'!$L$5&lt;&gt;0,IFERROR(VLOOKUP(B194,'Monthly Levelized'!$G$5:$I$25,3,FALSE),P193),1)</f>
        <v>1</v>
      </c>
      <c r="Q194" s="213" t="str">
        <f t="shared" si="38"/>
        <v>Summer</v>
      </c>
      <c r="S194" s="214"/>
      <c r="T194" s="214"/>
      <c r="U194" s="214"/>
      <c r="V194" s="214"/>
    </row>
    <row r="195" spans="2:22" outlineLevel="1" x14ac:dyDescent="0.25">
      <c r="B195" s="67">
        <f t="shared" si="36"/>
        <v>48427</v>
      </c>
      <c r="C195" s="61">
        <f>'[1]Table 5'!E195*P195</f>
        <v>94616.709473460913</v>
      </c>
      <c r="D195" s="62">
        <f>IFERROR(G195*'MWH-Split'!S181*'MWH-Split'!U181,"")</f>
        <v>90393.748389893983</v>
      </c>
      <c r="E195" s="63">
        <f>IFERROR(H195*'MWH-Split'!T181*'MWH-Split'!U181,"")</f>
        <v>16196.230937756574</v>
      </c>
      <c r="F195" s="62">
        <f>'[1]Table 5'!F195*P195</f>
        <v>2755.28</v>
      </c>
      <c r="G195" s="62">
        <f>IF('MWH-Split'!N181&lt;&gt;0,'MWH-Split'!N181*P195,"")</f>
        <v>2259.1660000000002</v>
      </c>
      <c r="H195" s="63">
        <f>IF('MWH-Split'!O181&lt;&gt;0,'MWH-Split'!O181*P195,"")</f>
        <v>496.11399999999998</v>
      </c>
      <c r="I195" s="64">
        <f t="shared" si="41"/>
        <v>34.340000000000003</v>
      </c>
      <c r="J195" s="64">
        <f t="shared" si="41"/>
        <v>40.01</v>
      </c>
      <c r="K195" s="65">
        <f t="shared" si="41"/>
        <v>32.65</v>
      </c>
      <c r="M195" s="70">
        <f t="shared" si="37"/>
        <v>2032</v>
      </c>
      <c r="N195" s="67">
        <f t="shared" si="39"/>
        <v>48427</v>
      </c>
      <c r="P195" s="68">
        <f>IF('Monthly Levelized'!$K$5+'Monthly Levelized'!$L$5&lt;&gt;0,IFERROR(VLOOKUP(B195,'Monthly Levelized'!$G$5:$I$25,3,FALSE),P194),1)</f>
        <v>1</v>
      </c>
      <c r="Q195" s="213" t="str">
        <f t="shared" si="38"/>
        <v>Summer</v>
      </c>
      <c r="S195" s="214"/>
      <c r="T195" s="214"/>
      <c r="U195" s="214"/>
      <c r="V195" s="214"/>
    </row>
    <row r="196" spans="2:22" outlineLevel="1" x14ac:dyDescent="0.25">
      <c r="B196" s="67">
        <f t="shared" si="36"/>
        <v>48458</v>
      </c>
      <c r="C196" s="61">
        <f>'[1]Table 5'!E196*P196</f>
        <v>71969.144764512777</v>
      </c>
      <c r="D196" s="62">
        <f>IFERROR(G196*'MWH-Split'!S182*'MWH-Split'!U182,"")</f>
        <v>69150.31960897136</v>
      </c>
      <c r="E196" s="63">
        <f>IFERROR(H196*'MWH-Split'!T182*'MWH-Split'!U182,"")</f>
        <v>12557.485475974119</v>
      </c>
      <c r="F196" s="62">
        <f>'[1]Table 5'!F196*P196</f>
        <v>2428.71</v>
      </c>
      <c r="G196" s="62">
        <f>IF('MWH-Split'!N182&lt;&gt;0,'MWH-Split'!N182*P196,"")</f>
        <v>2008.675</v>
      </c>
      <c r="H196" s="63">
        <f>IF('MWH-Split'!O182&lt;&gt;0,'MWH-Split'!O182*P196,"")</f>
        <v>420.03500000000003</v>
      </c>
      <c r="I196" s="64">
        <f t="shared" si="41"/>
        <v>29.63</v>
      </c>
      <c r="J196" s="64">
        <f t="shared" si="41"/>
        <v>34.43</v>
      </c>
      <c r="K196" s="65">
        <f t="shared" si="41"/>
        <v>29.9</v>
      </c>
      <c r="M196" s="70">
        <f t="shared" si="37"/>
        <v>2032</v>
      </c>
      <c r="N196" s="67">
        <f t="shared" si="39"/>
        <v>48458</v>
      </c>
      <c r="P196" s="68">
        <f>IF('Monthly Levelized'!$K$5+'Monthly Levelized'!$L$5&lt;&gt;0,IFERROR(VLOOKUP(B196,'Monthly Levelized'!$G$5:$I$25,3,FALSE),P195),1)</f>
        <v>1</v>
      </c>
      <c r="Q196" s="213" t="str">
        <f t="shared" si="38"/>
        <v>Summer</v>
      </c>
      <c r="S196" s="214"/>
      <c r="T196" s="214"/>
      <c r="U196" s="214"/>
      <c r="V196" s="214"/>
    </row>
    <row r="197" spans="2:22" outlineLevel="1" x14ac:dyDescent="0.25">
      <c r="B197" s="67">
        <f t="shared" si="36"/>
        <v>48488</v>
      </c>
      <c r="C197" s="61">
        <f>'[1]Table 5'!E197*P197</f>
        <v>63366.583021700382</v>
      </c>
      <c r="D197" s="62">
        <f>IFERROR(G197*'MWH-Split'!S183*'MWH-Split'!U183,"")</f>
        <v>55831.213672983926</v>
      </c>
      <c r="E197" s="63">
        <f>IFERROR(H197*'MWH-Split'!T183*'MWH-Split'!U183,"")</f>
        <v>9740.2128332997636</v>
      </c>
      <c r="F197" s="62">
        <f>'[1]Table 5'!F197*P197</f>
        <v>1969.0889999999999</v>
      </c>
      <c r="G197" s="62">
        <f>IF('MWH-Split'!N183&lt;&gt;0,'MWH-Split'!N183*P197,"")</f>
        <v>1651.104</v>
      </c>
      <c r="H197" s="63">
        <f>IF('MWH-Split'!O183&lt;&gt;0,'MWH-Split'!O183*P197,"")</f>
        <v>317.98500000000001</v>
      </c>
      <c r="I197" s="64">
        <f t="shared" si="41"/>
        <v>32.18</v>
      </c>
      <c r="J197" s="64">
        <f t="shared" si="41"/>
        <v>33.81</v>
      </c>
      <c r="K197" s="65">
        <f t="shared" si="41"/>
        <v>30.63</v>
      </c>
      <c r="M197" s="70">
        <f t="shared" si="37"/>
        <v>2032</v>
      </c>
      <c r="N197" s="67">
        <f t="shared" si="39"/>
        <v>48488</v>
      </c>
      <c r="P197" s="68">
        <f>IF('Monthly Levelized'!$K$5+'Monthly Levelized'!$L$5&lt;&gt;0,IFERROR(VLOOKUP(B197,'Monthly Levelized'!$G$5:$I$25,3,FALSE),P196),1)</f>
        <v>1</v>
      </c>
      <c r="Q197" s="213" t="str">
        <f t="shared" si="38"/>
        <v>Winter</v>
      </c>
      <c r="S197" s="214"/>
      <c r="T197" s="214"/>
      <c r="U197" s="214"/>
      <c r="V197" s="214"/>
    </row>
    <row r="198" spans="2:22" outlineLevel="1" x14ac:dyDescent="0.25">
      <c r="B198" s="67">
        <f t="shared" si="36"/>
        <v>48519</v>
      </c>
      <c r="C198" s="61">
        <f>'[1]Table 5'!E198*P198</f>
        <v>43390.697379142046</v>
      </c>
      <c r="D198" s="62">
        <f>IFERROR(G198*'MWH-Split'!S184*'MWH-Split'!U184,"")</f>
        <v>36992.206766722731</v>
      </c>
      <c r="E198" s="63">
        <f>IFERROR(H198*'MWH-Split'!T184*'MWH-Split'!U184,"")</f>
        <v>6810.5921285749801</v>
      </c>
      <c r="F198" s="62">
        <f>'[1]Table 5'!F198*P198</f>
        <v>1326.27</v>
      </c>
      <c r="G198" s="62">
        <f>IF('MWH-Split'!N184&lt;&gt;0,'MWH-Split'!N184*P198,"")</f>
        <v>1105.2249999999999</v>
      </c>
      <c r="H198" s="63">
        <f>IF('MWH-Split'!O184&lt;&gt;0,'MWH-Split'!O184*P198,"")</f>
        <v>221.04499999999999</v>
      </c>
      <c r="I198" s="64">
        <f t="shared" si="41"/>
        <v>32.72</v>
      </c>
      <c r="J198" s="64">
        <f t="shared" si="41"/>
        <v>33.47</v>
      </c>
      <c r="K198" s="65">
        <f t="shared" si="41"/>
        <v>30.81</v>
      </c>
      <c r="M198" s="70">
        <f t="shared" si="37"/>
        <v>2032</v>
      </c>
      <c r="N198" s="67">
        <f t="shared" si="39"/>
        <v>48519</v>
      </c>
      <c r="P198" s="68">
        <f>IF('Monthly Levelized'!$K$5+'Monthly Levelized'!$L$5&lt;&gt;0,IFERROR(VLOOKUP(B198,'Monthly Levelized'!$G$5:$I$25,3,FALSE),P197),1)</f>
        <v>1</v>
      </c>
      <c r="Q198" s="213" t="str">
        <f t="shared" si="38"/>
        <v>Winter</v>
      </c>
      <c r="S198" s="214"/>
      <c r="T198" s="214"/>
      <c r="U198" s="214"/>
      <c r="V198" s="214"/>
    </row>
    <row r="199" spans="2:22" outlineLevel="1" x14ac:dyDescent="0.25">
      <c r="B199" s="78">
        <f t="shared" si="36"/>
        <v>48549</v>
      </c>
      <c r="C199" s="72">
        <f>'[1]Table 5'!E199*P199</f>
        <v>42386.982124000788</v>
      </c>
      <c r="D199" s="62">
        <f>IFERROR(G199*'MWH-Split'!S185*'MWH-Split'!U185,"")</f>
        <v>29892.976919115441</v>
      </c>
      <c r="E199" s="63">
        <f>IFERROR(H199*'MWH-Split'!T185*'MWH-Split'!U185,"")</f>
        <v>5469.6423638463193</v>
      </c>
      <c r="F199" s="73">
        <f>'[1]Table 5'!F199*P199</f>
        <v>1023.155</v>
      </c>
      <c r="G199" s="62">
        <f>IF('MWH-Split'!N185&lt;&gt;0,'MWH-Split'!N185*P199,"")</f>
        <v>858.13</v>
      </c>
      <c r="H199" s="63">
        <f>IF('MWH-Split'!O185&lt;&gt;0,'MWH-Split'!O185*P199,"")</f>
        <v>165.02500000000001</v>
      </c>
      <c r="I199" s="75">
        <f t="shared" si="41"/>
        <v>41.43</v>
      </c>
      <c r="J199" s="75">
        <f t="shared" si="41"/>
        <v>34.840000000000003</v>
      </c>
      <c r="K199" s="76">
        <f t="shared" si="41"/>
        <v>33.14</v>
      </c>
      <c r="M199" s="77">
        <f t="shared" si="37"/>
        <v>2032</v>
      </c>
      <c r="N199" s="78">
        <f t="shared" si="39"/>
        <v>48549</v>
      </c>
      <c r="P199" s="79">
        <f>IF('Monthly Levelized'!$K$5+'Monthly Levelized'!$L$5&lt;&gt;0,IFERROR(VLOOKUP(B199,'Monthly Levelized'!$G$5:$I$25,3,FALSE),P198),1)</f>
        <v>1</v>
      </c>
      <c r="Q199" s="213" t="str">
        <f t="shared" si="38"/>
        <v>Winter</v>
      </c>
      <c r="S199" s="214"/>
      <c r="T199" s="214"/>
      <c r="U199" s="214"/>
      <c r="V199" s="214"/>
    </row>
    <row r="200" spans="2:22" x14ac:dyDescent="0.25">
      <c r="B200" s="80">
        <f t="shared" si="36"/>
        <v>48580</v>
      </c>
      <c r="C200" s="81">
        <f>'[1]Table 5'!E200*P200</f>
        <v>55791.618844121695</v>
      </c>
      <c r="D200" s="62">
        <f>IFERROR(G200*'MWH-Split'!S186*'MWH-Split'!U186,"")</f>
        <v>40534.847525133177</v>
      </c>
      <c r="E200" s="63">
        <f>IFERROR(H200*'MWH-Split'!T186*'MWH-Split'!U186,"")</f>
        <v>9264.9099904914565</v>
      </c>
      <c r="F200" s="82">
        <f>'[1]Table 5'!F200*P200</f>
        <v>1221.4000000000001</v>
      </c>
      <c r="G200" s="62">
        <f>IF('MWH-Split'!N186&lt;&gt;0,'MWH-Split'!N186*P200,"")</f>
        <v>985</v>
      </c>
      <c r="H200" s="63">
        <f>IF('MWH-Split'!O186&lt;&gt;0,'MWH-Split'!O186*P200,"")</f>
        <v>236.4</v>
      </c>
      <c r="I200" s="84">
        <f>MAX(ROUND(IFERROR(C200/F200,0),2),0)</f>
        <v>45.68</v>
      </c>
      <c r="J200" s="84">
        <f t="shared" ref="J200:J259" si="42">MAX(ROUND(IFERROR(D200/G200,0),2),0)</f>
        <v>41.15</v>
      </c>
      <c r="K200" s="85">
        <f t="shared" ref="K200:K259" si="43">MAX(ROUND(IFERROR(E200/H200,0),2),0)</f>
        <v>39.19</v>
      </c>
      <c r="M200" s="66">
        <f t="shared" si="37"/>
        <v>2033</v>
      </c>
      <c r="N200" s="67">
        <f t="shared" si="39"/>
        <v>48580</v>
      </c>
      <c r="P200" s="86">
        <f>IF('Monthly Levelized'!$K$5+'Monthly Levelized'!$L$5&lt;&gt;0,IFERROR(VLOOKUP(B200,'Monthly Levelized'!$G$5:$I$25,3,FALSE),P199),1)</f>
        <v>1</v>
      </c>
      <c r="Q200" s="213" t="str">
        <f t="shared" si="38"/>
        <v>Winter</v>
      </c>
      <c r="S200" s="214"/>
      <c r="T200" s="214"/>
      <c r="U200" s="214"/>
      <c r="V200" s="214"/>
    </row>
    <row r="201" spans="2:22" x14ac:dyDescent="0.25">
      <c r="B201" s="67">
        <f t="shared" si="36"/>
        <v>48611</v>
      </c>
      <c r="C201" s="61">
        <f>'[1]Table 5'!E201*P201</f>
        <v>58992.923293501139</v>
      </c>
      <c r="D201" s="62">
        <f>IFERROR(G201*'MWH-Split'!S187*'MWH-Split'!U187,"")</f>
        <v>48964.007035017785</v>
      </c>
      <c r="E201" s="63">
        <f>IFERROR(H201*'MWH-Split'!T187*'MWH-Split'!U187,"")</f>
        <v>7654.517626832715</v>
      </c>
      <c r="F201" s="62">
        <f>'[1]Table 5'!F201*P201</f>
        <v>1366.96</v>
      </c>
      <c r="G201" s="62">
        <f>IF('MWH-Split'!N187&lt;&gt;0,'MWH-Split'!N187*P201,"")</f>
        <v>1171.68</v>
      </c>
      <c r="H201" s="63">
        <f>IF('MWH-Split'!O187&lt;&gt;0,'MWH-Split'!O187*P201,"")</f>
        <v>195.28</v>
      </c>
      <c r="I201" s="64">
        <f t="shared" ref="I201:I259" si="44">MAX(ROUND(IFERROR(C201/F201,0),2),0)</f>
        <v>43.16</v>
      </c>
      <c r="J201" s="64">
        <f t="shared" si="42"/>
        <v>41.79</v>
      </c>
      <c r="K201" s="65">
        <f t="shared" si="43"/>
        <v>39.200000000000003</v>
      </c>
      <c r="M201" s="70">
        <f t="shared" si="37"/>
        <v>2033</v>
      </c>
      <c r="N201" s="67">
        <f t="shared" si="39"/>
        <v>48611</v>
      </c>
      <c r="P201" s="68">
        <f>IF('Monthly Levelized'!$K$5+'Monthly Levelized'!$L$5&lt;&gt;0,IFERROR(VLOOKUP(B201,'Monthly Levelized'!$G$5:$I$25,3,FALSE),P200),1)</f>
        <v>1</v>
      </c>
      <c r="Q201" s="213" t="str">
        <f t="shared" si="38"/>
        <v>Winter</v>
      </c>
      <c r="S201" s="214"/>
      <c r="T201" s="214"/>
      <c r="U201" s="214"/>
      <c r="V201" s="214"/>
    </row>
    <row r="202" spans="2:22" x14ac:dyDescent="0.25">
      <c r="B202" s="67">
        <f t="shared" si="36"/>
        <v>48639</v>
      </c>
      <c r="C202" s="61">
        <f>'[1]Table 5'!E202*P202</f>
        <v>71654.978036493063</v>
      </c>
      <c r="D202" s="62">
        <f>IFERROR(G202*'MWH-Split'!S188*'MWH-Split'!U188,"")</f>
        <v>66456.979423006167</v>
      </c>
      <c r="E202" s="63">
        <f>IFERROR(H202*'MWH-Split'!T188*'MWH-Split'!U188,"")</f>
        <v>9697.5255275809468</v>
      </c>
      <c r="F202" s="62">
        <f>'[1]Table 5'!F202*P202</f>
        <v>2128.9250000000002</v>
      </c>
      <c r="G202" s="62">
        <f>IF('MWH-Split'!N188&lt;&gt;0,'MWH-Split'!N188*P202,"")</f>
        <v>1853.4960000000001</v>
      </c>
      <c r="H202" s="63">
        <f>IF('MWH-Split'!O188&lt;&gt;0,'MWH-Split'!O188*P202,"")</f>
        <v>275.42899999999997</v>
      </c>
      <c r="I202" s="64">
        <f t="shared" si="44"/>
        <v>33.659999999999997</v>
      </c>
      <c r="J202" s="64">
        <f t="shared" si="42"/>
        <v>35.85</v>
      </c>
      <c r="K202" s="65">
        <f t="shared" si="43"/>
        <v>35.21</v>
      </c>
      <c r="M202" s="70">
        <f t="shared" si="37"/>
        <v>2033</v>
      </c>
      <c r="N202" s="67">
        <f t="shared" si="39"/>
        <v>48639</v>
      </c>
      <c r="P202" s="68">
        <f>IF('Monthly Levelized'!$K$5+'Monthly Levelized'!$L$5&lt;&gt;0,IFERROR(VLOOKUP(B202,'Monthly Levelized'!$G$5:$I$25,3,FALSE),P201),1)</f>
        <v>1</v>
      </c>
      <c r="Q202" s="213" t="str">
        <f t="shared" si="38"/>
        <v>Winter</v>
      </c>
      <c r="S202" s="214"/>
      <c r="T202" s="214"/>
      <c r="U202" s="214"/>
      <c r="V202" s="214"/>
    </row>
    <row r="203" spans="2:22" x14ac:dyDescent="0.25">
      <c r="B203" s="67">
        <f t="shared" si="36"/>
        <v>48670</v>
      </c>
      <c r="C203" s="61">
        <f>'[1]Table 5'!E203*P203</f>
        <v>69618.134832590818</v>
      </c>
      <c r="D203" s="62">
        <f>IFERROR(G203*'MWH-Split'!S189*'MWH-Split'!U189,"")</f>
        <v>67107.691855209836</v>
      </c>
      <c r="E203" s="63">
        <f>IFERROR(H203*'MWH-Split'!T189*'MWH-Split'!U189,"")</f>
        <v>11022.186038868838</v>
      </c>
      <c r="F203" s="62">
        <f>'[1]Table 5'!F203*P203</f>
        <v>2458.89</v>
      </c>
      <c r="G203" s="62">
        <f>IF('MWH-Split'!N189&lt;&gt;0,'MWH-Split'!N189*P203,"")</f>
        <v>2093.6239999999998</v>
      </c>
      <c r="H203" s="63">
        <f>IF('MWH-Split'!O189&lt;&gt;0,'MWH-Split'!O189*P203,"")</f>
        <v>365.26600000000002</v>
      </c>
      <c r="I203" s="64">
        <f t="shared" si="44"/>
        <v>28.31</v>
      </c>
      <c r="J203" s="64">
        <f t="shared" si="42"/>
        <v>32.049999999999997</v>
      </c>
      <c r="K203" s="65">
        <f t="shared" si="43"/>
        <v>30.18</v>
      </c>
      <c r="M203" s="70">
        <f t="shared" si="37"/>
        <v>2033</v>
      </c>
      <c r="N203" s="67">
        <f t="shared" si="39"/>
        <v>48670</v>
      </c>
      <c r="P203" s="68">
        <f>IF('Monthly Levelized'!$K$5+'Monthly Levelized'!$L$5&lt;&gt;0,IFERROR(VLOOKUP(B203,'Monthly Levelized'!$G$5:$I$25,3,FALSE),P202),1)</f>
        <v>1</v>
      </c>
      <c r="Q203" s="213" t="str">
        <f t="shared" si="38"/>
        <v>Winter</v>
      </c>
      <c r="S203" s="214"/>
      <c r="T203" s="214"/>
      <c r="U203" s="214"/>
      <c r="V203" s="214"/>
    </row>
    <row r="204" spans="2:22" x14ac:dyDescent="0.25">
      <c r="B204" s="67">
        <f t="shared" si="36"/>
        <v>48700</v>
      </c>
      <c r="C204" s="61">
        <f>'[1]Table 5'!E204*P204</f>
        <v>87153.193133622408</v>
      </c>
      <c r="D204" s="62">
        <f>IFERROR(G204*'MWH-Split'!S190*'MWH-Split'!U190,"")</f>
        <v>72823.382596140844</v>
      </c>
      <c r="E204" s="63">
        <f>IFERROR(H204*'MWH-Split'!T190*'MWH-Split'!U190,"")</f>
        <v>20529.076347893424</v>
      </c>
      <c r="F204" s="62">
        <f>'[1]Table 5'!F204*P204</f>
        <v>2846.3890000000001</v>
      </c>
      <c r="G204" s="62">
        <f>IF('MWH-Split'!N190&lt;&gt;0,'MWH-Split'!N190*P204,"")</f>
        <v>2178.9250000000002</v>
      </c>
      <c r="H204" s="63">
        <f>IF('MWH-Split'!O190&lt;&gt;0,'MWH-Split'!O190*P204,"")</f>
        <v>667.46400000000006</v>
      </c>
      <c r="I204" s="64">
        <f t="shared" si="44"/>
        <v>30.62</v>
      </c>
      <c r="J204" s="64">
        <f t="shared" si="42"/>
        <v>33.42</v>
      </c>
      <c r="K204" s="65">
        <f t="shared" si="43"/>
        <v>30.76</v>
      </c>
      <c r="M204" s="70">
        <f t="shared" si="37"/>
        <v>2033</v>
      </c>
      <c r="N204" s="67">
        <f t="shared" si="39"/>
        <v>48700</v>
      </c>
      <c r="P204" s="68">
        <f>IF('Monthly Levelized'!$K$5+'Monthly Levelized'!$L$5&lt;&gt;0,IFERROR(VLOOKUP(B204,'Monthly Levelized'!$G$5:$I$25,3,FALSE),P203),1)</f>
        <v>1</v>
      </c>
      <c r="Q204" s="213" t="str">
        <f t="shared" si="38"/>
        <v>Winter</v>
      </c>
      <c r="S204" s="214"/>
      <c r="T204" s="214"/>
      <c r="U204" s="214"/>
      <c r="V204" s="214"/>
    </row>
    <row r="205" spans="2:22" x14ac:dyDescent="0.25">
      <c r="B205" s="67">
        <f t="shared" si="36"/>
        <v>48731</v>
      </c>
      <c r="C205" s="61">
        <f>'[1]Table 5'!E205*P205</f>
        <v>88413.471800923347</v>
      </c>
      <c r="D205" s="62">
        <f>IFERROR(G205*'MWH-Split'!S191*'MWH-Split'!U191,"")</f>
        <v>86467.351113579774</v>
      </c>
      <c r="E205" s="63">
        <f>IFERROR(H205*'MWH-Split'!T191*'MWH-Split'!U191,"")</f>
        <v>17224.029204904724</v>
      </c>
      <c r="F205" s="62">
        <f>'[1]Table 5'!F205*P205</f>
        <v>3023.91</v>
      </c>
      <c r="G205" s="62">
        <f>IF('MWH-Split'!N191&lt;&gt;0,'MWH-Split'!N191*P205,"")</f>
        <v>2470.364</v>
      </c>
      <c r="H205" s="63">
        <f>IF('MWH-Split'!O191&lt;&gt;0,'MWH-Split'!O191*P205,"")</f>
        <v>553.54600000000005</v>
      </c>
      <c r="I205" s="64">
        <f t="shared" si="44"/>
        <v>29.24</v>
      </c>
      <c r="J205" s="64">
        <f t="shared" si="42"/>
        <v>35</v>
      </c>
      <c r="K205" s="65">
        <f t="shared" si="43"/>
        <v>31.12</v>
      </c>
      <c r="M205" s="70">
        <f t="shared" si="37"/>
        <v>2033</v>
      </c>
      <c r="N205" s="67">
        <f t="shared" si="39"/>
        <v>48731</v>
      </c>
      <c r="P205" s="68">
        <f>IF('Monthly Levelized'!$K$5+'Monthly Levelized'!$L$5&lt;&gt;0,IFERROR(VLOOKUP(B205,'Monthly Levelized'!$G$5:$I$25,3,FALSE),P204),1)</f>
        <v>1</v>
      </c>
      <c r="Q205" s="213" t="str">
        <f t="shared" si="38"/>
        <v>Summer</v>
      </c>
      <c r="S205" s="214"/>
      <c r="T205" s="214"/>
      <c r="U205" s="214"/>
      <c r="V205" s="214"/>
    </row>
    <row r="206" spans="2:22" x14ac:dyDescent="0.25">
      <c r="B206" s="67">
        <f t="shared" si="36"/>
        <v>48761</v>
      </c>
      <c r="C206" s="61">
        <f>'[1]Table 5'!E206*P206</f>
        <v>162993.6143552959</v>
      </c>
      <c r="D206" s="62">
        <f>IFERROR(G206*'MWH-Split'!S192*'MWH-Split'!U192,"")</f>
        <v>97802.794623254988</v>
      </c>
      <c r="E206" s="63">
        <f>IFERROR(H206*'MWH-Split'!T192*'MWH-Split'!U192,"")</f>
        <v>24078.07571871885</v>
      </c>
      <c r="F206" s="62">
        <f>'[1]Table 5'!F206*P206</f>
        <v>2737.0520000000001</v>
      </c>
      <c r="G206" s="62">
        <f>IF('MWH-Split'!N192&lt;&gt;0,'MWH-Split'!N192*P206,"")</f>
        <v>2109.5</v>
      </c>
      <c r="H206" s="63">
        <f>IF('MWH-Split'!O192&lt;&gt;0,'MWH-Split'!O192*P206,"")</f>
        <v>627.55200000000002</v>
      </c>
      <c r="I206" s="64">
        <f t="shared" si="44"/>
        <v>59.55</v>
      </c>
      <c r="J206" s="64">
        <f t="shared" si="42"/>
        <v>46.36</v>
      </c>
      <c r="K206" s="65">
        <f t="shared" si="43"/>
        <v>38.369999999999997</v>
      </c>
      <c r="M206" s="70">
        <f t="shared" si="37"/>
        <v>2033</v>
      </c>
      <c r="N206" s="67">
        <f t="shared" si="39"/>
        <v>48761</v>
      </c>
      <c r="P206" s="68">
        <f>IF('Monthly Levelized'!$K$5+'Monthly Levelized'!$L$5&lt;&gt;0,IFERROR(VLOOKUP(B206,'Monthly Levelized'!$G$5:$I$25,3,FALSE),P205),1)</f>
        <v>1</v>
      </c>
      <c r="Q206" s="213" t="str">
        <f t="shared" si="38"/>
        <v>Summer</v>
      </c>
      <c r="S206" s="214"/>
      <c r="T206" s="214"/>
      <c r="U206" s="214"/>
      <c r="V206" s="214"/>
    </row>
    <row r="207" spans="2:22" x14ac:dyDescent="0.25">
      <c r="B207" s="67">
        <f t="shared" si="36"/>
        <v>48792</v>
      </c>
      <c r="C207" s="61">
        <f>'[1]Table 5'!E207*P207</f>
        <v>126759.63557222486</v>
      </c>
      <c r="D207" s="62">
        <f>IFERROR(G207*'MWH-Split'!S193*'MWH-Split'!U193,"")</f>
        <v>114991.90722068099</v>
      </c>
      <c r="E207" s="63">
        <f>IFERROR(H207*'MWH-Split'!T193*'MWH-Split'!U193,"")</f>
        <v>16497.556631583702</v>
      </c>
      <c r="F207" s="62">
        <f>'[1]Table 5'!F207*P207</f>
        <v>2741.5160000000001</v>
      </c>
      <c r="G207" s="62">
        <f>IF('MWH-Split'!N193&lt;&gt;0,'MWH-Split'!N193*P207,"")</f>
        <v>2334.3389999999999</v>
      </c>
      <c r="H207" s="63">
        <f>IF('MWH-Split'!O193&lt;&gt;0,'MWH-Split'!O193*P207,"")</f>
        <v>407.17700000000002</v>
      </c>
      <c r="I207" s="64">
        <f t="shared" si="44"/>
        <v>46.24</v>
      </c>
      <c r="J207" s="64">
        <f t="shared" si="42"/>
        <v>49.26</v>
      </c>
      <c r="K207" s="65">
        <f t="shared" si="43"/>
        <v>40.520000000000003</v>
      </c>
      <c r="M207" s="70">
        <f t="shared" si="37"/>
        <v>2033</v>
      </c>
      <c r="N207" s="67">
        <f t="shared" si="39"/>
        <v>48792</v>
      </c>
      <c r="P207" s="68">
        <f>IF('Monthly Levelized'!$K$5+'Monthly Levelized'!$L$5&lt;&gt;0,IFERROR(VLOOKUP(B207,'Monthly Levelized'!$G$5:$I$25,3,FALSE),P206),1)</f>
        <v>1</v>
      </c>
      <c r="Q207" s="213" t="str">
        <f t="shared" si="38"/>
        <v>Summer</v>
      </c>
      <c r="S207" s="214"/>
      <c r="T207" s="214"/>
      <c r="U207" s="214"/>
      <c r="V207" s="214"/>
    </row>
    <row r="208" spans="2:22" x14ac:dyDescent="0.25">
      <c r="B208" s="67">
        <f t="shared" si="36"/>
        <v>48823</v>
      </c>
      <c r="C208" s="61">
        <f>'[1]Table 5'!E208*P208</f>
        <v>80210.130565702915</v>
      </c>
      <c r="D208" s="62">
        <f>IFERROR(G208*'MWH-Split'!S194*'MWH-Split'!U194,"")</f>
        <v>84335.600420411211</v>
      </c>
      <c r="E208" s="63">
        <f>IFERROR(H208*'MWH-Split'!T194*'MWH-Split'!U194,"")</f>
        <v>15490.170193266478</v>
      </c>
      <c r="F208" s="62">
        <f>'[1]Table 5'!F208*P208</f>
        <v>2416.59</v>
      </c>
      <c r="G208" s="62">
        <f>IF('MWH-Split'!N194&lt;&gt;0,'MWH-Split'!N194*P208,"")</f>
        <v>1998.65</v>
      </c>
      <c r="H208" s="63">
        <f>IF('MWH-Split'!O194&lt;&gt;0,'MWH-Split'!O194*P208,"")</f>
        <v>417.94</v>
      </c>
      <c r="I208" s="64">
        <f t="shared" si="44"/>
        <v>33.19</v>
      </c>
      <c r="J208" s="64">
        <f t="shared" si="42"/>
        <v>42.2</v>
      </c>
      <c r="K208" s="65">
        <f t="shared" si="43"/>
        <v>37.06</v>
      </c>
      <c r="M208" s="70">
        <f t="shared" si="37"/>
        <v>2033</v>
      </c>
      <c r="N208" s="67">
        <f t="shared" si="39"/>
        <v>48823</v>
      </c>
      <c r="P208" s="68">
        <f>IF('Monthly Levelized'!$K$5+'Monthly Levelized'!$L$5&lt;&gt;0,IFERROR(VLOOKUP(B208,'Monthly Levelized'!$G$5:$I$25,3,FALSE),P207),1)</f>
        <v>1</v>
      </c>
      <c r="Q208" s="213" t="str">
        <f t="shared" si="38"/>
        <v>Summer</v>
      </c>
      <c r="S208" s="214"/>
      <c r="T208" s="214"/>
      <c r="U208" s="214"/>
      <c r="V208" s="214"/>
    </row>
    <row r="209" spans="2:22" x14ac:dyDescent="0.25">
      <c r="B209" s="67">
        <f t="shared" si="36"/>
        <v>48853</v>
      </c>
      <c r="C209" s="61">
        <f>'[1]Table 5'!E209*P209</f>
        <v>75959.721574723721</v>
      </c>
      <c r="D209" s="62">
        <f>IFERROR(G209*'MWH-Split'!S195*'MWH-Split'!U195,"")</f>
        <v>67040.689008253874</v>
      </c>
      <c r="E209" s="63">
        <f>IFERROR(H209*'MWH-Split'!T195*'MWH-Split'!U195,"")</f>
        <v>11844.855987754898</v>
      </c>
      <c r="F209" s="62">
        <f>'[1]Table 5'!F209*P209</f>
        <v>1959.1379999999999</v>
      </c>
      <c r="G209" s="62">
        <f>IF('MWH-Split'!N195&lt;&gt;0,'MWH-Split'!N195*P209,"")</f>
        <v>1642.758</v>
      </c>
      <c r="H209" s="63">
        <f>IF('MWH-Split'!O195&lt;&gt;0,'MWH-Split'!O195*P209,"")</f>
        <v>316.38</v>
      </c>
      <c r="I209" s="64">
        <f t="shared" si="44"/>
        <v>38.770000000000003</v>
      </c>
      <c r="J209" s="64">
        <f t="shared" si="42"/>
        <v>40.81</v>
      </c>
      <c r="K209" s="65">
        <f t="shared" si="43"/>
        <v>37.44</v>
      </c>
      <c r="M209" s="70">
        <f t="shared" si="37"/>
        <v>2033</v>
      </c>
      <c r="N209" s="67">
        <f t="shared" si="39"/>
        <v>48853</v>
      </c>
      <c r="P209" s="68">
        <f>IF('Monthly Levelized'!$K$5+'Monthly Levelized'!$L$5&lt;&gt;0,IFERROR(VLOOKUP(B209,'Monthly Levelized'!$G$5:$I$25,3,FALSE),P208),1)</f>
        <v>1</v>
      </c>
      <c r="Q209" s="213" t="str">
        <f t="shared" si="38"/>
        <v>Winter</v>
      </c>
      <c r="S209" s="214"/>
      <c r="T209" s="214"/>
      <c r="U209" s="214"/>
      <c r="V209" s="214"/>
    </row>
    <row r="210" spans="2:22" x14ac:dyDescent="0.25">
      <c r="B210" s="67">
        <f t="shared" si="36"/>
        <v>48884</v>
      </c>
      <c r="C210" s="61">
        <f>'[1]Table 5'!E210*P210</f>
        <v>53489.585097193718</v>
      </c>
      <c r="D210" s="62">
        <f>IFERROR(G210*'MWH-Split'!S196*'MWH-Split'!U196,"")</f>
        <v>45045.262327984616</v>
      </c>
      <c r="E210" s="63">
        <f>IFERROR(H210*'MWH-Split'!T196*'MWH-Split'!U196,"")</f>
        <v>8361.8803605637931</v>
      </c>
      <c r="F210" s="62">
        <f>'[1]Table 5'!F210*P210</f>
        <v>1319.61</v>
      </c>
      <c r="G210" s="62">
        <f>IF('MWH-Split'!N196&lt;&gt;0,'MWH-Split'!N196*P210,"")</f>
        <v>1099.675</v>
      </c>
      <c r="H210" s="63">
        <f>IF('MWH-Split'!O196&lt;&gt;0,'MWH-Split'!O196*P210,"")</f>
        <v>219.935</v>
      </c>
      <c r="I210" s="64">
        <f t="shared" si="44"/>
        <v>40.53</v>
      </c>
      <c r="J210" s="64">
        <f t="shared" si="42"/>
        <v>40.96</v>
      </c>
      <c r="K210" s="65">
        <f t="shared" si="43"/>
        <v>38.020000000000003</v>
      </c>
      <c r="M210" s="70">
        <f t="shared" si="37"/>
        <v>2033</v>
      </c>
      <c r="N210" s="67">
        <f t="shared" si="39"/>
        <v>48884</v>
      </c>
      <c r="P210" s="68">
        <f>IF('Monthly Levelized'!$K$5+'Monthly Levelized'!$L$5&lt;&gt;0,IFERROR(VLOOKUP(B210,'Monthly Levelized'!$G$5:$I$25,3,FALSE),P209),1)</f>
        <v>1</v>
      </c>
      <c r="Q210" s="213" t="str">
        <f t="shared" si="38"/>
        <v>Winter</v>
      </c>
      <c r="S210" s="214"/>
      <c r="T210" s="214"/>
      <c r="U210" s="214"/>
      <c r="V210" s="214"/>
    </row>
    <row r="211" spans="2:22" x14ac:dyDescent="0.25">
      <c r="B211" s="78">
        <f t="shared" si="36"/>
        <v>48914</v>
      </c>
      <c r="C211" s="72">
        <f>'[1]Table 5'!E211*P211</f>
        <v>54654.232805550098</v>
      </c>
      <c r="D211" s="73">
        <f>IFERROR(G211*'MWH-Split'!S197*'MWH-Split'!U197,"")</f>
        <v>35892.953947553819</v>
      </c>
      <c r="E211" s="74">
        <f>IFERROR(H211*'MWH-Split'!T197*'MWH-Split'!U197,"")</f>
        <v>6562.9891872567887</v>
      </c>
      <c r="F211" s="73">
        <f>'[1]Table 5'!F211*P211</f>
        <v>1018.009</v>
      </c>
      <c r="G211" s="73">
        <f>IF('MWH-Split'!N197&lt;&gt;0,'MWH-Split'!N197*P211,"")</f>
        <v>853.81399999999996</v>
      </c>
      <c r="H211" s="74">
        <f>IF('MWH-Split'!O197&lt;&gt;0,'MWH-Split'!O197*P211,"")</f>
        <v>164.19499999999999</v>
      </c>
      <c r="I211" s="75">
        <f t="shared" si="44"/>
        <v>53.69</v>
      </c>
      <c r="J211" s="75">
        <f t="shared" si="42"/>
        <v>42.04</v>
      </c>
      <c r="K211" s="76">
        <f t="shared" si="43"/>
        <v>39.97</v>
      </c>
      <c r="M211" s="77">
        <f t="shared" si="37"/>
        <v>2033</v>
      </c>
      <c r="N211" s="78">
        <f t="shared" si="39"/>
        <v>48914</v>
      </c>
      <c r="P211" s="79">
        <f>IF('Monthly Levelized'!$K$5+'Monthly Levelized'!$L$5&lt;&gt;0,IFERROR(VLOOKUP(B211,'Monthly Levelized'!$G$5:$I$25,3,FALSE),P210),1)</f>
        <v>1</v>
      </c>
      <c r="Q211" s="213" t="str">
        <f t="shared" si="38"/>
        <v>Winter</v>
      </c>
      <c r="S211" s="214"/>
      <c r="T211" s="214"/>
      <c r="U211" s="214"/>
      <c r="V211" s="214"/>
    </row>
    <row r="212" spans="2:22" outlineLevel="1" x14ac:dyDescent="0.25">
      <c r="B212" s="80">
        <f t="shared" si="36"/>
        <v>48945</v>
      </c>
      <c r="C212" s="81">
        <f>'[1]Table 5'!E212*P212</f>
        <v>64533.910477310419</v>
      </c>
      <c r="D212" s="82">
        <f>IFERROR(G212*'MWH-Split'!S198*'MWH-Split'!U198,"")</f>
        <v>46788.013843051929</v>
      </c>
      <c r="E212" s="83">
        <f>IFERROR(H212*'MWH-Split'!T198*'MWH-Split'!U198,"")</f>
        <v>10632.195040548277</v>
      </c>
      <c r="F212" s="82">
        <f>'[1]Table 5'!F212*P212</f>
        <v>1215.2619999999999</v>
      </c>
      <c r="G212" s="82">
        <f>IF('MWH-Split'!N198&lt;&gt;0,'MWH-Split'!N198*P212,"")</f>
        <v>980.05</v>
      </c>
      <c r="H212" s="83">
        <f>IF('MWH-Split'!O198&lt;&gt;0,'MWH-Split'!O198*P212,"")</f>
        <v>235.21199999999999</v>
      </c>
      <c r="I212" s="84">
        <f t="shared" si="44"/>
        <v>53.1</v>
      </c>
      <c r="J212" s="84">
        <f t="shared" si="42"/>
        <v>47.74</v>
      </c>
      <c r="K212" s="85">
        <f t="shared" si="43"/>
        <v>45.2</v>
      </c>
      <c r="M212" s="66">
        <f t="shared" si="37"/>
        <v>2034</v>
      </c>
      <c r="N212" s="67">
        <f t="shared" si="39"/>
        <v>48945</v>
      </c>
      <c r="P212" s="86">
        <f>IF('Monthly Levelized'!$K$5+'Monthly Levelized'!$L$5&lt;&gt;0,IFERROR(VLOOKUP(B212,'Monthly Levelized'!$G$5:$I$25,3,FALSE),P211),1)</f>
        <v>1</v>
      </c>
      <c r="Q212" s="213" t="str">
        <f t="shared" si="38"/>
        <v>Winter</v>
      </c>
      <c r="S212" s="214"/>
      <c r="T212" s="214"/>
      <c r="U212" s="214"/>
      <c r="V212" s="214"/>
    </row>
    <row r="213" spans="2:22" outlineLevel="1" x14ac:dyDescent="0.25">
      <c r="B213" s="67">
        <f t="shared" ref="B213:B271" si="45">EDATE(B212,1)</f>
        <v>48976</v>
      </c>
      <c r="C213" s="61">
        <f>'[1]Table 5'!E213*P213</f>
        <v>65851.722679257393</v>
      </c>
      <c r="D213" s="62">
        <f>IFERROR(G213*'MWH-Split'!S199*'MWH-Split'!U199,"")</f>
        <v>55683.532363226579</v>
      </c>
      <c r="E213" s="63">
        <f>IFERROR(H213*'MWH-Split'!T199*'MWH-Split'!U199,"")</f>
        <v>8781.9904908326935</v>
      </c>
      <c r="F213" s="62">
        <f>'[1]Table 5'!F213*P213</f>
        <v>1360.1279999999999</v>
      </c>
      <c r="G213" s="62">
        <f>IF('MWH-Split'!N199&lt;&gt;0,'MWH-Split'!N199*P213,"")</f>
        <v>1165.8240000000001</v>
      </c>
      <c r="H213" s="63">
        <f>IF('MWH-Split'!O199&lt;&gt;0,'MWH-Split'!O199*P213,"")</f>
        <v>194.304</v>
      </c>
      <c r="I213" s="64">
        <f t="shared" si="44"/>
        <v>48.42</v>
      </c>
      <c r="J213" s="64">
        <f t="shared" si="42"/>
        <v>47.76</v>
      </c>
      <c r="K213" s="65">
        <f t="shared" si="43"/>
        <v>45.2</v>
      </c>
      <c r="M213" s="70">
        <f t="shared" ref="M213:M271" si="46">YEAR(B213)</f>
        <v>2034</v>
      </c>
      <c r="N213" s="67">
        <f t="shared" si="39"/>
        <v>48976</v>
      </c>
      <c r="P213" s="68">
        <f>IF('Monthly Levelized'!$K$5+'Monthly Levelized'!$L$5&lt;&gt;0,IFERROR(VLOOKUP(B213,'Monthly Levelized'!$G$5:$I$25,3,FALSE),P212),1)</f>
        <v>1</v>
      </c>
      <c r="Q213" s="213" t="str">
        <f t="shared" ref="Q213:Q274" si="47">IF(AND(MONTH(N213)&gt;=6,MONTH(N213)&lt;=9),"Summer","Winter")</f>
        <v>Winter</v>
      </c>
      <c r="S213" s="214"/>
      <c r="T213" s="214"/>
      <c r="U213" s="214"/>
      <c r="V213" s="214"/>
    </row>
    <row r="214" spans="2:22" outlineLevel="1" x14ac:dyDescent="0.25">
      <c r="B214" s="67">
        <f t="shared" si="45"/>
        <v>49004</v>
      </c>
      <c r="C214" s="61">
        <f>'[1]Table 5'!E214*P214</f>
        <v>86525.560074776411</v>
      </c>
      <c r="D214" s="62">
        <f>IFERROR(G214*'MWH-Split'!S200*'MWH-Split'!U200,"")</f>
        <v>78989.324157765572</v>
      </c>
      <c r="E214" s="63">
        <f>IFERROR(H214*'MWH-Split'!T200*'MWH-Split'!U200,"")</f>
        <v>11481.202712165119</v>
      </c>
      <c r="F214" s="62">
        <f>'[1]Table 5'!F214*P214</f>
        <v>2118.23</v>
      </c>
      <c r="G214" s="62">
        <f>IF('MWH-Split'!N200&lt;&gt;0,'MWH-Split'!N200*P214,"")</f>
        <v>1844.2080000000001</v>
      </c>
      <c r="H214" s="63">
        <f>IF('MWH-Split'!O200&lt;&gt;0,'MWH-Split'!O200*P214,"")</f>
        <v>274.02199999999999</v>
      </c>
      <c r="I214" s="64">
        <f t="shared" si="44"/>
        <v>40.85</v>
      </c>
      <c r="J214" s="64">
        <f t="shared" si="42"/>
        <v>42.83</v>
      </c>
      <c r="K214" s="65">
        <f t="shared" si="43"/>
        <v>41.9</v>
      </c>
      <c r="M214" s="70">
        <f t="shared" si="46"/>
        <v>2034</v>
      </c>
      <c r="N214" s="67">
        <f t="shared" si="39"/>
        <v>49004</v>
      </c>
      <c r="P214" s="68">
        <f>IF('Monthly Levelized'!$K$5+'Monthly Levelized'!$L$5&lt;&gt;0,IFERROR(VLOOKUP(B214,'Monthly Levelized'!$G$5:$I$25,3,FALSE),P213),1)</f>
        <v>1</v>
      </c>
      <c r="Q214" s="213" t="str">
        <f t="shared" si="47"/>
        <v>Winter</v>
      </c>
      <c r="S214" s="214"/>
      <c r="T214" s="214"/>
      <c r="U214" s="214"/>
      <c r="V214" s="214"/>
    </row>
    <row r="215" spans="2:22" outlineLevel="1" x14ac:dyDescent="0.25">
      <c r="B215" s="67">
        <f t="shared" si="45"/>
        <v>49035</v>
      </c>
      <c r="C215" s="61">
        <f>'[1]Table 5'!E215*P215</f>
        <v>81397.148173004389</v>
      </c>
      <c r="D215" s="62">
        <f>IFERROR(G215*'MWH-Split'!S201*'MWH-Split'!U201,"")</f>
        <v>77612.249912832704</v>
      </c>
      <c r="E215" s="63">
        <f>IFERROR(H215*'MWH-Split'!T201*'MWH-Split'!U201,"")</f>
        <v>16098.048102890734</v>
      </c>
      <c r="F215" s="62">
        <f>'[1]Table 5'!F215*P215</f>
        <v>2446.59</v>
      </c>
      <c r="G215" s="62">
        <f>IF('MWH-Split'!N201&lt;&gt;0,'MWH-Split'!N201*P215,"")</f>
        <v>2003.0250000000001</v>
      </c>
      <c r="H215" s="63">
        <f>IF('MWH-Split'!O201&lt;&gt;0,'MWH-Split'!O201*P215,"")</f>
        <v>443.565</v>
      </c>
      <c r="I215" s="64">
        <f t="shared" si="44"/>
        <v>33.270000000000003</v>
      </c>
      <c r="J215" s="64">
        <f t="shared" si="42"/>
        <v>38.75</v>
      </c>
      <c r="K215" s="65">
        <f t="shared" si="43"/>
        <v>36.29</v>
      </c>
      <c r="M215" s="70">
        <f t="shared" si="46"/>
        <v>2034</v>
      </c>
      <c r="N215" s="67">
        <f t="shared" si="39"/>
        <v>49035</v>
      </c>
      <c r="P215" s="68">
        <f>IF('Monthly Levelized'!$K$5+'Monthly Levelized'!$L$5&lt;&gt;0,IFERROR(VLOOKUP(B215,'Monthly Levelized'!$G$5:$I$25,3,FALSE),P214),1)</f>
        <v>1</v>
      </c>
      <c r="Q215" s="213" t="str">
        <f t="shared" si="47"/>
        <v>Winter</v>
      </c>
      <c r="S215" s="214"/>
      <c r="T215" s="214"/>
      <c r="U215" s="214"/>
      <c r="V215" s="214"/>
    </row>
    <row r="216" spans="2:22" outlineLevel="1" x14ac:dyDescent="0.25">
      <c r="B216" s="67">
        <f t="shared" si="45"/>
        <v>49065</v>
      </c>
      <c r="C216" s="61">
        <f>'[1]Table 5'!E216*P216</f>
        <v>104024.23745414615</v>
      </c>
      <c r="D216" s="62">
        <f>IFERROR(G216*'MWH-Split'!S202*'MWH-Split'!U202,"")</f>
        <v>88604.676680735749</v>
      </c>
      <c r="E216" s="63">
        <f>IFERROR(H216*'MWH-Split'!T202*'MWH-Split'!U202,"")</f>
        <v>20925.72521524522</v>
      </c>
      <c r="F216" s="62">
        <f>'[1]Table 5'!F216*P216</f>
        <v>2832.098</v>
      </c>
      <c r="G216" s="62">
        <f>IF('MWH-Split'!N202&lt;&gt;0,'MWH-Split'!N202*P216,"")</f>
        <v>2254.7199999999998</v>
      </c>
      <c r="H216" s="63">
        <f>IF('MWH-Split'!O202&lt;&gt;0,'MWH-Split'!O202*P216,"")</f>
        <v>577.37800000000004</v>
      </c>
      <c r="I216" s="64">
        <f t="shared" si="44"/>
        <v>36.729999999999997</v>
      </c>
      <c r="J216" s="64">
        <f t="shared" si="42"/>
        <v>39.299999999999997</v>
      </c>
      <c r="K216" s="65">
        <f t="shared" si="43"/>
        <v>36.24</v>
      </c>
      <c r="M216" s="70">
        <f t="shared" si="46"/>
        <v>2034</v>
      </c>
      <c r="N216" s="67">
        <f t="shared" si="39"/>
        <v>49065</v>
      </c>
      <c r="P216" s="68">
        <f>IF('Monthly Levelized'!$K$5+'Monthly Levelized'!$L$5&lt;&gt;0,IFERROR(VLOOKUP(B216,'Monthly Levelized'!$G$5:$I$25,3,FALSE),P215),1)</f>
        <v>1</v>
      </c>
      <c r="Q216" s="213" t="str">
        <f t="shared" si="47"/>
        <v>Winter</v>
      </c>
      <c r="S216" s="214"/>
      <c r="T216" s="214"/>
      <c r="U216" s="214"/>
      <c r="V216" s="214"/>
    </row>
    <row r="217" spans="2:22" outlineLevel="1" x14ac:dyDescent="0.25">
      <c r="B217" s="67">
        <f t="shared" si="45"/>
        <v>49096</v>
      </c>
      <c r="C217" s="61">
        <f>'[1]Table 5'!E217*P217</f>
        <v>105322.34398037195</v>
      </c>
      <c r="D217" s="62">
        <f>IFERROR(G217*'MWH-Split'!S203*'MWH-Split'!U203,"")</f>
        <v>100322.69077345656</v>
      </c>
      <c r="E217" s="63">
        <f>IFERROR(H217*'MWH-Split'!T203*'MWH-Split'!U203,"")</f>
        <v>20167.428147552233</v>
      </c>
      <c r="F217" s="62">
        <f>'[1]Table 5'!F217*P217</f>
        <v>3008.82</v>
      </c>
      <c r="G217" s="62">
        <f>IF('MWH-Split'!N203&lt;&gt;0,'MWH-Split'!N203*P217,"")</f>
        <v>2458.04</v>
      </c>
      <c r="H217" s="63">
        <f>IF('MWH-Split'!O203&lt;&gt;0,'MWH-Split'!O203*P217,"")</f>
        <v>550.78</v>
      </c>
      <c r="I217" s="64">
        <f t="shared" si="44"/>
        <v>35</v>
      </c>
      <c r="J217" s="64">
        <f t="shared" si="42"/>
        <v>40.81</v>
      </c>
      <c r="K217" s="65">
        <f t="shared" si="43"/>
        <v>36.619999999999997</v>
      </c>
      <c r="M217" s="70">
        <f t="shared" si="46"/>
        <v>2034</v>
      </c>
      <c r="N217" s="67">
        <f t="shared" si="39"/>
        <v>49096</v>
      </c>
      <c r="P217" s="68">
        <f>IF('Monthly Levelized'!$K$5+'Monthly Levelized'!$L$5&lt;&gt;0,IFERROR(VLOOKUP(B217,'Monthly Levelized'!$G$5:$I$25,3,FALSE),P216),1)</f>
        <v>1</v>
      </c>
      <c r="Q217" s="213" t="str">
        <f t="shared" si="47"/>
        <v>Summer</v>
      </c>
      <c r="S217" s="214"/>
      <c r="T217" s="214"/>
      <c r="U217" s="214"/>
      <c r="V217" s="214"/>
    </row>
    <row r="218" spans="2:22" outlineLevel="1" x14ac:dyDescent="0.25">
      <c r="B218" s="67">
        <f t="shared" si="45"/>
        <v>49126</v>
      </c>
      <c r="C218" s="61">
        <f>'[1]Table 5'!E218*P218</f>
        <v>164146.65382823348</v>
      </c>
      <c r="D218" s="62">
        <f>IFERROR(G218*'MWH-Split'!S204*'MWH-Split'!U204,"")</f>
        <v>111352.00902409364</v>
      </c>
      <c r="E218" s="63">
        <f>IFERROR(H218*'MWH-Split'!T204*'MWH-Split'!U204,"")</f>
        <v>27557.013188890774</v>
      </c>
      <c r="F218" s="62">
        <f>'[1]Table 5'!F218*P218</f>
        <v>2723.35</v>
      </c>
      <c r="G218" s="62">
        <f>IF('MWH-Split'!N204&lt;&gt;0,'MWH-Split'!N204*P218,"")</f>
        <v>2098.9499999999998</v>
      </c>
      <c r="H218" s="63">
        <f>IF('MWH-Split'!O204&lt;&gt;0,'MWH-Split'!O204*P218,"")</f>
        <v>624.4</v>
      </c>
      <c r="I218" s="64">
        <f t="shared" si="44"/>
        <v>60.27</v>
      </c>
      <c r="J218" s="64">
        <f t="shared" si="42"/>
        <v>53.05</v>
      </c>
      <c r="K218" s="65">
        <f t="shared" si="43"/>
        <v>44.13</v>
      </c>
      <c r="M218" s="70">
        <f t="shared" si="46"/>
        <v>2034</v>
      </c>
      <c r="N218" s="67">
        <f t="shared" si="39"/>
        <v>49126</v>
      </c>
      <c r="P218" s="68">
        <f>IF('Monthly Levelized'!$K$5+'Monthly Levelized'!$L$5&lt;&gt;0,IFERROR(VLOOKUP(B218,'Monthly Levelized'!$G$5:$I$25,3,FALSE),P217),1)</f>
        <v>1</v>
      </c>
      <c r="Q218" s="213" t="str">
        <f t="shared" si="47"/>
        <v>Summer</v>
      </c>
      <c r="S218" s="214"/>
      <c r="T218" s="214"/>
      <c r="U218" s="214"/>
      <c r="V218" s="214"/>
    </row>
    <row r="219" spans="2:22" outlineLevel="1" x14ac:dyDescent="0.25">
      <c r="B219" s="67">
        <f t="shared" si="45"/>
        <v>49157</v>
      </c>
      <c r="C219" s="61">
        <f>'[1]Table 5'!E219*P219</f>
        <v>148716.93333938718</v>
      </c>
      <c r="D219" s="62">
        <f>IFERROR(G219*'MWH-Split'!S205*'MWH-Split'!U205,"")</f>
        <v>130487.31618303443</v>
      </c>
      <c r="E219" s="63">
        <f>IFERROR(H219*'MWH-Split'!T205*'MWH-Split'!U205,"")</f>
        <v>18794.59815546796</v>
      </c>
      <c r="F219" s="62">
        <f>'[1]Table 5'!F219*P219</f>
        <v>2727.7829999999999</v>
      </c>
      <c r="G219" s="62">
        <f>IF('MWH-Split'!N205&lt;&gt;0,'MWH-Split'!N205*P219,"")</f>
        <v>2322.6480000000001</v>
      </c>
      <c r="H219" s="63">
        <f>IF('MWH-Split'!O205&lt;&gt;0,'MWH-Split'!O205*P219,"")</f>
        <v>405.13499999999999</v>
      </c>
      <c r="I219" s="64">
        <f t="shared" si="44"/>
        <v>54.52</v>
      </c>
      <c r="J219" s="64">
        <f t="shared" si="42"/>
        <v>56.18</v>
      </c>
      <c r="K219" s="65">
        <f t="shared" si="43"/>
        <v>46.39</v>
      </c>
      <c r="M219" s="70">
        <f t="shared" si="46"/>
        <v>2034</v>
      </c>
      <c r="N219" s="67">
        <f t="shared" si="39"/>
        <v>49157</v>
      </c>
      <c r="P219" s="68">
        <f>IF('Monthly Levelized'!$K$5+'Monthly Levelized'!$L$5&lt;&gt;0,IFERROR(VLOOKUP(B219,'Monthly Levelized'!$G$5:$I$25,3,FALSE),P218),1)</f>
        <v>1</v>
      </c>
      <c r="Q219" s="213" t="str">
        <f t="shared" si="47"/>
        <v>Summer</v>
      </c>
      <c r="S219" s="214"/>
      <c r="T219" s="214"/>
      <c r="U219" s="214"/>
      <c r="V219" s="214"/>
    </row>
    <row r="220" spans="2:22" outlineLevel="1" x14ac:dyDescent="0.25">
      <c r="B220" s="67">
        <f t="shared" si="45"/>
        <v>49188</v>
      </c>
      <c r="C220" s="61">
        <f>'[1]Table 5'!E220*P220</f>
        <v>95598.737940698862</v>
      </c>
      <c r="D220" s="62">
        <f>IFERROR(G220*'MWH-Split'!S206*'MWH-Split'!U206,"")</f>
        <v>94208.976766481646</v>
      </c>
      <c r="E220" s="63">
        <f>IFERROR(H220*'MWH-Split'!T206*'MWH-Split'!U206,"")</f>
        <v>17559.059627146846</v>
      </c>
      <c r="F220" s="62">
        <f>'[1]Table 5'!F220*P220</f>
        <v>2404.56</v>
      </c>
      <c r="G220" s="62">
        <f>IF('MWH-Split'!N206&lt;&gt;0,'MWH-Split'!N206*P220,"")</f>
        <v>1988.7</v>
      </c>
      <c r="H220" s="63">
        <f>IF('MWH-Split'!O206&lt;&gt;0,'MWH-Split'!O206*P220,"")</f>
        <v>415.86</v>
      </c>
      <c r="I220" s="64">
        <f t="shared" si="44"/>
        <v>39.76</v>
      </c>
      <c r="J220" s="64">
        <f t="shared" si="42"/>
        <v>47.37</v>
      </c>
      <c r="K220" s="65">
        <f t="shared" si="43"/>
        <v>42.22</v>
      </c>
      <c r="M220" s="70">
        <f t="shared" si="46"/>
        <v>2034</v>
      </c>
      <c r="N220" s="67">
        <f t="shared" si="39"/>
        <v>49188</v>
      </c>
      <c r="P220" s="68">
        <f>IF('Monthly Levelized'!$K$5+'Monthly Levelized'!$L$5&lt;&gt;0,IFERROR(VLOOKUP(B220,'Monthly Levelized'!$G$5:$I$25,3,FALSE),P219),1)</f>
        <v>1</v>
      </c>
      <c r="Q220" s="213" t="str">
        <f t="shared" si="47"/>
        <v>Summer</v>
      </c>
      <c r="S220" s="214"/>
      <c r="T220" s="214"/>
      <c r="U220" s="214"/>
      <c r="V220" s="214"/>
    </row>
    <row r="221" spans="2:22" outlineLevel="1" x14ac:dyDescent="0.25">
      <c r="B221" s="67">
        <f t="shared" si="45"/>
        <v>49218</v>
      </c>
      <c r="C221" s="61">
        <f>'[1]Table 5'!E221*P221</f>
        <v>90727.829928189516</v>
      </c>
      <c r="D221" s="62">
        <f>IFERROR(G221*'MWH-Split'!S207*'MWH-Split'!U207,"")</f>
        <v>74550.773714265582</v>
      </c>
      <c r="E221" s="63">
        <f>IFERROR(H221*'MWH-Split'!T207*'MWH-Split'!U207,"")</f>
        <v>13283.281368197917</v>
      </c>
      <c r="F221" s="62">
        <f>'[1]Table 5'!F221*P221</f>
        <v>1949.404</v>
      </c>
      <c r="G221" s="62">
        <f>IF('MWH-Split'!N207&lt;&gt;0,'MWH-Split'!N207*P221,"")</f>
        <v>1634.5940000000001</v>
      </c>
      <c r="H221" s="63">
        <f>IF('MWH-Split'!O207&lt;&gt;0,'MWH-Split'!O207*P221,"")</f>
        <v>314.81</v>
      </c>
      <c r="I221" s="64">
        <f t="shared" si="44"/>
        <v>46.54</v>
      </c>
      <c r="J221" s="64">
        <f t="shared" si="42"/>
        <v>45.61</v>
      </c>
      <c r="K221" s="65">
        <f t="shared" si="43"/>
        <v>42.19</v>
      </c>
      <c r="M221" s="70">
        <f t="shared" si="46"/>
        <v>2034</v>
      </c>
      <c r="N221" s="67">
        <f t="shared" si="39"/>
        <v>49218</v>
      </c>
      <c r="P221" s="68">
        <f>IF('Monthly Levelized'!$K$5+'Monthly Levelized'!$L$5&lt;&gt;0,IFERROR(VLOOKUP(B221,'Monthly Levelized'!$G$5:$I$25,3,FALSE),P220),1)</f>
        <v>1</v>
      </c>
      <c r="Q221" s="213" t="str">
        <f t="shared" si="47"/>
        <v>Winter</v>
      </c>
      <c r="S221" s="214"/>
      <c r="T221" s="214"/>
      <c r="U221" s="214"/>
      <c r="V221" s="214"/>
    </row>
    <row r="222" spans="2:22" outlineLevel="1" x14ac:dyDescent="0.25">
      <c r="B222" s="67">
        <f t="shared" si="45"/>
        <v>49249</v>
      </c>
      <c r="C222" s="61">
        <f>'[1]Table 5'!E222*P222</f>
        <v>60001.537962019444</v>
      </c>
      <c r="D222" s="62">
        <f>IFERROR(G222*'MWH-Split'!S208*'MWH-Split'!U208,"")</f>
        <v>51791.285865698483</v>
      </c>
      <c r="E222" s="63">
        <f>IFERROR(H222*'MWH-Split'!T208*'MWH-Split'!U208,"")</f>
        <v>9628.5222691523413</v>
      </c>
      <c r="F222" s="62">
        <f>'[1]Table 5'!F222*P222</f>
        <v>1313.01</v>
      </c>
      <c r="G222" s="62">
        <f>IF('MWH-Split'!N208&lt;&gt;0,'MWH-Split'!N208*P222,"")</f>
        <v>1094.175</v>
      </c>
      <c r="H222" s="63">
        <f>IF('MWH-Split'!O208&lt;&gt;0,'MWH-Split'!O208*P222,"")</f>
        <v>218.83500000000001</v>
      </c>
      <c r="I222" s="64">
        <f t="shared" si="44"/>
        <v>45.7</v>
      </c>
      <c r="J222" s="64">
        <f t="shared" si="42"/>
        <v>47.33</v>
      </c>
      <c r="K222" s="65">
        <f t="shared" si="43"/>
        <v>44</v>
      </c>
      <c r="M222" s="70">
        <f t="shared" si="46"/>
        <v>2034</v>
      </c>
      <c r="N222" s="67">
        <f t="shared" si="39"/>
        <v>49249</v>
      </c>
      <c r="P222" s="68">
        <f>IF('Monthly Levelized'!$K$5+'Monthly Levelized'!$L$5&lt;&gt;0,IFERROR(VLOOKUP(B222,'Monthly Levelized'!$G$5:$I$25,3,FALSE),P221),1)</f>
        <v>1</v>
      </c>
      <c r="Q222" s="213" t="str">
        <f t="shared" si="47"/>
        <v>Winter</v>
      </c>
      <c r="S222" s="214"/>
      <c r="T222" s="214"/>
      <c r="U222" s="214"/>
      <c r="V222" s="214"/>
    </row>
    <row r="223" spans="2:22" outlineLevel="1" x14ac:dyDescent="0.25">
      <c r="B223" s="78">
        <f t="shared" si="45"/>
        <v>49279</v>
      </c>
      <c r="C223" s="72">
        <f>'[1]Table 5'!E223*P223</f>
        <v>66619.530361026525</v>
      </c>
      <c r="D223" s="73">
        <f>IFERROR(G223*'MWH-Split'!S209*'MWH-Split'!U209,"")</f>
        <v>39165.448391985963</v>
      </c>
      <c r="E223" s="74">
        <f>IFERROR(H223*'MWH-Split'!T209*'MWH-Split'!U209,"")</f>
        <v>9000.7842037028149</v>
      </c>
      <c r="F223" s="73">
        <f>'[1]Table 5'!F223*P223</f>
        <v>1012.925</v>
      </c>
      <c r="G223" s="73">
        <f>IF('MWH-Split'!N209&lt;&gt;0,'MWH-Split'!N209*P223,"")</f>
        <v>816.875</v>
      </c>
      <c r="H223" s="74">
        <f>IF('MWH-Split'!O209&lt;&gt;0,'MWH-Split'!O209*P223,"")</f>
        <v>196.05</v>
      </c>
      <c r="I223" s="75">
        <f t="shared" si="44"/>
        <v>65.77</v>
      </c>
      <c r="J223" s="75">
        <f t="shared" si="42"/>
        <v>47.95</v>
      </c>
      <c r="K223" s="76">
        <f t="shared" si="43"/>
        <v>45.91</v>
      </c>
      <c r="M223" s="77">
        <f t="shared" si="46"/>
        <v>2034</v>
      </c>
      <c r="N223" s="78">
        <f t="shared" si="39"/>
        <v>49279</v>
      </c>
      <c r="P223" s="79">
        <f>IF('Monthly Levelized'!$K$5+'Monthly Levelized'!$L$5&lt;&gt;0,IFERROR(VLOOKUP(B223,'Monthly Levelized'!$G$5:$I$25,3,FALSE),P222),1)</f>
        <v>1</v>
      </c>
      <c r="Q223" s="213" t="str">
        <f t="shared" si="47"/>
        <v>Winter</v>
      </c>
      <c r="S223" s="214"/>
      <c r="T223" s="214"/>
      <c r="U223" s="214"/>
      <c r="V223" s="214"/>
    </row>
    <row r="224" spans="2:22" outlineLevel="1" x14ac:dyDescent="0.25">
      <c r="B224" s="80">
        <f t="shared" si="45"/>
        <v>49310</v>
      </c>
      <c r="C224" s="81">
        <f>'[1]Table 5'!E224*P224</f>
        <v>180880.64769006844</v>
      </c>
      <c r="D224" s="82">
        <f>IFERROR(G224*'MWH-Split'!S210*'MWH-Split'!U210,"")</f>
        <v>90700.116914477665</v>
      </c>
      <c r="E224" s="83">
        <f>IFERROR(H224*'MWH-Split'!T210*'MWH-Split'!U210,"")</f>
        <v>16563.862860547233</v>
      </c>
      <c r="F224" s="82">
        <f>'[1]Table 5'!F224*P224</f>
        <v>1209.2170000000001</v>
      </c>
      <c r="G224" s="82">
        <f>IF('MWH-Split'!N210&lt;&gt;0,'MWH-Split'!N210*P224,"")</f>
        <v>1014.182</v>
      </c>
      <c r="H224" s="83">
        <f>IF('MWH-Split'!O210&lt;&gt;0,'MWH-Split'!O210*P224,"")</f>
        <v>195.035</v>
      </c>
      <c r="I224" s="84">
        <f t="shared" si="44"/>
        <v>149.58000000000001</v>
      </c>
      <c r="J224" s="84">
        <f t="shared" si="42"/>
        <v>89.43</v>
      </c>
      <c r="K224" s="85">
        <f t="shared" si="43"/>
        <v>84.93</v>
      </c>
      <c r="M224" s="66">
        <f t="shared" si="46"/>
        <v>2035</v>
      </c>
      <c r="N224" s="67">
        <f t="shared" si="39"/>
        <v>49310</v>
      </c>
      <c r="P224" s="86">
        <f>IF('Monthly Levelized'!$K$5+'Monthly Levelized'!$L$5&lt;&gt;0,IFERROR(VLOOKUP(B224,'Monthly Levelized'!$G$5:$I$25,3,FALSE),P223),1)</f>
        <v>1</v>
      </c>
      <c r="Q224" s="213" t="str">
        <f t="shared" si="47"/>
        <v>Winter</v>
      </c>
      <c r="S224" s="214"/>
      <c r="T224" s="214"/>
      <c r="U224" s="214"/>
      <c r="V224" s="214"/>
    </row>
    <row r="225" spans="2:22" outlineLevel="1" x14ac:dyDescent="0.25">
      <c r="B225" s="67">
        <f t="shared" si="45"/>
        <v>49341</v>
      </c>
      <c r="C225" s="61">
        <f>'[1]Table 5'!E225*P225</f>
        <v>180830.58588076706</v>
      </c>
      <c r="D225" s="62">
        <f>IFERROR(G225*'MWH-Split'!S211*'MWH-Split'!U211,"")</f>
        <v>104583.87920119833</v>
      </c>
      <c r="E225" s="63">
        <f>IFERROR(H225*'MWH-Split'!T211*'MWH-Split'!U211,"")</f>
        <v>16482.942203598519</v>
      </c>
      <c r="F225" s="62">
        <f>'[1]Table 5'!F225*P225</f>
        <v>1353.296</v>
      </c>
      <c r="G225" s="62">
        <f>IF('MWH-Split'!N211&lt;&gt;0,'MWH-Split'!N211*P225,"")</f>
        <v>1159.9680000000001</v>
      </c>
      <c r="H225" s="63">
        <f>IF('MWH-Split'!O211&lt;&gt;0,'MWH-Split'!O211*P225,"")</f>
        <v>193.328</v>
      </c>
      <c r="I225" s="64">
        <f t="shared" si="44"/>
        <v>133.62</v>
      </c>
      <c r="J225" s="64">
        <f t="shared" si="42"/>
        <v>90.16</v>
      </c>
      <c r="K225" s="65">
        <f t="shared" si="43"/>
        <v>85.26</v>
      </c>
      <c r="M225" s="70">
        <f t="shared" si="46"/>
        <v>2035</v>
      </c>
      <c r="N225" s="67">
        <f t="shared" ref="N225:N271" si="48">IF(ISNUMBER(F225),IF(F225&lt;&gt;0,B225,""),"")</f>
        <v>49341</v>
      </c>
      <c r="P225" s="68">
        <f>IF('Monthly Levelized'!$K$5+'Monthly Levelized'!$L$5&lt;&gt;0,IFERROR(VLOOKUP(B225,'Monthly Levelized'!$G$5:$I$25,3,FALSE),P224),1)</f>
        <v>1</v>
      </c>
      <c r="Q225" s="213" t="str">
        <f t="shared" si="47"/>
        <v>Winter</v>
      </c>
      <c r="S225" s="214"/>
      <c r="T225" s="214"/>
      <c r="U225" s="214"/>
      <c r="V225" s="214"/>
    </row>
    <row r="226" spans="2:22" outlineLevel="1" x14ac:dyDescent="0.25">
      <c r="B226" s="67">
        <f t="shared" si="45"/>
        <v>49369</v>
      </c>
      <c r="C226" s="61">
        <f>'[1]Table 5'!E226*P226</f>
        <v>180532.36093420858</v>
      </c>
      <c r="D226" s="62">
        <f>IFERROR(G226*'MWH-Split'!S212*'MWH-Split'!U212,"")</f>
        <v>149171.04313753961</v>
      </c>
      <c r="E226" s="63">
        <f>IFERROR(H226*'MWH-Split'!T212*'MWH-Split'!U212,"")</f>
        <v>21706.713626394707</v>
      </c>
      <c r="F226" s="62">
        <f>'[1]Table 5'!F226*P226</f>
        <v>2107.6590000000001</v>
      </c>
      <c r="G226" s="62">
        <f>IF('MWH-Split'!N212&lt;&gt;0,'MWH-Split'!N212*P226,"")</f>
        <v>1835.001</v>
      </c>
      <c r="H226" s="63">
        <f>IF('MWH-Split'!O212&lt;&gt;0,'MWH-Split'!O212*P226,"")</f>
        <v>272.65800000000002</v>
      </c>
      <c r="I226" s="64">
        <f t="shared" si="44"/>
        <v>85.66</v>
      </c>
      <c r="J226" s="64">
        <f t="shared" si="42"/>
        <v>81.290000000000006</v>
      </c>
      <c r="K226" s="65">
        <f t="shared" si="43"/>
        <v>79.61</v>
      </c>
      <c r="M226" s="70">
        <f t="shared" si="46"/>
        <v>2035</v>
      </c>
      <c r="N226" s="67">
        <f t="shared" si="48"/>
        <v>49369</v>
      </c>
      <c r="P226" s="68">
        <f>IF('Monthly Levelized'!$K$5+'Monthly Levelized'!$L$5&lt;&gt;0,IFERROR(VLOOKUP(B226,'Monthly Levelized'!$G$5:$I$25,3,FALSE),P225),1)</f>
        <v>1</v>
      </c>
      <c r="Q226" s="213" t="str">
        <f t="shared" si="47"/>
        <v>Winter</v>
      </c>
      <c r="S226" s="214"/>
      <c r="T226" s="214"/>
      <c r="U226" s="214"/>
      <c r="V226" s="214"/>
    </row>
    <row r="227" spans="2:22" outlineLevel="1" x14ac:dyDescent="0.25">
      <c r="B227" s="67">
        <f t="shared" si="45"/>
        <v>49400</v>
      </c>
      <c r="C227" s="61">
        <f>'[1]Table 5'!E227*P227</f>
        <v>180434.39903302069</v>
      </c>
      <c r="D227" s="62">
        <f>IFERROR(G227*'MWH-Split'!S213*'MWH-Split'!U213,"")</f>
        <v>147048.36226088219</v>
      </c>
      <c r="E227" s="63">
        <f>IFERROR(H227*'MWH-Split'!T213*'MWH-Split'!U213,"")</f>
        <v>30383.416548768313</v>
      </c>
      <c r="F227" s="62">
        <f>'[1]Table 5'!F227*P227</f>
        <v>2434.38</v>
      </c>
      <c r="G227" s="62">
        <f>IF('MWH-Split'!N213&lt;&gt;0,'MWH-Split'!N213*P227,"")</f>
        <v>1993.0250000000001</v>
      </c>
      <c r="H227" s="63">
        <f>IF('MWH-Split'!O213&lt;&gt;0,'MWH-Split'!O213*P227,"")</f>
        <v>441.35500000000002</v>
      </c>
      <c r="I227" s="64">
        <f t="shared" si="44"/>
        <v>74.12</v>
      </c>
      <c r="J227" s="64">
        <f t="shared" si="42"/>
        <v>73.78</v>
      </c>
      <c r="K227" s="65">
        <f t="shared" si="43"/>
        <v>68.84</v>
      </c>
      <c r="M227" s="70">
        <f t="shared" si="46"/>
        <v>2035</v>
      </c>
      <c r="N227" s="67">
        <f t="shared" si="48"/>
        <v>49400</v>
      </c>
      <c r="P227" s="68">
        <f>IF('Monthly Levelized'!$K$5+'Monthly Levelized'!$L$5&lt;&gt;0,IFERROR(VLOOKUP(B227,'Monthly Levelized'!$G$5:$I$25,3,FALSE),P226),1)</f>
        <v>1</v>
      </c>
      <c r="Q227" s="213" t="str">
        <f t="shared" si="47"/>
        <v>Winter</v>
      </c>
      <c r="S227" s="214"/>
      <c r="T227" s="214"/>
      <c r="U227" s="214"/>
      <c r="V227" s="214"/>
    </row>
    <row r="228" spans="2:22" outlineLevel="1" x14ac:dyDescent="0.25">
      <c r="B228" s="67">
        <f t="shared" si="45"/>
        <v>49430</v>
      </c>
      <c r="C228" s="61">
        <f>'[1]Table 5'!E228*P228</f>
        <v>180932.9147981214</v>
      </c>
      <c r="D228" s="62">
        <f>IFERROR(G228*'MWH-Split'!S214*'MWH-Split'!U214,"")</f>
        <v>169674.1882726858</v>
      </c>
      <c r="E228" s="63">
        <f>IFERROR(H228*'MWH-Split'!T214*'MWH-Split'!U214,"")</f>
        <v>40431.442813033187</v>
      </c>
      <c r="F228" s="62">
        <f>'[1]Table 5'!F228*P228</f>
        <v>2817.9929999999999</v>
      </c>
      <c r="G228" s="62">
        <f>IF('MWH-Split'!N214&lt;&gt;0,'MWH-Split'!N214*P228,"")</f>
        <v>2243.4879999999998</v>
      </c>
      <c r="H228" s="63">
        <f>IF('MWH-Split'!O214&lt;&gt;0,'MWH-Split'!O214*P228,"")</f>
        <v>574.505</v>
      </c>
      <c r="I228" s="64">
        <f t="shared" si="44"/>
        <v>64.209999999999994</v>
      </c>
      <c r="J228" s="64">
        <f t="shared" si="42"/>
        <v>75.63</v>
      </c>
      <c r="K228" s="65">
        <f t="shared" si="43"/>
        <v>70.38</v>
      </c>
      <c r="M228" s="70">
        <f t="shared" si="46"/>
        <v>2035</v>
      </c>
      <c r="N228" s="67">
        <f t="shared" si="48"/>
        <v>49430</v>
      </c>
      <c r="P228" s="68">
        <f>IF('Monthly Levelized'!$K$5+'Monthly Levelized'!$L$5&lt;&gt;0,IFERROR(VLOOKUP(B228,'Monthly Levelized'!$G$5:$I$25,3,FALSE),P227),1)</f>
        <v>1</v>
      </c>
      <c r="Q228" s="213" t="str">
        <f t="shared" si="47"/>
        <v>Winter</v>
      </c>
      <c r="S228" s="214"/>
      <c r="T228" s="214"/>
      <c r="U228" s="214"/>
      <c r="V228" s="214"/>
    </row>
    <row r="229" spans="2:22" outlineLevel="1" x14ac:dyDescent="0.25">
      <c r="B229" s="67">
        <f t="shared" si="45"/>
        <v>49461</v>
      </c>
      <c r="C229" s="61">
        <f>'[1]Table 5'!E229*P229</f>
        <v>180999.2265717196</v>
      </c>
      <c r="D229" s="62">
        <f>IFERROR(G229*'MWH-Split'!S215*'MWH-Split'!U215,"")</f>
        <v>192384.06607063397</v>
      </c>
      <c r="E229" s="63">
        <f>IFERROR(H229*'MWH-Split'!T215*'MWH-Split'!U215,"")</f>
        <v>38778.221022651618</v>
      </c>
      <c r="F229" s="62">
        <f>'[1]Table 5'!F229*P229</f>
        <v>2993.76</v>
      </c>
      <c r="G229" s="62">
        <f>IF('MWH-Split'!N215&lt;&gt;0,'MWH-Split'!N215*P229,"")</f>
        <v>2445.7420000000002</v>
      </c>
      <c r="H229" s="63">
        <f>IF('MWH-Split'!O215&lt;&gt;0,'MWH-Split'!O215*P229,"")</f>
        <v>548.01800000000003</v>
      </c>
      <c r="I229" s="64">
        <f t="shared" si="44"/>
        <v>60.46</v>
      </c>
      <c r="J229" s="64">
        <f t="shared" si="42"/>
        <v>78.66</v>
      </c>
      <c r="K229" s="65">
        <f t="shared" si="43"/>
        <v>70.760000000000005</v>
      </c>
      <c r="M229" s="70">
        <f t="shared" si="46"/>
        <v>2035</v>
      </c>
      <c r="N229" s="67">
        <f t="shared" si="48"/>
        <v>49461</v>
      </c>
      <c r="P229" s="68">
        <f>IF('Monthly Levelized'!$K$5+'Monthly Levelized'!$L$5&lt;&gt;0,IFERROR(VLOOKUP(B229,'Monthly Levelized'!$G$5:$I$25,3,FALSE),P228),1)</f>
        <v>1</v>
      </c>
      <c r="Q229" s="213" t="str">
        <f t="shared" si="47"/>
        <v>Summer</v>
      </c>
      <c r="S229" s="214"/>
      <c r="T229" s="214"/>
      <c r="U229" s="214"/>
      <c r="V229" s="214"/>
    </row>
    <row r="230" spans="2:22" outlineLevel="1" x14ac:dyDescent="0.25">
      <c r="B230" s="67">
        <f t="shared" si="45"/>
        <v>49491</v>
      </c>
      <c r="C230" s="61">
        <f>'[1]Table 5'!E230*P230</f>
        <v>181268.03397063489</v>
      </c>
      <c r="D230" s="62">
        <f>IFERROR(G230*'MWH-Split'!S216*'MWH-Split'!U216,"")</f>
        <v>215395.07067067476</v>
      </c>
      <c r="E230" s="63">
        <f>IFERROR(H230*'MWH-Split'!T216*'MWH-Split'!U216,"")</f>
        <v>53362.909691916975</v>
      </c>
      <c r="F230" s="62">
        <f>'[1]Table 5'!F230*P230</f>
        <v>2709.741</v>
      </c>
      <c r="G230" s="62">
        <f>IF('MWH-Split'!N216&lt;&gt;0,'MWH-Split'!N216*P230,"")</f>
        <v>2088.4749999999999</v>
      </c>
      <c r="H230" s="63">
        <f>IF('MWH-Split'!O216&lt;&gt;0,'MWH-Split'!O216*P230,"")</f>
        <v>621.26599999999996</v>
      </c>
      <c r="I230" s="64">
        <f t="shared" si="44"/>
        <v>66.89</v>
      </c>
      <c r="J230" s="64">
        <f t="shared" si="42"/>
        <v>103.14</v>
      </c>
      <c r="K230" s="65">
        <f t="shared" si="43"/>
        <v>85.89</v>
      </c>
      <c r="M230" s="70">
        <f t="shared" si="46"/>
        <v>2035</v>
      </c>
      <c r="N230" s="67">
        <f t="shared" si="48"/>
        <v>49491</v>
      </c>
      <c r="P230" s="68">
        <f>IF('Monthly Levelized'!$K$5+'Monthly Levelized'!$L$5&lt;&gt;0,IFERROR(VLOOKUP(B230,'Monthly Levelized'!$G$5:$I$25,3,FALSE),P229),1)</f>
        <v>1</v>
      </c>
      <c r="Q230" s="213" t="str">
        <f t="shared" si="47"/>
        <v>Summer</v>
      </c>
      <c r="S230" s="214"/>
      <c r="T230" s="214"/>
      <c r="U230" s="214"/>
      <c r="V230" s="214"/>
    </row>
    <row r="231" spans="2:22" outlineLevel="1" x14ac:dyDescent="0.25">
      <c r="B231" s="67">
        <f t="shared" si="45"/>
        <v>49522</v>
      </c>
      <c r="C231" s="61">
        <f>'[1]Table 5'!E231*P231</f>
        <v>180344.59871767039</v>
      </c>
      <c r="D231" s="62">
        <f>IFERROR(G231*'MWH-Split'!S217*'MWH-Split'!U217,"")</f>
        <v>250188.65707870285</v>
      </c>
      <c r="E231" s="63">
        <f>IFERROR(H231*'MWH-Split'!T217*'MWH-Split'!U217,"")</f>
        <v>35805.510158665638</v>
      </c>
      <c r="F231" s="62">
        <f>'[1]Table 5'!F231*P231</f>
        <v>2714.143</v>
      </c>
      <c r="G231" s="62">
        <f>IF('MWH-Split'!N217&lt;&gt;0,'MWH-Split'!N217*P231,"")</f>
        <v>2311.038</v>
      </c>
      <c r="H231" s="63">
        <f>IF('MWH-Split'!O217&lt;&gt;0,'MWH-Split'!O217*P231,"")</f>
        <v>403.10500000000002</v>
      </c>
      <c r="I231" s="64">
        <f t="shared" si="44"/>
        <v>66.45</v>
      </c>
      <c r="J231" s="64">
        <f t="shared" si="42"/>
        <v>108.26</v>
      </c>
      <c r="K231" s="65">
        <f t="shared" si="43"/>
        <v>88.82</v>
      </c>
      <c r="M231" s="70">
        <f t="shared" si="46"/>
        <v>2035</v>
      </c>
      <c r="N231" s="67">
        <f t="shared" si="48"/>
        <v>49522</v>
      </c>
      <c r="P231" s="68">
        <f>IF('Monthly Levelized'!$K$5+'Monthly Levelized'!$L$5&lt;&gt;0,IFERROR(VLOOKUP(B231,'Monthly Levelized'!$G$5:$I$25,3,FALSE),P230),1)</f>
        <v>1</v>
      </c>
      <c r="Q231" s="213" t="str">
        <f t="shared" si="47"/>
        <v>Summer</v>
      </c>
      <c r="S231" s="214"/>
      <c r="T231" s="214"/>
      <c r="U231" s="214"/>
      <c r="V231" s="214"/>
    </row>
    <row r="232" spans="2:22" outlineLevel="1" x14ac:dyDescent="0.25">
      <c r="B232" s="67">
        <f t="shared" si="45"/>
        <v>49553</v>
      </c>
      <c r="C232" s="61">
        <f>'[1]Table 5'!E232*P232</f>
        <v>180756.45173658009</v>
      </c>
      <c r="D232" s="62">
        <f>IFERROR(G232*'MWH-Split'!S218*'MWH-Split'!U218,"")</f>
        <v>179524.70921545688</v>
      </c>
      <c r="E232" s="63">
        <f>IFERROR(H232*'MWH-Split'!T218*'MWH-Split'!U218,"")</f>
        <v>40871.763925004969</v>
      </c>
      <c r="F232" s="62">
        <f>'[1]Table 5'!F232*P232</f>
        <v>2392.5300000000002</v>
      </c>
      <c r="G232" s="62">
        <f>IF('MWH-Split'!N218&lt;&gt;0,'MWH-Split'!N218*P232,"")</f>
        <v>1899.6</v>
      </c>
      <c r="H232" s="63">
        <f>IF('MWH-Split'!O218&lt;&gt;0,'MWH-Split'!O218*P232,"")</f>
        <v>492.93</v>
      </c>
      <c r="I232" s="64">
        <f t="shared" si="44"/>
        <v>75.55</v>
      </c>
      <c r="J232" s="64">
        <f t="shared" si="42"/>
        <v>94.51</v>
      </c>
      <c r="K232" s="65">
        <f t="shared" si="43"/>
        <v>82.92</v>
      </c>
      <c r="M232" s="70">
        <f t="shared" si="46"/>
        <v>2035</v>
      </c>
      <c r="N232" s="67">
        <f t="shared" si="48"/>
        <v>49553</v>
      </c>
      <c r="P232" s="68">
        <f>IF('Monthly Levelized'!$K$5+'Monthly Levelized'!$L$5&lt;&gt;0,IFERROR(VLOOKUP(B232,'Monthly Levelized'!$G$5:$I$25,3,FALSE),P231),1)</f>
        <v>1</v>
      </c>
      <c r="Q232" s="213" t="str">
        <f t="shared" si="47"/>
        <v>Summer</v>
      </c>
      <c r="S232" s="214"/>
      <c r="T232" s="214"/>
      <c r="U232" s="214"/>
      <c r="V232" s="214"/>
    </row>
    <row r="233" spans="2:22" outlineLevel="1" x14ac:dyDescent="0.25">
      <c r="B233" s="67">
        <f t="shared" si="45"/>
        <v>49583</v>
      </c>
      <c r="C233" s="61">
        <f>'[1]Table 5'!E233*P233</f>
        <v>181624.42309037919</v>
      </c>
      <c r="D233" s="62">
        <f>IFERROR(G233*'MWH-Split'!S219*'MWH-Split'!U219,"")</f>
        <v>151533.26105724575</v>
      </c>
      <c r="E233" s="63">
        <f>IFERROR(H233*'MWH-Split'!T219*'MWH-Split'!U219,"")</f>
        <v>20493.998575804333</v>
      </c>
      <c r="F233" s="62">
        <f>'[1]Table 5'!F233*P233</f>
        <v>1939.6079999999999</v>
      </c>
      <c r="G233" s="62">
        <f>IF('MWH-Split'!N219&lt;&gt;0,'MWH-Split'!N219*P233,"")</f>
        <v>1688.931</v>
      </c>
      <c r="H233" s="63">
        <f>IF('MWH-Split'!O219&lt;&gt;0,'MWH-Split'!O219*P233,"")</f>
        <v>250.67699999999999</v>
      </c>
      <c r="I233" s="64">
        <f t="shared" si="44"/>
        <v>93.64</v>
      </c>
      <c r="J233" s="64">
        <f t="shared" si="42"/>
        <v>89.72</v>
      </c>
      <c r="K233" s="65">
        <f t="shared" si="43"/>
        <v>81.75</v>
      </c>
      <c r="M233" s="70">
        <f t="shared" si="46"/>
        <v>2035</v>
      </c>
      <c r="N233" s="67">
        <f t="shared" si="48"/>
        <v>49583</v>
      </c>
      <c r="P233" s="68">
        <f>IF('Monthly Levelized'!$K$5+'Monthly Levelized'!$L$5&lt;&gt;0,IFERROR(VLOOKUP(B233,'Monthly Levelized'!$G$5:$I$25,3,FALSE),P232),1)</f>
        <v>1</v>
      </c>
      <c r="Q233" s="213" t="str">
        <f t="shared" si="47"/>
        <v>Winter</v>
      </c>
      <c r="S233" s="214"/>
      <c r="T233" s="214"/>
      <c r="U233" s="214"/>
      <c r="V233" s="214"/>
    </row>
    <row r="234" spans="2:22" outlineLevel="1" x14ac:dyDescent="0.25">
      <c r="B234" s="67">
        <f t="shared" si="45"/>
        <v>49614</v>
      </c>
      <c r="C234" s="61">
        <f>'[1]Table 5'!E234*P234</f>
        <v>180868.97126690621</v>
      </c>
      <c r="D234" s="62">
        <f>IFERROR(G234*'MWH-Split'!S220*'MWH-Split'!U220,"")</f>
        <v>96274.170095851194</v>
      </c>
      <c r="E234" s="63">
        <f>IFERROR(H234*'MWH-Split'!T220*'MWH-Split'!U220,"")</f>
        <v>18010.835847838283</v>
      </c>
      <c r="F234" s="62">
        <f>'[1]Table 5'!F234*P234</f>
        <v>1306.44</v>
      </c>
      <c r="G234" s="62">
        <f>IF('MWH-Split'!N220&lt;&gt;0,'MWH-Split'!N220*P234,"")</f>
        <v>1088.7</v>
      </c>
      <c r="H234" s="63">
        <f>IF('MWH-Split'!O220&lt;&gt;0,'MWH-Split'!O220*P234,"")</f>
        <v>217.74</v>
      </c>
      <c r="I234" s="64">
        <f t="shared" si="44"/>
        <v>138.44</v>
      </c>
      <c r="J234" s="64">
        <f t="shared" si="42"/>
        <v>88.43</v>
      </c>
      <c r="K234" s="65">
        <f t="shared" si="43"/>
        <v>82.72</v>
      </c>
      <c r="M234" s="70">
        <f t="shared" si="46"/>
        <v>2035</v>
      </c>
      <c r="N234" s="67">
        <f t="shared" si="48"/>
        <v>49614</v>
      </c>
      <c r="P234" s="68">
        <f>IF('Monthly Levelized'!$K$5+'Monthly Levelized'!$L$5&lt;&gt;0,IFERROR(VLOOKUP(B234,'Monthly Levelized'!$G$5:$I$25,3,FALSE),P233),1)</f>
        <v>1</v>
      </c>
      <c r="Q234" s="213" t="str">
        <f t="shared" si="47"/>
        <v>Winter</v>
      </c>
      <c r="S234" s="214"/>
      <c r="T234" s="214"/>
      <c r="U234" s="214"/>
      <c r="V234" s="214"/>
    </row>
    <row r="235" spans="2:22" outlineLevel="1" x14ac:dyDescent="0.25">
      <c r="B235" s="78">
        <f t="shared" si="45"/>
        <v>49644</v>
      </c>
      <c r="C235" s="72">
        <f>'[1]Table 5'!E235*P235</f>
        <v>180932.36697239752</v>
      </c>
      <c r="D235" s="73">
        <f>IFERROR(G235*'MWH-Split'!S221*'MWH-Split'!U221,"")</f>
        <v>73930.91863730512</v>
      </c>
      <c r="E235" s="74">
        <f>IFERROR(H235*'MWH-Split'!T221*'MWH-Split'!U221,"")</f>
        <v>17104.920775596012</v>
      </c>
      <c r="F235" s="73">
        <f>'[1]Table 5'!F235*P235</f>
        <v>1007.841</v>
      </c>
      <c r="G235" s="73">
        <f>IF('MWH-Split'!N221&lt;&gt;0,'MWH-Split'!N221*P235,"")</f>
        <v>812.77499999999998</v>
      </c>
      <c r="H235" s="74">
        <f>IF('MWH-Split'!O221&lt;&gt;0,'MWH-Split'!O221*P235,"")</f>
        <v>195.066</v>
      </c>
      <c r="I235" s="75">
        <f t="shared" si="44"/>
        <v>179.52</v>
      </c>
      <c r="J235" s="75">
        <f t="shared" si="42"/>
        <v>90.96</v>
      </c>
      <c r="K235" s="76">
        <f t="shared" si="43"/>
        <v>87.69</v>
      </c>
      <c r="M235" s="77">
        <f t="shared" si="46"/>
        <v>2035</v>
      </c>
      <c r="N235" s="78">
        <f t="shared" si="48"/>
        <v>49644</v>
      </c>
      <c r="P235" s="79">
        <f>IF('Monthly Levelized'!$K$5+'Monthly Levelized'!$L$5&lt;&gt;0,IFERROR(VLOOKUP(B235,'Monthly Levelized'!$G$5:$I$25,3,FALSE),P234),1)</f>
        <v>1</v>
      </c>
      <c r="Q235" s="213" t="str">
        <f t="shared" si="47"/>
        <v>Winter</v>
      </c>
      <c r="S235" s="214"/>
      <c r="T235" s="214"/>
      <c r="U235" s="214"/>
      <c r="V235" s="214"/>
    </row>
    <row r="236" spans="2:22" outlineLevel="1" x14ac:dyDescent="0.25">
      <c r="B236" s="80">
        <f t="shared" si="45"/>
        <v>49675</v>
      </c>
      <c r="C236" s="81">
        <f>'[1]Table 5'!E236*P236</f>
        <v>185279.72139194608</v>
      </c>
      <c r="D236" s="82">
        <f>IFERROR(G236*'MWH-Split'!S222*'MWH-Split'!U222,"")</f>
        <v>91109.273727310414</v>
      </c>
      <c r="E236" s="83">
        <f>IFERROR(H236*'MWH-Split'!T222*'MWH-Split'!U222,"")</f>
        <v>16725.304429702428</v>
      </c>
      <c r="F236" s="82">
        <f>'[1]Table 5'!F236*P236</f>
        <v>1203.079</v>
      </c>
      <c r="G236" s="82">
        <f>IF('MWH-Split'!N222&lt;&gt;0,'MWH-Split'!N222*P236,"")</f>
        <v>1009.034</v>
      </c>
      <c r="H236" s="83">
        <f>IF('MWH-Split'!O222&lt;&gt;0,'MWH-Split'!O222*P236,"")</f>
        <v>194.04499999999999</v>
      </c>
      <c r="I236" s="84">
        <f t="shared" si="44"/>
        <v>154</v>
      </c>
      <c r="J236" s="84">
        <f t="shared" si="42"/>
        <v>90.29</v>
      </c>
      <c r="K236" s="85">
        <f t="shared" si="43"/>
        <v>86.19</v>
      </c>
      <c r="M236" s="66">
        <f t="shared" si="46"/>
        <v>2036</v>
      </c>
      <c r="N236" s="67">
        <f t="shared" si="48"/>
        <v>49675</v>
      </c>
      <c r="P236" s="86">
        <f>IF('Monthly Levelized'!$K$5+'Monthly Levelized'!$L$5&lt;&gt;0,IFERROR(VLOOKUP(B236,'Monthly Levelized'!$G$5:$I$25,3,FALSE),P235),1)</f>
        <v>1</v>
      </c>
      <c r="Q236" s="213" t="str">
        <f t="shared" si="47"/>
        <v>Winter</v>
      </c>
      <c r="S236" s="214"/>
      <c r="T236" s="214"/>
      <c r="U236" s="214"/>
      <c r="V236" s="214"/>
    </row>
    <row r="237" spans="2:22" outlineLevel="1" x14ac:dyDescent="0.25">
      <c r="B237" s="67">
        <f t="shared" si="45"/>
        <v>49706</v>
      </c>
      <c r="C237" s="61">
        <f>'[1]Table 5'!E237*P237</f>
        <v>185202.48369976878</v>
      </c>
      <c r="D237" s="62">
        <f>IFERROR(G237*'MWH-Split'!S223*'MWH-Split'!U223,"")</f>
        <v>109456.48389184587</v>
      </c>
      <c r="E237" s="63">
        <f>IFERROR(H237*'MWH-Split'!T223*'MWH-Split'!U223,"")</f>
        <v>16614.413647449564</v>
      </c>
      <c r="F237" s="62">
        <f>'[1]Table 5'!F237*P237</f>
        <v>1394.61</v>
      </c>
      <c r="G237" s="62">
        <f>IF('MWH-Split'!N223&lt;&gt;0,'MWH-Split'!N223*P237,"")</f>
        <v>1202.25</v>
      </c>
      <c r="H237" s="63">
        <f>IF('MWH-Split'!O223&lt;&gt;0,'MWH-Split'!O223*P237,"")</f>
        <v>192.36</v>
      </c>
      <c r="I237" s="64">
        <f t="shared" si="44"/>
        <v>132.80000000000001</v>
      </c>
      <c r="J237" s="64">
        <f t="shared" si="42"/>
        <v>91.04</v>
      </c>
      <c r="K237" s="65">
        <f t="shared" si="43"/>
        <v>86.37</v>
      </c>
      <c r="M237" s="70">
        <f t="shared" si="46"/>
        <v>2036</v>
      </c>
      <c r="N237" s="67">
        <f t="shared" si="48"/>
        <v>49706</v>
      </c>
      <c r="P237" s="68">
        <f>IF('Monthly Levelized'!$K$5+'Monthly Levelized'!$L$5&lt;&gt;0,IFERROR(VLOOKUP(B237,'Monthly Levelized'!$G$5:$I$25,3,FALSE),P236),1)</f>
        <v>1</v>
      </c>
      <c r="Q237" s="213" t="str">
        <f t="shared" si="47"/>
        <v>Winter</v>
      </c>
      <c r="S237" s="214"/>
      <c r="T237" s="214"/>
      <c r="U237" s="214"/>
      <c r="V237" s="214"/>
    </row>
    <row r="238" spans="2:22" outlineLevel="1" x14ac:dyDescent="0.25">
      <c r="B238" s="67">
        <f t="shared" si="45"/>
        <v>49735</v>
      </c>
      <c r="C238" s="61">
        <f>'[1]Table 5'!E238*P238</f>
        <v>184933.17605140805</v>
      </c>
      <c r="D238" s="62">
        <f>IFERROR(G238*'MWH-Split'!S224*'MWH-Split'!U224,"")</f>
        <v>145767.15665630659</v>
      </c>
      <c r="E238" s="63">
        <f>IFERROR(H238*'MWH-Split'!T224*'MWH-Split'!U224,"")</f>
        <v>27528.951934873232</v>
      </c>
      <c r="F238" s="62">
        <f>'[1]Table 5'!F238*P238</f>
        <v>2097.15</v>
      </c>
      <c r="G238" s="62">
        <f>IF('MWH-Split'!N224&lt;&gt;0,'MWH-Split'!N224*P238,"")</f>
        <v>1758.2239999999999</v>
      </c>
      <c r="H238" s="63">
        <f>IF('MWH-Split'!O224&lt;&gt;0,'MWH-Split'!O224*P238,"")</f>
        <v>338.92599999999999</v>
      </c>
      <c r="I238" s="64">
        <f t="shared" si="44"/>
        <v>88.18</v>
      </c>
      <c r="J238" s="64">
        <f t="shared" si="42"/>
        <v>82.91</v>
      </c>
      <c r="K238" s="65">
        <f t="shared" si="43"/>
        <v>81.22</v>
      </c>
      <c r="M238" s="70">
        <f t="shared" si="46"/>
        <v>2036</v>
      </c>
      <c r="N238" s="67">
        <f t="shared" si="48"/>
        <v>49735</v>
      </c>
      <c r="P238" s="68">
        <f>IF('Monthly Levelized'!$K$5+'Monthly Levelized'!$L$5&lt;&gt;0,IFERROR(VLOOKUP(B238,'Monthly Levelized'!$G$5:$I$25,3,FALSE),P237),1)</f>
        <v>1</v>
      </c>
      <c r="Q238" s="213" t="str">
        <f t="shared" si="47"/>
        <v>Winter</v>
      </c>
      <c r="S238" s="214"/>
      <c r="T238" s="214"/>
      <c r="U238" s="214"/>
      <c r="V238" s="214"/>
    </row>
    <row r="239" spans="2:22" outlineLevel="1" x14ac:dyDescent="0.25">
      <c r="B239" s="67">
        <f t="shared" si="45"/>
        <v>49766</v>
      </c>
      <c r="C239" s="61">
        <f>'[1]Table 5'!E239*P239</f>
        <v>184724.55405113101</v>
      </c>
      <c r="D239" s="62">
        <f>IFERROR(G239*'MWH-Split'!S225*'MWH-Split'!U225,"")</f>
        <v>157153.13386094148</v>
      </c>
      <c r="E239" s="63">
        <f>IFERROR(H239*'MWH-Split'!T225*'MWH-Split'!U225,"")</f>
        <v>25676.582377683091</v>
      </c>
      <c r="F239" s="62">
        <f>'[1]Table 5'!F239*P239</f>
        <v>2422.14</v>
      </c>
      <c r="G239" s="62">
        <f>IF('MWH-Split'!N225&lt;&gt;0,'MWH-Split'!N225*P239,"")</f>
        <v>2062.346</v>
      </c>
      <c r="H239" s="63">
        <f>IF('MWH-Split'!O225&lt;&gt;0,'MWH-Split'!O225*P239,"")</f>
        <v>359.79399999999998</v>
      </c>
      <c r="I239" s="64">
        <f t="shared" si="44"/>
        <v>76.27</v>
      </c>
      <c r="J239" s="64">
        <f t="shared" si="42"/>
        <v>76.2</v>
      </c>
      <c r="K239" s="65">
        <f t="shared" si="43"/>
        <v>71.36</v>
      </c>
      <c r="M239" s="70">
        <f t="shared" si="46"/>
        <v>2036</v>
      </c>
      <c r="N239" s="67">
        <f t="shared" si="48"/>
        <v>49766</v>
      </c>
      <c r="P239" s="68">
        <f>IF('Monthly Levelized'!$K$5+'Monthly Levelized'!$L$5&lt;&gt;0,IFERROR(VLOOKUP(B239,'Monthly Levelized'!$G$5:$I$25,3,FALSE),P238),1)</f>
        <v>1</v>
      </c>
      <c r="Q239" s="213" t="str">
        <f t="shared" si="47"/>
        <v>Winter</v>
      </c>
      <c r="S239" s="214"/>
      <c r="T239" s="214"/>
      <c r="U239" s="214"/>
      <c r="V239" s="214"/>
    </row>
    <row r="240" spans="2:22" outlineLevel="1" x14ac:dyDescent="0.25">
      <c r="B240" s="67">
        <f t="shared" si="45"/>
        <v>49796</v>
      </c>
      <c r="C240" s="61">
        <f>'[1]Table 5'!E240*P240</f>
        <v>185029.69221970439</v>
      </c>
      <c r="D240" s="62">
        <f>IFERROR(G240*'MWH-Split'!S226*'MWH-Split'!U226,"")</f>
        <v>175368.49357607926</v>
      </c>
      <c r="E240" s="63">
        <f>IFERROR(H240*'MWH-Split'!T226*'MWH-Split'!U226,"")</f>
        <v>41969.37941624548</v>
      </c>
      <c r="F240" s="62">
        <f>'[1]Table 5'!F240*P240</f>
        <v>2803.8879999999999</v>
      </c>
      <c r="G240" s="62">
        <f>IF('MWH-Split'!N226&lt;&gt;0,'MWH-Split'!N226*P240,"")</f>
        <v>2232.2559999999999</v>
      </c>
      <c r="H240" s="63">
        <f>IF('MWH-Split'!O226&lt;&gt;0,'MWH-Split'!O226*P240,"")</f>
        <v>571.63199999999995</v>
      </c>
      <c r="I240" s="64">
        <f t="shared" si="44"/>
        <v>65.989999999999995</v>
      </c>
      <c r="J240" s="64">
        <f t="shared" si="42"/>
        <v>78.56</v>
      </c>
      <c r="K240" s="65">
        <f t="shared" si="43"/>
        <v>73.42</v>
      </c>
      <c r="M240" s="70">
        <f t="shared" si="46"/>
        <v>2036</v>
      </c>
      <c r="N240" s="67">
        <f t="shared" si="48"/>
        <v>49796</v>
      </c>
      <c r="P240" s="68">
        <f>IF('Monthly Levelized'!$K$5+'Monthly Levelized'!$L$5&lt;&gt;0,IFERROR(VLOOKUP(B240,'Monthly Levelized'!$G$5:$I$25,3,FALSE),P239),1)</f>
        <v>1</v>
      </c>
      <c r="Q240" s="213" t="str">
        <f t="shared" si="47"/>
        <v>Winter</v>
      </c>
      <c r="S240" s="214"/>
      <c r="T240" s="214"/>
      <c r="U240" s="214"/>
      <c r="V240" s="214"/>
    </row>
    <row r="241" spans="2:22" outlineLevel="1" x14ac:dyDescent="0.25">
      <c r="B241" s="67">
        <f t="shared" si="45"/>
        <v>49827</v>
      </c>
      <c r="C241" s="61">
        <f>'[1]Table 5'!E241*P241</f>
        <v>184718.94994410872</v>
      </c>
      <c r="D241" s="62">
        <f>IFERROR(G241*'MWH-Split'!S227*'MWH-Split'!U227,"")</f>
        <v>188211.01163782837</v>
      </c>
      <c r="E241" s="63">
        <f>IFERROR(H241*'MWH-Split'!T227*'MWH-Split'!U227,"")</f>
        <v>47032.997403266025</v>
      </c>
      <c r="F241" s="62">
        <f>'[1]Table 5'!F241*P241</f>
        <v>2978.79</v>
      </c>
      <c r="G241" s="62">
        <f>IF('MWH-Split'!N227&lt;&gt;0,'MWH-Split'!N227*P241,"")</f>
        <v>2339.9</v>
      </c>
      <c r="H241" s="63">
        <f>IF('MWH-Split'!O227&lt;&gt;0,'MWH-Split'!O227*P241,"")</f>
        <v>638.89</v>
      </c>
      <c r="I241" s="64">
        <f t="shared" si="44"/>
        <v>62.01</v>
      </c>
      <c r="J241" s="64">
        <f t="shared" si="42"/>
        <v>80.44</v>
      </c>
      <c r="K241" s="65">
        <f t="shared" si="43"/>
        <v>73.62</v>
      </c>
      <c r="M241" s="70">
        <f t="shared" si="46"/>
        <v>2036</v>
      </c>
      <c r="N241" s="67">
        <f t="shared" si="48"/>
        <v>49827</v>
      </c>
      <c r="P241" s="68">
        <f>IF('Monthly Levelized'!$K$5+'Monthly Levelized'!$L$5&lt;&gt;0,IFERROR(VLOOKUP(B241,'Monthly Levelized'!$G$5:$I$25,3,FALSE),P240),1)</f>
        <v>1</v>
      </c>
      <c r="Q241" s="213" t="str">
        <f t="shared" si="47"/>
        <v>Summer</v>
      </c>
      <c r="S241" s="214"/>
      <c r="T241" s="214"/>
      <c r="U241" s="214"/>
      <c r="V241" s="214"/>
    </row>
    <row r="242" spans="2:22" outlineLevel="1" x14ac:dyDescent="0.25">
      <c r="B242" s="67">
        <f t="shared" si="45"/>
        <v>49857</v>
      </c>
      <c r="C242" s="61">
        <f>'[1]Table 5'!E242*P242</f>
        <v>185203.06406080723</v>
      </c>
      <c r="D242" s="62">
        <f>IFERROR(G242*'MWH-Split'!S228*'MWH-Split'!U228,"")</f>
        <v>228887.6783162262</v>
      </c>
      <c r="E242" s="63">
        <f>IFERROR(H242*'MWH-Split'!T228*'MWH-Split'!U228,"")</f>
        <v>47138.851746011227</v>
      </c>
      <c r="F242" s="62">
        <f>'[1]Table 5'!F242*P242</f>
        <v>2696.2249999999999</v>
      </c>
      <c r="G242" s="62">
        <f>IF('MWH-Split'!N228&lt;&gt;0,'MWH-Split'!N228*P242,"")</f>
        <v>2161.172</v>
      </c>
      <c r="H242" s="63">
        <f>IF('MWH-Split'!O228&lt;&gt;0,'MWH-Split'!O228*P242,"")</f>
        <v>535.053</v>
      </c>
      <c r="I242" s="64">
        <f t="shared" si="44"/>
        <v>68.69</v>
      </c>
      <c r="J242" s="64">
        <f t="shared" si="42"/>
        <v>105.91</v>
      </c>
      <c r="K242" s="65">
        <f t="shared" si="43"/>
        <v>88.1</v>
      </c>
      <c r="M242" s="70">
        <f t="shared" si="46"/>
        <v>2036</v>
      </c>
      <c r="N242" s="67">
        <f t="shared" si="48"/>
        <v>49857</v>
      </c>
      <c r="P242" s="68">
        <f>IF('Monthly Levelized'!$K$5+'Monthly Levelized'!$L$5&lt;&gt;0,IFERROR(VLOOKUP(B242,'Monthly Levelized'!$G$5:$I$25,3,FALSE),P241),1)</f>
        <v>1</v>
      </c>
      <c r="Q242" s="213" t="str">
        <f t="shared" si="47"/>
        <v>Summer</v>
      </c>
      <c r="S242" s="214"/>
      <c r="T242" s="214"/>
      <c r="U242" s="214"/>
      <c r="V242" s="214"/>
    </row>
    <row r="243" spans="2:22" outlineLevel="1" x14ac:dyDescent="0.25">
      <c r="B243" s="67">
        <f t="shared" si="45"/>
        <v>49888</v>
      </c>
      <c r="C243" s="61">
        <f>'[1]Table 5'!E243*P243</f>
        <v>185109.99719232321</v>
      </c>
      <c r="D243" s="62">
        <f>IFERROR(G243*'MWH-Split'!S229*'MWH-Split'!U229,"")</f>
        <v>244865.34535367356</v>
      </c>
      <c r="E243" s="63">
        <f>IFERROR(H243*'MWH-Split'!T229*'MWH-Split'!U229,"")</f>
        <v>44934.200920202675</v>
      </c>
      <c r="F243" s="62">
        <f>'[1]Table 5'!F243*P243</f>
        <v>2700.596</v>
      </c>
      <c r="G243" s="62">
        <f>IF('MWH-Split'!N229&lt;&gt;0,'MWH-Split'!N229*P243,"")</f>
        <v>2214.3420000000001</v>
      </c>
      <c r="H243" s="63">
        <f>IF('MWH-Split'!O229&lt;&gt;0,'MWH-Split'!O229*P243,"")</f>
        <v>486.25400000000002</v>
      </c>
      <c r="I243" s="64">
        <f t="shared" si="44"/>
        <v>68.540000000000006</v>
      </c>
      <c r="J243" s="64">
        <f t="shared" si="42"/>
        <v>110.58</v>
      </c>
      <c r="K243" s="65">
        <f t="shared" si="43"/>
        <v>92.41</v>
      </c>
      <c r="M243" s="70">
        <f t="shared" si="46"/>
        <v>2036</v>
      </c>
      <c r="N243" s="67">
        <f t="shared" si="48"/>
        <v>49888</v>
      </c>
      <c r="P243" s="68">
        <f>IF('Monthly Levelized'!$K$5+'Monthly Levelized'!$L$5&lt;&gt;0,IFERROR(VLOOKUP(B243,'Monthly Levelized'!$G$5:$I$25,3,FALSE),P242),1)</f>
        <v>1</v>
      </c>
      <c r="Q243" s="213" t="str">
        <f t="shared" si="47"/>
        <v>Summer</v>
      </c>
      <c r="S243" s="214"/>
      <c r="T243" s="214"/>
      <c r="U243" s="214"/>
      <c r="V243" s="214"/>
    </row>
    <row r="244" spans="2:22" outlineLevel="1" x14ac:dyDescent="0.25">
      <c r="B244" s="67">
        <f t="shared" si="45"/>
        <v>49919</v>
      </c>
      <c r="C244" s="61">
        <f>'[1]Table 5'!E244*P244</f>
        <v>184992.38205567002</v>
      </c>
      <c r="D244" s="62">
        <f>IFERROR(G244*'MWH-Split'!S230*'MWH-Split'!U230,"")</f>
        <v>191042.05163391848</v>
      </c>
      <c r="E244" s="63">
        <f>IFERROR(H244*'MWH-Split'!T230*'MWH-Split'!U230,"")</f>
        <v>35097.973693470245</v>
      </c>
      <c r="F244" s="62">
        <f>'[1]Table 5'!F244*P244</f>
        <v>2380.56</v>
      </c>
      <c r="G244" s="62">
        <f>IF('MWH-Split'!N230&lt;&gt;0,'MWH-Split'!N230*P244,"")</f>
        <v>1968.85</v>
      </c>
      <c r="H244" s="63">
        <f>IF('MWH-Split'!O230&lt;&gt;0,'MWH-Split'!O230*P244,"")</f>
        <v>411.71</v>
      </c>
      <c r="I244" s="64">
        <f t="shared" si="44"/>
        <v>77.709999999999994</v>
      </c>
      <c r="J244" s="64">
        <f t="shared" si="42"/>
        <v>97.03</v>
      </c>
      <c r="K244" s="65">
        <f t="shared" si="43"/>
        <v>85.25</v>
      </c>
      <c r="M244" s="70">
        <f t="shared" si="46"/>
        <v>2036</v>
      </c>
      <c r="N244" s="67">
        <f t="shared" si="48"/>
        <v>49919</v>
      </c>
      <c r="P244" s="68">
        <f>IF('Monthly Levelized'!$K$5+'Monthly Levelized'!$L$5&lt;&gt;0,IFERROR(VLOOKUP(B244,'Monthly Levelized'!$G$5:$I$25,3,FALSE),P243),1)</f>
        <v>1</v>
      </c>
      <c r="Q244" s="213" t="str">
        <f t="shared" si="47"/>
        <v>Summer</v>
      </c>
      <c r="S244" s="214"/>
      <c r="T244" s="214"/>
      <c r="U244" s="214"/>
      <c r="V244" s="214"/>
    </row>
    <row r="245" spans="2:22" outlineLevel="1" x14ac:dyDescent="0.25">
      <c r="B245" s="67">
        <f t="shared" si="45"/>
        <v>49949</v>
      </c>
      <c r="C245" s="61">
        <f>'[1]Table 5'!E245*P245</f>
        <v>185108.28533801436</v>
      </c>
      <c r="D245" s="62">
        <f>IFERROR(G245*'MWH-Split'!S231*'MWH-Split'!U231,"")</f>
        <v>153746.92248876332</v>
      </c>
      <c r="E245" s="63">
        <f>IFERROR(H245*'MWH-Split'!T231*'MWH-Split'!U231,"")</f>
        <v>20967.851327817563</v>
      </c>
      <c r="F245" s="62">
        <f>'[1]Table 5'!F245*P245</f>
        <v>1929.905</v>
      </c>
      <c r="G245" s="62">
        <f>IF('MWH-Split'!N231&lt;&gt;0,'MWH-Split'!N231*P245,"")</f>
        <v>1680.48</v>
      </c>
      <c r="H245" s="63">
        <f>IF('MWH-Split'!O231&lt;&gt;0,'MWH-Split'!O231*P245,"")</f>
        <v>249.42500000000001</v>
      </c>
      <c r="I245" s="64">
        <f t="shared" si="44"/>
        <v>95.92</v>
      </c>
      <c r="J245" s="64">
        <f t="shared" si="42"/>
        <v>91.49</v>
      </c>
      <c r="K245" s="65">
        <f t="shared" si="43"/>
        <v>84.06</v>
      </c>
      <c r="M245" s="70">
        <f t="shared" si="46"/>
        <v>2036</v>
      </c>
      <c r="N245" s="67">
        <f t="shared" si="48"/>
        <v>49949</v>
      </c>
      <c r="P245" s="68">
        <f>IF('Monthly Levelized'!$K$5+'Monthly Levelized'!$L$5&lt;&gt;0,IFERROR(VLOOKUP(B245,'Monthly Levelized'!$G$5:$I$25,3,FALSE),P244),1)</f>
        <v>1</v>
      </c>
      <c r="Q245" s="213" t="str">
        <f t="shared" si="47"/>
        <v>Winter</v>
      </c>
      <c r="S245" s="214"/>
      <c r="T245" s="214"/>
      <c r="U245" s="214"/>
      <c r="V245" s="214"/>
    </row>
    <row r="246" spans="2:22" outlineLevel="1" x14ac:dyDescent="0.25">
      <c r="B246" s="67">
        <f t="shared" si="45"/>
        <v>49980</v>
      </c>
      <c r="C246" s="61">
        <f>'[1]Table 5'!E246*P246</f>
        <v>185259.4833945334</v>
      </c>
      <c r="D246" s="62">
        <f>IFERROR(G246*'MWH-Split'!S232*'MWH-Split'!U232,"")</f>
        <v>95296.940364639479</v>
      </c>
      <c r="E246" s="63">
        <f>IFERROR(H246*'MWH-Split'!T232*'MWH-Split'!U232,"")</f>
        <v>22404.551416792936</v>
      </c>
      <c r="F246" s="62">
        <f>'[1]Table 5'!F246*P246</f>
        <v>1299.8699999999999</v>
      </c>
      <c r="G246" s="62">
        <f>IF('MWH-Split'!N232&lt;&gt;0,'MWH-Split'!N232*P246,"")</f>
        <v>1039.896</v>
      </c>
      <c r="H246" s="63">
        <f>IF('MWH-Split'!O232&lt;&gt;0,'MWH-Split'!O232*P246,"")</f>
        <v>259.97399999999999</v>
      </c>
      <c r="I246" s="64">
        <f t="shared" si="44"/>
        <v>142.52000000000001</v>
      </c>
      <c r="J246" s="64">
        <f t="shared" si="42"/>
        <v>91.64</v>
      </c>
      <c r="K246" s="65">
        <f t="shared" si="43"/>
        <v>86.18</v>
      </c>
      <c r="M246" s="70">
        <f t="shared" si="46"/>
        <v>2036</v>
      </c>
      <c r="N246" s="67">
        <f t="shared" si="48"/>
        <v>49980</v>
      </c>
      <c r="P246" s="68">
        <f>IF('Monthly Levelized'!$K$5+'Monthly Levelized'!$L$5&lt;&gt;0,IFERROR(VLOOKUP(B246,'Monthly Levelized'!$G$5:$I$25,3,FALSE),P245),1)</f>
        <v>1</v>
      </c>
      <c r="Q246" s="213" t="str">
        <f t="shared" si="47"/>
        <v>Winter</v>
      </c>
      <c r="S246" s="214"/>
      <c r="T246" s="214"/>
      <c r="U246" s="214"/>
      <c r="V246" s="214"/>
    </row>
    <row r="247" spans="2:22" outlineLevel="1" x14ac:dyDescent="0.25">
      <c r="B247" s="78">
        <f t="shared" si="45"/>
        <v>50010</v>
      </c>
      <c r="C247" s="72">
        <f>'[1]Table 5'!E247*P247</f>
        <v>185353.1069803834</v>
      </c>
      <c r="D247" s="73">
        <f>IFERROR(G247*'MWH-Split'!S233*'MWH-Split'!U233,"")</f>
        <v>79238.420197068335</v>
      </c>
      <c r="E247" s="74">
        <f>IFERROR(H247*'MWH-Split'!T233*'MWH-Split'!U233,"")</f>
        <v>14680.926361682794</v>
      </c>
      <c r="F247" s="73">
        <f>'[1]Table 5'!F247*P247</f>
        <v>1002.819</v>
      </c>
      <c r="G247" s="73">
        <f>IF('MWH-Split'!N233&lt;&gt;0,'MWH-Split'!N233*P247,"")</f>
        <v>841.07399999999996</v>
      </c>
      <c r="H247" s="74">
        <f>IF('MWH-Split'!O233&lt;&gt;0,'MWH-Split'!O233*P247,"")</f>
        <v>161.745</v>
      </c>
      <c r="I247" s="75">
        <f t="shared" si="44"/>
        <v>184.83</v>
      </c>
      <c r="J247" s="75">
        <f t="shared" si="42"/>
        <v>94.21</v>
      </c>
      <c r="K247" s="76">
        <f t="shared" si="43"/>
        <v>90.77</v>
      </c>
      <c r="M247" s="77">
        <f t="shared" si="46"/>
        <v>2036</v>
      </c>
      <c r="N247" s="78">
        <f t="shared" si="48"/>
        <v>50010</v>
      </c>
      <c r="P247" s="79">
        <f>IF('Monthly Levelized'!$K$5+'Monthly Levelized'!$L$5&lt;&gt;0,IFERROR(VLOOKUP(B247,'Monthly Levelized'!$G$5:$I$25,3,FALSE),P246),1)</f>
        <v>1</v>
      </c>
      <c r="Q247" s="213" t="str">
        <f t="shared" si="47"/>
        <v>Winter</v>
      </c>
      <c r="S247" s="214"/>
      <c r="T247" s="214"/>
      <c r="U247" s="214"/>
      <c r="V247" s="214"/>
    </row>
    <row r="248" spans="2:22" hidden="1" x14ac:dyDescent="0.25">
      <c r="B248" s="80">
        <f t="shared" si="45"/>
        <v>50041</v>
      </c>
      <c r="C248" s="81">
        <f>'[1]Table 5'!E248*P248</f>
        <v>189794.33550139586</v>
      </c>
      <c r="D248" s="82">
        <f>IFERROR(G248*'MWH-Split'!S234*'MWH-Split'!U234,"")</f>
        <v>96712.096330489483</v>
      </c>
      <c r="E248" s="83">
        <f>IFERROR(H248*'MWH-Split'!T234*'MWH-Split'!U234,"")</f>
        <v>17734.414577797135</v>
      </c>
      <c r="F248" s="82">
        <f>'[1]Table 5'!F248*P248</f>
        <v>1197.1579999999999</v>
      </c>
      <c r="G248" s="82">
        <f>IF('MWH-Split'!N234&lt;&gt;0,'MWH-Split'!N234*P248,"")</f>
        <v>1004.068</v>
      </c>
      <c r="H248" s="83">
        <f>IF('MWH-Split'!O234&lt;&gt;0,'MWH-Split'!O234*P248,"")</f>
        <v>193.09</v>
      </c>
      <c r="I248" s="84">
        <f t="shared" si="44"/>
        <v>158.54</v>
      </c>
      <c r="J248" s="84">
        <f t="shared" si="42"/>
        <v>96.32</v>
      </c>
      <c r="K248" s="85">
        <f t="shared" si="43"/>
        <v>91.85</v>
      </c>
      <c r="M248" s="66">
        <f t="shared" si="46"/>
        <v>2037</v>
      </c>
      <c r="N248" s="67">
        <f t="shared" si="48"/>
        <v>50041</v>
      </c>
      <c r="P248" s="86">
        <f>IF('Monthly Levelized'!$K$5+'Monthly Levelized'!$L$5&lt;&gt;0,IFERROR(VLOOKUP(B248,'Monthly Levelized'!$G$5:$I$25,3,FALSE),P247),1)</f>
        <v>1</v>
      </c>
      <c r="Q248" s="213" t="str">
        <f t="shared" si="47"/>
        <v>Winter</v>
      </c>
      <c r="S248" s="214"/>
      <c r="T248" s="214"/>
      <c r="U248" s="214"/>
      <c r="V248" s="214"/>
    </row>
    <row r="249" spans="2:22" outlineLevel="1" x14ac:dyDescent="0.25">
      <c r="B249" s="67">
        <f t="shared" si="45"/>
        <v>50072</v>
      </c>
      <c r="C249" s="61">
        <f>'[1]Table 5'!E249*P249</f>
        <v>189783.40233697812</v>
      </c>
      <c r="D249" s="62">
        <f>IFERROR(G249*'MWH-Split'!S235*'MWH-Split'!U235,"")</f>
        <v>110422.51511740305</v>
      </c>
      <c r="E249" s="63">
        <f>IFERROR(H249*'MWH-Split'!T235*'MWH-Split'!U235,"")</f>
        <v>17592.683547415989</v>
      </c>
      <c r="F249" s="62">
        <f>'[1]Table 5'!F249*P249</f>
        <v>1339.856</v>
      </c>
      <c r="G249" s="62">
        <f>IF('MWH-Split'!N235&lt;&gt;0,'MWH-Split'!N235*P249,"")</f>
        <v>1148.4480000000001</v>
      </c>
      <c r="H249" s="63">
        <f>IF('MWH-Split'!O235&lt;&gt;0,'MWH-Split'!O235*P249,"")</f>
        <v>191.40799999999999</v>
      </c>
      <c r="I249" s="64">
        <f t="shared" si="44"/>
        <v>141.63999999999999</v>
      </c>
      <c r="J249" s="64">
        <f t="shared" si="42"/>
        <v>96.15</v>
      </c>
      <c r="K249" s="65">
        <f t="shared" si="43"/>
        <v>91.91</v>
      </c>
      <c r="M249" s="70">
        <f t="shared" si="46"/>
        <v>2037</v>
      </c>
      <c r="N249" s="67">
        <f t="shared" si="48"/>
        <v>50072</v>
      </c>
      <c r="P249" s="68">
        <f>IF('Monthly Levelized'!$K$5+'Monthly Levelized'!$L$5&lt;&gt;0,IFERROR(VLOOKUP(B249,'Monthly Levelized'!$G$5:$I$25,3,FALSE),P248),1)</f>
        <v>1</v>
      </c>
      <c r="Q249" s="213" t="str">
        <f t="shared" si="47"/>
        <v>Winter</v>
      </c>
      <c r="S249" s="214"/>
      <c r="T249" s="214"/>
      <c r="U249" s="214"/>
      <c r="V249" s="214"/>
    </row>
    <row r="250" spans="2:22" outlineLevel="1" x14ac:dyDescent="0.25">
      <c r="B250" s="67">
        <f t="shared" si="45"/>
        <v>50100</v>
      </c>
      <c r="C250" s="61">
        <f>'[1]Table 5'!E250*P250</f>
        <v>189522.547000163</v>
      </c>
      <c r="D250" s="62">
        <f>IFERROR(G250*'MWH-Split'!S236*'MWH-Split'!U236,"")</f>
        <v>151478.30711148254</v>
      </c>
      <c r="E250" s="63">
        <f>IFERROR(H250*'MWH-Split'!T236*'MWH-Split'!U236,"")</f>
        <v>28622.019800902592</v>
      </c>
      <c r="F250" s="62">
        <f>'[1]Table 5'!F250*P250</f>
        <v>2086.672</v>
      </c>
      <c r="G250" s="62">
        <f>IF('MWH-Split'!N236&lt;&gt;0,'MWH-Split'!N236*P250,"")</f>
        <v>1749.4359999999999</v>
      </c>
      <c r="H250" s="63">
        <f>IF('MWH-Split'!O236&lt;&gt;0,'MWH-Split'!O236*P250,"")</f>
        <v>337.23599999999999</v>
      </c>
      <c r="I250" s="64">
        <f t="shared" si="44"/>
        <v>90.83</v>
      </c>
      <c r="J250" s="64">
        <f t="shared" si="42"/>
        <v>86.59</v>
      </c>
      <c r="K250" s="65">
        <f t="shared" si="43"/>
        <v>84.87</v>
      </c>
      <c r="M250" s="70">
        <f t="shared" si="46"/>
        <v>2037</v>
      </c>
      <c r="N250" s="67">
        <f t="shared" si="48"/>
        <v>50100</v>
      </c>
      <c r="P250" s="68">
        <f>IF('Monthly Levelized'!$K$5+'Monthly Levelized'!$L$5&lt;&gt;0,IFERROR(VLOOKUP(B250,'Monthly Levelized'!$G$5:$I$25,3,FALSE),P249),1)</f>
        <v>1</v>
      </c>
      <c r="Q250" s="213" t="str">
        <f t="shared" si="47"/>
        <v>Winter</v>
      </c>
      <c r="S250" s="214"/>
      <c r="T250" s="214"/>
      <c r="U250" s="214"/>
      <c r="V250" s="214"/>
    </row>
    <row r="251" spans="2:22" outlineLevel="1" x14ac:dyDescent="0.25">
      <c r="B251" s="67">
        <f t="shared" si="45"/>
        <v>50131</v>
      </c>
      <c r="C251" s="61">
        <f>'[1]Table 5'!E251*P251</f>
        <v>189347.59216564219</v>
      </c>
      <c r="D251" s="62">
        <f>IFERROR(G251*'MWH-Split'!S237*'MWH-Split'!U237,"")</f>
        <v>162730.25467635944</v>
      </c>
      <c r="E251" s="63">
        <f>IFERROR(H251*'MWH-Split'!T237*'MWH-Split'!U237,"")</f>
        <v>26880.164188460985</v>
      </c>
      <c r="F251" s="62">
        <f>'[1]Table 5'!F251*P251</f>
        <v>2410.0500000000002</v>
      </c>
      <c r="G251" s="62">
        <f>IF('MWH-Split'!N237&lt;&gt;0,'MWH-Split'!N237*P251,"")</f>
        <v>2052.0500000000002</v>
      </c>
      <c r="H251" s="63">
        <f>IF('MWH-Split'!O237&lt;&gt;0,'MWH-Split'!O237*P251,"")</f>
        <v>358</v>
      </c>
      <c r="I251" s="64">
        <f t="shared" si="44"/>
        <v>78.569999999999993</v>
      </c>
      <c r="J251" s="64">
        <f t="shared" si="42"/>
        <v>79.3</v>
      </c>
      <c r="K251" s="65">
        <f t="shared" si="43"/>
        <v>75.08</v>
      </c>
      <c r="M251" s="70">
        <f t="shared" si="46"/>
        <v>2037</v>
      </c>
      <c r="N251" s="67">
        <f t="shared" si="48"/>
        <v>50131</v>
      </c>
      <c r="P251" s="68">
        <f>IF('Monthly Levelized'!$K$5+'Monthly Levelized'!$L$5&lt;&gt;0,IFERROR(VLOOKUP(B251,'Monthly Levelized'!$G$5:$I$25,3,FALSE),P250),1)</f>
        <v>1</v>
      </c>
      <c r="Q251" s="213" t="str">
        <f t="shared" si="47"/>
        <v>Winter</v>
      </c>
      <c r="S251" s="214"/>
      <c r="T251" s="214"/>
      <c r="U251" s="214"/>
      <c r="V251" s="214"/>
    </row>
    <row r="252" spans="2:22" outlineLevel="1" x14ac:dyDescent="0.25">
      <c r="B252" s="67">
        <f t="shared" si="45"/>
        <v>50161</v>
      </c>
      <c r="C252" s="61">
        <f>'[1]Table 5'!E252*P252</f>
        <v>189183.27718635718</v>
      </c>
      <c r="D252" s="62">
        <f>IFERROR(G252*'MWH-Split'!S238*'MWH-Split'!U238,"")</f>
        <v>173138.40505919367</v>
      </c>
      <c r="E252" s="63">
        <f>IFERROR(H252*'MWH-Split'!T238*'MWH-Split'!U238,"")</f>
        <v>49494.699435590192</v>
      </c>
      <c r="F252" s="62">
        <f>'[1]Table 5'!F252*P252</f>
        <v>2789.8760000000002</v>
      </c>
      <c r="G252" s="62">
        <f>IF('MWH-Split'!N238&lt;&gt;0,'MWH-Split'!N238*P252,"")</f>
        <v>2135.6750000000002</v>
      </c>
      <c r="H252" s="63">
        <f>IF('MWH-Split'!O238&lt;&gt;0,'MWH-Split'!O238*P252,"")</f>
        <v>654.20100000000002</v>
      </c>
      <c r="I252" s="64">
        <f t="shared" si="44"/>
        <v>67.81</v>
      </c>
      <c r="J252" s="64">
        <f t="shared" si="42"/>
        <v>81.069999999999993</v>
      </c>
      <c r="K252" s="65">
        <f t="shared" si="43"/>
        <v>75.66</v>
      </c>
      <c r="M252" s="70">
        <f t="shared" si="46"/>
        <v>2037</v>
      </c>
      <c r="N252" s="67">
        <f t="shared" si="48"/>
        <v>50161</v>
      </c>
      <c r="P252" s="68">
        <f>IF('Monthly Levelized'!$K$5+'Monthly Levelized'!$L$5&lt;&gt;0,IFERROR(VLOOKUP(B252,'Monthly Levelized'!$G$5:$I$25,3,FALSE),P251),1)</f>
        <v>1</v>
      </c>
      <c r="Q252" s="213" t="str">
        <f t="shared" si="47"/>
        <v>Winter</v>
      </c>
      <c r="S252" s="214"/>
      <c r="T252" s="214"/>
      <c r="U252" s="214"/>
      <c r="V252" s="214"/>
    </row>
    <row r="253" spans="2:22" outlineLevel="1" x14ac:dyDescent="0.25">
      <c r="B253" s="67">
        <f t="shared" si="45"/>
        <v>50192</v>
      </c>
      <c r="C253" s="61">
        <f>'[1]Table 5'!E253*P253</f>
        <v>189188.31601824681</v>
      </c>
      <c r="D253" s="62">
        <f>IFERROR(G253*'MWH-Split'!S239*'MWH-Split'!U239,"")</f>
        <v>205686.85874843612</v>
      </c>
      <c r="E253" s="63">
        <f>IFERROR(H253*'MWH-Split'!T239*'MWH-Split'!U239,"")</f>
        <v>41813.379132116257</v>
      </c>
      <c r="F253" s="62">
        <f>'[1]Table 5'!F253*P253</f>
        <v>2963.88</v>
      </c>
      <c r="G253" s="62">
        <f>IF('MWH-Split'!N239&lt;&gt;0,'MWH-Split'!N239*P253,"")</f>
        <v>2421.328</v>
      </c>
      <c r="H253" s="63">
        <f>IF('MWH-Split'!O239&lt;&gt;0,'MWH-Split'!O239*P253,"")</f>
        <v>542.55200000000002</v>
      </c>
      <c r="I253" s="64">
        <f t="shared" si="44"/>
        <v>63.83</v>
      </c>
      <c r="J253" s="64">
        <f t="shared" si="42"/>
        <v>84.95</v>
      </c>
      <c r="K253" s="65">
        <f t="shared" si="43"/>
        <v>77.069999999999993</v>
      </c>
      <c r="M253" s="70">
        <f t="shared" si="46"/>
        <v>2037</v>
      </c>
      <c r="N253" s="67">
        <f t="shared" si="48"/>
        <v>50192</v>
      </c>
      <c r="P253" s="68">
        <f>IF('Monthly Levelized'!$K$5+'Monthly Levelized'!$L$5&lt;&gt;0,IFERROR(VLOOKUP(B253,'Monthly Levelized'!$G$5:$I$25,3,FALSE),P252),1)</f>
        <v>1</v>
      </c>
      <c r="Q253" s="213" t="str">
        <f t="shared" si="47"/>
        <v>Summer</v>
      </c>
      <c r="S253" s="214"/>
      <c r="T253" s="214"/>
      <c r="U253" s="214"/>
      <c r="V253" s="214"/>
    </row>
    <row r="254" spans="2:22" outlineLevel="1" x14ac:dyDescent="0.25">
      <c r="B254" s="67">
        <f t="shared" si="45"/>
        <v>50222</v>
      </c>
      <c r="C254" s="61">
        <f>'[1]Table 5'!E254*P254</f>
        <v>189563.12338935654</v>
      </c>
      <c r="D254" s="62">
        <f>IFERROR(G254*'MWH-Split'!S240*'MWH-Split'!U240,"")</f>
        <v>231928.2092274302</v>
      </c>
      <c r="E254" s="63">
        <f>IFERROR(H254*'MWH-Split'!T240*'MWH-Split'!U240,"")</f>
        <v>48025.214548966796</v>
      </c>
      <c r="F254" s="62">
        <f>'[1]Table 5'!F254*P254</f>
        <v>2682.7089999999998</v>
      </c>
      <c r="G254" s="62">
        <f>IF('MWH-Split'!N240&lt;&gt;0,'MWH-Split'!N240*P254,"")</f>
        <v>2150.33</v>
      </c>
      <c r="H254" s="63">
        <f>IF('MWH-Split'!O240&lt;&gt;0,'MWH-Split'!O240*P254,"")</f>
        <v>532.37900000000002</v>
      </c>
      <c r="I254" s="64">
        <f t="shared" si="44"/>
        <v>70.66</v>
      </c>
      <c r="J254" s="64">
        <f t="shared" si="42"/>
        <v>107.86</v>
      </c>
      <c r="K254" s="65">
        <f t="shared" si="43"/>
        <v>90.21</v>
      </c>
      <c r="M254" s="70">
        <f t="shared" si="46"/>
        <v>2037</v>
      </c>
      <c r="N254" s="67">
        <f t="shared" si="48"/>
        <v>50222</v>
      </c>
      <c r="P254" s="68">
        <f>IF('Monthly Levelized'!$K$5+'Monthly Levelized'!$L$5&lt;&gt;0,IFERROR(VLOOKUP(B254,'Monthly Levelized'!$G$5:$I$25,3,FALSE),P253),1)</f>
        <v>1</v>
      </c>
      <c r="Q254" s="213" t="str">
        <f t="shared" si="47"/>
        <v>Summer</v>
      </c>
      <c r="S254" s="214"/>
      <c r="T254" s="214"/>
      <c r="U254" s="214"/>
      <c r="V254" s="214"/>
    </row>
    <row r="255" spans="2:22" outlineLevel="1" x14ac:dyDescent="0.25">
      <c r="B255" s="67">
        <f t="shared" si="45"/>
        <v>50253</v>
      </c>
      <c r="C255" s="61">
        <f>'[1]Table 5'!E255*P255</f>
        <v>189640.30206703465</v>
      </c>
      <c r="D255" s="62">
        <f>IFERROR(G255*'MWH-Split'!S241*'MWH-Split'!U241,"")</f>
        <v>249905.08844393969</v>
      </c>
      <c r="E255" s="63">
        <f>IFERROR(H255*'MWH-Split'!T241*'MWH-Split'!U241,"")</f>
        <v>45602.104676257957</v>
      </c>
      <c r="F255" s="62">
        <f>'[1]Table 5'!F255*P255</f>
        <v>2687.049</v>
      </c>
      <c r="G255" s="62">
        <f>IF('MWH-Split'!N241&lt;&gt;0,'MWH-Split'!N241*P255,"")</f>
        <v>2203.2399999999998</v>
      </c>
      <c r="H255" s="63">
        <f>IF('MWH-Split'!O241&lt;&gt;0,'MWH-Split'!O241*P255,"")</f>
        <v>483.80900000000003</v>
      </c>
      <c r="I255" s="64">
        <f t="shared" si="44"/>
        <v>70.58</v>
      </c>
      <c r="J255" s="64">
        <f t="shared" si="42"/>
        <v>113.43</v>
      </c>
      <c r="K255" s="65">
        <f t="shared" si="43"/>
        <v>94.26</v>
      </c>
      <c r="M255" s="70">
        <f t="shared" si="46"/>
        <v>2037</v>
      </c>
      <c r="N255" s="67">
        <f t="shared" si="48"/>
        <v>50253</v>
      </c>
      <c r="P255" s="68">
        <f>IF('Monthly Levelized'!$K$5+'Monthly Levelized'!$L$5&lt;&gt;0,IFERROR(VLOOKUP(B255,'Monthly Levelized'!$G$5:$I$25,3,FALSE),P254),1)</f>
        <v>1</v>
      </c>
      <c r="Q255" s="213" t="str">
        <f t="shared" si="47"/>
        <v>Summer</v>
      </c>
      <c r="S255" s="214"/>
      <c r="T255" s="214"/>
      <c r="U255" s="214"/>
      <c r="V255" s="214"/>
    </row>
    <row r="256" spans="2:22" outlineLevel="1" x14ac:dyDescent="0.25">
      <c r="B256" s="67">
        <f t="shared" si="45"/>
        <v>50284</v>
      </c>
      <c r="C256" s="61">
        <f>'[1]Table 5'!E256*P256</f>
        <v>189564.0974028639</v>
      </c>
      <c r="D256" s="62">
        <f>IFERROR(G256*'MWH-Split'!S242*'MWH-Split'!U242,"")</f>
        <v>192479.64570833425</v>
      </c>
      <c r="E256" s="63">
        <f>IFERROR(H256*'MWH-Split'!T242*'MWH-Split'!U242,"")</f>
        <v>35505.891410101336</v>
      </c>
      <c r="F256" s="62">
        <f>'[1]Table 5'!F256*P256</f>
        <v>2368.59</v>
      </c>
      <c r="G256" s="62">
        <f>IF('MWH-Split'!N242&lt;&gt;0,'MWH-Split'!N242*P256,"")</f>
        <v>1958.95</v>
      </c>
      <c r="H256" s="63">
        <f>IF('MWH-Split'!O242&lt;&gt;0,'MWH-Split'!O242*P256,"")</f>
        <v>409.64</v>
      </c>
      <c r="I256" s="64">
        <f t="shared" si="44"/>
        <v>80.03</v>
      </c>
      <c r="J256" s="64">
        <f t="shared" si="42"/>
        <v>98.26</v>
      </c>
      <c r="K256" s="65">
        <f t="shared" si="43"/>
        <v>86.68</v>
      </c>
      <c r="M256" s="70">
        <f t="shared" si="46"/>
        <v>2037</v>
      </c>
      <c r="N256" s="67">
        <f t="shared" si="48"/>
        <v>50284</v>
      </c>
      <c r="P256" s="68">
        <f>IF('Monthly Levelized'!$K$5+'Monthly Levelized'!$L$5&lt;&gt;0,IFERROR(VLOOKUP(B256,'Monthly Levelized'!$G$5:$I$25,3,FALSE),P255),1)</f>
        <v>1</v>
      </c>
      <c r="Q256" s="213" t="str">
        <f t="shared" si="47"/>
        <v>Summer</v>
      </c>
      <c r="S256" s="214"/>
      <c r="T256" s="214"/>
      <c r="U256" s="214"/>
      <c r="V256" s="214"/>
    </row>
    <row r="257" spans="2:22" outlineLevel="1" x14ac:dyDescent="0.25">
      <c r="B257" s="67">
        <f t="shared" si="45"/>
        <v>50314</v>
      </c>
      <c r="C257" s="61">
        <f>'[1]Table 5'!E257*P257</f>
        <v>189596.77399935643</v>
      </c>
      <c r="D257" s="62">
        <f>IFERROR(G257*'MWH-Split'!S243*'MWH-Split'!U243,"")</f>
        <v>153977.67533392727</v>
      </c>
      <c r="E257" s="63">
        <f>IFERROR(H257*'MWH-Split'!T243*'MWH-Split'!U243,"")</f>
        <v>21085.684890966288</v>
      </c>
      <c r="F257" s="62">
        <f>'[1]Table 5'!F257*P257</f>
        <v>1920.2950000000001</v>
      </c>
      <c r="G257" s="62">
        <f>IF('MWH-Split'!N243&lt;&gt;0,'MWH-Split'!N243*P257,"")</f>
        <v>1672.11</v>
      </c>
      <c r="H257" s="63">
        <f>IF('MWH-Split'!O243&lt;&gt;0,'MWH-Split'!O243*P257,"")</f>
        <v>248.185</v>
      </c>
      <c r="I257" s="64">
        <f t="shared" si="44"/>
        <v>98.73</v>
      </c>
      <c r="J257" s="64">
        <f t="shared" si="42"/>
        <v>92.09</v>
      </c>
      <c r="K257" s="65">
        <f t="shared" si="43"/>
        <v>84.96</v>
      </c>
      <c r="M257" s="70">
        <f t="shared" si="46"/>
        <v>2037</v>
      </c>
      <c r="N257" s="67">
        <f t="shared" si="48"/>
        <v>50314</v>
      </c>
      <c r="P257" s="68">
        <f>IF('Monthly Levelized'!$K$5+'Monthly Levelized'!$L$5&lt;&gt;0,IFERROR(VLOOKUP(B257,'Monthly Levelized'!$G$5:$I$25,3,FALSE),P256),1)</f>
        <v>1</v>
      </c>
      <c r="Q257" s="213" t="str">
        <f t="shared" si="47"/>
        <v>Winter</v>
      </c>
      <c r="S257" s="214"/>
      <c r="T257" s="214"/>
      <c r="U257" s="214"/>
      <c r="V257" s="214"/>
    </row>
    <row r="258" spans="2:22" outlineLevel="1" x14ac:dyDescent="0.25">
      <c r="B258" s="67">
        <f t="shared" si="45"/>
        <v>50345</v>
      </c>
      <c r="C258" s="61">
        <f>'[1]Table 5'!E258*P258</f>
        <v>189814.43835764448</v>
      </c>
      <c r="D258" s="62">
        <f>IFERROR(G258*'MWH-Split'!S244*'MWH-Split'!U244,"")</f>
        <v>96999.25214046397</v>
      </c>
      <c r="E258" s="63">
        <f>IFERROR(H258*'MWH-Split'!T244*'MWH-Split'!U244,"")</f>
        <v>22570.392818558023</v>
      </c>
      <c r="F258" s="62">
        <f>'[1]Table 5'!F258*P258</f>
        <v>1293.3599999999999</v>
      </c>
      <c r="G258" s="62">
        <f>IF('MWH-Split'!N244&lt;&gt;0,'MWH-Split'!N244*P258,"")</f>
        <v>1034.6880000000001</v>
      </c>
      <c r="H258" s="63">
        <f>IF('MWH-Split'!O244&lt;&gt;0,'MWH-Split'!O244*P258,"")</f>
        <v>258.67200000000003</v>
      </c>
      <c r="I258" s="64">
        <f t="shared" si="44"/>
        <v>146.76</v>
      </c>
      <c r="J258" s="64">
        <f t="shared" si="42"/>
        <v>93.75</v>
      </c>
      <c r="K258" s="65">
        <f t="shared" si="43"/>
        <v>87.25</v>
      </c>
      <c r="M258" s="70">
        <f t="shared" si="46"/>
        <v>2037</v>
      </c>
      <c r="N258" s="67">
        <f t="shared" si="48"/>
        <v>50345</v>
      </c>
      <c r="P258" s="68">
        <f>IF('Monthly Levelized'!$K$5+'Monthly Levelized'!$L$5&lt;&gt;0,IFERROR(VLOOKUP(B258,'Monthly Levelized'!$G$5:$I$25,3,FALSE),P257),1)</f>
        <v>1</v>
      </c>
      <c r="Q258" s="213" t="str">
        <f t="shared" si="47"/>
        <v>Winter</v>
      </c>
      <c r="S258" s="214"/>
      <c r="T258" s="214"/>
      <c r="U258" s="214"/>
      <c r="V258" s="214"/>
    </row>
    <row r="259" spans="2:22" x14ac:dyDescent="0.25">
      <c r="B259" s="78">
        <f t="shared" si="45"/>
        <v>50375</v>
      </c>
      <c r="C259" s="72">
        <f>'[1]Table 5'!E259*P259</f>
        <v>189890.64517190377</v>
      </c>
      <c r="D259" s="73">
        <f>IFERROR(G259*'MWH-Split'!S245*'MWH-Split'!U245,"")</f>
        <v>79634.382104148928</v>
      </c>
      <c r="E259" s="74">
        <f>IFERROR(H259*'MWH-Split'!T245*'MWH-Split'!U245,"")</f>
        <v>14869.511568200765</v>
      </c>
      <c r="F259" s="73">
        <f>'[1]Table 5'!F259*P259</f>
        <v>997.79700000000003</v>
      </c>
      <c r="G259" s="73">
        <f>IF('MWH-Split'!N245&lt;&gt;0,'MWH-Split'!N245*P259,"")</f>
        <v>836.86199999999997</v>
      </c>
      <c r="H259" s="74">
        <f>IF('MWH-Split'!O245&lt;&gt;0,'MWH-Split'!O245*P259,"")</f>
        <v>160.935</v>
      </c>
      <c r="I259" s="75">
        <f t="shared" si="44"/>
        <v>190.31</v>
      </c>
      <c r="J259" s="75">
        <f t="shared" si="42"/>
        <v>95.16</v>
      </c>
      <c r="K259" s="76">
        <f t="shared" si="43"/>
        <v>92.39</v>
      </c>
      <c r="M259" s="77">
        <f t="shared" si="46"/>
        <v>2037</v>
      </c>
      <c r="N259" s="78">
        <f t="shared" si="48"/>
        <v>50375</v>
      </c>
      <c r="P259" s="79">
        <f>IF('Monthly Levelized'!$K$5+'Monthly Levelized'!$L$5&lt;&gt;0,IFERROR(VLOOKUP(B259,'Monthly Levelized'!$G$5:$I$25,3,FALSE),P258),1)</f>
        <v>1</v>
      </c>
      <c r="Q259" s="213" t="str">
        <f t="shared" si="47"/>
        <v>Winter</v>
      </c>
      <c r="S259" s="214"/>
      <c r="T259" s="214"/>
      <c r="U259" s="214"/>
      <c r="V259" s="214"/>
    </row>
    <row r="260" spans="2:22" hidden="1" x14ac:dyDescent="0.25">
      <c r="B260" s="80">
        <f t="shared" si="45"/>
        <v>50406</v>
      </c>
      <c r="C260" s="81" t="str">
        <f>IFERROR('[1]Table 5'!E260*P260,"")</f>
        <v/>
      </c>
      <c r="D260" s="82" t="str">
        <f>IFERROR(G260*'MWH-Split'!S246*'MWH-Split'!U246,"")</f>
        <v/>
      </c>
      <c r="E260" s="83" t="str">
        <f>IFERROR(H260*'MWH-Split'!T246*'MWH-Split'!U246,"")</f>
        <v/>
      </c>
      <c r="F260" s="82" t="str">
        <f>IF(F20="",IFERROR('[1]Table 5'!F260*P260,""),"")</f>
        <v/>
      </c>
      <c r="G260" s="82" t="str">
        <f>IFERROR(IF(F20="",'MWH-Split'!N246*P260,""),"")</f>
        <v/>
      </c>
      <c r="H260" s="83" t="str">
        <f>IFERROR(IF(F20="",'MWH-Split'!O246*P260,""),"")</f>
        <v/>
      </c>
      <c r="I260" s="84" t="str">
        <f>IFERROR(MAX(ROUND(IF(ISNUMBER(F260),C260/F260,""),2),0),"")</f>
        <v/>
      </c>
      <c r="J260" s="84" t="str">
        <f t="shared" ref="J260:K271" si="49">IFERROR(MAX(ROUND(IF(ISNUMBER(G260),D260/G260,""),2),0),"")</f>
        <v/>
      </c>
      <c r="K260" s="85" t="str">
        <f t="shared" si="49"/>
        <v/>
      </c>
      <c r="M260" s="66">
        <f t="shared" si="46"/>
        <v>2038</v>
      </c>
      <c r="N260" s="67" t="str">
        <f t="shared" si="48"/>
        <v/>
      </c>
      <c r="P260" s="86">
        <f>IF('Monthly Levelized'!$K$5+'Monthly Levelized'!$L$5&lt;&gt;0,IFERROR(VLOOKUP(B260,'Monthly Levelized'!$G$5:$I$25,3,FALSE),P259),1)</f>
        <v>1</v>
      </c>
      <c r="Q260" s="213" t="e">
        <f t="shared" si="47"/>
        <v>#VALUE!</v>
      </c>
      <c r="S260" s="214"/>
      <c r="T260" s="214"/>
      <c r="U260" s="214"/>
      <c r="V260" s="214"/>
    </row>
    <row r="261" spans="2:22" hidden="1" outlineLevel="1" x14ac:dyDescent="0.25">
      <c r="B261" s="67">
        <f t="shared" si="45"/>
        <v>50437</v>
      </c>
      <c r="C261" s="61" t="str">
        <f>IFERROR('[1]Table 5'!E261*P261,"")</f>
        <v/>
      </c>
      <c r="D261" s="62" t="str">
        <f>IFERROR(G261*'MWH-Split'!S247*'MWH-Split'!U247,"")</f>
        <v/>
      </c>
      <c r="E261" s="63" t="str">
        <f>IFERROR(H261*'MWH-Split'!T247*'MWH-Split'!U247,"")</f>
        <v/>
      </c>
      <c r="F261" s="62" t="str">
        <f>IF(F21="",IFERROR('[1]Table 5'!F261*P261,""),"")</f>
        <v/>
      </c>
      <c r="G261" s="62" t="str">
        <f>IFERROR(IF(F21="",'MWH-Split'!N247*P261,""),"")</f>
        <v/>
      </c>
      <c r="H261" s="63" t="str">
        <f>IFERROR(IF(F21="",'MWH-Split'!O247*P261,""),"")</f>
        <v/>
      </c>
      <c r="I261" s="64" t="str">
        <f t="shared" ref="I261:I271" si="50">IFERROR(MAX(ROUND(IF(ISNUMBER(F261),C261/F261,""),2),0),"")</f>
        <v/>
      </c>
      <c r="J261" s="64" t="str">
        <f t="shared" si="49"/>
        <v/>
      </c>
      <c r="K261" s="65" t="str">
        <f t="shared" si="49"/>
        <v/>
      </c>
      <c r="M261" s="70">
        <f t="shared" si="46"/>
        <v>2038</v>
      </c>
      <c r="N261" s="67" t="str">
        <f t="shared" si="48"/>
        <v/>
      </c>
      <c r="P261" s="68">
        <f>IF('Monthly Levelized'!$K$5+'Monthly Levelized'!$L$5&lt;&gt;0,IFERROR(VLOOKUP(B261,'Monthly Levelized'!$G$5:$I$25,3,FALSE),P260),1)</f>
        <v>1</v>
      </c>
      <c r="Q261" s="213" t="e">
        <f t="shared" si="47"/>
        <v>#VALUE!</v>
      </c>
      <c r="S261" s="214"/>
      <c r="T261" s="214"/>
      <c r="U261" s="214"/>
      <c r="V261" s="214"/>
    </row>
    <row r="262" spans="2:22" hidden="1" outlineLevel="1" x14ac:dyDescent="0.25">
      <c r="B262" s="67">
        <f t="shared" si="45"/>
        <v>50465</v>
      </c>
      <c r="C262" s="61" t="str">
        <f>IFERROR('[1]Table 5'!E262*P262,"")</f>
        <v/>
      </c>
      <c r="D262" s="62" t="str">
        <f>IFERROR(G262*'MWH-Split'!S248*'MWH-Split'!U248,"")</f>
        <v/>
      </c>
      <c r="E262" s="63" t="str">
        <f>IFERROR(H262*'MWH-Split'!T248*'MWH-Split'!U248,"")</f>
        <v/>
      </c>
      <c r="F262" s="62" t="str">
        <f>IF(F22="",IFERROR('[1]Table 5'!F262*P262,""),"")</f>
        <v/>
      </c>
      <c r="G262" s="62" t="str">
        <f>IFERROR(IF(F22="",'MWH-Split'!N248*P262,""),"")</f>
        <v/>
      </c>
      <c r="H262" s="63" t="str">
        <f>IFERROR(IF(F22="",'MWH-Split'!O248*P262,""),"")</f>
        <v/>
      </c>
      <c r="I262" s="64" t="str">
        <f t="shared" si="50"/>
        <v/>
      </c>
      <c r="J262" s="64" t="str">
        <f t="shared" si="49"/>
        <v/>
      </c>
      <c r="K262" s="65" t="str">
        <f t="shared" si="49"/>
        <v/>
      </c>
      <c r="M262" s="70">
        <f t="shared" si="46"/>
        <v>2038</v>
      </c>
      <c r="N262" s="67" t="str">
        <f t="shared" si="48"/>
        <v/>
      </c>
      <c r="P262" s="68">
        <f>IF('Monthly Levelized'!$K$5+'Monthly Levelized'!$L$5&lt;&gt;0,IFERROR(VLOOKUP(B262,'Monthly Levelized'!$G$5:$I$25,3,FALSE),P261),1)</f>
        <v>1</v>
      </c>
      <c r="Q262" s="213" t="e">
        <f t="shared" si="47"/>
        <v>#VALUE!</v>
      </c>
      <c r="S262" s="214"/>
      <c r="T262" s="214"/>
      <c r="U262" s="214"/>
      <c r="V262" s="214"/>
    </row>
    <row r="263" spans="2:22" hidden="1" outlineLevel="1" x14ac:dyDescent="0.25">
      <c r="B263" s="67">
        <f t="shared" si="45"/>
        <v>50496</v>
      </c>
      <c r="C263" s="61" t="str">
        <f>IFERROR('[1]Table 5'!E263*P263,"")</f>
        <v/>
      </c>
      <c r="D263" s="62" t="str">
        <f>IFERROR(G263*'MWH-Split'!S249*'MWH-Split'!U249,"")</f>
        <v/>
      </c>
      <c r="E263" s="63" t="str">
        <f>IFERROR(H263*'MWH-Split'!T249*'MWH-Split'!U249,"")</f>
        <v/>
      </c>
      <c r="F263" s="62" t="str">
        <f>IF(F23="",IFERROR('[1]Table 5'!F263*P263,""),"")</f>
        <v/>
      </c>
      <c r="G263" s="62" t="str">
        <f>IFERROR(IF(F23="",'MWH-Split'!N249*P263,""),"")</f>
        <v/>
      </c>
      <c r="H263" s="63" t="str">
        <f>IFERROR(IF(F23="",'MWH-Split'!O249*P263,""),"")</f>
        <v/>
      </c>
      <c r="I263" s="64" t="str">
        <f t="shared" si="50"/>
        <v/>
      </c>
      <c r="J263" s="64" t="str">
        <f t="shared" si="49"/>
        <v/>
      </c>
      <c r="K263" s="65" t="str">
        <f t="shared" si="49"/>
        <v/>
      </c>
      <c r="M263" s="70">
        <f t="shared" si="46"/>
        <v>2038</v>
      </c>
      <c r="N263" s="67" t="str">
        <f t="shared" si="48"/>
        <v/>
      </c>
      <c r="P263" s="68">
        <f>IF('Monthly Levelized'!$K$5+'Monthly Levelized'!$L$5&lt;&gt;0,IFERROR(VLOOKUP(B263,'Monthly Levelized'!$G$5:$I$25,3,FALSE),P262),1)</f>
        <v>1</v>
      </c>
      <c r="Q263" s="213" t="e">
        <f t="shared" si="47"/>
        <v>#VALUE!</v>
      </c>
      <c r="S263" s="214"/>
      <c r="T263" s="214"/>
      <c r="U263" s="214"/>
      <c r="V263" s="214"/>
    </row>
    <row r="264" spans="2:22" hidden="1" outlineLevel="1" x14ac:dyDescent="0.25">
      <c r="B264" s="67">
        <f t="shared" si="45"/>
        <v>50526</v>
      </c>
      <c r="C264" s="61" t="str">
        <f>IFERROR('[1]Table 5'!E264*P264,"")</f>
        <v/>
      </c>
      <c r="D264" s="62" t="str">
        <f>IFERROR(G264*'MWH-Split'!S250*'MWH-Split'!U250,"")</f>
        <v/>
      </c>
      <c r="E264" s="63" t="str">
        <f>IFERROR(H264*'MWH-Split'!T250*'MWH-Split'!U250,"")</f>
        <v/>
      </c>
      <c r="F264" s="62" t="str">
        <f>IF(F24="",IFERROR('[1]Table 5'!F264*P264,""),"")</f>
        <v/>
      </c>
      <c r="G264" s="62" t="str">
        <f>IFERROR(IF(F24="",'MWH-Split'!N250*P264,""),"")</f>
        <v/>
      </c>
      <c r="H264" s="63" t="str">
        <f>IFERROR(IF(F24="",'MWH-Split'!O250*P264,""),"")</f>
        <v/>
      </c>
      <c r="I264" s="64" t="str">
        <f t="shared" si="50"/>
        <v/>
      </c>
      <c r="J264" s="64" t="str">
        <f t="shared" si="49"/>
        <v/>
      </c>
      <c r="K264" s="65" t="str">
        <f t="shared" si="49"/>
        <v/>
      </c>
      <c r="M264" s="70">
        <f t="shared" si="46"/>
        <v>2038</v>
      </c>
      <c r="N264" s="67" t="str">
        <f t="shared" si="48"/>
        <v/>
      </c>
      <c r="P264" s="68">
        <f>IF('Monthly Levelized'!$K$5+'Monthly Levelized'!$L$5&lt;&gt;0,IFERROR(VLOOKUP(B264,'Monthly Levelized'!$G$5:$I$25,3,FALSE),P263),1)</f>
        <v>1</v>
      </c>
      <c r="Q264" s="213" t="e">
        <f t="shared" si="47"/>
        <v>#VALUE!</v>
      </c>
      <c r="S264" s="214"/>
      <c r="T264" s="214"/>
      <c r="U264" s="214"/>
      <c r="V264" s="214"/>
    </row>
    <row r="265" spans="2:22" hidden="1" outlineLevel="1" x14ac:dyDescent="0.25">
      <c r="B265" s="67">
        <f t="shared" si="45"/>
        <v>50557</v>
      </c>
      <c r="C265" s="61" t="str">
        <f>IFERROR('[1]Table 5'!E265*P265,"")</f>
        <v/>
      </c>
      <c r="D265" s="62" t="str">
        <f>IFERROR(G265*'MWH-Split'!S251*'MWH-Split'!U251,"")</f>
        <v/>
      </c>
      <c r="E265" s="63" t="str">
        <f>IFERROR(H265*'MWH-Split'!T251*'MWH-Split'!U251,"")</f>
        <v/>
      </c>
      <c r="F265" s="62" t="str">
        <f>IF(F25="",IFERROR('[1]Table 5'!F265*P265,""),"")</f>
        <v/>
      </c>
      <c r="G265" s="62" t="str">
        <f>IFERROR(IF(F25="",'MWH-Split'!N251*P265,""),"")</f>
        <v/>
      </c>
      <c r="H265" s="63" t="str">
        <f>IFERROR(IF(F25="",'MWH-Split'!O251*P265,""),"")</f>
        <v/>
      </c>
      <c r="I265" s="64" t="str">
        <f t="shared" si="50"/>
        <v/>
      </c>
      <c r="J265" s="64" t="str">
        <f t="shared" si="49"/>
        <v/>
      </c>
      <c r="K265" s="65" t="str">
        <f t="shared" si="49"/>
        <v/>
      </c>
      <c r="M265" s="70">
        <f t="shared" si="46"/>
        <v>2038</v>
      </c>
      <c r="N265" s="67" t="str">
        <f t="shared" si="48"/>
        <v/>
      </c>
      <c r="P265" s="68">
        <f>IF('Monthly Levelized'!$K$5+'Monthly Levelized'!$L$5&lt;&gt;0,IFERROR(VLOOKUP(B265,'Monthly Levelized'!$G$5:$I$25,3,FALSE),P264),1)</f>
        <v>1</v>
      </c>
      <c r="Q265" s="213" t="e">
        <f t="shared" si="47"/>
        <v>#VALUE!</v>
      </c>
      <c r="S265" s="214"/>
      <c r="T265" s="214"/>
      <c r="U265" s="214"/>
      <c r="V265" s="214"/>
    </row>
    <row r="266" spans="2:22" hidden="1" outlineLevel="1" x14ac:dyDescent="0.25">
      <c r="B266" s="67">
        <f t="shared" si="45"/>
        <v>50587</v>
      </c>
      <c r="C266" s="61">
        <f>IFERROR('[1]Table 5'!E266*P266,"")</f>
        <v>0</v>
      </c>
      <c r="D266" s="62" t="str">
        <f>IFERROR(G266*'MWH-Split'!S252*'MWH-Split'!U252,"")</f>
        <v/>
      </c>
      <c r="E266" s="63" t="str">
        <f>IFERROR(H266*'MWH-Split'!T252*'MWH-Split'!U252,"")</f>
        <v/>
      </c>
      <c r="F266" s="62" t="str">
        <f>IF(F26="",IFERROR('[1]Table 5'!F266*P266,""),"")</f>
        <v/>
      </c>
      <c r="G266" s="62" t="str">
        <f>IFERROR(IF(F26="",'MWH-Split'!N252*P266,""),"")</f>
        <v/>
      </c>
      <c r="H266" s="63" t="str">
        <f>IFERROR(IF(F26="",'MWH-Split'!O252*P266,""),"")</f>
        <v/>
      </c>
      <c r="I266" s="64" t="str">
        <f t="shared" si="50"/>
        <v/>
      </c>
      <c r="J266" s="64" t="str">
        <f t="shared" si="49"/>
        <v/>
      </c>
      <c r="K266" s="65" t="str">
        <f t="shared" si="49"/>
        <v/>
      </c>
      <c r="M266" s="70">
        <f t="shared" si="46"/>
        <v>2038</v>
      </c>
      <c r="N266" s="67" t="str">
        <f t="shared" si="48"/>
        <v/>
      </c>
      <c r="P266" s="68">
        <f>IF('Monthly Levelized'!$K$5+'Monthly Levelized'!$L$5&lt;&gt;0,IFERROR(VLOOKUP(B266,'Monthly Levelized'!$G$5:$I$25,3,FALSE),P265),1)</f>
        <v>1</v>
      </c>
      <c r="Q266" s="213" t="e">
        <f t="shared" si="47"/>
        <v>#VALUE!</v>
      </c>
      <c r="S266" s="214"/>
      <c r="T266" s="214"/>
      <c r="U266" s="214"/>
      <c r="V266" s="214"/>
    </row>
    <row r="267" spans="2:22" hidden="1" outlineLevel="1" x14ac:dyDescent="0.25">
      <c r="B267" s="67">
        <f t="shared" si="45"/>
        <v>50618</v>
      </c>
      <c r="C267" s="61">
        <f>IFERROR('[1]Table 5'!E267*P267,"")</f>
        <v>0</v>
      </c>
      <c r="D267" s="62" t="str">
        <f>IFERROR(G267*'MWH-Split'!S253*'MWH-Split'!U253,"")</f>
        <v/>
      </c>
      <c r="E267" s="63" t="str">
        <f>IFERROR(H267*'MWH-Split'!T253*'MWH-Split'!U253,"")</f>
        <v/>
      </c>
      <c r="F267" s="62" t="str">
        <f>IF(F27="",IFERROR('[1]Table 5'!F267*P267,""),"")</f>
        <v/>
      </c>
      <c r="G267" s="62" t="str">
        <f>IFERROR(IF(F27="",'MWH-Split'!N253*P267,""),"")</f>
        <v/>
      </c>
      <c r="H267" s="63" t="str">
        <f>IFERROR(IF(F27="",'MWH-Split'!O253*P267,""),"")</f>
        <v/>
      </c>
      <c r="I267" s="64" t="str">
        <f t="shared" si="50"/>
        <v/>
      </c>
      <c r="J267" s="64" t="str">
        <f t="shared" si="49"/>
        <v/>
      </c>
      <c r="K267" s="65" t="str">
        <f t="shared" si="49"/>
        <v/>
      </c>
      <c r="M267" s="70">
        <f t="shared" si="46"/>
        <v>2038</v>
      </c>
      <c r="N267" s="67" t="str">
        <f t="shared" si="48"/>
        <v/>
      </c>
      <c r="P267" s="68">
        <f>IF('Monthly Levelized'!$K$5+'Monthly Levelized'!$L$5&lt;&gt;0,IFERROR(VLOOKUP(B267,'Monthly Levelized'!$G$5:$I$25,3,FALSE),P266),1)</f>
        <v>1</v>
      </c>
      <c r="Q267" s="213" t="e">
        <f t="shared" si="47"/>
        <v>#VALUE!</v>
      </c>
      <c r="S267" s="214"/>
      <c r="T267" s="214"/>
      <c r="U267" s="214"/>
      <c r="V267" s="214"/>
    </row>
    <row r="268" spans="2:22" hidden="1" outlineLevel="1" x14ac:dyDescent="0.25">
      <c r="B268" s="67">
        <f t="shared" si="45"/>
        <v>50649</v>
      </c>
      <c r="C268" s="61">
        <f>IFERROR('[1]Table 5'!E268*P268,"")</f>
        <v>0</v>
      </c>
      <c r="D268" s="62" t="str">
        <f>IFERROR(G268*'MWH-Split'!S254*'MWH-Split'!U254,"")</f>
        <v/>
      </c>
      <c r="E268" s="63" t="str">
        <f>IFERROR(H268*'MWH-Split'!T254*'MWH-Split'!U254,"")</f>
        <v/>
      </c>
      <c r="F268" s="62" t="str">
        <f>IF(F28="",IFERROR('[1]Table 5'!F268*P268,""),"")</f>
        <v/>
      </c>
      <c r="G268" s="62" t="str">
        <f>IFERROR(IF(F28="",'MWH-Split'!N254*P268,""),"")</f>
        <v/>
      </c>
      <c r="H268" s="63" t="str">
        <f>IFERROR(IF(F28="",'MWH-Split'!O254*P268,""),"")</f>
        <v/>
      </c>
      <c r="I268" s="64" t="str">
        <f t="shared" si="50"/>
        <v/>
      </c>
      <c r="J268" s="64" t="str">
        <f t="shared" si="49"/>
        <v/>
      </c>
      <c r="K268" s="65" t="str">
        <f t="shared" si="49"/>
        <v/>
      </c>
      <c r="M268" s="70">
        <f t="shared" si="46"/>
        <v>2038</v>
      </c>
      <c r="N268" s="67" t="str">
        <f t="shared" si="48"/>
        <v/>
      </c>
      <c r="P268" s="68">
        <f>IF('Monthly Levelized'!$K$5+'Monthly Levelized'!$L$5&lt;&gt;0,IFERROR(VLOOKUP(B268,'Monthly Levelized'!$G$5:$I$25,3,FALSE),P267),1)</f>
        <v>1</v>
      </c>
      <c r="Q268" s="213" t="e">
        <f t="shared" si="47"/>
        <v>#VALUE!</v>
      </c>
      <c r="S268" s="214"/>
      <c r="T268" s="214"/>
      <c r="U268" s="214"/>
      <c r="V268" s="214"/>
    </row>
    <row r="269" spans="2:22" hidden="1" outlineLevel="1" x14ac:dyDescent="0.25">
      <c r="B269" s="67">
        <f t="shared" si="45"/>
        <v>50679</v>
      </c>
      <c r="C269" s="61">
        <f>IFERROR('[1]Table 5'!E269*P269,"")</f>
        <v>0</v>
      </c>
      <c r="D269" s="62" t="str">
        <f>IFERROR(G269*'MWH-Split'!S255*'MWH-Split'!U255,"")</f>
        <v/>
      </c>
      <c r="E269" s="63" t="str">
        <f>IFERROR(H269*'MWH-Split'!T255*'MWH-Split'!U255,"")</f>
        <v/>
      </c>
      <c r="F269" s="62" t="str">
        <f>IF(F29="",IFERROR('[1]Table 5'!F269*P269,""),"")</f>
        <v/>
      </c>
      <c r="G269" s="62" t="str">
        <f>IFERROR(IF(F29="",'MWH-Split'!N255*P269,""),"")</f>
        <v/>
      </c>
      <c r="H269" s="63" t="str">
        <f>IFERROR(IF(F29="",'MWH-Split'!O255*P269,""),"")</f>
        <v/>
      </c>
      <c r="I269" s="64" t="str">
        <f t="shared" si="50"/>
        <v/>
      </c>
      <c r="J269" s="64" t="str">
        <f t="shared" si="49"/>
        <v/>
      </c>
      <c r="K269" s="65" t="str">
        <f t="shared" si="49"/>
        <v/>
      </c>
      <c r="M269" s="70">
        <f t="shared" si="46"/>
        <v>2038</v>
      </c>
      <c r="N269" s="67" t="str">
        <f t="shared" si="48"/>
        <v/>
      </c>
      <c r="P269" s="68">
        <f>IF('Monthly Levelized'!$K$5+'Monthly Levelized'!$L$5&lt;&gt;0,IFERROR(VLOOKUP(B269,'Monthly Levelized'!$G$5:$I$25,3,FALSE),P268),1)</f>
        <v>1</v>
      </c>
      <c r="Q269" s="213" t="e">
        <f t="shared" si="47"/>
        <v>#VALUE!</v>
      </c>
      <c r="S269" s="214"/>
      <c r="T269" s="214"/>
      <c r="U269" s="214"/>
      <c r="V269" s="214"/>
    </row>
    <row r="270" spans="2:22" hidden="1" outlineLevel="1" x14ac:dyDescent="0.25">
      <c r="B270" s="67">
        <f t="shared" si="45"/>
        <v>50710</v>
      </c>
      <c r="C270" s="61">
        <f>IFERROR('[1]Table 5'!E270*P270,"")</f>
        <v>0</v>
      </c>
      <c r="D270" s="62" t="str">
        <f>IFERROR(G270*'MWH-Split'!S256*'MWH-Split'!U256,"")</f>
        <v/>
      </c>
      <c r="E270" s="63" t="str">
        <f>IFERROR(H270*'MWH-Split'!T256*'MWH-Split'!U256,"")</f>
        <v/>
      </c>
      <c r="F270" s="62" t="str">
        <f>IF(F30="",IFERROR('[1]Table 5'!F270*P270,""),"")</f>
        <v/>
      </c>
      <c r="G270" s="62" t="str">
        <f>IFERROR(IF(F30="",'MWH-Split'!N256*P270,""),"")</f>
        <v/>
      </c>
      <c r="H270" s="63" t="str">
        <f>IFERROR(IF(F30="",'MWH-Split'!O256*P270,""),"")</f>
        <v/>
      </c>
      <c r="I270" s="64" t="str">
        <f t="shared" si="50"/>
        <v/>
      </c>
      <c r="J270" s="64" t="str">
        <f t="shared" si="49"/>
        <v/>
      </c>
      <c r="K270" s="65" t="str">
        <f t="shared" si="49"/>
        <v/>
      </c>
      <c r="M270" s="70">
        <f t="shared" si="46"/>
        <v>2038</v>
      </c>
      <c r="N270" s="67" t="str">
        <f t="shared" si="48"/>
        <v/>
      </c>
      <c r="P270" s="68">
        <f>IF('Monthly Levelized'!$K$5+'Monthly Levelized'!$L$5&lt;&gt;0,IFERROR(VLOOKUP(B270,'Monthly Levelized'!$G$5:$I$25,3,FALSE),P269),1)</f>
        <v>1</v>
      </c>
      <c r="Q270" s="213" t="e">
        <f t="shared" si="47"/>
        <v>#VALUE!</v>
      </c>
      <c r="S270" s="214"/>
      <c r="T270" s="214"/>
      <c r="U270" s="214"/>
      <c r="V270" s="214"/>
    </row>
    <row r="271" spans="2:22" hidden="1" x14ac:dyDescent="0.25">
      <c r="B271" s="78">
        <f t="shared" si="45"/>
        <v>50740</v>
      </c>
      <c r="C271" s="72"/>
      <c r="D271" s="73" t="str">
        <f>IFERROR(G271*'MWH-Split'!S257*'MWH-Split'!U257,"")</f>
        <v/>
      </c>
      <c r="E271" s="74" t="str">
        <f>IFERROR(H271*'MWH-Split'!T257*'MWH-Split'!U257,"")</f>
        <v/>
      </c>
      <c r="F271" s="73" t="str">
        <f>IF(F31="",'[1]Table 5'!F271*P271,"")</f>
        <v/>
      </c>
      <c r="G271" s="73" t="str">
        <f>IFERROR(IF(F31="",'MWH-Split'!N257*P271,""),"")</f>
        <v/>
      </c>
      <c r="H271" s="74" t="str">
        <f>IFERROR(IF(F31="",'MWH-Split'!O257*P271,""),"")</f>
        <v/>
      </c>
      <c r="I271" s="75" t="str">
        <f t="shared" si="50"/>
        <v/>
      </c>
      <c r="J271" s="75" t="str">
        <f t="shared" si="49"/>
        <v/>
      </c>
      <c r="K271" s="76" t="str">
        <f t="shared" si="49"/>
        <v/>
      </c>
      <c r="M271" s="77">
        <f t="shared" si="46"/>
        <v>2038</v>
      </c>
      <c r="N271" s="78" t="str">
        <f t="shared" si="48"/>
        <v/>
      </c>
      <c r="P271" s="79">
        <f>IF('Monthly Levelized'!$K$5+'Monthly Levelized'!$L$5&lt;&gt;0,IFERROR(VLOOKUP(B271,'Monthly Levelized'!$G$5:$I$25,3,FALSE),P270),1)</f>
        <v>1</v>
      </c>
      <c r="Q271" s="213" t="e">
        <f t="shared" si="47"/>
        <v>#VALUE!</v>
      </c>
      <c r="R271" s="211">
        <f t="shared" ref="R271:R274" si="51">R270+1</f>
        <v>1</v>
      </c>
      <c r="S271" s="214">
        <f>IFERROR(SUMIFS(SourceEnergy!$D$20:$D$271,SourceEnergy!$Q$20:$Q$271,S$12,$M$20:$M$271,$R271)/SUMIFS(SourceEnergy!$G$20:$G$271,SourceEnergy!$Q$20:$Q$271,S$12,$M$20:$M$271,$R271),0)</f>
        <v>0</v>
      </c>
      <c r="T271" s="214">
        <f>IFERROR(SUMIFS(SourceEnergy!$D$20:$D$271,SourceEnergy!$Q$20:$Q$271,T$12,$M$20:$M$271,$R271)/SUMIFS(SourceEnergy!$G$20:$G$271,SourceEnergy!$Q$20:$Q$271,T$12,$M$20:$M$271,$R271),0)</f>
        <v>0</v>
      </c>
      <c r="U271" s="214">
        <f>IFERROR(SUMIFS(SourceEnergy!$E$20:$E$271,SourceEnergy!$Q$20:$Q$271,U$12,$M$20:$M$271,$R271)/SUMIFS(SourceEnergy!$H$20:$H$271,SourceEnergy!$Q$20:$Q$271,U$12,$M$20:$M$271,$R271),0)</f>
        <v>0</v>
      </c>
      <c r="V271" s="214">
        <f>IFERROR(SUMIFS(SourceEnergy!$E$20:$E$271,SourceEnergy!$Q$20:$Q$271,V$12,$M$20:$M$271,$R271)/SUMIFS(SourceEnergy!$H$20:$H$271,SourceEnergy!$Q$20:$Q$271,V$12,$M$20:$M$271,$R271),0)</f>
        <v>0</v>
      </c>
    </row>
    <row r="272" spans="2:22" hidden="1" x14ac:dyDescent="0.25">
      <c r="B272" s="87"/>
      <c r="Q272" s="213" t="str">
        <f t="shared" si="47"/>
        <v>Winter</v>
      </c>
      <c r="R272" s="211">
        <f t="shared" si="51"/>
        <v>2</v>
      </c>
      <c r="S272" s="214">
        <f>IFERROR(SUMIFS(SourceEnergy!$D$20:$D$271,SourceEnergy!$Q$20:$Q$271,S$12,$M$20:$M$271,$R272)/SUMIFS(SourceEnergy!$G$20:$G$271,SourceEnergy!$Q$20:$Q$271,S$12,$M$20:$M$271,$R272),0)</f>
        <v>0</v>
      </c>
      <c r="T272" s="214">
        <f>IFERROR(SUMIFS(SourceEnergy!$D$20:$D$271,SourceEnergy!$Q$20:$Q$271,T$12,$M$20:$M$271,$R272)/SUMIFS(SourceEnergy!$G$20:$G$271,SourceEnergy!$Q$20:$Q$271,T$12,$M$20:$M$271,$R272),0)</f>
        <v>0</v>
      </c>
      <c r="U272" s="214">
        <f>IFERROR(SUMIFS(SourceEnergy!$E$20:$E$271,SourceEnergy!$Q$20:$Q$271,U$12,$M$20:$M$271,$R272)/SUMIFS(SourceEnergy!$H$20:$H$271,SourceEnergy!$Q$20:$Q$271,U$12,$M$20:$M$271,$R272),0)</f>
        <v>0</v>
      </c>
      <c r="V272" s="214">
        <f>IFERROR(SUMIFS(SourceEnergy!$E$20:$E$271,SourceEnergy!$Q$20:$Q$271,V$12,$M$20:$M$271,$R272)/SUMIFS(SourceEnergy!$H$20:$H$271,SourceEnergy!$Q$20:$Q$271,V$12,$M$20:$M$271,$R272),0)</f>
        <v>0</v>
      </c>
    </row>
    <row r="273" spans="2:22" hidden="1" x14ac:dyDescent="0.25">
      <c r="B273" s="4" t="s">
        <v>89</v>
      </c>
      <c r="Q273" s="213" t="str">
        <f t="shared" si="47"/>
        <v>Winter</v>
      </c>
      <c r="R273" s="211">
        <f t="shared" si="51"/>
        <v>3</v>
      </c>
      <c r="S273" s="214">
        <f>IFERROR(SUMIFS(SourceEnergy!$D$20:$D$271,SourceEnergy!$Q$20:$Q$271,S$12,$M$20:$M$271,$R273)/SUMIFS(SourceEnergy!$G$20:$G$271,SourceEnergy!$Q$20:$Q$271,S$12,$M$20:$M$271,$R273),0)</f>
        <v>0</v>
      </c>
      <c r="T273" s="214">
        <f>IFERROR(SUMIFS(SourceEnergy!$D$20:$D$271,SourceEnergy!$Q$20:$Q$271,T$12,$M$20:$M$271,$R273)/SUMIFS(SourceEnergy!$G$20:$G$271,SourceEnergy!$Q$20:$Q$271,T$12,$M$20:$M$271,$R273),0)</f>
        <v>0</v>
      </c>
      <c r="U273" s="214">
        <f>IFERROR(SUMIFS(SourceEnergy!$E$20:$E$271,SourceEnergy!$Q$20:$Q$271,U$12,$M$20:$M$271,$R273)/SUMIFS(SourceEnergy!$H$20:$H$271,SourceEnergy!$Q$20:$Q$271,U$12,$M$20:$M$271,$R273),0)</f>
        <v>0</v>
      </c>
      <c r="V273" s="214">
        <f>IFERROR(SUMIFS(SourceEnergy!$E$20:$E$271,SourceEnergy!$Q$20:$Q$271,V$12,$M$20:$M$271,$R273)/SUMIFS(SourceEnergy!$H$20:$H$271,SourceEnergy!$Q$20:$Q$271,V$12,$M$20:$M$271,$R273),0)</f>
        <v>0</v>
      </c>
    </row>
    <row r="274" spans="2:22" hidden="1" x14ac:dyDescent="0.25">
      <c r="B274" s="4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74" s="213" t="str">
        <f t="shared" si="47"/>
        <v>Winter</v>
      </c>
      <c r="R274" s="211">
        <f t="shared" si="51"/>
        <v>4</v>
      </c>
      <c r="S274" s="214">
        <f>IFERROR(SUMIFS(SourceEnergy!$D$20:$D$271,SourceEnergy!$Q$20:$Q$271,S$12,$M$20:$M$271,$R274)/SUMIFS(SourceEnergy!$G$20:$G$271,SourceEnergy!$Q$20:$Q$271,S$12,$M$20:$M$271,$R274),0)</f>
        <v>0</v>
      </c>
      <c r="T274" s="214">
        <f>IFERROR(SUMIFS(SourceEnergy!$D$20:$D$271,SourceEnergy!$Q$20:$Q$271,T$12,$M$20:$M$271,$R274)/SUMIFS(SourceEnergy!$G$20:$G$271,SourceEnergy!$Q$20:$Q$271,T$12,$M$20:$M$271,$R274),0)</f>
        <v>0</v>
      </c>
      <c r="U274" s="214">
        <f>IFERROR(SUMIFS(SourceEnergy!$E$20:$E$271,SourceEnergy!$Q$20:$Q$271,U$12,$M$20:$M$271,$R274)/SUMIFS(SourceEnergy!$H$20:$H$271,SourceEnergy!$Q$20:$Q$271,U$12,$M$20:$M$271,$R274),0)</f>
        <v>0</v>
      </c>
      <c r="V274" s="214">
        <f>IFERROR(SUMIFS(SourceEnergy!$E$20:$E$271,SourceEnergy!$Q$20:$Q$271,V$12,$M$20:$M$271,$R274)/SUMIFS(SourceEnergy!$H$20:$H$271,SourceEnergy!$Q$20:$Q$271,V$12,$M$20:$M$271,$R274),0)</f>
        <v>0</v>
      </c>
    </row>
    <row r="275" spans="2:22" x14ac:dyDescent="0.25">
      <c r="B275" s="4" t="str">
        <f>IF(Shape_Annually="Yes","NOTE:     'HLH' + 'LLH' dollars will match 'Total' dollars on an annual basis","")</f>
        <v>NOTE:     'HLH' + 'LLH' dollars will match 'Total' dollars on an annual basis</v>
      </c>
    </row>
    <row r="276" spans="2:22" x14ac:dyDescent="0.25">
      <c r="B276" s="88" t="str">
        <f>IF(SUM(F260:F270)&lt;&gt;0,"(b)  Energy Dollars in "&amp;YEAR(B260)&amp;" are "&amp;YEAR(B248)&amp;" x ("&amp;YEAR(B248)&amp;" / "&amp;YEAR(B200)&amp;" ) ^ (1/4)","")</f>
        <v/>
      </c>
    </row>
  </sheetData>
  <printOptions horizontalCentered="1"/>
  <pageMargins left="0.8" right="0.3" top="0.4" bottom="0.4" header="0.5" footer="0.2"/>
  <pageSetup scale="85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5" zoomScaleNormal="85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E4" sqref="E4"/>
    </sheetView>
  </sheetViews>
  <sheetFormatPr defaultRowHeight="15" customHeight="1" outlineLevelRow="1" x14ac:dyDescent="0.2"/>
  <cols>
    <col min="1" max="1" width="9.5703125" style="25" bestFit="1" customWidth="1"/>
    <col min="2" max="2" width="21.85546875" style="25" customWidth="1"/>
    <col min="3" max="4" width="9.140625" style="25" customWidth="1"/>
    <col min="5" max="5" width="11.42578125" style="25" customWidth="1"/>
    <col min="6" max="6" width="2.7109375" style="25" customWidth="1"/>
    <col min="7" max="7" width="9.5703125" style="25" bestFit="1" customWidth="1"/>
    <col min="8" max="8" width="16.85546875" style="25" customWidth="1"/>
    <col min="9" max="10" width="9.140625" style="25" customWidth="1"/>
    <col min="11" max="11" width="12.28515625" style="25" customWidth="1"/>
    <col min="12" max="12" width="2.7109375" style="25" customWidth="1"/>
    <col min="13" max="13" width="18.28515625" style="25" customWidth="1"/>
    <col min="14" max="14" width="16.28515625" style="25" customWidth="1"/>
    <col min="15" max="15" width="7.7109375" style="25" customWidth="1"/>
    <col min="16" max="16" width="11.140625" style="25" customWidth="1"/>
    <col min="17" max="17" width="2.28515625" style="25" customWidth="1"/>
    <col min="18" max="20" width="9.140625" style="25" customWidth="1"/>
    <col min="21" max="21" width="11.140625" style="25" customWidth="1"/>
    <col min="22" max="22" width="2.42578125" style="25" customWidth="1"/>
    <col min="23" max="23" width="20.28515625" style="25" customWidth="1"/>
    <col min="24" max="16384" width="9.140625" style="25"/>
  </cols>
  <sheetData>
    <row r="1" spans="1:24" ht="29.25" thickBot="1" x14ac:dyDescent="0.5">
      <c r="A1" s="89" t="str">
        <f>IF(AND(ABS($B$4-$E$4)&lt;0.0005,B6=H6,G6=EDATE(A6,120)),"Study OK","ERROR - Capacity Factor Test Failed")</f>
        <v>Study OK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W1" s="90" t="s">
        <v>88</v>
      </c>
      <c r="X1" s="91"/>
    </row>
    <row r="2" spans="1:24" ht="15" customHeight="1" x14ac:dyDescent="0.2">
      <c r="B2" s="30" t="s">
        <v>48</v>
      </c>
      <c r="C2" s="30"/>
      <c r="H2" s="30"/>
      <c r="I2" s="30"/>
      <c r="M2" s="92"/>
    </row>
    <row r="3" spans="1:24" ht="15" customHeight="1" x14ac:dyDescent="0.2">
      <c r="B3" s="93">
        <v>10</v>
      </c>
      <c r="C3" s="30" t="s">
        <v>49</v>
      </c>
      <c r="M3" s="92"/>
      <c r="R3" s="25" t="s">
        <v>56</v>
      </c>
      <c r="T3" s="94"/>
    </row>
    <row r="4" spans="1:24" ht="15" customHeight="1" x14ac:dyDescent="0.2">
      <c r="B4" s="95">
        <v>0.31060683789954335</v>
      </c>
      <c r="C4" s="30" t="s">
        <v>50</v>
      </c>
      <c r="E4" s="95">
        <f>SUM(P6:P17)/('MWH-Split'!B3*8760)</f>
        <v>0.31060683789954335</v>
      </c>
      <c r="R4" s="97"/>
      <c r="S4" s="98" t="s">
        <v>47</v>
      </c>
      <c r="T4" s="98"/>
      <c r="U4" s="99" t="s">
        <v>5</v>
      </c>
    </row>
    <row r="5" spans="1:24" ht="15" customHeight="1" thickBot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G5" s="25" t="s">
        <v>15</v>
      </c>
      <c r="H5" s="25" t="s">
        <v>16</v>
      </c>
      <c r="I5" s="25" t="s">
        <v>17</v>
      </c>
      <c r="J5" s="25" t="s">
        <v>18</v>
      </c>
      <c r="K5" s="25" t="s">
        <v>19</v>
      </c>
      <c r="M5" s="96" t="s">
        <v>20</v>
      </c>
      <c r="N5" s="25" t="s">
        <v>9</v>
      </c>
      <c r="O5" s="25" t="s">
        <v>10</v>
      </c>
      <c r="P5" s="25" t="s">
        <v>21</v>
      </c>
      <c r="R5" s="100" t="s">
        <v>2</v>
      </c>
      <c r="S5" s="100" t="s">
        <v>9</v>
      </c>
      <c r="T5" s="100" t="s">
        <v>10</v>
      </c>
      <c r="U5" s="101" t="s">
        <v>4</v>
      </c>
    </row>
    <row r="6" spans="1:24" ht="15" customHeight="1" x14ac:dyDescent="0.2">
      <c r="A6" s="206">
        <v>43101</v>
      </c>
      <c r="B6" t="s">
        <v>104</v>
      </c>
      <c r="C6" t="s">
        <v>101</v>
      </c>
      <c r="D6" t="s">
        <v>9</v>
      </c>
      <c r="E6">
        <v>1104.402</v>
      </c>
      <c r="F6" s="23"/>
      <c r="G6" s="200">
        <v>46753</v>
      </c>
      <c r="H6" s="201" t="s">
        <v>104</v>
      </c>
      <c r="I6" s="201" t="s">
        <v>101</v>
      </c>
      <c r="J6" s="201" t="s">
        <v>9</v>
      </c>
      <c r="K6" s="202">
        <v>1009.95</v>
      </c>
      <c r="M6" s="182">
        <f>A6</f>
        <v>43101</v>
      </c>
      <c r="N6" s="102">
        <f>SUMIFS($E$6:$E$245,$A$6:$A$245,$M6,$D$6:$D$245,N$5)</f>
        <v>1104.402</v>
      </c>
      <c r="O6" s="103">
        <f t="shared" ref="O6:O69" si="0">SUMIFS($E$6:$E$245,$A$6:$A$245,$M6,$D$6:$D$245,O$5)</f>
        <v>212.38499999999999</v>
      </c>
      <c r="P6" s="189">
        <f>N6+O6</f>
        <v>1316.787</v>
      </c>
      <c r="R6" s="104">
        <f>SourceEnergy!B20</f>
        <v>43101</v>
      </c>
      <c r="S6" s="105">
        <v>28.087499999999999</v>
      </c>
      <c r="T6" s="106">
        <v>25.48</v>
      </c>
      <c r="U6" s="107">
        <f>IF(ISNUMBER(SourceEnergy!$C20),IF(AND(Shape_Annually="Yes",Shape_Start&lt;=$W$6),$W$13,SourceEnergy!$C20/(SourceEnergy!$G20*S6+SourceEnergy!$H20*T6)),"")</f>
        <v>0.75761697878857459</v>
      </c>
      <c r="W6" s="108">
        <f>YEAR(M6)</f>
        <v>2018</v>
      </c>
      <c r="X6" s="109"/>
    </row>
    <row r="7" spans="1:24" ht="15" customHeight="1" x14ac:dyDescent="0.2">
      <c r="A7" s="206">
        <v>43101</v>
      </c>
      <c r="B7" t="s">
        <v>104</v>
      </c>
      <c r="C7" t="s">
        <v>101</v>
      </c>
      <c r="D7" t="s">
        <v>10</v>
      </c>
      <c r="E7">
        <v>212.38499999999999</v>
      </c>
      <c r="F7" s="23"/>
      <c r="G7" s="203">
        <v>46753</v>
      </c>
      <c r="H7" s="204" t="s">
        <v>104</v>
      </c>
      <c r="I7" s="204" t="s">
        <v>101</v>
      </c>
      <c r="J7" s="204" t="s">
        <v>10</v>
      </c>
      <c r="K7" s="205">
        <v>242.38800000000001</v>
      </c>
      <c r="M7" s="183">
        <f>EDATE(M6,1)</f>
        <v>43132</v>
      </c>
      <c r="N7" s="110">
        <f t="shared" ref="N7:O70" si="1">SUMIFS($E$6:$E$245,$A$6:$A$245,$M7,$D$6:$D$245,N$5)</f>
        <v>1263.1199999999999</v>
      </c>
      <c r="O7" s="111">
        <f t="shared" si="0"/>
        <v>210.52</v>
      </c>
      <c r="P7" s="190">
        <f t="shared" ref="P7:P70" si="2">N7+O7</f>
        <v>1473.6399999999999</v>
      </c>
      <c r="R7" s="112">
        <f>SourceEnergy!B21</f>
        <v>43132</v>
      </c>
      <c r="S7" s="113">
        <v>26.215</v>
      </c>
      <c r="T7" s="114">
        <v>24.745000000000001</v>
      </c>
      <c r="U7" s="115">
        <f>IF(ISNUMBER(SourceEnergy!$C21),IF(AND(Shape_Annually="Yes",Shape_Start&lt;=$W$6),$W$13,SourceEnergy!$C21/(SourceEnergy!$G21*S7+SourceEnergy!$H21*T7)),"")</f>
        <v>0.75761697878857459</v>
      </c>
      <c r="W7" s="25">
        <f>SUMPRODUCT(N6:N17,S6:S17)+SUMPRODUCT(O6:O17,T6:T17)</f>
        <v>693606.06345999998</v>
      </c>
      <c r="X7" s="25" t="s">
        <v>82</v>
      </c>
    </row>
    <row r="8" spans="1:24" ht="15" customHeight="1" x14ac:dyDescent="0.2">
      <c r="A8" s="206">
        <v>43132</v>
      </c>
      <c r="B8" t="s">
        <v>104</v>
      </c>
      <c r="C8" t="s">
        <v>101</v>
      </c>
      <c r="D8" t="s">
        <v>9</v>
      </c>
      <c r="E8">
        <v>1263.1199999999999</v>
      </c>
      <c r="F8" s="23"/>
      <c r="G8" s="203">
        <v>46784</v>
      </c>
      <c r="H8" s="204" t="s">
        <v>104</v>
      </c>
      <c r="I8" s="204" t="s">
        <v>101</v>
      </c>
      <c r="J8" s="204" t="s">
        <v>9</v>
      </c>
      <c r="K8" s="205">
        <v>1251.45</v>
      </c>
      <c r="M8" s="183">
        <f t="shared" ref="M8:M71" si="3">EDATE(M7,1)</f>
        <v>43160</v>
      </c>
      <c r="N8" s="110">
        <f t="shared" si="1"/>
        <v>1998.1890000000001</v>
      </c>
      <c r="O8" s="111">
        <f t="shared" si="0"/>
        <v>296.92700000000002</v>
      </c>
      <c r="P8" s="190">
        <f t="shared" si="2"/>
        <v>2295.116</v>
      </c>
      <c r="R8" s="112">
        <f>SourceEnergy!B22</f>
        <v>43160</v>
      </c>
      <c r="S8" s="113">
        <v>25.447500000000002</v>
      </c>
      <c r="T8" s="114">
        <v>22.574999999999999</v>
      </c>
      <c r="U8" s="115">
        <f>IF(ISNUMBER(SourceEnergy!$C22),IF(AND(Shape_Annually="Yes",Shape_Start&lt;=$W$6),$W$13,SourceEnergy!$C22/(SourceEnergy!$G22*S8+SourceEnergy!$H22*T8)),"")</f>
        <v>0.75761697878857459</v>
      </c>
    </row>
    <row r="9" spans="1:24" ht="15" customHeight="1" x14ac:dyDescent="0.2">
      <c r="A9" s="206">
        <v>43132</v>
      </c>
      <c r="B9" t="s">
        <v>104</v>
      </c>
      <c r="C9" t="s">
        <v>101</v>
      </c>
      <c r="D9" t="s">
        <v>10</v>
      </c>
      <c r="E9">
        <v>210.52</v>
      </c>
      <c r="F9" s="23"/>
      <c r="G9" s="203">
        <v>46784</v>
      </c>
      <c r="H9" s="204" t="s">
        <v>104</v>
      </c>
      <c r="I9" s="204" t="s">
        <v>101</v>
      </c>
      <c r="J9" s="204" t="s">
        <v>10</v>
      </c>
      <c r="K9" s="205">
        <v>200.232</v>
      </c>
      <c r="M9" s="183">
        <f t="shared" si="3"/>
        <v>43191</v>
      </c>
      <c r="N9" s="110">
        <f t="shared" si="1"/>
        <v>2170.3000000000002</v>
      </c>
      <c r="O9" s="111">
        <f t="shared" si="0"/>
        <v>480.59</v>
      </c>
      <c r="P9" s="190">
        <f t="shared" si="2"/>
        <v>2650.8900000000003</v>
      </c>
      <c r="R9" s="112">
        <f>SourceEnergy!B23</f>
        <v>43191</v>
      </c>
      <c r="S9" s="113">
        <v>20.125</v>
      </c>
      <c r="T9" s="114">
        <v>17.3</v>
      </c>
      <c r="U9" s="115">
        <f>IF(ISNUMBER(SourceEnergy!$C23),IF(AND(Shape_Annually="Yes",Shape_Start&lt;=$W$6),$W$13,SourceEnergy!$C23/(SourceEnergy!$G23*S9+SourceEnergy!$H23*T9)),"")</f>
        <v>0.75761697878857459</v>
      </c>
      <c r="W9" s="25">
        <f>VLOOKUP(W6,'[1]Table 5'!$L$23:$N$43,2,FALSE)</f>
        <v>525487.73026800156</v>
      </c>
      <c r="X9" s="25" t="s">
        <v>83</v>
      </c>
    </row>
    <row r="10" spans="1:24" ht="15" customHeight="1" x14ac:dyDescent="0.2">
      <c r="A10" s="206">
        <v>43160</v>
      </c>
      <c r="B10" t="s">
        <v>104</v>
      </c>
      <c r="C10" t="s">
        <v>101</v>
      </c>
      <c r="D10" t="s">
        <v>9</v>
      </c>
      <c r="E10">
        <v>1998.1890000000001</v>
      </c>
      <c r="F10" s="23"/>
      <c r="G10" s="203">
        <v>46813</v>
      </c>
      <c r="H10" s="204" t="s">
        <v>104</v>
      </c>
      <c r="I10" s="204" t="s">
        <v>101</v>
      </c>
      <c r="J10" s="204" t="s">
        <v>9</v>
      </c>
      <c r="K10" s="205">
        <v>1900.557</v>
      </c>
      <c r="M10" s="183">
        <f t="shared" si="3"/>
        <v>43221</v>
      </c>
      <c r="N10" s="110">
        <f t="shared" si="1"/>
        <v>2443.0120000000002</v>
      </c>
      <c r="O10" s="111">
        <f t="shared" si="0"/>
        <v>625.58500000000004</v>
      </c>
      <c r="P10" s="190">
        <f t="shared" si="2"/>
        <v>3068.5970000000002</v>
      </c>
      <c r="R10" s="112">
        <f>SourceEnergy!B24</f>
        <v>43221</v>
      </c>
      <c r="S10" s="113">
        <v>22.05</v>
      </c>
      <c r="T10" s="114">
        <v>17.087499999999999</v>
      </c>
      <c r="U10" s="115">
        <f>IF(ISNUMBER(SourceEnergy!$C24),IF(AND(Shape_Annually="Yes",Shape_Start&lt;=$W$6),$W$13,SourceEnergy!$C24/(SourceEnergy!$G24*S10+SourceEnergy!$H24*T10)),"")</f>
        <v>0.75761697878857459</v>
      </c>
      <c r="W10" s="25">
        <f>VLOOKUP(W6,'[1]Table 5'!$L$23:$N$43,3,FALSE)</f>
        <v>0</v>
      </c>
      <c r="X10" s="25" t="s">
        <v>84</v>
      </c>
    </row>
    <row r="11" spans="1:24" ht="15" customHeight="1" x14ac:dyDescent="0.2">
      <c r="A11" s="206">
        <v>43160</v>
      </c>
      <c r="B11" t="s">
        <v>104</v>
      </c>
      <c r="C11" t="s">
        <v>101</v>
      </c>
      <c r="D11" t="s">
        <v>10</v>
      </c>
      <c r="E11">
        <v>296.92700000000002</v>
      </c>
      <c r="F11" s="23"/>
      <c r="G11" s="203">
        <v>46813</v>
      </c>
      <c r="H11" s="204" t="s">
        <v>104</v>
      </c>
      <c r="I11" s="204" t="s">
        <v>101</v>
      </c>
      <c r="J11" s="204" t="s">
        <v>10</v>
      </c>
      <c r="K11" s="205">
        <v>282.40100000000001</v>
      </c>
      <c r="M11" s="183">
        <f t="shared" si="3"/>
        <v>43252</v>
      </c>
      <c r="N11" s="110">
        <f t="shared" si="1"/>
        <v>2663.31</v>
      </c>
      <c r="O11" s="111">
        <f t="shared" si="0"/>
        <v>596.76</v>
      </c>
      <c r="P11" s="190">
        <f t="shared" si="2"/>
        <v>3260.0699999999997</v>
      </c>
      <c r="R11" s="112">
        <f>SourceEnergy!B25</f>
        <v>43252</v>
      </c>
      <c r="S11" s="113">
        <v>24.875</v>
      </c>
      <c r="T11" s="114">
        <v>19.162500000000001</v>
      </c>
      <c r="U11" s="115">
        <f>IF(ISNUMBER(SourceEnergy!$C25),IF(AND(Shape_Annually="Yes",Shape_Start&lt;=$W$6),$W$13,SourceEnergy!$C25/(SourceEnergy!$G25*S11+SourceEnergy!$H25*T11)),"")</f>
        <v>0.75761697878857459</v>
      </c>
      <c r="W11" s="25">
        <f>W9+W10</f>
        <v>525487.73026800156</v>
      </c>
      <c r="X11" s="25" t="s">
        <v>85</v>
      </c>
    </row>
    <row r="12" spans="1:24" ht="15" customHeight="1" x14ac:dyDescent="0.2">
      <c r="A12" s="206">
        <v>43191</v>
      </c>
      <c r="B12" t="s">
        <v>104</v>
      </c>
      <c r="C12" t="s">
        <v>101</v>
      </c>
      <c r="D12" t="s">
        <v>9</v>
      </c>
      <c r="E12">
        <v>2170.3000000000002</v>
      </c>
      <c r="F12" s="23"/>
      <c r="G12" s="203">
        <v>46844</v>
      </c>
      <c r="H12" s="204" t="s">
        <v>104</v>
      </c>
      <c r="I12" s="204" t="s">
        <v>101</v>
      </c>
      <c r="J12" s="204" t="s">
        <v>9</v>
      </c>
      <c r="K12" s="205">
        <v>2064.1999999999998</v>
      </c>
      <c r="M12" s="183">
        <f t="shared" si="3"/>
        <v>43282</v>
      </c>
      <c r="N12" s="110">
        <f t="shared" si="1"/>
        <v>2274.25</v>
      </c>
      <c r="O12" s="111">
        <f t="shared" si="0"/>
        <v>676.51599999999996</v>
      </c>
      <c r="P12" s="190">
        <f t="shared" si="2"/>
        <v>2950.7660000000001</v>
      </c>
      <c r="R12" s="112">
        <f>SourceEnergy!B26</f>
        <v>43282</v>
      </c>
      <c r="S12" s="113">
        <v>33.6</v>
      </c>
      <c r="T12" s="114">
        <v>22.6875</v>
      </c>
      <c r="U12" s="115">
        <f>IF(ISNUMBER(SourceEnergy!$C26),IF(AND(Shape_Annually="Yes",Shape_Start&lt;=$W$6),$W$13,SourceEnergy!$C26/(SourceEnergy!$G26*S12+SourceEnergy!$H26*T12)),"")</f>
        <v>0.75761697878857459</v>
      </c>
    </row>
    <row r="13" spans="1:24" ht="15" customHeight="1" x14ac:dyDescent="0.2">
      <c r="A13" s="206">
        <v>43191</v>
      </c>
      <c r="B13" t="s">
        <v>104</v>
      </c>
      <c r="C13" t="s">
        <v>101</v>
      </c>
      <c r="D13" t="s">
        <v>10</v>
      </c>
      <c r="E13">
        <v>480.59</v>
      </c>
      <c r="F13" s="23"/>
      <c r="G13" s="203">
        <v>46844</v>
      </c>
      <c r="H13" s="204" t="s">
        <v>104</v>
      </c>
      <c r="I13" s="204" t="s">
        <v>101</v>
      </c>
      <c r="J13" s="204" t="s">
        <v>10</v>
      </c>
      <c r="K13" s="205">
        <v>457.09</v>
      </c>
      <c r="M13" s="183">
        <f t="shared" si="3"/>
        <v>43313</v>
      </c>
      <c r="N13" s="110">
        <f t="shared" si="1"/>
        <v>2516.616</v>
      </c>
      <c r="O13" s="111">
        <f t="shared" si="0"/>
        <v>438.95499999999998</v>
      </c>
      <c r="P13" s="190">
        <f t="shared" si="2"/>
        <v>2955.5709999999999</v>
      </c>
      <c r="R13" s="112">
        <f>SourceEnergy!B27</f>
        <v>43313</v>
      </c>
      <c r="S13" s="113">
        <v>33.22</v>
      </c>
      <c r="T13" s="114">
        <v>23.66</v>
      </c>
      <c r="U13" s="115">
        <f>IF(ISNUMBER(SourceEnergy!$C27),IF(AND(Shape_Annually="Yes",Shape_Start&lt;=$W$6),$W$13,SourceEnergy!$C27/(SourceEnergy!$G27*S13+SourceEnergy!$H27*T13)),"")</f>
        <v>0.75761697878857459</v>
      </c>
      <c r="W13" s="116">
        <f>W11/W7</f>
        <v>0.75761697878857459</v>
      </c>
      <c r="X13" s="25" t="s">
        <v>86</v>
      </c>
    </row>
    <row r="14" spans="1:24" ht="15" customHeight="1" x14ac:dyDescent="0.2">
      <c r="A14" s="206">
        <v>43221</v>
      </c>
      <c r="B14" t="s">
        <v>104</v>
      </c>
      <c r="C14" t="s">
        <v>101</v>
      </c>
      <c r="D14" t="s">
        <v>9</v>
      </c>
      <c r="E14">
        <v>2443.0120000000002</v>
      </c>
      <c r="F14" s="23"/>
      <c r="G14" s="203">
        <v>46874</v>
      </c>
      <c r="H14" s="204" t="s">
        <v>104</v>
      </c>
      <c r="I14" s="204" t="s">
        <v>101</v>
      </c>
      <c r="J14" s="204" t="s">
        <v>9</v>
      </c>
      <c r="K14" s="205">
        <v>2323.6460000000002</v>
      </c>
      <c r="M14" s="183">
        <f t="shared" si="3"/>
        <v>43344</v>
      </c>
      <c r="N14" s="110">
        <f t="shared" si="1"/>
        <v>2068.56</v>
      </c>
      <c r="O14" s="111">
        <f t="shared" si="0"/>
        <v>536.76</v>
      </c>
      <c r="P14" s="190">
        <f t="shared" si="2"/>
        <v>2605.3199999999997</v>
      </c>
      <c r="R14" s="112">
        <f>SourceEnergy!B28</f>
        <v>43344</v>
      </c>
      <c r="S14" s="113">
        <v>27.28</v>
      </c>
      <c r="T14" s="114">
        <v>21.302499999999998</v>
      </c>
      <c r="U14" s="115">
        <f>IF(ISNUMBER(SourceEnergy!$C28),IF(AND(Shape_Annually="Yes",Shape_Start&lt;=$W$6),$W$13,SourceEnergy!$C28/(SourceEnergy!$G28*S14+SourceEnergy!$H28*T14)),"")</f>
        <v>0.75761697878857459</v>
      </c>
    </row>
    <row r="15" spans="1:24" ht="15" customHeight="1" x14ac:dyDescent="0.2">
      <c r="A15" s="206">
        <v>43221</v>
      </c>
      <c r="B15" t="s">
        <v>104</v>
      </c>
      <c r="C15" t="s">
        <v>101</v>
      </c>
      <c r="D15" t="s">
        <v>10</v>
      </c>
      <c r="E15">
        <v>625.58500000000004</v>
      </c>
      <c r="F15" s="23"/>
      <c r="G15" s="203">
        <v>46874</v>
      </c>
      <c r="H15" s="204" t="s">
        <v>104</v>
      </c>
      <c r="I15" s="204" t="s">
        <v>101</v>
      </c>
      <c r="J15" s="204" t="s">
        <v>10</v>
      </c>
      <c r="K15" s="205">
        <v>595.03499999999997</v>
      </c>
      <c r="M15" s="183">
        <f t="shared" si="3"/>
        <v>43374</v>
      </c>
      <c r="N15" s="110">
        <f t="shared" si="1"/>
        <v>1839.2670000000001</v>
      </c>
      <c r="O15" s="111">
        <f t="shared" si="0"/>
        <v>272.98</v>
      </c>
      <c r="P15" s="190">
        <f t="shared" si="2"/>
        <v>2112.2470000000003</v>
      </c>
      <c r="R15" s="112">
        <f>SourceEnergy!B29</f>
        <v>43374</v>
      </c>
      <c r="S15" s="113">
        <v>24.5</v>
      </c>
      <c r="T15" s="114">
        <v>22.295000000000002</v>
      </c>
      <c r="U15" s="115">
        <f>IF(ISNUMBER(SourceEnergy!$C29),IF(AND(Shape_Annually="Yes",Shape_Start&lt;=$W$6),$W$13,SourceEnergy!$C29/(SourceEnergy!$G29*S15+SourceEnergy!$H29*T15)),"")</f>
        <v>0.75761697878857459</v>
      </c>
    </row>
    <row r="16" spans="1:24" ht="15" customHeight="1" x14ac:dyDescent="0.2">
      <c r="A16" s="206">
        <v>43252</v>
      </c>
      <c r="B16" t="s">
        <v>104</v>
      </c>
      <c r="C16" t="s">
        <v>101</v>
      </c>
      <c r="D16" t="s">
        <v>9</v>
      </c>
      <c r="E16">
        <v>2663.31</v>
      </c>
      <c r="F16" s="23"/>
      <c r="G16" s="203">
        <v>46905</v>
      </c>
      <c r="H16" s="204" t="s">
        <v>104</v>
      </c>
      <c r="I16" s="204" t="s">
        <v>101</v>
      </c>
      <c r="J16" s="204" t="s">
        <v>9</v>
      </c>
      <c r="K16" s="205">
        <v>2533.076</v>
      </c>
      <c r="M16" s="183">
        <f t="shared" si="3"/>
        <v>43405</v>
      </c>
      <c r="N16" s="110">
        <f t="shared" si="1"/>
        <v>1185.5</v>
      </c>
      <c r="O16" s="111">
        <f t="shared" si="0"/>
        <v>237.1</v>
      </c>
      <c r="P16" s="190">
        <f t="shared" si="2"/>
        <v>1422.6</v>
      </c>
      <c r="R16" s="112">
        <f>SourceEnergy!B30</f>
        <v>43405</v>
      </c>
      <c r="S16" s="113">
        <v>24.25</v>
      </c>
      <c r="T16" s="114">
        <v>21.712499999999999</v>
      </c>
      <c r="U16" s="115">
        <f>IF(ISNUMBER(SourceEnergy!$C30),IF(AND(Shape_Annually="Yes",Shape_Start&lt;=$W$6),$W$13,SourceEnergy!$C30/(SourceEnergy!$G30*S16+SourceEnergy!$H30*T16)),"")</f>
        <v>0.75761697878857459</v>
      </c>
    </row>
    <row r="17" spans="1:24" ht="15" customHeight="1" x14ac:dyDescent="0.2">
      <c r="A17" s="206">
        <v>43252</v>
      </c>
      <c r="B17" t="s">
        <v>104</v>
      </c>
      <c r="C17" t="s">
        <v>101</v>
      </c>
      <c r="D17" t="s">
        <v>10</v>
      </c>
      <c r="E17">
        <v>596.76</v>
      </c>
      <c r="F17" s="23"/>
      <c r="G17" s="203">
        <v>46905</v>
      </c>
      <c r="H17" s="204" t="s">
        <v>104</v>
      </c>
      <c r="I17" s="204" t="s">
        <v>101</v>
      </c>
      <c r="J17" s="204" t="s">
        <v>10</v>
      </c>
      <c r="K17" s="205">
        <v>567.57399999999996</v>
      </c>
      <c r="M17" s="184">
        <f t="shared" si="3"/>
        <v>43435</v>
      </c>
      <c r="N17" s="117">
        <f t="shared" si="1"/>
        <v>885.125</v>
      </c>
      <c r="O17" s="118">
        <f t="shared" si="0"/>
        <v>212.43</v>
      </c>
      <c r="P17" s="191">
        <f t="shared" si="2"/>
        <v>1097.5550000000001</v>
      </c>
      <c r="R17" s="119">
        <f>SourceEnergy!B31</f>
        <v>43435</v>
      </c>
      <c r="S17" s="120">
        <v>26.25</v>
      </c>
      <c r="T17" s="121">
        <v>24.342500000000001</v>
      </c>
      <c r="U17" s="122">
        <f>IF(ISNUMBER(SourceEnergy!$C31),IF(AND(Shape_Annually="Yes",Shape_Start&lt;=$W$6),$W$13,SourceEnergy!$C31/(SourceEnergy!$G31*S17+SourceEnergy!$H31*T17)),"")</f>
        <v>0.75761697878857459</v>
      </c>
    </row>
    <row r="18" spans="1:24" ht="15" customHeight="1" outlineLevel="1" x14ac:dyDescent="0.2">
      <c r="A18" s="206">
        <v>43282</v>
      </c>
      <c r="B18" t="s">
        <v>104</v>
      </c>
      <c r="C18" t="s">
        <v>101</v>
      </c>
      <c r="D18" t="s">
        <v>9</v>
      </c>
      <c r="E18">
        <v>2274.25</v>
      </c>
      <c r="F18" s="23"/>
      <c r="G18" s="203">
        <v>46935</v>
      </c>
      <c r="H18" s="204" t="s">
        <v>104</v>
      </c>
      <c r="I18" s="204" t="s">
        <v>101</v>
      </c>
      <c r="J18" s="204" t="s">
        <v>9</v>
      </c>
      <c r="K18" s="205">
        <v>2163.0250000000001</v>
      </c>
      <c r="M18" s="185">
        <f t="shared" si="3"/>
        <v>43466</v>
      </c>
      <c r="N18" s="102">
        <f t="shared" si="1"/>
        <v>1098.8900000000001</v>
      </c>
      <c r="O18" s="103">
        <f t="shared" si="0"/>
        <v>211.32499999999999</v>
      </c>
      <c r="P18" s="189">
        <f t="shared" si="2"/>
        <v>1310.2150000000001</v>
      </c>
      <c r="R18" s="104">
        <f>SourceEnergy!B32</f>
        <v>43466</v>
      </c>
      <c r="S18" s="105">
        <v>27.344000000000001</v>
      </c>
      <c r="T18" s="106">
        <v>26.02</v>
      </c>
      <c r="U18" s="107">
        <f>IF(AND(Shape_Annually="Yes",Shape_Start&lt;=W18),W25,IF(ISNUMBER(SourceEnergy!$C32),SourceEnergy!$C32/(SourceEnergy!$G32*S18+SourceEnergy!$H32*T18),""))</f>
        <v>0.66150312831998737</v>
      </c>
      <c r="W18" s="108">
        <f>YEAR(M18)</f>
        <v>2019</v>
      </c>
      <c r="X18" s="109"/>
    </row>
    <row r="19" spans="1:24" ht="15" customHeight="1" outlineLevel="1" x14ac:dyDescent="0.2">
      <c r="A19" s="206">
        <v>43282</v>
      </c>
      <c r="B19" t="s">
        <v>104</v>
      </c>
      <c r="C19" t="s">
        <v>101</v>
      </c>
      <c r="D19" t="s">
        <v>10</v>
      </c>
      <c r="E19">
        <v>676.51599999999996</v>
      </c>
      <c r="F19" s="23"/>
      <c r="G19" s="203">
        <v>46935</v>
      </c>
      <c r="H19" s="204" t="s">
        <v>104</v>
      </c>
      <c r="I19" s="204" t="s">
        <v>101</v>
      </c>
      <c r="J19" s="204" t="s">
        <v>10</v>
      </c>
      <c r="K19" s="205">
        <v>643.46699999999998</v>
      </c>
      <c r="M19" s="183">
        <f t="shared" si="3"/>
        <v>43497</v>
      </c>
      <c r="N19" s="110">
        <f t="shared" si="1"/>
        <v>1256.8320000000001</v>
      </c>
      <c r="O19" s="111">
        <f t="shared" si="0"/>
        <v>209.47200000000001</v>
      </c>
      <c r="P19" s="190">
        <f t="shared" si="2"/>
        <v>1466.3040000000001</v>
      </c>
      <c r="R19" s="112">
        <f>SourceEnergy!B33</f>
        <v>43497</v>
      </c>
      <c r="S19" s="113">
        <v>27.896999999999998</v>
      </c>
      <c r="T19" s="114">
        <v>25.754999999999999</v>
      </c>
      <c r="U19" s="115">
        <f>IF(AND(Shape_Annually="Yes",Shape_Start&lt;=W18),W25,IF(ISNUMBER(SourceEnergy!$C33),SourceEnergy!$C33/(SourceEnergy!$G33*S19+SourceEnergy!$H33*T19),""))</f>
        <v>0.66150312831998737</v>
      </c>
      <c r="W19" s="25">
        <f>SUMPRODUCT(N18:N29,S18:S29)+SUMPRODUCT(O18:O29,T18:T29)</f>
        <v>695161.77607350005</v>
      </c>
      <c r="X19" s="25" t="s">
        <v>82</v>
      </c>
    </row>
    <row r="20" spans="1:24" ht="15" customHeight="1" outlineLevel="1" x14ac:dyDescent="0.2">
      <c r="A20" s="206">
        <v>43313</v>
      </c>
      <c r="B20" t="s">
        <v>104</v>
      </c>
      <c r="C20" t="s">
        <v>101</v>
      </c>
      <c r="D20" t="s">
        <v>9</v>
      </c>
      <c r="E20">
        <v>2516.616</v>
      </c>
      <c r="F20" s="23"/>
      <c r="G20" s="203">
        <v>46966</v>
      </c>
      <c r="H20" s="204" t="s">
        <v>104</v>
      </c>
      <c r="I20" s="204" t="s">
        <v>101</v>
      </c>
      <c r="J20" s="204" t="s">
        <v>9</v>
      </c>
      <c r="K20" s="205">
        <v>2393.6039999999998</v>
      </c>
      <c r="M20" s="183">
        <f t="shared" si="3"/>
        <v>43525</v>
      </c>
      <c r="N20" s="110">
        <f t="shared" si="1"/>
        <v>1914.614</v>
      </c>
      <c r="O20" s="111">
        <f t="shared" si="0"/>
        <v>369.09399999999999</v>
      </c>
      <c r="P20" s="190">
        <f t="shared" si="2"/>
        <v>2283.7080000000001</v>
      </c>
      <c r="R20" s="112">
        <f>SourceEnergy!B34</f>
        <v>43525</v>
      </c>
      <c r="S20" s="113">
        <v>25.709</v>
      </c>
      <c r="T20" s="114">
        <v>24.225000000000001</v>
      </c>
      <c r="U20" s="115">
        <f>IF(AND(Shape_Annually="Yes",Shape_Start&lt;=W18),W25,IF(ISNUMBER(SourceEnergy!$C34),SourceEnergy!$C34/(SourceEnergy!$G34*S20+SourceEnergy!$H34*T20),""))</f>
        <v>0.66150312831998737</v>
      </c>
    </row>
    <row r="21" spans="1:24" ht="15" customHeight="1" outlineLevel="1" x14ac:dyDescent="0.2">
      <c r="A21" s="206">
        <v>43313</v>
      </c>
      <c r="B21" t="s">
        <v>104</v>
      </c>
      <c r="C21" t="s">
        <v>101</v>
      </c>
      <c r="D21" t="s">
        <v>10</v>
      </c>
      <c r="E21">
        <v>438.95499999999998</v>
      </c>
      <c r="F21" s="23"/>
      <c r="G21" s="203">
        <v>46966</v>
      </c>
      <c r="H21" s="204" t="s">
        <v>104</v>
      </c>
      <c r="I21" s="204" t="s">
        <v>101</v>
      </c>
      <c r="J21" s="204" t="s">
        <v>10</v>
      </c>
      <c r="K21" s="205">
        <v>417.50700000000001</v>
      </c>
      <c r="M21" s="183">
        <f t="shared" si="3"/>
        <v>43556</v>
      </c>
      <c r="N21" s="110">
        <f t="shared" si="1"/>
        <v>2245.8020000000001</v>
      </c>
      <c r="O21" s="111">
        <f t="shared" si="0"/>
        <v>391.82799999999997</v>
      </c>
      <c r="P21" s="190">
        <f t="shared" si="2"/>
        <v>2637.63</v>
      </c>
      <c r="R21" s="112">
        <f>SourceEnergy!B35</f>
        <v>43556</v>
      </c>
      <c r="S21" s="113">
        <v>20.295000000000002</v>
      </c>
      <c r="T21" s="114">
        <v>14.484999999999999</v>
      </c>
      <c r="U21" s="115">
        <f>IF(AND(Shape_Annually="Yes",Shape_Start&lt;=W18),W25,IF(ISNUMBER(SourceEnergy!$C35),SourceEnergy!$C35/(SourceEnergy!$G35*S21+SourceEnergy!$H35*T21),""))</f>
        <v>0.66150312831998737</v>
      </c>
      <c r="W21" s="25">
        <f>VLOOKUP(W18,'[1]Table 5'!$L$23:$N$43,2,FALSE)</f>
        <v>459851.68956109881</v>
      </c>
      <c r="X21" s="25" t="s">
        <v>83</v>
      </c>
    </row>
    <row r="22" spans="1:24" ht="15" customHeight="1" outlineLevel="1" x14ac:dyDescent="0.2">
      <c r="A22" s="206">
        <v>43344</v>
      </c>
      <c r="B22" t="s">
        <v>104</v>
      </c>
      <c r="C22" t="s">
        <v>101</v>
      </c>
      <c r="D22" t="s">
        <v>9</v>
      </c>
      <c r="E22">
        <v>2068.56</v>
      </c>
      <c r="F22" s="23"/>
      <c r="G22" s="203">
        <v>46997</v>
      </c>
      <c r="H22" s="204" t="s">
        <v>104</v>
      </c>
      <c r="I22" s="204" t="s">
        <v>101</v>
      </c>
      <c r="J22" s="204" t="s">
        <v>9</v>
      </c>
      <c r="K22" s="205">
        <v>2049.35</v>
      </c>
      <c r="M22" s="183">
        <f t="shared" si="3"/>
        <v>43586</v>
      </c>
      <c r="N22" s="110">
        <f t="shared" si="1"/>
        <v>2430.7919999999999</v>
      </c>
      <c r="O22" s="111">
        <f t="shared" si="0"/>
        <v>622.46</v>
      </c>
      <c r="P22" s="190">
        <f t="shared" si="2"/>
        <v>3053.252</v>
      </c>
      <c r="R22" s="112">
        <f>SourceEnergy!B36</f>
        <v>43586</v>
      </c>
      <c r="S22" s="113">
        <v>20.988</v>
      </c>
      <c r="T22" s="114">
        <v>10.39</v>
      </c>
      <c r="U22" s="115">
        <f>IF(AND(Shape_Annually="Yes",Shape_Start&lt;=W18),W25,IF(ISNUMBER(SourceEnergy!$C36),SourceEnergy!$C36/(SourceEnergy!$G36*S22+SourceEnergy!$H36*T22),""))</f>
        <v>0.66150312831998737</v>
      </c>
      <c r="W22" s="25">
        <f>VLOOKUP(W18,'[1]Table 5'!$L$23:$N$43,3,FALSE)</f>
        <v>0</v>
      </c>
      <c r="X22" s="25" t="s">
        <v>84</v>
      </c>
    </row>
    <row r="23" spans="1:24" ht="15" customHeight="1" outlineLevel="1" x14ac:dyDescent="0.2">
      <c r="A23" s="206">
        <v>43344</v>
      </c>
      <c r="B23" t="s">
        <v>104</v>
      </c>
      <c r="C23" t="s">
        <v>101</v>
      </c>
      <c r="D23" t="s">
        <v>10</v>
      </c>
      <c r="E23">
        <v>536.76</v>
      </c>
      <c r="F23" s="23"/>
      <c r="G23" s="203">
        <v>46997</v>
      </c>
      <c r="H23" s="204" t="s">
        <v>104</v>
      </c>
      <c r="I23" s="204" t="s">
        <v>101</v>
      </c>
      <c r="J23" s="204" t="s">
        <v>10</v>
      </c>
      <c r="K23" s="205">
        <v>428.53</v>
      </c>
      <c r="M23" s="183">
        <f t="shared" si="3"/>
        <v>43617</v>
      </c>
      <c r="N23" s="110">
        <f t="shared" si="1"/>
        <v>2548.0250000000001</v>
      </c>
      <c r="O23" s="111">
        <f t="shared" si="0"/>
        <v>695.69500000000005</v>
      </c>
      <c r="P23" s="190">
        <f t="shared" si="2"/>
        <v>3243.7200000000003</v>
      </c>
      <c r="R23" s="112">
        <f>SourceEnergy!B37</f>
        <v>43617</v>
      </c>
      <c r="S23" s="113">
        <v>23.067</v>
      </c>
      <c r="T23" s="114">
        <v>10.975</v>
      </c>
      <c r="U23" s="115">
        <f>IF(AND(Shape_Annually="Yes",Shape_Start&lt;=W18),W25,IF(ISNUMBER(SourceEnergy!$C37),SourceEnergy!$C37/(SourceEnergy!$G37*S23+SourceEnergy!$H37*T23),""))</f>
        <v>0.66150312831998737</v>
      </c>
      <c r="W23" s="25">
        <f>W21+W22</f>
        <v>459851.68956109881</v>
      </c>
      <c r="X23" s="25" t="s">
        <v>85</v>
      </c>
    </row>
    <row r="24" spans="1:24" ht="15" customHeight="1" outlineLevel="1" x14ac:dyDescent="0.2">
      <c r="A24" s="206">
        <v>43374</v>
      </c>
      <c r="B24" t="s">
        <v>104</v>
      </c>
      <c r="C24" t="s">
        <v>101</v>
      </c>
      <c r="D24" t="s">
        <v>9</v>
      </c>
      <c r="E24">
        <v>1839.2670000000001</v>
      </c>
      <c r="F24" s="23"/>
      <c r="G24" s="203">
        <v>47027</v>
      </c>
      <c r="H24" s="204" t="s">
        <v>104</v>
      </c>
      <c r="I24" s="204" t="s">
        <v>101</v>
      </c>
      <c r="J24" s="204" t="s">
        <v>9</v>
      </c>
      <c r="K24" s="205">
        <v>1684.5139999999999</v>
      </c>
      <c r="M24" s="183">
        <f t="shared" si="3"/>
        <v>43647</v>
      </c>
      <c r="N24" s="110">
        <f t="shared" si="1"/>
        <v>2353.364</v>
      </c>
      <c r="O24" s="111">
        <f t="shared" si="0"/>
        <v>582.64599999999996</v>
      </c>
      <c r="P24" s="190">
        <f t="shared" si="2"/>
        <v>2936.01</v>
      </c>
      <c r="R24" s="112">
        <f>SourceEnergy!B38</f>
        <v>43647</v>
      </c>
      <c r="S24" s="113">
        <v>34.200000000000003</v>
      </c>
      <c r="T24" s="114">
        <v>25.387499999999999</v>
      </c>
      <c r="U24" s="115">
        <f>IF(AND(Shape_Annually="Yes",Shape_Start&lt;=W18),W25,IF(ISNUMBER(SourceEnergy!$C38),SourceEnergy!$C38/(SourceEnergy!$G38*S24+SourceEnergy!$H38*T24),""))</f>
        <v>0.66150312831998737</v>
      </c>
    </row>
    <row r="25" spans="1:24" ht="15" customHeight="1" outlineLevel="1" x14ac:dyDescent="0.2">
      <c r="A25" s="206">
        <v>43374</v>
      </c>
      <c r="B25" t="s">
        <v>104</v>
      </c>
      <c r="C25" t="s">
        <v>101</v>
      </c>
      <c r="D25" t="s">
        <v>10</v>
      </c>
      <c r="E25">
        <v>272.98</v>
      </c>
      <c r="F25" s="23"/>
      <c r="G25" s="203">
        <v>47027</v>
      </c>
      <c r="H25" s="204" t="s">
        <v>104</v>
      </c>
      <c r="I25" s="204" t="s">
        <v>101</v>
      </c>
      <c r="J25" s="204" t="s">
        <v>10</v>
      </c>
      <c r="K25" s="205">
        <v>324.41000000000003</v>
      </c>
      <c r="M25" s="183">
        <f t="shared" si="3"/>
        <v>43678</v>
      </c>
      <c r="N25" s="110">
        <f t="shared" si="1"/>
        <v>2504.0340000000001</v>
      </c>
      <c r="O25" s="111">
        <f t="shared" si="0"/>
        <v>436.78100000000001</v>
      </c>
      <c r="P25" s="190">
        <f t="shared" si="2"/>
        <v>2940.8150000000001</v>
      </c>
      <c r="R25" s="112">
        <f>SourceEnergy!B39</f>
        <v>43678</v>
      </c>
      <c r="S25" s="113">
        <v>32.92</v>
      </c>
      <c r="T25" s="114">
        <v>25.16</v>
      </c>
      <c r="U25" s="115">
        <f>IF(AND(Shape_Annually="Yes",Shape_Start&lt;=W18),W25,IF(ISNUMBER(SourceEnergy!$C39),SourceEnergy!$C39/(SourceEnergy!$G39*S25+SourceEnergy!$H39*T25),""))</f>
        <v>0.66150312831998737</v>
      </c>
      <c r="W25" s="116">
        <f>W23/W19</f>
        <v>0.66150312831998737</v>
      </c>
      <c r="X25" s="25" t="s">
        <v>86</v>
      </c>
    </row>
    <row r="26" spans="1:24" ht="15" customHeight="1" outlineLevel="1" x14ac:dyDescent="0.2">
      <c r="A26" s="206">
        <v>43405</v>
      </c>
      <c r="B26" t="s">
        <v>104</v>
      </c>
      <c r="C26" t="s">
        <v>101</v>
      </c>
      <c r="D26" t="s">
        <v>9</v>
      </c>
      <c r="E26">
        <v>1185.5</v>
      </c>
      <c r="F26" s="23"/>
      <c r="G26" s="203">
        <v>47058</v>
      </c>
      <c r="H26" s="204" t="s">
        <v>104</v>
      </c>
      <c r="I26" s="204" t="s">
        <v>101</v>
      </c>
      <c r="J26" s="204" t="s">
        <v>9</v>
      </c>
      <c r="K26" s="205">
        <v>1127.55</v>
      </c>
      <c r="M26" s="183">
        <f t="shared" si="3"/>
        <v>43709</v>
      </c>
      <c r="N26" s="110">
        <f t="shared" si="1"/>
        <v>2058.2159999999999</v>
      </c>
      <c r="O26" s="111">
        <f t="shared" si="0"/>
        <v>534.08399999999995</v>
      </c>
      <c r="P26" s="190">
        <f t="shared" si="2"/>
        <v>2592.2999999999997</v>
      </c>
      <c r="R26" s="112">
        <f>SourceEnergy!B40</f>
        <v>43709</v>
      </c>
      <c r="S26" s="113">
        <v>30.68</v>
      </c>
      <c r="T26" s="114">
        <v>22.202500000000001</v>
      </c>
      <c r="U26" s="115">
        <f>IF(AND(Shape_Annually="Yes",Shape_Start&lt;=W18),W25,IF(ISNUMBER(SourceEnergy!$C40),SourceEnergy!$C40/(SourceEnergy!$G40*S26+SourceEnergy!$H40*T26),""))</f>
        <v>0.66150312831998737</v>
      </c>
    </row>
    <row r="27" spans="1:24" ht="15" customHeight="1" outlineLevel="1" x14ac:dyDescent="0.2">
      <c r="A27" s="206">
        <v>43405</v>
      </c>
      <c r="B27" t="s">
        <v>104</v>
      </c>
      <c r="C27" t="s">
        <v>101</v>
      </c>
      <c r="D27" t="s">
        <v>10</v>
      </c>
      <c r="E27">
        <v>237.1</v>
      </c>
      <c r="F27" s="23"/>
      <c r="G27" s="203">
        <v>47058</v>
      </c>
      <c r="H27" s="204" t="s">
        <v>104</v>
      </c>
      <c r="I27" s="204" t="s">
        <v>101</v>
      </c>
      <c r="J27" s="204" t="s">
        <v>10</v>
      </c>
      <c r="K27" s="205">
        <v>225.51</v>
      </c>
      <c r="M27" s="183">
        <f t="shared" si="3"/>
        <v>43739</v>
      </c>
      <c r="N27" s="110">
        <f t="shared" si="1"/>
        <v>1830.0060000000001</v>
      </c>
      <c r="O27" s="111">
        <f t="shared" si="0"/>
        <v>271.608</v>
      </c>
      <c r="P27" s="190">
        <f t="shared" si="2"/>
        <v>2101.614</v>
      </c>
      <c r="R27" s="112">
        <f>SourceEnergy!B41</f>
        <v>43739</v>
      </c>
      <c r="S27" s="113">
        <v>26.6</v>
      </c>
      <c r="T27" s="114">
        <v>23.844999999999999</v>
      </c>
      <c r="U27" s="115">
        <f>IF(AND(Shape_Annually="Yes",Shape_Start&lt;=W18),W25,IF(ISNUMBER(SourceEnergy!$C41),SourceEnergy!$C41/(SourceEnergy!$G41*S27+SourceEnergy!$H41*T27),""))</f>
        <v>0.66150312831998737</v>
      </c>
    </row>
    <row r="28" spans="1:24" ht="15" customHeight="1" outlineLevel="1" x14ac:dyDescent="0.2">
      <c r="A28" s="206">
        <v>43435</v>
      </c>
      <c r="B28" t="s">
        <v>104</v>
      </c>
      <c r="C28" t="s">
        <v>101</v>
      </c>
      <c r="D28" t="s">
        <v>9</v>
      </c>
      <c r="E28">
        <v>885.125</v>
      </c>
      <c r="F28" s="23"/>
      <c r="G28" s="203">
        <v>47088</v>
      </c>
      <c r="H28" s="204" t="s">
        <v>104</v>
      </c>
      <c r="I28" s="204" t="s">
        <v>101</v>
      </c>
      <c r="J28" s="204" t="s">
        <v>9</v>
      </c>
      <c r="K28" s="205">
        <v>841.82500000000005</v>
      </c>
      <c r="M28" s="183">
        <f t="shared" si="3"/>
        <v>43770</v>
      </c>
      <c r="N28" s="110">
        <f t="shared" si="1"/>
        <v>1179.625</v>
      </c>
      <c r="O28" s="111">
        <f t="shared" si="0"/>
        <v>235.92500000000001</v>
      </c>
      <c r="P28" s="190">
        <f t="shared" si="2"/>
        <v>1415.55</v>
      </c>
      <c r="R28" s="112">
        <f>SourceEnergy!B42</f>
        <v>43770</v>
      </c>
      <c r="S28" s="113">
        <v>26.35</v>
      </c>
      <c r="T28" s="114">
        <v>23.162500000000001</v>
      </c>
      <c r="U28" s="115">
        <f>IF(AND(Shape_Annually="Yes",Shape_Start&lt;=W18),W25,IF(ISNUMBER(SourceEnergy!$C42),SourceEnergy!$C42/(SourceEnergy!$G42*S28+SourceEnergy!$H42*T28),""))</f>
        <v>0.66150312831998737</v>
      </c>
    </row>
    <row r="29" spans="1:24" ht="15" customHeight="1" outlineLevel="1" x14ac:dyDescent="0.2">
      <c r="A29" s="206">
        <v>43435</v>
      </c>
      <c r="B29" t="s">
        <v>104</v>
      </c>
      <c r="C29" t="s">
        <v>101</v>
      </c>
      <c r="D29" t="s">
        <v>10</v>
      </c>
      <c r="E29">
        <v>212.43</v>
      </c>
      <c r="F29" s="23"/>
      <c r="G29" s="203">
        <v>47088</v>
      </c>
      <c r="H29" s="204" t="s">
        <v>104</v>
      </c>
      <c r="I29" s="204" t="s">
        <v>101</v>
      </c>
      <c r="J29" s="204" t="s">
        <v>10</v>
      </c>
      <c r="K29" s="205">
        <v>202.03800000000001</v>
      </c>
      <c r="M29" s="184">
        <f t="shared" si="3"/>
        <v>43800</v>
      </c>
      <c r="N29" s="117">
        <f t="shared" si="1"/>
        <v>880.65</v>
      </c>
      <c r="O29" s="118">
        <f t="shared" si="0"/>
        <v>211.35599999999999</v>
      </c>
      <c r="P29" s="191">
        <f t="shared" si="2"/>
        <v>1092.0059999999999</v>
      </c>
      <c r="R29" s="119">
        <f>SourceEnergy!B43</f>
        <v>43800</v>
      </c>
      <c r="S29" s="120">
        <v>28.35</v>
      </c>
      <c r="T29" s="121">
        <v>25.892499999999998</v>
      </c>
      <c r="U29" s="122">
        <f>IF(AND(Shape_Annually="Yes",Shape_Start&lt;=W18),W25,IF(ISNUMBER(SourceEnergy!$C43),SourceEnergy!$C43/(SourceEnergy!$G43*S29+SourceEnergy!$H43*T29),""))</f>
        <v>0.66150312831998737</v>
      </c>
    </row>
    <row r="30" spans="1:24" ht="15" customHeight="1" outlineLevel="1" x14ac:dyDescent="0.2">
      <c r="A30" s="206">
        <v>43466</v>
      </c>
      <c r="B30" t="s">
        <v>104</v>
      </c>
      <c r="C30" t="s">
        <v>101</v>
      </c>
      <c r="D30" t="s">
        <v>9</v>
      </c>
      <c r="E30">
        <v>1098.8900000000001</v>
      </c>
      <c r="F30" s="23"/>
      <c r="G30" s="203">
        <v>47119</v>
      </c>
      <c r="H30" s="204" t="s">
        <v>104</v>
      </c>
      <c r="I30" s="204" t="s">
        <v>101</v>
      </c>
      <c r="J30" s="204" t="s">
        <v>9</v>
      </c>
      <c r="K30" s="205">
        <v>1045.1220000000001</v>
      </c>
      <c r="M30" s="185">
        <f t="shared" si="3"/>
        <v>43831</v>
      </c>
      <c r="N30" s="102">
        <f t="shared" si="1"/>
        <v>1093.3520000000001</v>
      </c>
      <c r="O30" s="103">
        <f t="shared" si="0"/>
        <v>210.26</v>
      </c>
      <c r="P30" s="189">
        <f t="shared" si="2"/>
        <v>1303.6120000000001</v>
      </c>
      <c r="R30" s="104">
        <f>SourceEnergy!B44</f>
        <v>43831</v>
      </c>
      <c r="S30" s="105">
        <v>29.943999999999999</v>
      </c>
      <c r="T30" s="106">
        <v>26.77</v>
      </c>
      <c r="U30" s="107">
        <f>IF(AND(Shape_Annually="Yes",Shape_Start&lt;=W30),W37,IF(ISNUMBER(SourceEnergy!$C44),SourceEnergy!$C44/(SourceEnergy!$G44*S30+SourceEnergy!$H44*T30),""))</f>
        <v>0.52302885324298587</v>
      </c>
      <c r="W30" s="108">
        <f>YEAR(M30)</f>
        <v>2020</v>
      </c>
      <c r="X30" s="109"/>
    </row>
    <row r="31" spans="1:24" ht="15" customHeight="1" outlineLevel="1" x14ac:dyDescent="0.2">
      <c r="A31" s="206">
        <v>43466</v>
      </c>
      <c r="B31" t="s">
        <v>104</v>
      </c>
      <c r="C31" t="s">
        <v>101</v>
      </c>
      <c r="D31" t="s">
        <v>10</v>
      </c>
      <c r="E31">
        <v>211.32499999999999</v>
      </c>
      <c r="F31" s="23"/>
      <c r="G31" s="203">
        <v>47119</v>
      </c>
      <c r="H31" s="204" t="s">
        <v>104</v>
      </c>
      <c r="I31" s="204" t="s">
        <v>101</v>
      </c>
      <c r="J31" s="204" t="s">
        <v>10</v>
      </c>
      <c r="K31" s="205">
        <v>200.98500000000001</v>
      </c>
      <c r="M31" s="183">
        <f t="shared" si="3"/>
        <v>43862</v>
      </c>
      <c r="N31" s="110">
        <f t="shared" si="1"/>
        <v>1302.6500000000001</v>
      </c>
      <c r="O31" s="111">
        <f t="shared" si="0"/>
        <v>208.42400000000001</v>
      </c>
      <c r="P31" s="190">
        <f t="shared" si="2"/>
        <v>1511.0740000000001</v>
      </c>
      <c r="R31" s="112">
        <f>SourceEnergy!B45</f>
        <v>43862</v>
      </c>
      <c r="S31" s="113">
        <v>29.396999999999998</v>
      </c>
      <c r="T31" s="114">
        <v>26.004999999999999</v>
      </c>
      <c r="U31" s="115">
        <f>IF(AND(Shape_Annually="Yes",Shape_Start&lt;=W30),W37,IF(ISNUMBER(SourceEnergy!$C45),SourceEnergy!$C45/(SourceEnergy!$G45*S31+SourceEnergy!$H45*T31),""))</f>
        <v>0.52302885324298587</v>
      </c>
      <c r="W31" s="25">
        <f>SUMPRODUCT(N30:N41,S30:S41)+SUMPRODUCT(O30:O41,T30:T41)</f>
        <v>735218.38176749996</v>
      </c>
      <c r="X31" s="25" t="s">
        <v>82</v>
      </c>
    </row>
    <row r="32" spans="1:24" ht="15" customHeight="1" outlineLevel="1" x14ac:dyDescent="0.2">
      <c r="A32" s="206">
        <v>43497</v>
      </c>
      <c r="B32" t="s">
        <v>104</v>
      </c>
      <c r="C32" t="s">
        <v>101</v>
      </c>
      <c r="D32" t="s">
        <v>9</v>
      </c>
      <c r="E32">
        <v>1256.8320000000001</v>
      </c>
      <c r="F32" s="23"/>
      <c r="G32" s="203">
        <v>47150</v>
      </c>
      <c r="H32" s="204" t="s">
        <v>104</v>
      </c>
      <c r="I32" s="204" t="s">
        <v>101</v>
      </c>
      <c r="J32" s="204" t="s">
        <v>9</v>
      </c>
      <c r="K32" s="205">
        <v>1195.3440000000001</v>
      </c>
      <c r="M32" s="183">
        <f t="shared" si="3"/>
        <v>43891</v>
      </c>
      <c r="N32" s="110">
        <f t="shared" si="1"/>
        <v>1904.9939999999999</v>
      </c>
      <c r="O32" s="111">
        <f t="shared" si="0"/>
        <v>367.21300000000002</v>
      </c>
      <c r="P32" s="190">
        <f t="shared" si="2"/>
        <v>2272.2069999999999</v>
      </c>
      <c r="R32" s="112">
        <f>SourceEnergy!B46</f>
        <v>43891</v>
      </c>
      <c r="S32" s="113">
        <v>27.209</v>
      </c>
      <c r="T32" s="114">
        <v>24.475000000000001</v>
      </c>
      <c r="U32" s="115">
        <f>IF(AND(Shape_Annually="Yes",Shape_Start&lt;=W30),W37,IF(ISNUMBER(SourceEnergy!$C46),SourceEnergy!$C46/(SourceEnergy!$G46*S32+SourceEnergy!$H46*T32),""))</f>
        <v>0.52302885324298587</v>
      </c>
    </row>
    <row r="33" spans="1:24" ht="15" customHeight="1" outlineLevel="1" x14ac:dyDescent="0.2">
      <c r="A33" s="206">
        <v>43497</v>
      </c>
      <c r="B33" t="s">
        <v>104</v>
      </c>
      <c r="C33" t="s">
        <v>101</v>
      </c>
      <c r="D33" t="s">
        <v>10</v>
      </c>
      <c r="E33">
        <v>209.47200000000001</v>
      </c>
      <c r="F33" s="23"/>
      <c r="G33" s="203">
        <v>47150</v>
      </c>
      <c r="H33" s="204" t="s">
        <v>104</v>
      </c>
      <c r="I33" s="204" t="s">
        <v>101</v>
      </c>
      <c r="J33" s="204" t="s">
        <v>10</v>
      </c>
      <c r="K33" s="205">
        <v>199.22399999999999</v>
      </c>
      <c r="M33" s="183">
        <f t="shared" si="3"/>
        <v>43922</v>
      </c>
      <c r="N33" s="110">
        <f t="shared" si="1"/>
        <v>2234.6480000000001</v>
      </c>
      <c r="O33" s="111">
        <f t="shared" si="0"/>
        <v>389.87200000000001</v>
      </c>
      <c r="P33" s="190">
        <f t="shared" si="2"/>
        <v>2624.52</v>
      </c>
      <c r="R33" s="112">
        <f>SourceEnergy!B47</f>
        <v>43922</v>
      </c>
      <c r="S33" s="113">
        <v>23.445</v>
      </c>
      <c r="T33" s="114">
        <v>17.934999999999999</v>
      </c>
      <c r="U33" s="115">
        <f>IF(AND(Shape_Annually="Yes",Shape_Start&lt;=W30),W37,IF(ISNUMBER(SourceEnergy!$C47),SourceEnergy!$C47/(SourceEnergy!$G47*S33+SourceEnergy!$H47*T33),""))</f>
        <v>0.52302885324298587</v>
      </c>
      <c r="W33" s="25">
        <f>VLOOKUP(W30,'[1]Table 5'!$L$23:$N$43,2,FALSE)</f>
        <v>384540.42709901929</v>
      </c>
      <c r="X33" s="25" t="s">
        <v>83</v>
      </c>
    </row>
    <row r="34" spans="1:24" ht="15" customHeight="1" outlineLevel="1" x14ac:dyDescent="0.2">
      <c r="A34" s="206">
        <v>43525</v>
      </c>
      <c r="B34" t="s">
        <v>104</v>
      </c>
      <c r="C34" t="s">
        <v>101</v>
      </c>
      <c r="D34" t="s">
        <v>9</v>
      </c>
      <c r="E34">
        <v>1914.614</v>
      </c>
      <c r="F34" s="23"/>
      <c r="G34" s="203">
        <v>47178</v>
      </c>
      <c r="H34" s="204" t="s">
        <v>104</v>
      </c>
      <c r="I34" s="204" t="s">
        <v>101</v>
      </c>
      <c r="J34" s="204" t="s">
        <v>9</v>
      </c>
      <c r="K34" s="205">
        <v>1890.999</v>
      </c>
      <c r="M34" s="183">
        <f t="shared" si="3"/>
        <v>43952</v>
      </c>
      <c r="N34" s="110">
        <f t="shared" si="1"/>
        <v>2325.625</v>
      </c>
      <c r="O34" s="111">
        <f t="shared" si="0"/>
        <v>712.375</v>
      </c>
      <c r="P34" s="190">
        <f t="shared" si="2"/>
        <v>3038</v>
      </c>
      <c r="R34" s="112">
        <f>SourceEnergy!B48</f>
        <v>43952</v>
      </c>
      <c r="S34" s="113">
        <v>24.138000000000002</v>
      </c>
      <c r="T34" s="114">
        <v>13.84</v>
      </c>
      <c r="U34" s="115">
        <f>IF(AND(Shape_Annually="Yes",Shape_Start&lt;=W30),W37,IF(ISNUMBER(SourceEnergy!$C48),SourceEnergy!$C48/(SourceEnergy!$G48*S34+SourceEnergy!$H48*T34),""))</f>
        <v>0.52302885324298587</v>
      </c>
      <c r="W34" s="25">
        <f>VLOOKUP(W30,'[1]Table 5'!$L$23:$N$43,3,FALSE)</f>
        <v>0</v>
      </c>
      <c r="X34" s="25" t="s">
        <v>84</v>
      </c>
    </row>
    <row r="35" spans="1:24" ht="15" customHeight="1" outlineLevel="1" x14ac:dyDescent="0.2">
      <c r="A35" s="206">
        <v>43525</v>
      </c>
      <c r="B35" t="s">
        <v>104</v>
      </c>
      <c r="C35" t="s">
        <v>101</v>
      </c>
      <c r="D35" t="s">
        <v>10</v>
      </c>
      <c r="E35">
        <v>369.09399999999999</v>
      </c>
      <c r="F35" s="23"/>
      <c r="G35" s="203">
        <v>47178</v>
      </c>
      <c r="H35" s="204" t="s">
        <v>104</v>
      </c>
      <c r="I35" s="204" t="s">
        <v>101</v>
      </c>
      <c r="J35" s="204" t="s">
        <v>10</v>
      </c>
      <c r="K35" s="205">
        <v>280.98500000000001</v>
      </c>
      <c r="M35" s="183">
        <f t="shared" si="3"/>
        <v>43983</v>
      </c>
      <c r="N35" s="110">
        <f t="shared" si="1"/>
        <v>2636.7379999999998</v>
      </c>
      <c r="O35" s="111">
        <f t="shared" si="0"/>
        <v>590.81200000000001</v>
      </c>
      <c r="P35" s="190">
        <f t="shared" si="2"/>
        <v>3227.5499999999997</v>
      </c>
      <c r="R35" s="112">
        <f>SourceEnergy!B49</f>
        <v>43983</v>
      </c>
      <c r="S35" s="113">
        <v>26.216999999999999</v>
      </c>
      <c r="T35" s="114">
        <v>14.425000000000001</v>
      </c>
      <c r="U35" s="115">
        <f>IF(AND(Shape_Annually="Yes",Shape_Start&lt;=W30),W37,IF(ISNUMBER(SourceEnergy!$C49),SourceEnergy!$C49/(SourceEnergy!$G49*S35+SourceEnergy!$H49*T35),""))</f>
        <v>0.52302885324298587</v>
      </c>
      <c r="W35" s="25">
        <f>W33+W34</f>
        <v>384540.42709901929</v>
      </c>
      <c r="X35" s="25" t="s">
        <v>85</v>
      </c>
    </row>
    <row r="36" spans="1:24" ht="15" customHeight="1" outlineLevel="1" x14ac:dyDescent="0.2">
      <c r="A36" s="206">
        <v>43556</v>
      </c>
      <c r="B36" t="s">
        <v>104</v>
      </c>
      <c r="C36" t="s">
        <v>101</v>
      </c>
      <c r="D36" t="s">
        <v>9</v>
      </c>
      <c r="E36">
        <v>2245.8020000000001</v>
      </c>
      <c r="F36" s="23"/>
      <c r="G36" s="203">
        <v>47209</v>
      </c>
      <c r="H36" s="204" t="s">
        <v>104</v>
      </c>
      <c r="I36" s="204" t="s">
        <v>101</v>
      </c>
      <c r="J36" s="204" t="s">
        <v>9</v>
      </c>
      <c r="K36" s="205">
        <v>2053.85</v>
      </c>
      <c r="M36" s="183">
        <f t="shared" si="3"/>
        <v>44013</v>
      </c>
      <c r="N36" s="110">
        <f t="shared" si="1"/>
        <v>2341.5859999999998</v>
      </c>
      <c r="O36" s="111">
        <f t="shared" si="0"/>
        <v>579.73</v>
      </c>
      <c r="P36" s="190">
        <f t="shared" si="2"/>
        <v>2921.3159999999998</v>
      </c>
      <c r="R36" s="112">
        <f>SourceEnergy!B50</f>
        <v>44013</v>
      </c>
      <c r="S36" s="113">
        <v>35.25</v>
      </c>
      <c r="T36" s="114">
        <v>23.037500000000001</v>
      </c>
      <c r="U36" s="115">
        <f>IF(AND(Shape_Annually="Yes",Shape_Start&lt;=W30),W37,IF(ISNUMBER(SourceEnergy!$C50),SourceEnergy!$C50/(SourceEnergy!$G50*S36+SourceEnergy!$H50*T36),""))</f>
        <v>0.52302885324298587</v>
      </c>
    </row>
    <row r="37" spans="1:24" ht="15" customHeight="1" outlineLevel="1" x14ac:dyDescent="0.2">
      <c r="A37" s="206">
        <v>43556</v>
      </c>
      <c r="B37" t="s">
        <v>104</v>
      </c>
      <c r="C37" t="s">
        <v>101</v>
      </c>
      <c r="D37" t="s">
        <v>10</v>
      </c>
      <c r="E37">
        <v>391.82799999999997</v>
      </c>
      <c r="F37" s="23"/>
      <c r="G37" s="203">
        <v>47209</v>
      </c>
      <c r="H37" s="204" t="s">
        <v>104</v>
      </c>
      <c r="I37" s="204" t="s">
        <v>101</v>
      </c>
      <c r="J37" s="204" t="s">
        <v>10</v>
      </c>
      <c r="K37" s="205">
        <v>454.81</v>
      </c>
      <c r="M37" s="183">
        <f t="shared" si="3"/>
        <v>44044</v>
      </c>
      <c r="N37" s="110">
        <f t="shared" si="1"/>
        <v>2399.2280000000001</v>
      </c>
      <c r="O37" s="111">
        <f t="shared" si="0"/>
        <v>526.86199999999997</v>
      </c>
      <c r="P37" s="190">
        <f t="shared" si="2"/>
        <v>2926.09</v>
      </c>
      <c r="R37" s="112">
        <f>SourceEnergy!B51</f>
        <v>44044</v>
      </c>
      <c r="S37" s="113">
        <v>33.97</v>
      </c>
      <c r="T37" s="114">
        <v>22.81</v>
      </c>
      <c r="U37" s="115">
        <f>IF(AND(Shape_Annually="Yes",Shape_Start&lt;=W30),W37,IF(ISNUMBER(SourceEnergy!$C51),SourceEnergy!$C51/(SourceEnergy!$G51*S37+SourceEnergy!$H51*T37),""))</f>
        <v>0.52302885324298587</v>
      </c>
      <c r="W37" s="116">
        <f>W35/W31</f>
        <v>0.52302885324298587</v>
      </c>
      <c r="X37" s="25" t="s">
        <v>86</v>
      </c>
    </row>
    <row r="38" spans="1:24" ht="15" customHeight="1" outlineLevel="1" x14ac:dyDescent="0.2">
      <c r="A38" s="206">
        <v>43586</v>
      </c>
      <c r="B38" t="s">
        <v>104</v>
      </c>
      <c r="C38" t="s">
        <v>101</v>
      </c>
      <c r="D38" t="s">
        <v>9</v>
      </c>
      <c r="E38">
        <v>2430.7919999999999</v>
      </c>
      <c r="F38" s="23"/>
      <c r="G38" s="203">
        <v>47239</v>
      </c>
      <c r="H38" s="204" t="s">
        <v>104</v>
      </c>
      <c r="I38" s="204" t="s">
        <v>101</v>
      </c>
      <c r="J38" s="204" t="s">
        <v>9</v>
      </c>
      <c r="K38" s="205">
        <v>2311.92</v>
      </c>
      <c r="M38" s="183">
        <f t="shared" si="3"/>
        <v>44075</v>
      </c>
      <c r="N38" s="110">
        <f t="shared" si="1"/>
        <v>2133.25</v>
      </c>
      <c r="O38" s="111">
        <f t="shared" si="0"/>
        <v>446.06</v>
      </c>
      <c r="P38" s="190">
        <f t="shared" si="2"/>
        <v>2579.31</v>
      </c>
      <c r="R38" s="112">
        <f>SourceEnergy!B52</f>
        <v>44075</v>
      </c>
      <c r="S38" s="113">
        <v>31.73</v>
      </c>
      <c r="T38" s="114">
        <v>19.852499999999999</v>
      </c>
      <c r="U38" s="115">
        <f>IF(AND(Shape_Annually="Yes",Shape_Start&lt;=W30),W37,IF(ISNUMBER(SourceEnergy!$C52),SourceEnergy!$C52/(SourceEnergy!$G52*S38+SourceEnergy!$H52*T38),""))</f>
        <v>0.52302885324298587</v>
      </c>
    </row>
    <row r="39" spans="1:24" ht="15" customHeight="1" outlineLevel="1" x14ac:dyDescent="0.2">
      <c r="A39" s="206">
        <v>43586</v>
      </c>
      <c r="B39" t="s">
        <v>104</v>
      </c>
      <c r="C39" t="s">
        <v>101</v>
      </c>
      <c r="D39" t="s">
        <v>10</v>
      </c>
      <c r="E39">
        <v>622.46</v>
      </c>
      <c r="F39" s="23"/>
      <c r="G39" s="203">
        <v>47239</v>
      </c>
      <c r="H39" s="204" t="s">
        <v>104</v>
      </c>
      <c r="I39" s="204" t="s">
        <v>101</v>
      </c>
      <c r="J39" s="204" t="s">
        <v>10</v>
      </c>
      <c r="K39" s="205">
        <v>592.03599999999994</v>
      </c>
      <c r="M39" s="183">
        <f t="shared" si="3"/>
        <v>44105</v>
      </c>
      <c r="N39" s="110">
        <f t="shared" si="1"/>
        <v>1820.88</v>
      </c>
      <c r="O39" s="111">
        <f t="shared" si="0"/>
        <v>270.25599999999997</v>
      </c>
      <c r="P39" s="190">
        <f t="shared" si="2"/>
        <v>2091.136</v>
      </c>
      <c r="R39" s="112">
        <f>SourceEnergy!B53</f>
        <v>44105</v>
      </c>
      <c r="S39" s="113">
        <v>26.95</v>
      </c>
      <c r="T39" s="114">
        <v>24.545000000000002</v>
      </c>
      <c r="U39" s="115">
        <f>IF(AND(Shape_Annually="Yes",Shape_Start&lt;=W30),W37,IF(ISNUMBER(SourceEnergy!$C53),SourceEnergy!$C53/(SourceEnergy!$G53*S39+SourceEnergy!$H53*T39),""))</f>
        <v>0.52302885324298587</v>
      </c>
    </row>
    <row r="40" spans="1:24" ht="15" customHeight="1" outlineLevel="1" x14ac:dyDescent="0.2">
      <c r="A40" s="206">
        <v>43617</v>
      </c>
      <c r="B40" t="s">
        <v>104</v>
      </c>
      <c r="C40" t="s">
        <v>101</v>
      </c>
      <c r="D40" t="s">
        <v>9</v>
      </c>
      <c r="E40">
        <v>2548.0250000000001</v>
      </c>
      <c r="F40" s="23"/>
      <c r="G40" s="203">
        <v>47270</v>
      </c>
      <c r="H40" s="204" t="s">
        <v>104</v>
      </c>
      <c r="I40" s="204" t="s">
        <v>101</v>
      </c>
      <c r="J40" s="204" t="s">
        <v>9</v>
      </c>
      <c r="K40" s="205">
        <v>2520.4140000000002</v>
      </c>
      <c r="M40" s="183">
        <f t="shared" si="3"/>
        <v>44136</v>
      </c>
      <c r="N40" s="110">
        <f t="shared" si="1"/>
        <v>1126.752</v>
      </c>
      <c r="O40" s="111">
        <f t="shared" si="0"/>
        <v>281.68799999999999</v>
      </c>
      <c r="P40" s="190">
        <f t="shared" si="2"/>
        <v>1408.44</v>
      </c>
      <c r="R40" s="112">
        <f>SourceEnergy!B54</f>
        <v>44136</v>
      </c>
      <c r="S40" s="113">
        <v>26.7</v>
      </c>
      <c r="T40" s="114">
        <v>23.862500000000001</v>
      </c>
      <c r="U40" s="115">
        <f>IF(AND(Shape_Annually="Yes",Shape_Start&lt;=W30),W37,IF(ISNUMBER(SourceEnergy!$C54),SourceEnergy!$C54/(SourceEnergy!$G54*S40+SourceEnergy!$H54*T40),""))</f>
        <v>0.52302885324298587</v>
      </c>
    </row>
    <row r="41" spans="1:24" ht="15" customHeight="1" outlineLevel="1" x14ac:dyDescent="0.2">
      <c r="A41" s="206">
        <v>43617</v>
      </c>
      <c r="B41" t="s">
        <v>104</v>
      </c>
      <c r="C41" t="s">
        <v>101</v>
      </c>
      <c r="D41" t="s">
        <v>10</v>
      </c>
      <c r="E41">
        <v>695.69500000000005</v>
      </c>
      <c r="F41" s="23"/>
      <c r="G41" s="203">
        <v>47270</v>
      </c>
      <c r="H41" s="204" t="s">
        <v>104</v>
      </c>
      <c r="I41" s="204" t="s">
        <v>101</v>
      </c>
      <c r="J41" s="204" t="s">
        <v>10</v>
      </c>
      <c r="K41" s="205">
        <v>564.75599999999997</v>
      </c>
      <c r="M41" s="184">
        <f t="shared" si="3"/>
        <v>44166</v>
      </c>
      <c r="N41" s="117">
        <f t="shared" si="1"/>
        <v>911.32600000000002</v>
      </c>
      <c r="O41" s="118">
        <f t="shared" si="0"/>
        <v>175.255</v>
      </c>
      <c r="P41" s="191">
        <f t="shared" si="2"/>
        <v>1086.5810000000001</v>
      </c>
      <c r="R41" s="119">
        <f>SourceEnergy!B55</f>
        <v>44166</v>
      </c>
      <c r="S41" s="120">
        <v>28.7</v>
      </c>
      <c r="T41" s="121">
        <v>26.592500000000001</v>
      </c>
      <c r="U41" s="122">
        <f>IF(AND(Shape_Annually="Yes",Shape_Start&lt;=W30),W37,IF(ISNUMBER(SourceEnergy!$C55),SourceEnergy!$C55/(SourceEnergy!$G55*S41+SourceEnergy!$H55*T41),""))</f>
        <v>0.52302885324298587</v>
      </c>
    </row>
    <row r="42" spans="1:24" ht="15" customHeight="1" outlineLevel="1" x14ac:dyDescent="0.2">
      <c r="A42" s="206">
        <v>43647</v>
      </c>
      <c r="B42" t="s">
        <v>104</v>
      </c>
      <c r="C42" t="s">
        <v>101</v>
      </c>
      <c r="D42" t="s">
        <v>9</v>
      </c>
      <c r="E42">
        <v>2353.364</v>
      </c>
      <c r="F42" s="23"/>
      <c r="G42" s="203">
        <v>47300</v>
      </c>
      <c r="H42" s="204" t="s">
        <v>104</v>
      </c>
      <c r="I42" s="204" t="s">
        <v>101</v>
      </c>
      <c r="J42" s="204" t="s">
        <v>9</v>
      </c>
      <c r="K42" s="205">
        <v>2152.1999999999998</v>
      </c>
      <c r="M42" s="185">
        <f t="shared" si="3"/>
        <v>44197</v>
      </c>
      <c r="N42" s="102">
        <f t="shared" si="1"/>
        <v>1046.075</v>
      </c>
      <c r="O42" s="103">
        <f t="shared" si="0"/>
        <v>251.05799999999999</v>
      </c>
      <c r="P42" s="189">
        <f t="shared" si="2"/>
        <v>1297.133</v>
      </c>
      <c r="R42" s="104">
        <f>SourceEnergy!B56</f>
        <v>44197</v>
      </c>
      <c r="S42" s="105">
        <v>31.294</v>
      </c>
      <c r="T42" s="106">
        <v>28.87</v>
      </c>
      <c r="U42" s="107">
        <f>IF(AND(Shape_Annually="Yes",Shape_Start&lt;=W42),W49,IF(ISNUMBER(SourceEnergy!$C56),SourceEnergy!$C56/(SourceEnergy!$G56*S42+SourceEnergy!$H56*T42),""))</f>
        <v>0.53387948992698775</v>
      </c>
      <c r="W42" s="108">
        <f>YEAR(M42)</f>
        <v>2021</v>
      </c>
      <c r="X42" s="109"/>
    </row>
    <row r="43" spans="1:24" ht="15" customHeight="1" outlineLevel="1" x14ac:dyDescent="0.2">
      <c r="A43" s="206">
        <v>43647</v>
      </c>
      <c r="B43" t="s">
        <v>104</v>
      </c>
      <c r="C43" t="s">
        <v>101</v>
      </c>
      <c r="D43" t="s">
        <v>10</v>
      </c>
      <c r="E43">
        <v>582.64599999999996</v>
      </c>
      <c r="F43" s="23"/>
      <c r="G43" s="203">
        <v>47300</v>
      </c>
      <c r="H43" s="204" t="s">
        <v>104</v>
      </c>
      <c r="I43" s="204" t="s">
        <v>101</v>
      </c>
      <c r="J43" s="204" t="s">
        <v>10</v>
      </c>
      <c r="K43" s="205">
        <v>640.21799999999996</v>
      </c>
      <c r="M43" s="183">
        <f t="shared" si="3"/>
        <v>44228</v>
      </c>
      <c r="N43" s="110">
        <f t="shared" si="1"/>
        <v>1244.3520000000001</v>
      </c>
      <c r="O43" s="111">
        <f t="shared" si="0"/>
        <v>207.392</v>
      </c>
      <c r="P43" s="190">
        <f t="shared" si="2"/>
        <v>1451.7440000000001</v>
      </c>
      <c r="R43" s="112">
        <f>SourceEnergy!B57</f>
        <v>44228</v>
      </c>
      <c r="S43" s="113">
        <v>30.747</v>
      </c>
      <c r="T43" s="114">
        <v>28.105</v>
      </c>
      <c r="U43" s="115">
        <f>IF(AND(Shape_Annually="Yes",Shape_Start&lt;=W42),W49,IF(ISNUMBER(SourceEnergy!$C57),SourceEnergy!$C57/(SourceEnergy!$G57*S43+SourceEnergy!$H57*T43),""))</f>
        <v>0.53387948992698775</v>
      </c>
      <c r="W43" s="25">
        <f>SUMPRODUCT(N42:N53,S42:S53)+SUMPRODUCT(O42:O53,T42:T53)</f>
        <v>770392.83916550013</v>
      </c>
      <c r="X43" s="25" t="s">
        <v>82</v>
      </c>
    </row>
    <row r="44" spans="1:24" ht="15" customHeight="1" outlineLevel="1" x14ac:dyDescent="0.2">
      <c r="A44" s="206">
        <v>43678</v>
      </c>
      <c r="B44" t="s">
        <v>104</v>
      </c>
      <c r="C44" t="s">
        <v>101</v>
      </c>
      <c r="D44" t="s">
        <v>9</v>
      </c>
      <c r="E44">
        <v>2504.0340000000001</v>
      </c>
      <c r="F44" s="23"/>
      <c r="G44" s="203">
        <v>47331</v>
      </c>
      <c r="H44" s="204" t="s">
        <v>104</v>
      </c>
      <c r="I44" s="204" t="s">
        <v>101</v>
      </c>
      <c r="J44" s="204" t="s">
        <v>9</v>
      </c>
      <c r="K44" s="205">
        <v>2381.616</v>
      </c>
      <c r="M44" s="183">
        <f t="shared" si="3"/>
        <v>44256</v>
      </c>
      <c r="N44" s="110">
        <f t="shared" si="1"/>
        <v>1968.4079999999999</v>
      </c>
      <c r="O44" s="111">
        <f t="shared" si="0"/>
        <v>292.48399999999998</v>
      </c>
      <c r="P44" s="190">
        <f t="shared" si="2"/>
        <v>2260.8919999999998</v>
      </c>
      <c r="R44" s="112">
        <f>SourceEnergy!B58</f>
        <v>44256</v>
      </c>
      <c r="S44" s="113">
        <v>28.559000000000001</v>
      </c>
      <c r="T44" s="114">
        <v>26.574999999999999</v>
      </c>
      <c r="U44" s="115">
        <f>IF(AND(Shape_Annually="Yes",Shape_Start&lt;=W42),W49,IF(ISNUMBER(SourceEnergy!$C58),SourceEnergy!$C58/(SourceEnergy!$G58*S44+SourceEnergy!$H58*T44),""))</f>
        <v>0.53387948992698775</v>
      </c>
    </row>
    <row r="45" spans="1:24" ht="15" customHeight="1" outlineLevel="1" x14ac:dyDescent="0.2">
      <c r="A45" s="206">
        <v>43678</v>
      </c>
      <c r="B45" t="s">
        <v>104</v>
      </c>
      <c r="C45" t="s">
        <v>101</v>
      </c>
      <c r="D45" t="s">
        <v>10</v>
      </c>
      <c r="E45">
        <v>436.78100000000001</v>
      </c>
      <c r="F45" s="23"/>
      <c r="G45" s="203">
        <v>47331</v>
      </c>
      <c r="H45" s="204" t="s">
        <v>104</v>
      </c>
      <c r="I45" s="204" t="s">
        <v>101</v>
      </c>
      <c r="J45" s="204" t="s">
        <v>10</v>
      </c>
      <c r="K45" s="205">
        <v>415.42099999999999</v>
      </c>
      <c r="M45" s="183">
        <f t="shared" si="3"/>
        <v>44287</v>
      </c>
      <c r="N45" s="110">
        <f t="shared" si="1"/>
        <v>2223.4679999999998</v>
      </c>
      <c r="O45" s="111">
        <f t="shared" si="0"/>
        <v>387.91199999999998</v>
      </c>
      <c r="P45" s="190">
        <f t="shared" si="2"/>
        <v>2611.3799999999997</v>
      </c>
      <c r="R45" s="112">
        <f>SourceEnergy!B59</f>
        <v>44287</v>
      </c>
      <c r="S45" s="113">
        <v>24.795000000000002</v>
      </c>
      <c r="T45" s="114">
        <v>19.385000000000002</v>
      </c>
      <c r="U45" s="115">
        <f>IF(AND(Shape_Annually="Yes",Shape_Start&lt;=W42),W49,IF(ISNUMBER(SourceEnergy!$C59),SourceEnergy!$C59/(SourceEnergy!$G59*S45+SourceEnergy!$H59*T45),""))</f>
        <v>0.53387948992698775</v>
      </c>
      <c r="W45" s="25">
        <f>VLOOKUP(W42,'[1]Table 5'!$L$23:$N$43,2,FALSE)</f>
        <v>411296.93601708114</v>
      </c>
      <c r="X45" s="25" t="s">
        <v>83</v>
      </c>
    </row>
    <row r="46" spans="1:24" ht="15" customHeight="1" outlineLevel="1" x14ac:dyDescent="0.2">
      <c r="A46" s="206">
        <v>43709</v>
      </c>
      <c r="B46" t="s">
        <v>104</v>
      </c>
      <c r="C46" t="s">
        <v>101</v>
      </c>
      <c r="D46" t="s">
        <v>9</v>
      </c>
      <c r="E46">
        <v>2058.2159999999999</v>
      </c>
      <c r="F46" s="23"/>
      <c r="G46" s="203">
        <v>47362</v>
      </c>
      <c r="H46" s="204" t="s">
        <v>104</v>
      </c>
      <c r="I46" s="204" t="s">
        <v>101</v>
      </c>
      <c r="J46" s="204" t="s">
        <v>9</v>
      </c>
      <c r="K46" s="205">
        <v>1957.6079999999999</v>
      </c>
      <c r="M46" s="183">
        <f t="shared" si="3"/>
        <v>44317</v>
      </c>
      <c r="N46" s="110">
        <f t="shared" si="1"/>
        <v>2314.0250000000001</v>
      </c>
      <c r="O46" s="111">
        <f t="shared" si="0"/>
        <v>708.81600000000003</v>
      </c>
      <c r="P46" s="190">
        <f t="shared" si="2"/>
        <v>3022.8410000000003</v>
      </c>
      <c r="R46" s="112">
        <f>SourceEnergy!B60</f>
        <v>44317</v>
      </c>
      <c r="S46" s="113">
        <v>25.488</v>
      </c>
      <c r="T46" s="114">
        <v>15.29</v>
      </c>
      <c r="U46" s="115">
        <f>IF(AND(Shape_Annually="Yes",Shape_Start&lt;=W42),W49,IF(ISNUMBER(SourceEnergy!$C60),SourceEnergy!$C60/(SourceEnergy!$G60*S46+SourceEnergy!$H60*T46),""))</f>
        <v>0.53387948992698775</v>
      </c>
      <c r="W46" s="25">
        <f>VLOOKUP(W42,'[1]Table 5'!$L$23:$N$43,3,FALSE)</f>
        <v>0</v>
      </c>
      <c r="X46" s="25" t="s">
        <v>84</v>
      </c>
    </row>
    <row r="47" spans="1:24" ht="15" customHeight="1" outlineLevel="1" x14ac:dyDescent="0.2">
      <c r="A47" s="206">
        <v>43709</v>
      </c>
      <c r="B47" t="s">
        <v>104</v>
      </c>
      <c r="C47" t="s">
        <v>101</v>
      </c>
      <c r="D47" t="s">
        <v>10</v>
      </c>
      <c r="E47">
        <v>534.08399999999995</v>
      </c>
      <c r="F47" s="23"/>
      <c r="G47" s="203">
        <v>47362</v>
      </c>
      <c r="H47" s="204" t="s">
        <v>104</v>
      </c>
      <c r="I47" s="204" t="s">
        <v>101</v>
      </c>
      <c r="J47" s="204" t="s">
        <v>10</v>
      </c>
      <c r="K47" s="205">
        <v>507.97199999999998</v>
      </c>
      <c r="M47" s="183">
        <f t="shared" si="3"/>
        <v>44348</v>
      </c>
      <c r="N47" s="110">
        <f t="shared" si="1"/>
        <v>2623.556</v>
      </c>
      <c r="O47" s="111">
        <f t="shared" si="0"/>
        <v>587.85400000000004</v>
      </c>
      <c r="P47" s="190">
        <f t="shared" si="2"/>
        <v>3211.41</v>
      </c>
      <c r="R47" s="112">
        <f>SourceEnergy!B61</f>
        <v>44348</v>
      </c>
      <c r="S47" s="113">
        <v>27.567</v>
      </c>
      <c r="T47" s="114">
        <v>15.875</v>
      </c>
      <c r="U47" s="115">
        <f>IF(AND(Shape_Annually="Yes",Shape_Start&lt;=W42),W49,IF(ISNUMBER(SourceEnergy!$C61),SourceEnergy!$C61/(SourceEnergy!$G61*S47+SourceEnergy!$H61*T47),""))</f>
        <v>0.53387948992698775</v>
      </c>
      <c r="W47" s="25">
        <f>W45+W46</f>
        <v>411296.93601708114</v>
      </c>
      <c r="X47" s="25" t="s">
        <v>85</v>
      </c>
    </row>
    <row r="48" spans="1:24" ht="15" customHeight="1" outlineLevel="1" x14ac:dyDescent="0.2">
      <c r="A48" s="206">
        <v>43739</v>
      </c>
      <c r="B48" t="s">
        <v>104</v>
      </c>
      <c r="C48" t="s">
        <v>101</v>
      </c>
      <c r="D48" t="s">
        <v>9</v>
      </c>
      <c r="E48">
        <v>1830.0060000000001</v>
      </c>
      <c r="F48" s="23"/>
      <c r="G48" s="203">
        <v>47392</v>
      </c>
      <c r="H48" s="204" t="s">
        <v>104</v>
      </c>
      <c r="I48" s="204" t="s">
        <v>101</v>
      </c>
      <c r="J48" s="204" t="s">
        <v>9</v>
      </c>
      <c r="K48" s="205">
        <v>1740.528</v>
      </c>
      <c r="M48" s="183">
        <f t="shared" si="3"/>
        <v>44378</v>
      </c>
      <c r="N48" s="110">
        <f t="shared" si="1"/>
        <v>2329.9119999999998</v>
      </c>
      <c r="O48" s="111">
        <f t="shared" si="0"/>
        <v>576.803</v>
      </c>
      <c r="P48" s="190">
        <f t="shared" si="2"/>
        <v>2906.7149999999997</v>
      </c>
      <c r="R48" s="112">
        <f>SourceEnergy!B62</f>
        <v>44378</v>
      </c>
      <c r="S48" s="113">
        <v>36.9</v>
      </c>
      <c r="T48" s="114">
        <v>24.587499999999999</v>
      </c>
      <c r="U48" s="115">
        <f>IF(AND(Shape_Annually="Yes",Shape_Start&lt;=W42),W49,IF(ISNUMBER(SourceEnergy!$C62),SourceEnergy!$C62/(SourceEnergy!$G62*S48+SourceEnergy!$H62*T48),""))</f>
        <v>0.53387948992698775</v>
      </c>
    </row>
    <row r="49" spans="1:24" ht="15" customHeight="1" outlineLevel="1" x14ac:dyDescent="0.2">
      <c r="A49" s="206">
        <v>43739</v>
      </c>
      <c r="B49" t="s">
        <v>104</v>
      </c>
      <c r="C49" t="s">
        <v>101</v>
      </c>
      <c r="D49" t="s">
        <v>10</v>
      </c>
      <c r="E49">
        <v>271.608</v>
      </c>
      <c r="F49" s="23"/>
      <c r="G49" s="203">
        <v>47392</v>
      </c>
      <c r="H49" s="204" t="s">
        <v>104</v>
      </c>
      <c r="I49" s="204" t="s">
        <v>101</v>
      </c>
      <c r="J49" s="204" t="s">
        <v>10</v>
      </c>
      <c r="K49" s="205">
        <v>258.32100000000003</v>
      </c>
      <c r="M49" s="183">
        <f t="shared" si="3"/>
        <v>44409</v>
      </c>
      <c r="N49" s="110">
        <f t="shared" si="1"/>
        <v>2387.2420000000002</v>
      </c>
      <c r="O49" s="111">
        <f t="shared" si="0"/>
        <v>524.21600000000001</v>
      </c>
      <c r="P49" s="190">
        <f t="shared" si="2"/>
        <v>2911.4580000000001</v>
      </c>
      <c r="R49" s="112">
        <f>SourceEnergy!B63</f>
        <v>44409</v>
      </c>
      <c r="S49" s="113">
        <v>35.619999999999997</v>
      </c>
      <c r="T49" s="114">
        <v>24.36</v>
      </c>
      <c r="U49" s="115">
        <f>IF(AND(Shape_Annually="Yes",Shape_Start&lt;=W42),W49,IF(ISNUMBER(SourceEnergy!$C63),SourceEnergy!$C63/(SourceEnergy!$G63*S49+SourceEnergy!$H63*T49),""))</f>
        <v>0.53387948992698775</v>
      </c>
      <c r="W49" s="116">
        <f>W47/W43</f>
        <v>0.53387948992698775</v>
      </c>
      <c r="X49" s="25" t="s">
        <v>86</v>
      </c>
    </row>
    <row r="50" spans="1:24" ht="15" customHeight="1" outlineLevel="1" x14ac:dyDescent="0.2">
      <c r="A50" s="206">
        <v>43770</v>
      </c>
      <c r="B50" t="s">
        <v>104</v>
      </c>
      <c r="C50" t="s">
        <v>101</v>
      </c>
      <c r="D50" t="s">
        <v>9</v>
      </c>
      <c r="E50">
        <v>1179.625</v>
      </c>
      <c r="F50" s="23"/>
      <c r="G50" s="203">
        <v>47423</v>
      </c>
      <c r="H50" s="204" t="s">
        <v>104</v>
      </c>
      <c r="I50" s="204" t="s">
        <v>101</v>
      </c>
      <c r="J50" s="204" t="s">
        <v>9</v>
      </c>
      <c r="K50" s="205">
        <v>1121.95</v>
      </c>
      <c r="M50" s="183">
        <f t="shared" si="3"/>
        <v>44440</v>
      </c>
      <c r="N50" s="110">
        <f t="shared" si="1"/>
        <v>2122.5500000000002</v>
      </c>
      <c r="O50" s="111">
        <f t="shared" si="0"/>
        <v>443.83</v>
      </c>
      <c r="P50" s="190">
        <f t="shared" si="2"/>
        <v>2566.38</v>
      </c>
      <c r="R50" s="112">
        <f>SourceEnergy!B64</f>
        <v>44440</v>
      </c>
      <c r="S50" s="113">
        <v>33.380000000000003</v>
      </c>
      <c r="T50" s="114">
        <v>21.4025</v>
      </c>
      <c r="U50" s="115">
        <f>IF(AND(Shape_Annually="Yes",Shape_Start&lt;=W42),W49,IF(ISNUMBER(SourceEnergy!$C64),SourceEnergy!$C64/(SourceEnergy!$G64*S50+SourceEnergy!$H64*T50),""))</f>
        <v>0.53387948992698775</v>
      </c>
    </row>
    <row r="51" spans="1:24" ht="15" customHeight="1" outlineLevel="1" x14ac:dyDescent="0.2">
      <c r="A51" s="206">
        <v>43770</v>
      </c>
      <c r="B51" t="s">
        <v>104</v>
      </c>
      <c r="C51" t="s">
        <v>101</v>
      </c>
      <c r="D51" t="s">
        <v>10</v>
      </c>
      <c r="E51">
        <v>235.92500000000001</v>
      </c>
      <c r="F51" s="23"/>
      <c r="G51" s="203">
        <v>47423</v>
      </c>
      <c r="H51" s="204" t="s">
        <v>104</v>
      </c>
      <c r="I51" s="204" t="s">
        <v>101</v>
      </c>
      <c r="J51" s="204" t="s">
        <v>10</v>
      </c>
      <c r="K51" s="205">
        <v>224.39</v>
      </c>
      <c r="M51" s="183">
        <f t="shared" si="3"/>
        <v>44470</v>
      </c>
      <c r="N51" s="110">
        <f t="shared" si="1"/>
        <v>1744.626</v>
      </c>
      <c r="O51" s="111">
        <f t="shared" si="0"/>
        <v>336.00099999999998</v>
      </c>
      <c r="P51" s="190">
        <f t="shared" si="2"/>
        <v>2080.627</v>
      </c>
      <c r="R51" s="112">
        <f>SourceEnergy!B65</f>
        <v>44470</v>
      </c>
      <c r="S51" s="113">
        <v>28.45</v>
      </c>
      <c r="T51" s="114">
        <v>26.545000000000002</v>
      </c>
      <c r="U51" s="115">
        <f>IF(AND(Shape_Annually="Yes",Shape_Start&lt;=W42),W49,IF(ISNUMBER(SourceEnergy!$C65),SourceEnergy!$C65/(SourceEnergy!$G65*S51+SourceEnergy!$H65*T51),""))</f>
        <v>0.53387948992698775</v>
      </c>
    </row>
    <row r="52" spans="1:24" ht="15" customHeight="1" outlineLevel="1" x14ac:dyDescent="0.2">
      <c r="A52" s="206">
        <v>43800</v>
      </c>
      <c r="B52" t="s">
        <v>104</v>
      </c>
      <c r="C52" t="s">
        <v>101</v>
      </c>
      <c r="D52" t="s">
        <v>9</v>
      </c>
      <c r="E52">
        <v>880.65</v>
      </c>
      <c r="F52" s="23"/>
      <c r="G52" s="203">
        <v>47453</v>
      </c>
      <c r="H52" s="204" t="s">
        <v>104</v>
      </c>
      <c r="I52" s="204" t="s">
        <v>101</v>
      </c>
      <c r="J52" s="204" t="s">
        <v>9</v>
      </c>
      <c r="K52" s="205">
        <v>837.6</v>
      </c>
      <c r="M52" s="183">
        <f t="shared" si="3"/>
        <v>44501</v>
      </c>
      <c r="N52" s="110">
        <f t="shared" si="1"/>
        <v>1167.8499999999999</v>
      </c>
      <c r="O52" s="111">
        <f t="shared" si="0"/>
        <v>233.57</v>
      </c>
      <c r="P52" s="190">
        <f t="shared" si="2"/>
        <v>1401.4199999999998</v>
      </c>
      <c r="R52" s="112">
        <f>SourceEnergy!B66</f>
        <v>44501</v>
      </c>
      <c r="S52" s="113">
        <v>28.2</v>
      </c>
      <c r="T52" s="114">
        <v>25.862500000000001</v>
      </c>
      <c r="U52" s="115">
        <f>IF(AND(Shape_Annually="Yes",Shape_Start&lt;=W42),W49,IF(ISNUMBER(SourceEnergy!$C66),SourceEnergy!$C66/(SourceEnergy!$G66*S52+SourceEnergy!$H66*T52),""))</f>
        <v>0.53387948992698775</v>
      </c>
    </row>
    <row r="53" spans="1:24" ht="15" customHeight="1" outlineLevel="1" x14ac:dyDescent="0.2">
      <c r="A53" s="206">
        <v>43800</v>
      </c>
      <c r="B53" t="s">
        <v>104</v>
      </c>
      <c r="C53" t="s">
        <v>101</v>
      </c>
      <c r="D53" t="s">
        <v>10</v>
      </c>
      <c r="E53">
        <v>211.35599999999999</v>
      </c>
      <c r="F53" s="23"/>
      <c r="G53" s="203">
        <v>47453</v>
      </c>
      <c r="H53" s="204" t="s">
        <v>104</v>
      </c>
      <c r="I53" s="204" t="s">
        <v>101</v>
      </c>
      <c r="J53" s="204" t="s">
        <v>10</v>
      </c>
      <c r="K53" s="205">
        <v>201.024</v>
      </c>
      <c r="M53" s="184">
        <f t="shared" si="3"/>
        <v>44531</v>
      </c>
      <c r="N53" s="117">
        <f t="shared" si="1"/>
        <v>906.77599999999995</v>
      </c>
      <c r="O53" s="118">
        <f t="shared" si="0"/>
        <v>174.38</v>
      </c>
      <c r="P53" s="191">
        <f t="shared" si="2"/>
        <v>1081.1559999999999</v>
      </c>
      <c r="R53" s="119">
        <f>SourceEnergy!B67</f>
        <v>44531</v>
      </c>
      <c r="S53" s="120">
        <v>30.2</v>
      </c>
      <c r="T53" s="121">
        <v>28.592500000000001</v>
      </c>
      <c r="U53" s="122">
        <f>IF(AND(Shape_Annually="Yes",Shape_Start&lt;=W42),W49,IF(ISNUMBER(SourceEnergy!$C67),SourceEnergy!$C67/(SourceEnergy!$G67*S53+SourceEnergy!$H67*T53),""))</f>
        <v>0.53387948992698775</v>
      </c>
    </row>
    <row r="54" spans="1:24" ht="15" customHeight="1" outlineLevel="1" x14ac:dyDescent="0.2">
      <c r="A54" s="206">
        <v>43831</v>
      </c>
      <c r="B54" t="s">
        <v>104</v>
      </c>
      <c r="C54" t="s">
        <v>101</v>
      </c>
      <c r="D54" t="s">
        <v>9</v>
      </c>
      <c r="E54">
        <v>1093.3520000000001</v>
      </c>
      <c r="F54" s="23"/>
      <c r="G54" s="203">
        <v>47484</v>
      </c>
      <c r="H54" s="204" t="s">
        <v>104</v>
      </c>
      <c r="I54" s="204" t="s">
        <v>101</v>
      </c>
      <c r="J54" s="204" t="s">
        <v>9</v>
      </c>
      <c r="K54" s="205">
        <v>1039.896</v>
      </c>
      <c r="M54" s="185">
        <f t="shared" si="3"/>
        <v>44562</v>
      </c>
      <c r="N54" s="102">
        <f t="shared" si="1"/>
        <v>1040.7750000000001</v>
      </c>
      <c r="O54" s="103">
        <f t="shared" si="0"/>
        <v>249.786</v>
      </c>
      <c r="P54" s="189">
        <f t="shared" si="2"/>
        <v>1290.5610000000001</v>
      </c>
      <c r="R54" s="104">
        <f>SourceEnergy!B68</f>
        <v>44562</v>
      </c>
      <c r="S54" s="105">
        <v>32.643999999999998</v>
      </c>
      <c r="T54" s="106">
        <v>29.87</v>
      </c>
      <c r="U54" s="107">
        <f>IF(AND(Shape_Annually="Yes",Shape_Start&lt;=W54),W61,IF(ISNUMBER(SourceEnergy!$C68),SourceEnergy!$C68/(SourceEnergy!$G68*S54+SourceEnergy!$H68*T54),""))</f>
        <v>0.53063834378288022</v>
      </c>
      <c r="W54" s="108">
        <f>YEAR(M54)</f>
        <v>2022</v>
      </c>
      <c r="X54" s="109"/>
    </row>
    <row r="55" spans="1:24" ht="15" customHeight="1" outlineLevel="1" x14ac:dyDescent="0.2">
      <c r="A55" s="206">
        <v>43831</v>
      </c>
      <c r="B55" t="s">
        <v>104</v>
      </c>
      <c r="C55" t="s">
        <v>101</v>
      </c>
      <c r="D55" t="s">
        <v>10</v>
      </c>
      <c r="E55">
        <v>210.26</v>
      </c>
      <c r="F55" s="23"/>
      <c r="G55" s="203">
        <v>47484</v>
      </c>
      <c r="H55" s="204" t="s">
        <v>104</v>
      </c>
      <c r="I55" s="204" t="s">
        <v>101</v>
      </c>
      <c r="J55" s="204" t="s">
        <v>10</v>
      </c>
      <c r="K55" s="205">
        <v>199.98</v>
      </c>
      <c r="M55" s="183">
        <f t="shared" si="3"/>
        <v>44593</v>
      </c>
      <c r="N55" s="110">
        <f t="shared" si="1"/>
        <v>1238.088</v>
      </c>
      <c r="O55" s="111">
        <f t="shared" si="0"/>
        <v>206.34800000000001</v>
      </c>
      <c r="P55" s="190">
        <f t="shared" si="2"/>
        <v>1444.4359999999999</v>
      </c>
      <c r="R55" s="112">
        <f>SourceEnergy!B69</f>
        <v>44593</v>
      </c>
      <c r="S55" s="113">
        <v>32.097000000000001</v>
      </c>
      <c r="T55" s="114">
        <v>29.105</v>
      </c>
      <c r="U55" s="115">
        <f>IF(AND(Shape_Annually="Yes",Shape_Start&lt;=W54),W61,IF(ISNUMBER(SourceEnergy!$C69),SourceEnergy!$C69/(SourceEnergy!$G69*S55+SourceEnergy!$H69*T55),""))</f>
        <v>0.53063834378288022</v>
      </c>
      <c r="W55" s="25">
        <f>SUMPRODUCT(N54:N65,S54:S65)+SUMPRODUCT(O54:O65,T54:T65)</f>
        <v>806819.83357600006</v>
      </c>
      <c r="X55" s="25" t="s">
        <v>82</v>
      </c>
    </row>
    <row r="56" spans="1:24" ht="15" customHeight="1" outlineLevel="1" x14ac:dyDescent="0.2">
      <c r="A56" s="206">
        <v>43862</v>
      </c>
      <c r="B56" t="s">
        <v>104</v>
      </c>
      <c r="C56" t="s">
        <v>101</v>
      </c>
      <c r="D56" t="s">
        <v>9</v>
      </c>
      <c r="E56">
        <v>1302.6500000000001</v>
      </c>
      <c r="F56" s="23"/>
      <c r="G56" s="203">
        <v>47515</v>
      </c>
      <c r="H56" s="204" t="s">
        <v>104</v>
      </c>
      <c r="I56" s="204" t="s">
        <v>101</v>
      </c>
      <c r="J56" s="204" t="s">
        <v>9</v>
      </c>
      <c r="K56" s="205">
        <v>1189.4159999999999</v>
      </c>
      <c r="M56" s="183">
        <f t="shared" si="3"/>
        <v>44621</v>
      </c>
      <c r="N56" s="110">
        <f t="shared" si="1"/>
        <v>1958.499</v>
      </c>
      <c r="O56" s="111">
        <f t="shared" si="0"/>
        <v>291.01600000000002</v>
      </c>
      <c r="P56" s="190">
        <f t="shared" si="2"/>
        <v>2249.5149999999999</v>
      </c>
      <c r="R56" s="112">
        <f>SourceEnergy!B70</f>
        <v>44621</v>
      </c>
      <c r="S56" s="113">
        <v>29.908999999999999</v>
      </c>
      <c r="T56" s="114">
        <v>27.574999999999999</v>
      </c>
      <c r="U56" s="115">
        <f>IF(AND(Shape_Annually="Yes",Shape_Start&lt;=W54),W61,IF(ISNUMBER(SourceEnergy!$C70),SourceEnergy!$C70/(SourceEnergy!$G70*S56+SourceEnergy!$H70*T56),""))</f>
        <v>0.53063834378288022</v>
      </c>
    </row>
    <row r="57" spans="1:24" ht="15" customHeight="1" outlineLevel="1" x14ac:dyDescent="0.2">
      <c r="A57" s="206">
        <v>43862</v>
      </c>
      <c r="B57" t="s">
        <v>104</v>
      </c>
      <c r="C57" t="s">
        <v>101</v>
      </c>
      <c r="D57" t="s">
        <v>10</v>
      </c>
      <c r="E57">
        <v>208.42400000000001</v>
      </c>
      <c r="F57" s="23"/>
      <c r="G57" s="203">
        <v>47515</v>
      </c>
      <c r="H57" s="204" t="s">
        <v>104</v>
      </c>
      <c r="I57" s="204" t="s">
        <v>101</v>
      </c>
      <c r="J57" s="204" t="s">
        <v>10</v>
      </c>
      <c r="K57" s="205">
        <v>198.23599999999999</v>
      </c>
      <c r="M57" s="183">
        <f t="shared" si="3"/>
        <v>44652</v>
      </c>
      <c r="N57" s="110">
        <f t="shared" si="1"/>
        <v>2212.288</v>
      </c>
      <c r="O57" s="111">
        <f t="shared" si="0"/>
        <v>385.98200000000003</v>
      </c>
      <c r="P57" s="190">
        <f t="shared" si="2"/>
        <v>2598.27</v>
      </c>
      <c r="R57" s="112">
        <f>SourceEnergy!B71</f>
        <v>44652</v>
      </c>
      <c r="S57" s="113">
        <v>26.145</v>
      </c>
      <c r="T57" s="114">
        <v>21.385000000000002</v>
      </c>
      <c r="U57" s="115">
        <f>IF(AND(Shape_Annually="Yes",Shape_Start&lt;=W54),W61,IF(ISNUMBER(SourceEnergy!$C71),SourceEnergy!$C71/(SourceEnergy!$G71*S57+SourceEnergy!$H71*T57),""))</f>
        <v>0.53063834378288022</v>
      </c>
      <c r="W57" s="25">
        <f>VLOOKUP(W54,'[1]Table 5'!$L$23:$N$43,2,FALSE)</f>
        <v>428129.5402199477</v>
      </c>
      <c r="X57" s="25" t="s">
        <v>83</v>
      </c>
    </row>
    <row r="58" spans="1:24" ht="15" customHeight="1" outlineLevel="1" x14ac:dyDescent="0.2">
      <c r="A58" s="206">
        <v>43891</v>
      </c>
      <c r="B58" t="s">
        <v>104</v>
      </c>
      <c r="C58" t="s">
        <v>101</v>
      </c>
      <c r="D58" t="s">
        <v>9</v>
      </c>
      <c r="E58">
        <v>1904.9939999999999</v>
      </c>
      <c r="F58" s="23"/>
      <c r="G58" s="203">
        <v>47543</v>
      </c>
      <c r="H58" s="204" t="s">
        <v>104</v>
      </c>
      <c r="I58" s="204" t="s">
        <v>101</v>
      </c>
      <c r="J58" s="204" t="s">
        <v>9</v>
      </c>
      <c r="K58" s="205">
        <v>1811.8620000000001</v>
      </c>
      <c r="M58" s="183">
        <f t="shared" si="3"/>
        <v>44682</v>
      </c>
      <c r="N58" s="110">
        <f t="shared" si="1"/>
        <v>2302.4250000000002</v>
      </c>
      <c r="O58" s="111">
        <f t="shared" si="0"/>
        <v>705.25699999999995</v>
      </c>
      <c r="P58" s="190">
        <f t="shared" si="2"/>
        <v>3007.6820000000002</v>
      </c>
      <c r="R58" s="112">
        <f>SourceEnergy!B72</f>
        <v>44682</v>
      </c>
      <c r="S58" s="113">
        <v>26.838000000000001</v>
      </c>
      <c r="T58" s="114">
        <v>17.29</v>
      </c>
      <c r="U58" s="115">
        <f>IF(AND(Shape_Annually="Yes",Shape_Start&lt;=W54),W61,IF(ISNUMBER(SourceEnergy!$C72),SourceEnergy!$C72/(SourceEnergy!$G72*S58+SourceEnergy!$H72*T58),""))</f>
        <v>0.53063834378288022</v>
      </c>
      <c r="W58" s="25">
        <f>VLOOKUP(W54,'[1]Table 5'!$L$23:$N$43,3,FALSE)</f>
        <v>0</v>
      </c>
      <c r="X58" s="25" t="s">
        <v>84</v>
      </c>
    </row>
    <row r="59" spans="1:24" ht="15" customHeight="1" outlineLevel="1" x14ac:dyDescent="0.2">
      <c r="A59" s="206">
        <v>43891</v>
      </c>
      <c r="B59" t="s">
        <v>104</v>
      </c>
      <c r="C59" t="s">
        <v>101</v>
      </c>
      <c r="D59" t="s">
        <v>10</v>
      </c>
      <c r="E59">
        <v>367.21300000000002</v>
      </c>
      <c r="F59" s="23"/>
      <c r="G59" s="203">
        <v>47543</v>
      </c>
      <c r="H59" s="204" t="s">
        <v>104</v>
      </c>
      <c r="I59" s="204" t="s">
        <v>101</v>
      </c>
      <c r="J59" s="204" t="s">
        <v>10</v>
      </c>
      <c r="K59" s="205">
        <v>349.27199999999999</v>
      </c>
      <c r="M59" s="183">
        <f t="shared" si="3"/>
        <v>44713</v>
      </c>
      <c r="N59" s="110">
        <f t="shared" si="1"/>
        <v>2610.4520000000002</v>
      </c>
      <c r="O59" s="111">
        <f t="shared" si="0"/>
        <v>584.90800000000002</v>
      </c>
      <c r="P59" s="190">
        <f t="shared" si="2"/>
        <v>3195.36</v>
      </c>
      <c r="R59" s="112">
        <f>SourceEnergy!B73</f>
        <v>44713</v>
      </c>
      <c r="S59" s="113">
        <v>28.917000000000002</v>
      </c>
      <c r="T59" s="114">
        <v>17.875</v>
      </c>
      <c r="U59" s="115">
        <f>IF(AND(Shape_Annually="Yes",Shape_Start&lt;=W54),W61,IF(ISNUMBER(SourceEnergy!$C73),SourceEnergy!$C73/(SourceEnergy!$G73*S59+SourceEnergy!$H73*T59),""))</f>
        <v>0.53063834378288022</v>
      </c>
      <c r="W59" s="25">
        <f>W57+W58</f>
        <v>428129.5402199477</v>
      </c>
      <c r="X59" s="25" t="s">
        <v>85</v>
      </c>
    </row>
    <row r="60" spans="1:24" ht="15" customHeight="1" outlineLevel="1" x14ac:dyDescent="0.2">
      <c r="A60" s="206">
        <v>43922</v>
      </c>
      <c r="B60" t="s">
        <v>104</v>
      </c>
      <c r="C60" t="s">
        <v>101</v>
      </c>
      <c r="D60" t="s">
        <v>9</v>
      </c>
      <c r="E60">
        <v>2234.6480000000001</v>
      </c>
      <c r="F60" s="23"/>
      <c r="G60" s="203">
        <v>47574</v>
      </c>
      <c r="H60" s="204" t="s">
        <v>104</v>
      </c>
      <c r="I60" s="204" t="s">
        <v>101</v>
      </c>
      <c r="J60" s="204" t="s">
        <v>9</v>
      </c>
      <c r="K60" s="205">
        <v>2125.3440000000001</v>
      </c>
      <c r="M60" s="183">
        <f t="shared" si="3"/>
        <v>44743</v>
      </c>
      <c r="N60" s="110">
        <f t="shared" si="1"/>
        <v>2229.125</v>
      </c>
      <c r="O60" s="111">
        <f t="shared" si="0"/>
        <v>663.11300000000006</v>
      </c>
      <c r="P60" s="190">
        <f t="shared" si="2"/>
        <v>2892.2380000000003</v>
      </c>
      <c r="R60" s="112">
        <f>SourceEnergy!B74</f>
        <v>44743</v>
      </c>
      <c r="S60" s="113">
        <v>38.4</v>
      </c>
      <c r="T60" s="114">
        <v>27.037500000000001</v>
      </c>
      <c r="U60" s="115">
        <f>IF(AND(Shape_Annually="Yes",Shape_Start&lt;=W54),W61,IF(ISNUMBER(SourceEnergy!$C74),SourceEnergy!$C74/(SourceEnergy!$G74*S60+SourceEnergy!$H74*T60),""))</f>
        <v>0.53063834378288022</v>
      </c>
    </row>
    <row r="61" spans="1:24" ht="15" customHeight="1" outlineLevel="1" x14ac:dyDescent="0.2">
      <c r="A61" s="206">
        <v>43922</v>
      </c>
      <c r="B61" t="s">
        <v>104</v>
      </c>
      <c r="C61" t="s">
        <v>101</v>
      </c>
      <c r="D61" t="s">
        <v>10</v>
      </c>
      <c r="E61">
        <v>389.87200000000001</v>
      </c>
      <c r="F61" s="23"/>
      <c r="G61" s="203">
        <v>47574</v>
      </c>
      <c r="H61" s="204" t="s">
        <v>104</v>
      </c>
      <c r="I61" s="204" t="s">
        <v>101</v>
      </c>
      <c r="J61" s="204" t="s">
        <v>10</v>
      </c>
      <c r="K61" s="205">
        <v>370.80599999999998</v>
      </c>
      <c r="M61" s="183">
        <f t="shared" si="3"/>
        <v>44774</v>
      </c>
      <c r="N61" s="110">
        <f t="shared" si="1"/>
        <v>2466.6660000000002</v>
      </c>
      <c r="O61" s="111">
        <f t="shared" si="0"/>
        <v>430.25299999999999</v>
      </c>
      <c r="P61" s="190">
        <f t="shared" si="2"/>
        <v>2896.9190000000003</v>
      </c>
      <c r="R61" s="112">
        <f>SourceEnergy!B75</f>
        <v>44774</v>
      </c>
      <c r="S61" s="113">
        <v>37.119999999999997</v>
      </c>
      <c r="T61" s="114">
        <v>26.81</v>
      </c>
      <c r="U61" s="115">
        <f>IF(AND(Shape_Annually="Yes",Shape_Start&lt;=W54),W61,IF(ISNUMBER(SourceEnergy!$C75),SourceEnergy!$C75/(SourceEnergy!$G75*S61+SourceEnergy!$H75*T61),""))</f>
        <v>0.53063834378288022</v>
      </c>
      <c r="W61" s="116">
        <f>W59/W55</f>
        <v>0.53063834378288022</v>
      </c>
      <c r="X61" s="25" t="s">
        <v>86</v>
      </c>
    </row>
    <row r="62" spans="1:24" ht="15" customHeight="1" outlineLevel="1" x14ac:dyDescent="0.2">
      <c r="A62" s="206">
        <v>43952</v>
      </c>
      <c r="B62" t="s">
        <v>104</v>
      </c>
      <c r="C62" t="s">
        <v>101</v>
      </c>
      <c r="D62" t="s">
        <v>9</v>
      </c>
      <c r="E62">
        <v>2325.625</v>
      </c>
      <c r="F62" s="23"/>
      <c r="G62" s="203">
        <v>47604</v>
      </c>
      <c r="H62" s="204" t="s">
        <v>104</v>
      </c>
      <c r="I62" s="204" t="s">
        <v>101</v>
      </c>
      <c r="J62" s="204" t="s">
        <v>9</v>
      </c>
      <c r="K62" s="205">
        <v>2300.4279999999999</v>
      </c>
      <c r="M62" s="183">
        <f t="shared" si="3"/>
        <v>44805</v>
      </c>
      <c r="N62" s="110">
        <f t="shared" si="1"/>
        <v>2111.9499999999998</v>
      </c>
      <c r="O62" s="111">
        <f t="shared" si="0"/>
        <v>441.62</v>
      </c>
      <c r="P62" s="190">
        <f t="shared" si="2"/>
        <v>2553.5699999999997</v>
      </c>
      <c r="R62" s="112">
        <f>SourceEnergy!B76</f>
        <v>44805</v>
      </c>
      <c r="S62" s="113">
        <v>34.880000000000003</v>
      </c>
      <c r="T62" s="114">
        <v>23.852499999999999</v>
      </c>
      <c r="U62" s="115">
        <f>IF(AND(Shape_Annually="Yes",Shape_Start&lt;=W54),W61,IF(ISNUMBER(SourceEnergy!$C76),SourceEnergy!$C76/(SourceEnergy!$G76*S62+SourceEnergy!$H76*T62),""))</f>
        <v>0.53063834378288022</v>
      </c>
    </row>
    <row r="63" spans="1:24" ht="15" customHeight="1" outlineLevel="1" x14ac:dyDescent="0.2">
      <c r="A63" s="206">
        <v>43952</v>
      </c>
      <c r="B63" t="s">
        <v>104</v>
      </c>
      <c r="C63" t="s">
        <v>101</v>
      </c>
      <c r="D63" t="s">
        <v>10</v>
      </c>
      <c r="E63">
        <v>712.375</v>
      </c>
      <c r="F63" s="23"/>
      <c r="G63" s="203">
        <v>47604</v>
      </c>
      <c r="H63" s="204" t="s">
        <v>104</v>
      </c>
      <c r="I63" s="204" t="s">
        <v>101</v>
      </c>
      <c r="J63" s="204" t="s">
        <v>10</v>
      </c>
      <c r="K63" s="205">
        <v>589.08199999999999</v>
      </c>
      <c r="M63" s="183">
        <f t="shared" si="3"/>
        <v>44835</v>
      </c>
      <c r="N63" s="110">
        <f t="shared" si="1"/>
        <v>1735.89</v>
      </c>
      <c r="O63" s="111">
        <f t="shared" si="0"/>
        <v>334.32100000000003</v>
      </c>
      <c r="P63" s="190">
        <f t="shared" si="2"/>
        <v>2070.2110000000002</v>
      </c>
      <c r="R63" s="112">
        <f>SourceEnergy!B77</f>
        <v>44835</v>
      </c>
      <c r="S63" s="113">
        <v>29.8</v>
      </c>
      <c r="T63" s="114">
        <v>28.995000000000001</v>
      </c>
      <c r="U63" s="115">
        <f>IF(AND(Shape_Annually="Yes",Shape_Start&lt;=W54),W61,IF(ISNUMBER(SourceEnergy!$C77),SourceEnergy!$C77/(SourceEnergy!$G77*S63+SourceEnergy!$H77*T63),""))</f>
        <v>0.53063834378288022</v>
      </c>
    </row>
    <row r="64" spans="1:24" ht="15" customHeight="1" outlineLevel="1" x14ac:dyDescent="0.2">
      <c r="A64" s="206">
        <v>43983</v>
      </c>
      <c r="B64" t="s">
        <v>104</v>
      </c>
      <c r="C64" t="s">
        <v>101</v>
      </c>
      <c r="D64" t="s">
        <v>9</v>
      </c>
      <c r="E64">
        <v>2636.7379999999998</v>
      </c>
      <c r="F64" s="23"/>
      <c r="G64" s="203">
        <v>47635</v>
      </c>
      <c r="H64" s="204" t="s">
        <v>104</v>
      </c>
      <c r="I64" s="204" t="s">
        <v>101</v>
      </c>
      <c r="J64" s="204" t="s">
        <v>9</v>
      </c>
      <c r="K64" s="205">
        <v>2411.375</v>
      </c>
      <c r="M64" s="183">
        <f t="shared" si="3"/>
        <v>44866</v>
      </c>
      <c r="N64" s="110">
        <f t="shared" si="1"/>
        <v>1162</v>
      </c>
      <c r="O64" s="111">
        <f t="shared" si="0"/>
        <v>232.4</v>
      </c>
      <c r="P64" s="190">
        <f t="shared" si="2"/>
        <v>1394.4</v>
      </c>
      <c r="R64" s="112">
        <f>SourceEnergy!B78</f>
        <v>44866</v>
      </c>
      <c r="S64" s="113">
        <v>29.55</v>
      </c>
      <c r="T64" s="114">
        <v>28.3125</v>
      </c>
      <c r="U64" s="115">
        <f>IF(AND(Shape_Annually="Yes",Shape_Start&lt;=W54),W61,IF(ISNUMBER(SourceEnergy!$C78),SourceEnergy!$C78/(SourceEnergy!$G78*S64+SourceEnergy!$H78*T64),""))</f>
        <v>0.53063834378288022</v>
      </c>
    </row>
    <row r="65" spans="1:24" ht="15" customHeight="1" outlineLevel="1" x14ac:dyDescent="0.2">
      <c r="A65" s="206">
        <v>43983</v>
      </c>
      <c r="B65" t="s">
        <v>104</v>
      </c>
      <c r="C65" t="s">
        <v>101</v>
      </c>
      <c r="D65" t="s">
        <v>10</v>
      </c>
      <c r="E65">
        <v>590.81200000000001</v>
      </c>
      <c r="F65" s="23"/>
      <c r="G65" s="203">
        <v>47635</v>
      </c>
      <c r="H65" s="204" t="s">
        <v>104</v>
      </c>
      <c r="I65" s="204" t="s">
        <v>101</v>
      </c>
      <c r="J65" s="204" t="s">
        <v>10</v>
      </c>
      <c r="K65" s="205">
        <v>658.375</v>
      </c>
      <c r="M65" s="184">
        <f t="shared" si="3"/>
        <v>44896</v>
      </c>
      <c r="N65" s="117">
        <f t="shared" si="1"/>
        <v>902.226</v>
      </c>
      <c r="O65" s="118">
        <f t="shared" si="0"/>
        <v>173.505</v>
      </c>
      <c r="P65" s="191">
        <f t="shared" si="2"/>
        <v>1075.731</v>
      </c>
      <c r="R65" s="119">
        <f>SourceEnergy!B79</f>
        <v>44896</v>
      </c>
      <c r="S65" s="120">
        <v>31.55</v>
      </c>
      <c r="T65" s="121">
        <v>31.0425</v>
      </c>
      <c r="U65" s="122">
        <f>IF(AND(Shape_Annually="Yes",Shape_Start&lt;=W54),W61,IF(ISNUMBER(SourceEnergy!$C79),SourceEnergy!$C79/(SourceEnergy!$G79*S65+SourceEnergy!$H79*T65),""))</f>
        <v>0.53063834378288022</v>
      </c>
    </row>
    <row r="66" spans="1:24" ht="15" customHeight="1" outlineLevel="1" x14ac:dyDescent="0.2">
      <c r="A66" s="206">
        <v>44013</v>
      </c>
      <c r="B66" t="s">
        <v>104</v>
      </c>
      <c r="C66" t="s">
        <v>101</v>
      </c>
      <c r="D66" t="s">
        <v>9</v>
      </c>
      <c r="E66">
        <v>2341.5859999999998</v>
      </c>
      <c r="F66" s="23"/>
      <c r="G66" s="203">
        <v>47665</v>
      </c>
      <c r="H66" s="204" t="s">
        <v>104</v>
      </c>
      <c r="I66" s="204" t="s">
        <v>101</v>
      </c>
      <c r="J66" s="204" t="s">
        <v>9</v>
      </c>
      <c r="K66" s="205">
        <v>2227.0819999999999</v>
      </c>
      <c r="M66" s="185">
        <f t="shared" si="3"/>
        <v>44927</v>
      </c>
      <c r="N66" s="102">
        <f t="shared" si="1"/>
        <v>1035.625</v>
      </c>
      <c r="O66" s="103">
        <f t="shared" si="0"/>
        <v>248.55</v>
      </c>
      <c r="P66" s="189">
        <f t="shared" si="2"/>
        <v>1284.175</v>
      </c>
      <c r="R66" s="104">
        <f>SourceEnergy!B80</f>
        <v>44927</v>
      </c>
      <c r="S66" s="105">
        <v>33.994</v>
      </c>
      <c r="T66" s="106">
        <v>30.87</v>
      </c>
      <c r="U66" s="107">
        <f>IF(AND(Shape_Annually="Yes",Shape_Start&lt;=W66),W73,IF(ISNUMBER(SourceEnergy!$C80),SourceEnergy!$C80/(SourceEnergy!$G80*S66+SourceEnergy!$H80*T66),""))</f>
        <v>0.53878600341202254</v>
      </c>
      <c r="W66" s="108">
        <f>YEAR(M66)</f>
        <v>2023</v>
      </c>
      <c r="X66" s="109"/>
    </row>
    <row r="67" spans="1:24" ht="15" customHeight="1" outlineLevel="1" x14ac:dyDescent="0.2">
      <c r="A67" s="206">
        <v>44013</v>
      </c>
      <c r="B67" t="s">
        <v>104</v>
      </c>
      <c r="C67" t="s">
        <v>101</v>
      </c>
      <c r="D67" t="s">
        <v>10</v>
      </c>
      <c r="E67">
        <v>579.73</v>
      </c>
      <c r="F67" s="23"/>
      <c r="G67" s="203">
        <v>47665</v>
      </c>
      <c r="H67" s="204" t="s">
        <v>104</v>
      </c>
      <c r="I67" s="204" t="s">
        <v>101</v>
      </c>
      <c r="J67" s="204" t="s">
        <v>10</v>
      </c>
      <c r="K67" s="205">
        <v>551.35500000000002</v>
      </c>
      <c r="M67" s="183">
        <f t="shared" si="3"/>
        <v>44958</v>
      </c>
      <c r="N67" s="110">
        <f t="shared" si="1"/>
        <v>1231.896</v>
      </c>
      <c r="O67" s="111">
        <f t="shared" si="0"/>
        <v>205.316</v>
      </c>
      <c r="P67" s="190">
        <f t="shared" si="2"/>
        <v>1437.212</v>
      </c>
      <c r="R67" s="112">
        <f>SourceEnergy!B81</f>
        <v>44958</v>
      </c>
      <c r="S67" s="113">
        <v>33.447000000000003</v>
      </c>
      <c r="T67" s="114">
        <v>30.105</v>
      </c>
      <c r="U67" s="115">
        <f>IF(AND(Shape_Annually="Yes",Shape_Start&lt;=W66),W73,IF(ISNUMBER(SourceEnergy!$C81),SourceEnergy!$C81/(SourceEnergy!$G81*S67+SourceEnergy!$H81*T67),""))</f>
        <v>0.53878600341202254</v>
      </c>
      <c r="W67" s="25">
        <f>SUMPRODUCT(N66:N77,S66:S77)+SUMPRODUCT(O66:O77,T66:T77)</f>
        <v>867044.82688786008</v>
      </c>
      <c r="X67" s="25" t="s">
        <v>82</v>
      </c>
    </row>
    <row r="68" spans="1:24" ht="15" customHeight="1" outlineLevel="1" x14ac:dyDescent="0.2">
      <c r="A68" s="206">
        <v>44044</v>
      </c>
      <c r="B68" t="s">
        <v>104</v>
      </c>
      <c r="C68" t="s">
        <v>101</v>
      </c>
      <c r="D68" t="s">
        <v>9</v>
      </c>
      <c r="E68">
        <v>2399.2280000000001</v>
      </c>
      <c r="F68" s="23"/>
      <c r="G68" s="203">
        <v>47696</v>
      </c>
      <c r="H68" s="204" t="s">
        <v>104</v>
      </c>
      <c r="I68" s="204" t="s">
        <v>101</v>
      </c>
      <c r="J68" s="204" t="s">
        <v>9</v>
      </c>
      <c r="K68" s="205">
        <v>2369.7089999999998</v>
      </c>
      <c r="M68" s="183">
        <f t="shared" si="3"/>
        <v>44986</v>
      </c>
      <c r="N68" s="110">
        <f t="shared" si="1"/>
        <v>1948.752</v>
      </c>
      <c r="O68" s="111">
        <f t="shared" si="0"/>
        <v>289.572</v>
      </c>
      <c r="P68" s="190">
        <f t="shared" si="2"/>
        <v>2238.3240000000001</v>
      </c>
      <c r="R68" s="112">
        <f>SourceEnergy!B82</f>
        <v>44986</v>
      </c>
      <c r="S68" s="113">
        <v>31.259</v>
      </c>
      <c r="T68" s="114">
        <v>28.574999999999999</v>
      </c>
      <c r="U68" s="115">
        <f>IF(AND(Shape_Annually="Yes",Shape_Start&lt;=W66),W73,IF(ISNUMBER(SourceEnergy!$C82),SourceEnergy!$C82/(SourceEnergy!$G82*S68+SourceEnergy!$H82*T68),""))</f>
        <v>0.53878600341202254</v>
      </c>
    </row>
    <row r="69" spans="1:24" ht="15" customHeight="1" outlineLevel="1" x14ac:dyDescent="0.2">
      <c r="A69" s="206">
        <v>44044</v>
      </c>
      <c r="B69" t="s">
        <v>104</v>
      </c>
      <c r="C69" t="s">
        <v>101</v>
      </c>
      <c r="D69" t="s">
        <v>10</v>
      </c>
      <c r="E69">
        <v>526.86199999999997</v>
      </c>
      <c r="F69" s="23"/>
      <c r="G69" s="203">
        <v>47696</v>
      </c>
      <c r="H69" s="204" t="s">
        <v>104</v>
      </c>
      <c r="I69" s="204" t="s">
        <v>101</v>
      </c>
      <c r="J69" s="204" t="s">
        <v>10</v>
      </c>
      <c r="K69" s="205">
        <v>413.34699999999998</v>
      </c>
      <c r="M69" s="183">
        <f t="shared" si="3"/>
        <v>45017</v>
      </c>
      <c r="N69" s="110">
        <f t="shared" si="1"/>
        <v>2116.5749999999998</v>
      </c>
      <c r="O69" s="111">
        <f t="shared" si="0"/>
        <v>468.70499999999998</v>
      </c>
      <c r="P69" s="190">
        <f t="shared" si="2"/>
        <v>2585.2799999999997</v>
      </c>
      <c r="R69" s="112">
        <f>SourceEnergy!B83</f>
        <v>45017</v>
      </c>
      <c r="S69" s="113">
        <v>27.495000000000001</v>
      </c>
      <c r="T69" s="114">
        <v>26.385000000000002</v>
      </c>
      <c r="U69" s="115">
        <f>IF(AND(Shape_Annually="Yes",Shape_Start&lt;=W66),W73,IF(ISNUMBER(SourceEnergy!$C83),SourceEnergy!$C83/(SourceEnergy!$G83*S69+SourceEnergy!$H83*T69),""))</f>
        <v>0.53878600341202254</v>
      </c>
      <c r="W69" s="25">
        <f>VLOOKUP(W66,'[1]Table 5'!$L$23:$N$43,2,FALSE)</f>
        <v>467151.61705797911</v>
      </c>
      <c r="X69" s="25" t="s">
        <v>83</v>
      </c>
    </row>
    <row r="70" spans="1:24" ht="15" customHeight="1" outlineLevel="1" x14ac:dyDescent="0.2">
      <c r="A70" s="206">
        <v>44075</v>
      </c>
      <c r="B70" t="s">
        <v>104</v>
      </c>
      <c r="C70" t="s">
        <v>101</v>
      </c>
      <c r="D70" t="s">
        <v>9</v>
      </c>
      <c r="E70">
        <v>2133.25</v>
      </c>
      <c r="F70" s="23"/>
      <c r="G70" s="203">
        <v>47727</v>
      </c>
      <c r="H70" s="204" t="s">
        <v>104</v>
      </c>
      <c r="I70" s="204" t="s">
        <v>101</v>
      </c>
      <c r="J70" s="204" t="s">
        <v>9</v>
      </c>
      <c r="K70" s="205">
        <v>1947.768</v>
      </c>
      <c r="M70" s="183">
        <f t="shared" si="3"/>
        <v>45047</v>
      </c>
      <c r="N70" s="110">
        <f t="shared" si="1"/>
        <v>2382.5100000000002</v>
      </c>
      <c r="O70" s="111">
        <f t="shared" si="1"/>
        <v>610.10599999999999</v>
      </c>
      <c r="P70" s="190">
        <f t="shared" si="2"/>
        <v>2992.616</v>
      </c>
      <c r="R70" s="112">
        <f>SourceEnergy!B84</f>
        <v>45047</v>
      </c>
      <c r="S70" s="113">
        <v>27.516439999999999</v>
      </c>
      <c r="T70" s="114">
        <v>21.44725</v>
      </c>
      <c r="U70" s="115">
        <f>IF(AND(Shape_Annually="Yes",Shape_Start&lt;=W66),W73,IF(ISNUMBER(SourceEnergy!$C84),SourceEnergy!$C84/(SourceEnergy!$G84*S70+SourceEnergy!$H84*T70),""))</f>
        <v>0.53878600341202254</v>
      </c>
      <c r="W70" s="25">
        <f>VLOOKUP(W66,'[1]Table 5'!$L$23:$N$43,3,FALSE)</f>
        <v>0</v>
      </c>
      <c r="X70" s="25" t="s">
        <v>84</v>
      </c>
    </row>
    <row r="71" spans="1:24" ht="15" customHeight="1" outlineLevel="1" x14ac:dyDescent="0.2">
      <c r="A71" s="206">
        <v>44075</v>
      </c>
      <c r="B71" t="s">
        <v>104</v>
      </c>
      <c r="C71" t="s">
        <v>101</v>
      </c>
      <c r="D71" t="s">
        <v>10</v>
      </c>
      <c r="E71">
        <v>446.06</v>
      </c>
      <c r="F71" s="23"/>
      <c r="G71" s="203">
        <v>47727</v>
      </c>
      <c r="H71" s="204" t="s">
        <v>104</v>
      </c>
      <c r="I71" s="204" t="s">
        <v>101</v>
      </c>
      <c r="J71" s="204" t="s">
        <v>10</v>
      </c>
      <c r="K71" s="205">
        <v>505.42200000000003</v>
      </c>
      <c r="M71" s="183">
        <f t="shared" si="3"/>
        <v>45078</v>
      </c>
      <c r="N71" s="110">
        <f t="shared" ref="N71:O90" si="4">SUMIFS($E$6:$E$245,$A$6:$A$245,$M71,$D$6:$D$245,N$5)</f>
        <v>2597.3739999999998</v>
      </c>
      <c r="O71" s="111">
        <f t="shared" si="4"/>
        <v>581.99599999999998</v>
      </c>
      <c r="P71" s="190">
        <f t="shared" ref="P71:P134" si="5">N71+O71</f>
        <v>3179.37</v>
      </c>
      <c r="R71" s="112">
        <f>SourceEnergy!B85</f>
        <v>45078</v>
      </c>
      <c r="S71" s="113">
        <v>29.345040000000001</v>
      </c>
      <c r="T71" s="114">
        <v>22.313459999999999</v>
      </c>
      <c r="U71" s="115">
        <f>IF(AND(Shape_Annually="Yes",Shape_Start&lt;=W66),W73,IF(ISNUMBER(SourceEnergy!$C85),SourceEnergy!$C85/(SourceEnergy!$G85*S71+SourceEnergy!$H85*T71),""))</f>
        <v>0.53878600341202254</v>
      </c>
      <c r="W71" s="25">
        <f>W69+W70</f>
        <v>467151.61705797911</v>
      </c>
      <c r="X71" s="25" t="s">
        <v>85</v>
      </c>
    </row>
    <row r="72" spans="1:24" ht="15" customHeight="1" outlineLevel="1" x14ac:dyDescent="0.2">
      <c r="A72" s="206">
        <v>44105</v>
      </c>
      <c r="B72" t="s">
        <v>104</v>
      </c>
      <c r="C72" t="s">
        <v>101</v>
      </c>
      <c r="D72" t="s">
        <v>9</v>
      </c>
      <c r="E72">
        <v>1820.88</v>
      </c>
      <c r="F72" s="23"/>
      <c r="G72" s="203">
        <v>47757</v>
      </c>
      <c r="H72" s="204" t="s">
        <v>104</v>
      </c>
      <c r="I72" s="204" t="s">
        <v>101</v>
      </c>
      <c r="J72" s="204" t="s">
        <v>9</v>
      </c>
      <c r="K72" s="205">
        <v>1731.8340000000001</v>
      </c>
      <c r="M72" s="183">
        <f t="shared" ref="M72:M135" si="6">EDATE(M71,1)</f>
        <v>45108</v>
      </c>
      <c r="N72" s="110">
        <f t="shared" si="4"/>
        <v>2217.9250000000002</v>
      </c>
      <c r="O72" s="111">
        <f t="shared" si="4"/>
        <v>659.774</v>
      </c>
      <c r="P72" s="190">
        <f t="shared" si="5"/>
        <v>2877.6990000000001</v>
      </c>
      <c r="R72" s="112">
        <f>SourceEnergy!B86</f>
        <v>45108</v>
      </c>
      <c r="S72" s="113">
        <v>40.845889999999997</v>
      </c>
      <c r="T72" s="114">
        <v>30.31889</v>
      </c>
      <c r="U72" s="115">
        <f>IF(AND(Shape_Annually="Yes",Shape_Start&lt;=W66),W73,IF(ISNUMBER(SourceEnergy!$C86),SourceEnergy!$C86/(SourceEnergy!$G86*S72+SourceEnergy!$H86*T72),""))</f>
        <v>0.53878600341202254</v>
      </c>
    </row>
    <row r="73" spans="1:24" ht="15" customHeight="1" outlineLevel="1" x14ac:dyDescent="0.2">
      <c r="A73" s="206">
        <v>44105</v>
      </c>
      <c r="B73" t="s">
        <v>104</v>
      </c>
      <c r="C73" t="s">
        <v>101</v>
      </c>
      <c r="D73" t="s">
        <v>10</v>
      </c>
      <c r="E73">
        <v>270.25599999999997</v>
      </c>
      <c r="F73" s="23"/>
      <c r="G73" s="203">
        <v>47757</v>
      </c>
      <c r="H73" s="204" t="s">
        <v>104</v>
      </c>
      <c r="I73" s="204" t="s">
        <v>101</v>
      </c>
      <c r="J73" s="204" t="s">
        <v>10</v>
      </c>
      <c r="K73" s="205">
        <v>257.03300000000002</v>
      </c>
      <c r="M73" s="183">
        <f t="shared" si="6"/>
        <v>45139</v>
      </c>
      <c r="N73" s="110">
        <f t="shared" si="4"/>
        <v>2454.3270000000002</v>
      </c>
      <c r="O73" s="111">
        <f t="shared" si="4"/>
        <v>428.084</v>
      </c>
      <c r="P73" s="190">
        <f t="shared" si="5"/>
        <v>2882.4110000000001</v>
      </c>
      <c r="R73" s="112">
        <f>SourceEnergy!B87</f>
        <v>45139</v>
      </c>
      <c r="S73" s="113">
        <v>41.422020000000003</v>
      </c>
      <c r="T73" s="114">
        <v>30.940449999999998</v>
      </c>
      <c r="U73" s="115">
        <f>IF(AND(Shape_Annually="Yes",Shape_Start&lt;=W66),W73,IF(ISNUMBER(SourceEnergy!$C87),SourceEnergy!$C87/(SourceEnergy!$G87*S73+SourceEnergy!$H87*T73),""))</f>
        <v>0.53878600341202254</v>
      </c>
      <c r="W73" s="116">
        <f>W71/W67</f>
        <v>0.53878600341202254</v>
      </c>
      <c r="X73" s="25" t="s">
        <v>86</v>
      </c>
    </row>
    <row r="74" spans="1:24" ht="15" customHeight="1" outlineLevel="1" x14ac:dyDescent="0.2">
      <c r="A74" s="206">
        <v>44136</v>
      </c>
      <c r="B74" t="s">
        <v>104</v>
      </c>
      <c r="C74" t="s">
        <v>101</v>
      </c>
      <c r="D74" t="s">
        <v>9</v>
      </c>
      <c r="E74">
        <v>1126.752</v>
      </c>
      <c r="F74" s="23"/>
      <c r="G74" s="203">
        <v>47788</v>
      </c>
      <c r="H74" s="204" t="s">
        <v>104</v>
      </c>
      <c r="I74" s="204" t="s">
        <v>101</v>
      </c>
      <c r="J74" s="204" t="s">
        <v>9</v>
      </c>
      <c r="K74" s="205">
        <v>1116.375</v>
      </c>
      <c r="M74" s="183">
        <f t="shared" si="6"/>
        <v>45170</v>
      </c>
      <c r="N74" s="110">
        <f t="shared" si="4"/>
        <v>2101.375</v>
      </c>
      <c r="O74" s="111">
        <f t="shared" si="4"/>
        <v>439.41500000000002</v>
      </c>
      <c r="P74" s="190">
        <f t="shared" si="5"/>
        <v>2540.79</v>
      </c>
      <c r="R74" s="112">
        <f>SourceEnergy!B88</f>
        <v>45170</v>
      </c>
      <c r="S74" s="113">
        <v>36.799570000000003</v>
      </c>
      <c r="T74" s="114">
        <v>27.836559999999999</v>
      </c>
      <c r="U74" s="115">
        <f>IF(AND(Shape_Annually="Yes",Shape_Start&lt;=W66),W73,IF(ISNUMBER(SourceEnergy!$C88),SourceEnergy!$C88/(SourceEnergy!$G88*S74+SourceEnergy!$H88*T74),""))</f>
        <v>0.53878600341202254</v>
      </c>
    </row>
    <row r="75" spans="1:24" ht="15" customHeight="1" outlineLevel="1" x14ac:dyDescent="0.2">
      <c r="A75" s="206">
        <v>44136</v>
      </c>
      <c r="B75" t="s">
        <v>104</v>
      </c>
      <c r="C75" t="s">
        <v>101</v>
      </c>
      <c r="D75" t="s">
        <v>10</v>
      </c>
      <c r="E75">
        <v>281.68799999999999</v>
      </c>
      <c r="F75" s="23"/>
      <c r="G75" s="203">
        <v>47788</v>
      </c>
      <c r="H75" s="204" t="s">
        <v>104</v>
      </c>
      <c r="I75" s="204" t="s">
        <v>101</v>
      </c>
      <c r="J75" s="204" t="s">
        <v>10</v>
      </c>
      <c r="K75" s="205">
        <v>223.27500000000001</v>
      </c>
      <c r="M75" s="183">
        <f t="shared" si="6"/>
        <v>45200</v>
      </c>
      <c r="N75" s="110">
        <f t="shared" si="4"/>
        <v>1727.2059999999999</v>
      </c>
      <c r="O75" s="111">
        <f t="shared" si="4"/>
        <v>332.65100000000001</v>
      </c>
      <c r="P75" s="190">
        <f t="shared" si="5"/>
        <v>2059.857</v>
      </c>
      <c r="R75" s="112">
        <f>SourceEnergy!B89</f>
        <v>45200</v>
      </c>
      <c r="S75" s="113">
        <v>33.82931</v>
      </c>
      <c r="T75" s="114">
        <v>31.29468</v>
      </c>
      <c r="U75" s="115">
        <f>IF(AND(Shape_Annually="Yes",Shape_Start&lt;=W66),W73,IF(ISNUMBER(SourceEnergy!$C89),SourceEnergy!$C89/(SourceEnergy!$G89*S75+SourceEnergy!$H89*T75),""))</f>
        <v>0.53878600341202254</v>
      </c>
    </row>
    <row r="76" spans="1:24" ht="15" customHeight="1" outlineLevel="1" x14ac:dyDescent="0.2">
      <c r="A76" s="206">
        <v>44166</v>
      </c>
      <c r="B76" t="s">
        <v>104</v>
      </c>
      <c r="C76" t="s">
        <v>101</v>
      </c>
      <c r="D76" t="s">
        <v>9</v>
      </c>
      <c r="E76">
        <v>911.32600000000002</v>
      </c>
      <c r="F76" s="23"/>
      <c r="G76" s="203">
        <v>47818</v>
      </c>
      <c r="H76" s="204" t="s">
        <v>104</v>
      </c>
      <c r="I76" s="204" t="s">
        <v>101</v>
      </c>
      <c r="J76" s="204" t="s">
        <v>9</v>
      </c>
      <c r="K76" s="205">
        <v>833.47500000000002</v>
      </c>
      <c r="M76" s="183">
        <f t="shared" si="6"/>
        <v>45231</v>
      </c>
      <c r="N76" s="110">
        <f t="shared" si="4"/>
        <v>1156.175</v>
      </c>
      <c r="O76" s="111">
        <f t="shared" si="4"/>
        <v>231.23500000000001</v>
      </c>
      <c r="P76" s="190">
        <f t="shared" si="5"/>
        <v>1387.4099999999999</v>
      </c>
      <c r="R76" s="112">
        <f>SourceEnergy!B90</f>
        <v>45231</v>
      </c>
      <c r="S76" s="113">
        <v>34.468989999999998</v>
      </c>
      <c r="T76" s="114">
        <v>31.678629999999998</v>
      </c>
      <c r="U76" s="115">
        <f>IF(AND(Shape_Annually="Yes",Shape_Start&lt;=W66),W73,IF(ISNUMBER(SourceEnergy!$C90),SourceEnergy!$C90/(SourceEnergy!$G90*S76+SourceEnergy!$H90*T76),""))</f>
        <v>0.53878600341202254</v>
      </c>
    </row>
    <row r="77" spans="1:24" ht="15" customHeight="1" outlineLevel="1" x14ac:dyDescent="0.2">
      <c r="A77" s="206">
        <v>44166</v>
      </c>
      <c r="B77" t="s">
        <v>104</v>
      </c>
      <c r="C77" t="s">
        <v>101</v>
      </c>
      <c r="D77" t="s">
        <v>10</v>
      </c>
      <c r="E77">
        <v>175.255</v>
      </c>
      <c r="F77" s="23"/>
      <c r="G77" s="203">
        <v>47818</v>
      </c>
      <c r="H77" s="204" t="s">
        <v>104</v>
      </c>
      <c r="I77" s="204" t="s">
        <v>101</v>
      </c>
      <c r="J77" s="204" t="s">
        <v>10</v>
      </c>
      <c r="K77" s="205">
        <v>200.03399999999999</v>
      </c>
      <c r="M77" s="184">
        <f t="shared" si="6"/>
        <v>45261</v>
      </c>
      <c r="N77" s="117">
        <f t="shared" si="4"/>
        <v>863.15</v>
      </c>
      <c r="O77" s="118">
        <f t="shared" si="4"/>
        <v>207.15600000000001</v>
      </c>
      <c r="P77" s="191">
        <f t="shared" si="5"/>
        <v>1070.306</v>
      </c>
      <c r="R77" s="119">
        <f>SourceEnergy!B91</f>
        <v>45261</v>
      </c>
      <c r="S77" s="120">
        <v>35.99586</v>
      </c>
      <c r="T77" s="121">
        <v>33.918399999999998</v>
      </c>
      <c r="U77" s="122">
        <f>IF(AND(Shape_Annually="Yes",Shape_Start&lt;=W66),W73,IF(ISNUMBER(SourceEnergy!$C91),SourceEnergy!$C91/(SourceEnergy!$G91*S77+SourceEnergy!$H91*T77),""))</f>
        <v>0.53878600341202254</v>
      </c>
    </row>
    <row r="78" spans="1:24" ht="15" customHeight="1" outlineLevel="1" x14ac:dyDescent="0.2">
      <c r="A78" s="206">
        <v>44197</v>
      </c>
      <c r="B78" t="s">
        <v>104</v>
      </c>
      <c r="C78" t="s">
        <v>101</v>
      </c>
      <c r="D78" t="s">
        <v>9</v>
      </c>
      <c r="E78">
        <v>1046.075</v>
      </c>
      <c r="F78" s="23"/>
      <c r="G78" s="203">
        <v>47849</v>
      </c>
      <c r="H78" s="204" t="s">
        <v>104</v>
      </c>
      <c r="I78" s="204" t="s">
        <v>101</v>
      </c>
      <c r="J78" s="204" t="s">
        <v>9</v>
      </c>
      <c r="K78" s="205">
        <v>1034.722</v>
      </c>
      <c r="M78" s="185">
        <f t="shared" si="6"/>
        <v>45292</v>
      </c>
      <c r="N78" s="102">
        <f t="shared" si="4"/>
        <v>1071.616</v>
      </c>
      <c r="O78" s="103">
        <f t="shared" si="4"/>
        <v>206.08</v>
      </c>
      <c r="P78" s="189">
        <f t="shared" si="5"/>
        <v>1277.6959999999999</v>
      </c>
      <c r="R78" s="104">
        <f>SourceEnergy!B92</f>
        <v>45292</v>
      </c>
      <c r="S78" s="105">
        <v>37.102440000000001</v>
      </c>
      <c r="T78" s="106">
        <v>33.650970000000001</v>
      </c>
      <c r="U78" s="107">
        <f>IF(AND(Shape_Annually="Yes",Shape_Start&lt;=W78),W85,IF(ISNUMBER(SourceEnergy!$C92),SourceEnergy!$C92/(SourceEnergy!$G92*S78+SourceEnergy!$H92*T78),""))</f>
        <v>0.46253776687070125</v>
      </c>
      <c r="W78" s="108">
        <f>YEAR(M78)</f>
        <v>2024</v>
      </c>
      <c r="X78" s="109"/>
    </row>
    <row r="79" spans="1:24" ht="15" customHeight="1" outlineLevel="1" x14ac:dyDescent="0.2">
      <c r="A79" s="206">
        <v>44197</v>
      </c>
      <c r="B79" t="s">
        <v>104</v>
      </c>
      <c r="C79" t="s">
        <v>101</v>
      </c>
      <c r="D79" t="s">
        <v>10</v>
      </c>
      <c r="E79">
        <v>251.05799999999999</v>
      </c>
      <c r="F79" s="23"/>
      <c r="G79" s="203">
        <v>47849</v>
      </c>
      <c r="H79" s="204" t="s">
        <v>104</v>
      </c>
      <c r="I79" s="204" t="s">
        <v>101</v>
      </c>
      <c r="J79" s="204" t="s">
        <v>10</v>
      </c>
      <c r="K79" s="205">
        <v>198.98500000000001</v>
      </c>
      <c r="M79" s="183">
        <f t="shared" si="6"/>
        <v>45323</v>
      </c>
      <c r="N79" s="110">
        <f t="shared" si="4"/>
        <v>1276.75</v>
      </c>
      <c r="O79" s="111">
        <f t="shared" si="4"/>
        <v>204.28</v>
      </c>
      <c r="P79" s="190">
        <f t="shared" si="5"/>
        <v>1481.03</v>
      </c>
      <c r="R79" s="112">
        <f>SourceEnergy!B93</f>
        <v>45323</v>
      </c>
      <c r="S79" s="113">
        <v>37.490989999999996</v>
      </c>
      <c r="T79" s="114">
        <v>34.021000000000001</v>
      </c>
      <c r="U79" s="115">
        <f>IF(AND(Shape_Annually="Yes",Shape_Start&lt;=W78),W85,IF(ISNUMBER(SourceEnergy!$C93),SourceEnergy!$C93/(SourceEnergy!$G93*S79+SourceEnergy!$H93*T79),""))</f>
        <v>0.46253776687070125</v>
      </c>
      <c r="W79" s="25">
        <f>SUMPRODUCT(N78:N89,S78:S89)+SUMPRODUCT(O78:O89,T78:T89)</f>
        <v>936584.06491596007</v>
      </c>
      <c r="X79" s="25" t="s">
        <v>82</v>
      </c>
    </row>
    <row r="80" spans="1:24" ht="15" customHeight="1" outlineLevel="1" x14ac:dyDescent="0.2">
      <c r="A80" s="206">
        <v>44228</v>
      </c>
      <c r="B80" t="s">
        <v>104</v>
      </c>
      <c r="C80" t="s">
        <v>101</v>
      </c>
      <c r="D80" t="s">
        <v>9</v>
      </c>
      <c r="E80">
        <v>1244.3520000000001</v>
      </c>
      <c r="F80" s="23"/>
      <c r="G80" s="203">
        <v>47880</v>
      </c>
      <c r="H80" s="204" t="s">
        <v>104</v>
      </c>
      <c r="I80" s="204" t="s">
        <v>101</v>
      </c>
      <c r="J80" s="204" t="s">
        <v>9</v>
      </c>
      <c r="K80" s="205">
        <v>1183.44</v>
      </c>
      <c r="M80" s="183">
        <f t="shared" si="6"/>
        <v>45352</v>
      </c>
      <c r="N80" s="110">
        <f t="shared" si="4"/>
        <v>1867.19</v>
      </c>
      <c r="O80" s="111">
        <f t="shared" si="4"/>
        <v>359.94299999999998</v>
      </c>
      <c r="P80" s="190">
        <f t="shared" si="5"/>
        <v>2227.1329999999998</v>
      </c>
      <c r="R80" s="112">
        <f>SourceEnergy!B94</f>
        <v>45352</v>
      </c>
      <c r="S80" s="113">
        <v>34.389580000000002</v>
      </c>
      <c r="T80" s="114">
        <v>32.079720000000002</v>
      </c>
      <c r="U80" s="115">
        <f>IF(AND(Shape_Annually="Yes",Shape_Start&lt;=W78),W85,IF(ISNUMBER(SourceEnergy!$C94),SourceEnergy!$C94/(SourceEnergy!$G94*S80+SourceEnergy!$H94*T80),""))</f>
        <v>0.46253776687070125</v>
      </c>
    </row>
    <row r="81" spans="1:24" ht="15" customHeight="1" outlineLevel="1" x14ac:dyDescent="0.2">
      <c r="A81" s="206">
        <v>44228</v>
      </c>
      <c r="B81" t="s">
        <v>104</v>
      </c>
      <c r="C81" t="s">
        <v>101</v>
      </c>
      <c r="D81" t="s">
        <v>10</v>
      </c>
      <c r="E81">
        <v>207.392</v>
      </c>
      <c r="F81" s="23"/>
      <c r="G81" s="203">
        <v>47880</v>
      </c>
      <c r="H81" s="204" t="s">
        <v>104</v>
      </c>
      <c r="I81" s="204" t="s">
        <v>101</v>
      </c>
      <c r="J81" s="204" t="s">
        <v>10</v>
      </c>
      <c r="K81" s="205">
        <v>197.24</v>
      </c>
      <c r="M81" s="183">
        <f t="shared" si="6"/>
        <v>45383</v>
      </c>
      <c r="N81" s="110">
        <f t="shared" si="4"/>
        <v>2190.2399999999998</v>
      </c>
      <c r="O81" s="111">
        <f t="shared" si="4"/>
        <v>382.11</v>
      </c>
      <c r="P81" s="190">
        <f t="shared" si="5"/>
        <v>2572.35</v>
      </c>
      <c r="R81" s="112">
        <f>SourceEnergy!B95</f>
        <v>45383</v>
      </c>
      <c r="S81" s="113">
        <v>28.771129999999999</v>
      </c>
      <c r="T81" s="114">
        <v>26.89471</v>
      </c>
      <c r="U81" s="115">
        <f>IF(AND(Shape_Annually="Yes",Shape_Start&lt;=W78),W85,IF(ISNUMBER(SourceEnergy!$C95),SourceEnergy!$C95/(SourceEnergy!$G95*S81+SourceEnergy!$H95*T81),""))</f>
        <v>0.46253776687070125</v>
      </c>
      <c r="W81" s="25">
        <f>VLOOKUP(W78,'[1]Table 5'!$L$23:$N$43,2,FALSE)</f>
        <v>433205.50187291205</v>
      </c>
      <c r="X81" s="25" t="s">
        <v>83</v>
      </c>
    </row>
    <row r="82" spans="1:24" ht="15" customHeight="1" outlineLevel="1" x14ac:dyDescent="0.2">
      <c r="A82" s="206">
        <v>44256</v>
      </c>
      <c r="B82" t="s">
        <v>104</v>
      </c>
      <c r="C82" t="s">
        <v>101</v>
      </c>
      <c r="D82" t="s">
        <v>9</v>
      </c>
      <c r="E82">
        <v>1968.4079999999999</v>
      </c>
      <c r="F82" s="23"/>
      <c r="G82" s="203">
        <v>47908</v>
      </c>
      <c r="H82" s="204" t="s">
        <v>104</v>
      </c>
      <c r="I82" s="204" t="s">
        <v>101</v>
      </c>
      <c r="J82" s="204" t="s">
        <v>9</v>
      </c>
      <c r="K82" s="205">
        <v>1802.84</v>
      </c>
      <c r="M82" s="183">
        <f t="shared" si="6"/>
        <v>45413</v>
      </c>
      <c r="N82" s="110">
        <f t="shared" si="4"/>
        <v>2370.6280000000002</v>
      </c>
      <c r="O82" s="111">
        <f t="shared" si="4"/>
        <v>607.04600000000005</v>
      </c>
      <c r="P82" s="190">
        <f t="shared" si="5"/>
        <v>2977.674</v>
      </c>
      <c r="R82" s="112">
        <f>SourceEnergy!B96</f>
        <v>45413</v>
      </c>
      <c r="S82" s="113">
        <v>28.194880000000001</v>
      </c>
      <c r="T82" s="114">
        <v>25.604500000000002</v>
      </c>
      <c r="U82" s="115">
        <f>IF(AND(Shape_Annually="Yes",Shape_Start&lt;=W78),W85,IF(ISNUMBER(SourceEnergy!$C96),SourceEnergy!$C96/(SourceEnergy!$G96*S82+SourceEnergy!$H96*T82),""))</f>
        <v>0.46253776687070125</v>
      </c>
      <c r="W82" s="25">
        <f>VLOOKUP(W78,'[1]Table 5'!$L$23:$N$43,3,FALSE)</f>
        <v>0</v>
      </c>
      <c r="X82" s="25" t="s">
        <v>84</v>
      </c>
    </row>
    <row r="83" spans="1:24" ht="15" customHeight="1" outlineLevel="1" x14ac:dyDescent="0.2">
      <c r="A83" s="206">
        <v>44256</v>
      </c>
      <c r="B83" t="s">
        <v>104</v>
      </c>
      <c r="C83" t="s">
        <v>101</v>
      </c>
      <c r="D83" t="s">
        <v>10</v>
      </c>
      <c r="E83">
        <v>292.48399999999998</v>
      </c>
      <c r="F83" s="23"/>
      <c r="G83" s="203">
        <v>47908</v>
      </c>
      <c r="H83" s="204" t="s">
        <v>104</v>
      </c>
      <c r="I83" s="204" t="s">
        <v>101</v>
      </c>
      <c r="J83" s="204" t="s">
        <v>10</v>
      </c>
      <c r="K83" s="205">
        <v>347.53699999999998</v>
      </c>
      <c r="M83" s="183">
        <f t="shared" si="6"/>
        <v>45444</v>
      </c>
      <c r="N83" s="110">
        <f t="shared" si="4"/>
        <v>2484.9749999999999</v>
      </c>
      <c r="O83" s="111">
        <f t="shared" si="4"/>
        <v>678.495</v>
      </c>
      <c r="P83" s="190">
        <f t="shared" si="5"/>
        <v>3163.47</v>
      </c>
      <c r="R83" s="112">
        <f>SourceEnergy!B97</f>
        <v>45444</v>
      </c>
      <c r="S83" s="113">
        <v>29.773070000000001</v>
      </c>
      <c r="T83" s="114">
        <v>26.751919999999998</v>
      </c>
      <c r="U83" s="115">
        <f>IF(AND(Shape_Annually="Yes",Shape_Start&lt;=W78),W85,IF(ISNUMBER(SourceEnergy!$C97),SourceEnergy!$C97/(SourceEnergy!$G97*S83+SourceEnergy!$H97*T83),""))</f>
        <v>0.46253776687070125</v>
      </c>
      <c r="W83" s="25">
        <f>W81+W82</f>
        <v>433205.50187291205</v>
      </c>
      <c r="X83" s="25" t="s">
        <v>85</v>
      </c>
    </row>
    <row r="84" spans="1:24" ht="15" customHeight="1" outlineLevel="1" x14ac:dyDescent="0.2">
      <c r="A84" s="206">
        <v>44287</v>
      </c>
      <c r="B84" t="s">
        <v>104</v>
      </c>
      <c r="C84" t="s">
        <v>101</v>
      </c>
      <c r="D84" t="s">
        <v>9</v>
      </c>
      <c r="E84">
        <v>2223.4679999999998</v>
      </c>
      <c r="F84" s="23"/>
      <c r="G84" s="203">
        <v>47939</v>
      </c>
      <c r="H84" s="204" t="s">
        <v>104</v>
      </c>
      <c r="I84" s="204" t="s">
        <v>101</v>
      </c>
      <c r="J84" s="204" t="s">
        <v>9</v>
      </c>
      <c r="K84" s="205">
        <v>2114.71</v>
      </c>
      <c r="M84" s="183">
        <f t="shared" si="6"/>
        <v>45474</v>
      </c>
      <c r="N84" s="110">
        <f t="shared" si="4"/>
        <v>2295.1239999999998</v>
      </c>
      <c r="O84" s="111">
        <f t="shared" si="4"/>
        <v>568.19100000000003</v>
      </c>
      <c r="P84" s="190">
        <f t="shared" si="5"/>
        <v>2863.3149999999996</v>
      </c>
      <c r="R84" s="112">
        <f>SourceEnergy!B98</f>
        <v>45474</v>
      </c>
      <c r="S84" s="113">
        <v>43.29177</v>
      </c>
      <c r="T84" s="114">
        <v>33.600279999999998</v>
      </c>
      <c r="U84" s="115">
        <f>IF(AND(Shape_Annually="Yes",Shape_Start&lt;=W78),W85,IF(ISNUMBER(SourceEnergy!$C98),SourceEnergy!$C98/(SourceEnergy!$G98*S84+SourceEnergy!$H98*T84),""))</f>
        <v>0.46253776687070125</v>
      </c>
    </row>
    <row r="85" spans="1:24" ht="15" customHeight="1" outlineLevel="1" x14ac:dyDescent="0.2">
      <c r="A85" s="206">
        <v>44287</v>
      </c>
      <c r="B85" t="s">
        <v>104</v>
      </c>
      <c r="C85" t="s">
        <v>101</v>
      </c>
      <c r="D85" t="s">
        <v>10</v>
      </c>
      <c r="E85">
        <v>387.91199999999998</v>
      </c>
      <c r="F85" s="23"/>
      <c r="G85" s="203">
        <v>47939</v>
      </c>
      <c r="H85" s="204" t="s">
        <v>104</v>
      </c>
      <c r="I85" s="204" t="s">
        <v>101</v>
      </c>
      <c r="J85" s="204" t="s">
        <v>10</v>
      </c>
      <c r="K85" s="205">
        <v>368.93</v>
      </c>
      <c r="M85" s="183">
        <f t="shared" si="6"/>
        <v>45505</v>
      </c>
      <c r="N85" s="110">
        <f t="shared" si="4"/>
        <v>2442.069</v>
      </c>
      <c r="O85" s="111">
        <f t="shared" si="4"/>
        <v>425.95800000000003</v>
      </c>
      <c r="P85" s="190">
        <f t="shared" si="5"/>
        <v>2868.027</v>
      </c>
      <c r="R85" s="112">
        <f>SourceEnergy!B99</f>
        <v>45505</v>
      </c>
      <c r="S85" s="113">
        <v>45.724040000000002</v>
      </c>
      <c r="T85" s="114">
        <v>35.070900000000002</v>
      </c>
      <c r="U85" s="115">
        <f>IF(AND(Shape_Annually="Yes",Shape_Start&lt;=W78),W85,IF(ISNUMBER(SourceEnergy!$C99),SourceEnergy!$C99/(SourceEnergy!$G99*S85+SourceEnergy!$H99*T85),""))</f>
        <v>0.46253776687070125</v>
      </c>
      <c r="W85" s="116">
        <f>W83/W79</f>
        <v>0.46253776687070125</v>
      </c>
      <c r="X85" s="25" t="s">
        <v>86</v>
      </c>
    </row>
    <row r="86" spans="1:24" ht="15" customHeight="1" outlineLevel="1" x14ac:dyDescent="0.2">
      <c r="A86" s="206">
        <v>44317</v>
      </c>
      <c r="B86" t="s">
        <v>104</v>
      </c>
      <c r="C86" t="s">
        <v>101</v>
      </c>
      <c r="D86" t="s">
        <v>9</v>
      </c>
      <c r="E86">
        <v>2314.0250000000001</v>
      </c>
      <c r="F86" s="23"/>
      <c r="G86" s="203">
        <v>47969</v>
      </c>
      <c r="H86" s="204" t="s">
        <v>104</v>
      </c>
      <c r="I86" s="204" t="s">
        <v>101</v>
      </c>
      <c r="J86" s="204" t="s">
        <v>9</v>
      </c>
      <c r="K86" s="205">
        <v>2288.9360000000001</v>
      </c>
      <c r="M86" s="183">
        <f t="shared" si="6"/>
        <v>45536</v>
      </c>
      <c r="N86" s="110">
        <f t="shared" si="4"/>
        <v>2007.2639999999999</v>
      </c>
      <c r="O86" s="111">
        <f t="shared" si="4"/>
        <v>520.86599999999999</v>
      </c>
      <c r="P86" s="190">
        <f t="shared" si="5"/>
        <v>2528.13</v>
      </c>
      <c r="R86" s="112">
        <f>SourceEnergy!B100</f>
        <v>45536</v>
      </c>
      <c r="S86" s="113">
        <v>38.719140000000003</v>
      </c>
      <c r="T86" s="114">
        <v>31.820609999999999</v>
      </c>
      <c r="U86" s="115">
        <f>IF(AND(Shape_Annually="Yes",Shape_Start&lt;=W78),W85,IF(ISNUMBER(SourceEnergy!$C100),SourceEnergy!$C100/(SourceEnergy!$G100*S86+SourceEnergy!$H100*T86),""))</f>
        <v>0.46253776687070125</v>
      </c>
    </row>
    <row r="87" spans="1:24" ht="15" customHeight="1" outlineLevel="1" x14ac:dyDescent="0.2">
      <c r="A87" s="206">
        <v>44317</v>
      </c>
      <c r="B87" t="s">
        <v>104</v>
      </c>
      <c r="C87" t="s">
        <v>101</v>
      </c>
      <c r="D87" t="s">
        <v>10</v>
      </c>
      <c r="E87">
        <v>708.81600000000003</v>
      </c>
      <c r="F87" s="23"/>
      <c r="G87" s="203">
        <v>47969</v>
      </c>
      <c r="H87" s="204" t="s">
        <v>104</v>
      </c>
      <c r="I87" s="204" t="s">
        <v>101</v>
      </c>
      <c r="J87" s="204" t="s">
        <v>10</v>
      </c>
      <c r="K87" s="205">
        <v>586.15899999999999</v>
      </c>
      <c r="M87" s="183">
        <f t="shared" si="6"/>
        <v>45566</v>
      </c>
      <c r="N87" s="110">
        <f t="shared" si="4"/>
        <v>1784.7270000000001</v>
      </c>
      <c r="O87" s="111">
        <f t="shared" si="4"/>
        <v>264.89999999999998</v>
      </c>
      <c r="P87" s="190">
        <f t="shared" si="5"/>
        <v>2049.627</v>
      </c>
      <c r="R87" s="112">
        <f>SourceEnergy!B101</f>
        <v>45566</v>
      </c>
      <c r="S87" s="113">
        <v>37.858620000000002</v>
      </c>
      <c r="T87" s="114">
        <v>33.594349999999999</v>
      </c>
      <c r="U87" s="115">
        <f>IF(AND(Shape_Annually="Yes",Shape_Start&lt;=W78),W85,IF(ISNUMBER(SourceEnergy!$C101),SourceEnergy!$C101/(SourceEnergy!$G101*S87+SourceEnergy!$H101*T87),""))</f>
        <v>0.46253776687070125</v>
      </c>
    </row>
    <row r="88" spans="1:24" ht="15" customHeight="1" outlineLevel="1" x14ac:dyDescent="0.2">
      <c r="A88" s="206">
        <v>44348</v>
      </c>
      <c r="B88" t="s">
        <v>104</v>
      </c>
      <c r="C88" t="s">
        <v>101</v>
      </c>
      <c r="D88" t="s">
        <v>9</v>
      </c>
      <c r="E88">
        <v>2623.556</v>
      </c>
      <c r="F88" s="23"/>
      <c r="G88" s="203">
        <v>48000</v>
      </c>
      <c r="H88" s="204" t="s">
        <v>104</v>
      </c>
      <c r="I88" s="204" t="s">
        <v>101</v>
      </c>
      <c r="J88" s="204" t="s">
        <v>9</v>
      </c>
      <c r="K88" s="205">
        <v>2399.2750000000001</v>
      </c>
      <c r="M88" s="183">
        <f t="shared" si="6"/>
        <v>45597</v>
      </c>
      <c r="N88" s="110">
        <f t="shared" si="4"/>
        <v>1150.375</v>
      </c>
      <c r="O88" s="111">
        <f t="shared" si="4"/>
        <v>230.07499999999999</v>
      </c>
      <c r="P88" s="190">
        <f t="shared" si="5"/>
        <v>1380.45</v>
      </c>
      <c r="R88" s="112">
        <f>SourceEnergy!B102</f>
        <v>45597</v>
      </c>
      <c r="S88" s="113">
        <v>39.387979999999999</v>
      </c>
      <c r="T88" s="114">
        <v>35.04477</v>
      </c>
      <c r="U88" s="115">
        <f>IF(AND(Shape_Annually="Yes",Shape_Start&lt;=W78),W85,IF(ISNUMBER(SourceEnergy!$C102),SourceEnergy!$C102/(SourceEnergy!$G102*S88+SourceEnergy!$H102*T88),""))</f>
        <v>0.46253776687070125</v>
      </c>
    </row>
    <row r="89" spans="1:24" ht="15" customHeight="1" outlineLevel="1" x14ac:dyDescent="0.2">
      <c r="A89" s="206">
        <v>44348</v>
      </c>
      <c r="B89" t="s">
        <v>104</v>
      </c>
      <c r="C89" t="s">
        <v>101</v>
      </c>
      <c r="D89" t="s">
        <v>10</v>
      </c>
      <c r="E89">
        <v>587.85400000000004</v>
      </c>
      <c r="F89" s="23"/>
      <c r="G89" s="203">
        <v>48000</v>
      </c>
      <c r="H89" s="204" t="s">
        <v>104</v>
      </c>
      <c r="I89" s="204" t="s">
        <v>101</v>
      </c>
      <c r="J89" s="204" t="s">
        <v>10</v>
      </c>
      <c r="K89" s="205">
        <v>655.08500000000004</v>
      </c>
      <c r="M89" s="184">
        <f t="shared" si="6"/>
        <v>45627</v>
      </c>
      <c r="N89" s="117">
        <f t="shared" si="4"/>
        <v>858.85</v>
      </c>
      <c r="O89" s="118">
        <f t="shared" si="4"/>
        <v>206.124</v>
      </c>
      <c r="P89" s="191">
        <f t="shared" si="5"/>
        <v>1064.9739999999999</v>
      </c>
      <c r="R89" s="119">
        <f>SourceEnergy!B103</f>
        <v>45627</v>
      </c>
      <c r="S89" s="120">
        <v>40.44173</v>
      </c>
      <c r="T89" s="121">
        <v>36.794310000000003</v>
      </c>
      <c r="U89" s="122">
        <f>IF(AND(Shape_Annually="Yes",Shape_Start&lt;=W78),W85,IF(ISNUMBER(SourceEnergy!$C103),SourceEnergy!$C103/(SourceEnergy!$G103*S89+SourceEnergy!$H103*T89),""))</f>
        <v>0.46253776687070125</v>
      </c>
    </row>
    <row r="90" spans="1:24" ht="15" customHeight="1" outlineLevel="1" x14ac:dyDescent="0.2">
      <c r="A90" s="206">
        <v>44378</v>
      </c>
      <c r="B90" t="s">
        <v>104</v>
      </c>
      <c r="C90" t="s">
        <v>101</v>
      </c>
      <c r="D90" t="s">
        <v>9</v>
      </c>
      <c r="E90">
        <v>2329.9119999999998</v>
      </c>
      <c r="F90" s="23"/>
      <c r="G90" s="203">
        <v>48030</v>
      </c>
      <c r="H90" s="204" t="s">
        <v>104</v>
      </c>
      <c r="I90" s="204" t="s">
        <v>101</v>
      </c>
      <c r="J90" s="204" t="s">
        <v>9</v>
      </c>
      <c r="K90" s="205">
        <v>2215.98</v>
      </c>
      <c r="M90" s="185">
        <f t="shared" si="6"/>
        <v>45658</v>
      </c>
      <c r="N90" s="102">
        <f t="shared" si="4"/>
        <v>1066.3119999999999</v>
      </c>
      <c r="O90" s="103">
        <f t="shared" si="4"/>
        <v>205.06</v>
      </c>
      <c r="P90" s="189">
        <f t="shared" si="5"/>
        <v>1271.3719999999998</v>
      </c>
      <c r="R90" s="104">
        <f>SourceEnergy!B104</f>
        <v>45658</v>
      </c>
      <c r="S90" s="105">
        <v>40.210889999999999</v>
      </c>
      <c r="T90" s="106">
        <v>36.431950000000001</v>
      </c>
      <c r="U90" s="107">
        <f>IF(AND(Shape_Annually="Yes",Shape_Start&lt;=W90),W97,IF(ISNUMBER(SourceEnergy!$C104),SourceEnergy!$C104/(SourceEnergy!$G104*S90+SourceEnergy!$H104*T90),""))</f>
        <v>0.51527759684444552</v>
      </c>
      <c r="W90" s="108">
        <f>YEAR(M90)</f>
        <v>2025</v>
      </c>
      <c r="X90" s="109"/>
    </row>
    <row r="91" spans="1:24" ht="15" customHeight="1" outlineLevel="1" x14ac:dyDescent="0.2">
      <c r="A91" s="206">
        <v>44378</v>
      </c>
      <c r="B91" t="s">
        <v>104</v>
      </c>
      <c r="C91" t="s">
        <v>101</v>
      </c>
      <c r="D91" t="s">
        <v>10</v>
      </c>
      <c r="E91">
        <v>576.803</v>
      </c>
      <c r="F91" s="23"/>
      <c r="G91" s="203">
        <v>48030</v>
      </c>
      <c r="H91" s="204" t="s">
        <v>104</v>
      </c>
      <c r="I91" s="204" t="s">
        <v>101</v>
      </c>
      <c r="J91" s="204" t="s">
        <v>10</v>
      </c>
      <c r="K91" s="205">
        <v>548.63099999999997</v>
      </c>
      <c r="M91" s="183">
        <f t="shared" si="6"/>
        <v>45689</v>
      </c>
      <c r="N91" s="110">
        <f t="shared" ref="N91:O110" si="7">SUMIFS($E$6:$E$245,$A$6:$A$245,$M91,$D$6:$D$245,N$5)</f>
        <v>1219.6079999999999</v>
      </c>
      <c r="O91" s="111">
        <f t="shared" si="7"/>
        <v>203.268</v>
      </c>
      <c r="P91" s="190">
        <f t="shared" si="5"/>
        <v>1422.876</v>
      </c>
      <c r="R91" s="112">
        <f>SourceEnergy!B105</f>
        <v>45689</v>
      </c>
      <c r="S91" s="113">
        <v>41.534979999999997</v>
      </c>
      <c r="T91" s="114">
        <v>37.936990000000002</v>
      </c>
      <c r="U91" s="115">
        <f>IF(AND(Shape_Annually="Yes",Shape_Start&lt;=W90),W97,IF(ISNUMBER(SourceEnergy!$C105),SourceEnergy!$C105/(SourceEnergy!$G105*S91+SourceEnergy!$H105*T91),""))</f>
        <v>0.51527759684444552</v>
      </c>
      <c r="W91" s="25">
        <f>SUMPRODUCT(N90:N101,S90:S101)+SUMPRODUCT(O90:O101,T90:T101)</f>
        <v>986366.93759347999</v>
      </c>
      <c r="X91" s="25" t="s">
        <v>82</v>
      </c>
    </row>
    <row r="92" spans="1:24" ht="15" customHeight="1" outlineLevel="1" x14ac:dyDescent="0.2">
      <c r="A92" s="206">
        <v>44409</v>
      </c>
      <c r="B92" t="s">
        <v>104</v>
      </c>
      <c r="C92" t="s">
        <v>101</v>
      </c>
      <c r="D92" t="s">
        <v>9</v>
      </c>
      <c r="E92">
        <v>2387.2420000000002</v>
      </c>
      <c r="F92" s="23"/>
      <c r="G92" s="203">
        <v>48061</v>
      </c>
      <c r="H92" s="204" t="s">
        <v>104</v>
      </c>
      <c r="I92" s="204" t="s">
        <v>101</v>
      </c>
      <c r="J92" s="204" t="s">
        <v>9</v>
      </c>
      <c r="K92" s="205">
        <v>2270.4760000000001</v>
      </c>
      <c r="M92" s="183">
        <f t="shared" si="6"/>
        <v>45717</v>
      </c>
      <c r="N92" s="110">
        <f t="shared" si="7"/>
        <v>1857.9079999999999</v>
      </c>
      <c r="O92" s="111">
        <f t="shared" si="7"/>
        <v>358.15800000000002</v>
      </c>
      <c r="P92" s="190">
        <f t="shared" si="5"/>
        <v>2216.0659999999998</v>
      </c>
      <c r="R92" s="112">
        <f>SourceEnergy!B106</f>
        <v>45717</v>
      </c>
      <c r="S92" s="113">
        <v>37.520159999999997</v>
      </c>
      <c r="T92" s="114">
        <v>35.584429999999998</v>
      </c>
      <c r="U92" s="115">
        <f>IF(AND(Shape_Annually="Yes",Shape_Start&lt;=W90),W97,IF(ISNUMBER(SourceEnergy!$C106),SourceEnergy!$C106/(SourceEnergy!$G106*S92+SourceEnergy!$H106*T92),""))</f>
        <v>0.51527759684444552</v>
      </c>
    </row>
    <row r="93" spans="1:24" ht="15" customHeight="1" outlineLevel="1" x14ac:dyDescent="0.2">
      <c r="A93" s="206">
        <v>44409</v>
      </c>
      <c r="B93" t="s">
        <v>104</v>
      </c>
      <c r="C93" t="s">
        <v>101</v>
      </c>
      <c r="D93" t="s">
        <v>10</v>
      </c>
      <c r="E93">
        <v>524.21600000000001</v>
      </c>
      <c r="F93" s="23"/>
      <c r="G93" s="203">
        <v>48061</v>
      </c>
      <c r="H93" s="204" t="s">
        <v>104</v>
      </c>
      <c r="I93" s="204" t="s">
        <v>101</v>
      </c>
      <c r="J93" s="204" t="s">
        <v>10</v>
      </c>
      <c r="K93" s="205">
        <v>498.59899999999999</v>
      </c>
      <c r="M93" s="183">
        <f t="shared" si="6"/>
        <v>45748</v>
      </c>
      <c r="N93" s="110">
        <f t="shared" si="7"/>
        <v>2179.268</v>
      </c>
      <c r="O93" s="111">
        <f t="shared" si="7"/>
        <v>380.21199999999999</v>
      </c>
      <c r="P93" s="190">
        <f t="shared" si="5"/>
        <v>2559.48</v>
      </c>
      <c r="R93" s="112">
        <f>SourceEnergy!B107</f>
        <v>45748</v>
      </c>
      <c r="S93" s="113">
        <v>30.047260000000001</v>
      </c>
      <c r="T93" s="114">
        <v>27.404430000000001</v>
      </c>
      <c r="U93" s="115">
        <f>IF(AND(Shape_Annually="Yes",Shape_Start&lt;=W90),W97,IF(ISNUMBER(SourceEnergy!$C107),SourceEnergy!$C107/(SourceEnergy!$G107*S93+SourceEnergy!$H107*T93),""))</f>
        <v>0.51527759684444552</v>
      </c>
      <c r="W93" s="25">
        <f>VLOOKUP(W90,'[1]Table 5'!$L$23:$N$43,2,FALSE)</f>
        <v>508252.78520998359</v>
      </c>
      <c r="X93" s="25" t="s">
        <v>83</v>
      </c>
    </row>
    <row r="94" spans="1:24" ht="15" customHeight="1" outlineLevel="1" x14ac:dyDescent="0.2">
      <c r="A94" s="206">
        <v>44440</v>
      </c>
      <c r="B94" t="s">
        <v>104</v>
      </c>
      <c r="C94" t="s">
        <v>101</v>
      </c>
      <c r="D94" t="s">
        <v>9</v>
      </c>
      <c r="E94">
        <v>2122.5500000000002</v>
      </c>
      <c r="F94" s="23"/>
      <c r="G94" s="203">
        <v>48092</v>
      </c>
      <c r="H94" s="204" t="s">
        <v>104</v>
      </c>
      <c r="I94" s="204" t="s">
        <v>101</v>
      </c>
      <c r="J94" s="204" t="s">
        <v>9</v>
      </c>
      <c r="K94" s="205">
        <v>2018.8</v>
      </c>
      <c r="M94" s="183">
        <f t="shared" si="6"/>
        <v>45778</v>
      </c>
      <c r="N94" s="110">
        <f t="shared" si="7"/>
        <v>2358.7719999999999</v>
      </c>
      <c r="O94" s="111">
        <f t="shared" si="7"/>
        <v>604.02200000000005</v>
      </c>
      <c r="P94" s="190">
        <f t="shared" si="5"/>
        <v>2962.7939999999999</v>
      </c>
      <c r="R94" s="112">
        <f>SourceEnergy!B108</f>
        <v>45778</v>
      </c>
      <c r="S94" s="113">
        <v>29.245290000000001</v>
      </c>
      <c r="T94" s="114">
        <v>26.82488</v>
      </c>
      <c r="U94" s="115">
        <f>IF(AND(Shape_Annually="Yes",Shape_Start&lt;=W90),W97,IF(ISNUMBER(SourceEnergy!$C108),SourceEnergy!$C108/(SourceEnergy!$G108*S94+SourceEnergy!$H108*T94),""))</f>
        <v>0.51527759684444552</v>
      </c>
      <c r="W94" s="25">
        <f>VLOOKUP(W90,'[1]Table 5'!$L$23:$N$43,3,FALSE)</f>
        <v>0</v>
      </c>
      <c r="X94" s="25" t="s">
        <v>84</v>
      </c>
    </row>
    <row r="95" spans="1:24" ht="15" customHeight="1" outlineLevel="1" x14ac:dyDescent="0.2">
      <c r="A95" s="206">
        <v>44440</v>
      </c>
      <c r="B95" t="s">
        <v>104</v>
      </c>
      <c r="C95" t="s">
        <v>101</v>
      </c>
      <c r="D95" t="s">
        <v>10</v>
      </c>
      <c r="E95">
        <v>443.83</v>
      </c>
      <c r="F95" s="23"/>
      <c r="G95" s="203">
        <v>48092</v>
      </c>
      <c r="H95" s="204" t="s">
        <v>104</v>
      </c>
      <c r="I95" s="204" t="s">
        <v>101</v>
      </c>
      <c r="J95" s="204" t="s">
        <v>10</v>
      </c>
      <c r="K95" s="205">
        <v>422.15</v>
      </c>
      <c r="M95" s="183">
        <f t="shared" si="6"/>
        <v>45809</v>
      </c>
      <c r="N95" s="110">
        <f t="shared" si="7"/>
        <v>2472.5250000000001</v>
      </c>
      <c r="O95" s="111">
        <f t="shared" si="7"/>
        <v>675.10500000000002</v>
      </c>
      <c r="P95" s="190">
        <f t="shared" si="5"/>
        <v>3147.63</v>
      </c>
      <c r="R95" s="112">
        <f>SourceEnergy!B109</f>
        <v>45809</v>
      </c>
      <c r="S95" s="113">
        <v>31.73939</v>
      </c>
      <c r="T95" s="114">
        <v>27.883669999999999</v>
      </c>
      <c r="U95" s="115">
        <f>IF(AND(Shape_Annually="Yes",Shape_Start&lt;=W90),W97,IF(ISNUMBER(SourceEnergy!$C109),SourceEnergy!$C109/(SourceEnergy!$G109*S95+SourceEnergy!$H109*T95),""))</f>
        <v>0.51527759684444552</v>
      </c>
      <c r="W95" s="25">
        <f>W93+W94</f>
        <v>508252.78520998359</v>
      </c>
      <c r="X95" s="25" t="s">
        <v>85</v>
      </c>
    </row>
    <row r="96" spans="1:24" ht="15" customHeight="1" outlineLevel="1" x14ac:dyDescent="0.2">
      <c r="A96" s="206">
        <v>44470</v>
      </c>
      <c r="B96" t="s">
        <v>104</v>
      </c>
      <c r="C96" t="s">
        <v>101</v>
      </c>
      <c r="D96" t="s">
        <v>9</v>
      </c>
      <c r="E96">
        <v>1744.626</v>
      </c>
      <c r="F96" s="23"/>
      <c r="G96" s="203">
        <v>48122</v>
      </c>
      <c r="H96" s="204" t="s">
        <v>104</v>
      </c>
      <c r="I96" s="204" t="s">
        <v>101</v>
      </c>
      <c r="J96" s="204" t="s">
        <v>9</v>
      </c>
      <c r="K96" s="205">
        <v>1723.194</v>
      </c>
      <c r="M96" s="183">
        <f t="shared" si="6"/>
        <v>45839</v>
      </c>
      <c r="N96" s="110">
        <f t="shared" si="7"/>
        <v>2283.6320000000001</v>
      </c>
      <c r="O96" s="111">
        <f t="shared" si="7"/>
        <v>565.39200000000005</v>
      </c>
      <c r="P96" s="190">
        <f t="shared" si="5"/>
        <v>2849.0240000000003</v>
      </c>
      <c r="R96" s="112">
        <f>SourceEnergy!B110</f>
        <v>45839</v>
      </c>
      <c r="S96" s="113">
        <v>45.251539999999999</v>
      </c>
      <c r="T96" s="114">
        <v>35.16836</v>
      </c>
      <c r="U96" s="115">
        <f>IF(AND(Shape_Annually="Yes",Shape_Start&lt;=W90),W97,IF(ISNUMBER(SourceEnergy!$C110),SourceEnergy!$C110/(SourceEnergy!$G110*S96+SourceEnergy!$H110*T96),""))</f>
        <v>0.51527759684444552</v>
      </c>
    </row>
    <row r="97" spans="1:24" ht="15" customHeight="1" outlineLevel="1" x14ac:dyDescent="0.2">
      <c r="A97" s="206">
        <v>44470</v>
      </c>
      <c r="B97" t="s">
        <v>104</v>
      </c>
      <c r="C97" t="s">
        <v>101</v>
      </c>
      <c r="D97" t="s">
        <v>10</v>
      </c>
      <c r="E97">
        <v>336.00099999999998</v>
      </c>
      <c r="F97" s="23"/>
      <c r="G97" s="203">
        <v>48122</v>
      </c>
      <c r="H97" s="204" t="s">
        <v>104</v>
      </c>
      <c r="I97" s="204" t="s">
        <v>101</v>
      </c>
      <c r="J97" s="204" t="s">
        <v>10</v>
      </c>
      <c r="K97" s="205">
        <v>255.75299999999999</v>
      </c>
      <c r="M97" s="183">
        <f t="shared" si="6"/>
        <v>45870</v>
      </c>
      <c r="N97" s="110">
        <f t="shared" si="7"/>
        <v>2339.87</v>
      </c>
      <c r="O97" s="111">
        <f t="shared" si="7"/>
        <v>513.83500000000004</v>
      </c>
      <c r="P97" s="190">
        <f t="shared" si="5"/>
        <v>2853.7049999999999</v>
      </c>
      <c r="R97" s="112">
        <f>SourceEnergy!B111</f>
        <v>45870</v>
      </c>
      <c r="S97" s="113">
        <v>49.215580000000003</v>
      </c>
      <c r="T97" s="114">
        <v>37.452640000000002</v>
      </c>
      <c r="U97" s="115">
        <f>IF(AND(Shape_Annually="Yes",Shape_Start&lt;=W90),W97,IF(ISNUMBER(SourceEnergy!$C111),SourceEnergy!$C111/(SourceEnergy!$G111*S97+SourceEnergy!$H111*T97),""))</f>
        <v>0.51527759684444552</v>
      </c>
      <c r="W97" s="116">
        <f>W95/W91</f>
        <v>0.51527759684444552</v>
      </c>
      <c r="X97" s="25" t="s">
        <v>86</v>
      </c>
    </row>
    <row r="98" spans="1:24" ht="15" customHeight="1" outlineLevel="1" x14ac:dyDescent="0.2">
      <c r="A98" s="206">
        <v>44501</v>
      </c>
      <c r="B98" t="s">
        <v>104</v>
      </c>
      <c r="C98" t="s">
        <v>101</v>
      </c>
      <c r="D98" t="s">
        <v>9</v>
      </c>
      <c r="E98">
        <v>1167.8499999999999</v>
      </c>
      <c r="F98" s="23"/>
      <c r="G98" s="203">
        <v>48153</v>
      </c>
      <c r="H98" s="204" t="s">
        <v>104</v>
      </c>
      <c r="I98" s="204" t="s">
        <v>101</v>
      </c>
      <c r="J98" s="204" t="s">
        <v>9</v>
      </c>
      <c r="K98" s="205">
        <v>1066.3679999999999</v>
      </c>
      <c r="M98" s="183">
        <f t="shared" si="6"/>
        <v>45901</v>
      </c>
      <c r="N98" s="110">
        <f t="shared" si="7"/>
        <v>2080.4250000000002</v>
      </c>
      <c r="O98" s="111">
        <f t="shared" si="7"/>
        <v>435.01499999999999</v>
      </c>
      <c r="P98" s="190">
        <f t="shared" si="5"/>
        <v>2515.44</v>
      </c>
      <c r="R98" s="112">
        <f>SourceEnergy!B112</f>
        <v>45901</v>
      </c>
      <c r="S98" s="113">
        <v>41.474600000000002</v>
      </c>
      <c r="T98" s="114">
        <v>33.251130000000003</v>
      </c>
      <c r="U98" s="115">
        <f>IF(AND(Shape_Annually="Yes",Shape_Start&lt;=W90),W97,IF(ISNUMBER(SourceEnergy!$C112),SourceEnergy!$C112/(SourceEnergy!$G112*S98+SourceEnergy!$H112*T98),""))</f>
        <v>0.51527759684444552</v>
      </c>
    </row>
    <row r="99" spans="1:24" ht="15" customHeight="1" outlineLevel="1" x14ac:dyDescent="0.2">
      <c r="A99" s="206">
        <v>44501</v>
      </c>
      <c r="B99" t="s">
        <v>104</v>
      </c>
      <c r="C99" t="s">
        <v>101</v>
      </c>
      <c r="D99" t="s">
        <v>10</v>
      </c>
      <c r="E99">
        <v>233.57</v>
      </c>
      <c r="F99" s="23"/>
      <c r="G99" s="203">
        <v>48153</v>
      </c>
      <c r="H99" s="204" t="s">
        <v>104</v>
      </c>
      <c r="I99" s="204" t="s">
        <v>101</v>
      </c>
      <c r="J99" s="204" t="s">
        <v>10</v>
      </c>
      <c r="K99" s="205">
        <v>266.59199999999998</v>
      </c>
      <c r="M99" s="183">
        <f t="shared" si="6"/>
        <v>45931</v>
      </c>
      <c r="N99" s="110">
        <f t="shared" si="7"/>
        <v>1775.817</v>
      </c>
      <c r="O99" s="111">
        <f t="shared" si="7"/>
        <v>263.58</v>
      </c>
      <c r="P99" s="190">
        <f t="shared" si="5"/>
        <v>2039.3969999999999</v>
      </c>
      <c r="R99" s="112">
        <f>SourceEnergy!B113</f>
        <v>45931</v>
      </c>
      <c r="S99" s="113">
        <v>39.378500000000003</v>
      </c>
      <c r="T99" s="114">
        <v>34.840739999999997</v>
      </c>
      <c r="U99" s="115">
        <f>IF(AND(Shape_Annually="Yes",Shape_Start&lt;=W90),W97,IF(ISNUMBER(SourceEnergy!$C113),SourceEnergy!$C113/(SourceEnergy!$G113*S99+SourceEnergy!$H113*T99),""))</f>
        <v>0.51527759684444552</v>
      </c>
    </row>
    <row r="100" spans="1:24" ht="15" customHeight="1" outlineLevel="1" x14ac:dyDescent="0.2">
      <c r="A100" s="206">
        <v>44531</v>
      </c>
      <c r="B100" t="s">
        <v>104</v>
      </c>
      <c r="C100" t="s">
        <v>101</v>
      </c>
      <c r="D100" t="s">
        <v>9</v>
      </c>
      <c r="E100">
        <v>906.77599999999995</v>
      </c>
      <c r="F100" s="23"/>
      <c r="G100" s="203">
        <v>48183</v>
      </c>
      <c r="H100" s="204" t="s">
        <v>104</v>
      </c>
      <c r="I100" s="204" t="s">
        <v>101</v>
      </c>
      <c r="J100" s="204" t="s">
        <v>9</v>
      </c>
      <c r="K100" s="205">
        <v>862.42</v>
      </c>
      <c r="M100" s="183">
        <f t="shared" si="6"/>
        <v>45962</v>
      </c>
      <c r="N100" s="110">
        <f t="shared" si="7"/>
        <v>1098.8879999999999</v>
      </c>
      <c r="O100" s="111">
        <f t="shared" si="7"/>
        <v>274.72199999999998</v>
      </c>
      <c r="P100" s="190">
        <f t="shared" si="5"/>
        <v>1373.61</v>
      </c>
      <c r="R100" s="112">
        <f>SourceEnergy!B114</f>
        <v>45962</v>
      </c>
      <c r="S100" s="113">
        <v>41.269849999999998</v>
      </c>
      <c r="T100" s="114">
        <v>36.802570000000003</v>
      </c>
      <c r="U100" s="115">
        <f>IF(AND(Shape_Annually="Yes",Shape_Start&lt;=W90),W97,IF(ISNUMBER(SourceEnergy!$C114),SourceEnergy!$C114/(SourceEnergy!$G114*S100+SourceEnergy!$H114*T100),""))</f>
        <v>0.51527759684444552</v>
      </c>
    </row>
    <row r="101" spans="1:24" ht="15" customHeight="1" outlineLevel="1" x14ac:dyDescent="0.2">
      <c r="A101" s="206">
        <v>44531</v>
      </c>
      <c r="B101" t="s">
        <v>104</v>
      </c>
      <c r="C101" t="s">
        <v>101</v>
      </c>
      <c r="D101" t="s">
        <v>10</v>
      </c>
      <c r="E101">
        <v>174.38</v>
      </c>
      <c r="F101" s="23"/>
      <c r="G101" s="203">
        <v>48183</v>
      </c>
      <c r="H101" s="204" t="s">
        <v>104</v>
      </c>
      <c r="I101" s="204" t="s">
        <v>101</v>
      </c>
      <c r="J101" s="204" t="s">
        <v>10</v>
      </c>
      <c r="K101" s="205">
        <v>165.85</v>
      </c>
      <c r="M101" s="184">
        <f t="shared" si="6"/>
        <v>45992</v>
      </c>
      <c r="N101" s="117">
        <f t="shared" si="7"/>
        <v>888.81</v>
      </c>
      <c r="O101" s="118">
        <f t="shared" si="7"/>
        <v>170.92500000000001</v>
      </c>
      <c r="P101" s="191">
        <f t="shared" si="5"/>
        <v>1059.7349999999999</v>
      </c>
      <c r="R101" s="119">
        <f>SourceEnergy!B115</f>
        <v>45992</v>
      </c>
      <c r="S101" s="120">
        <v>42.077710000000003</v>
      </c>
      <c r="T101" s="121">
        <v>37.814149999999998</v>
      </c>
      <c r="U101" s="122">
        <f>IF(AND(Shape_Annually="Yes",Shape_Start&lt;=W90),W97,IF(ISNUMBER(SourceEnergy!$C115),SourceEnergy!$C115/(SourceEnergy!$G115*S101+SourceEnergy!$H115*T101),""))</f>
        <v>0.51527759684444552</v>
      </c>
    </row>
    <row r="102" spans="1:24" ht="15" customHeight="1" outlineLevel="1" x14ac:dyDescent="0.2">
      <c r="A102" s="206">
        <v>44562</v>
      </c>
      <c r="B102" t="s">
        <v>104</v>
      </c>
      <c r="C102" t="s">
        <v>101</v>
      </c>
      <c r="D102" t="s">
        <v>9</v>
      </c>
      <c r="E102">
        <v>1040.7750000000001</v>
      </c>
      <c r="F102" s="23"/>
      <c r="G102" s="203">
        <v>48214</v>
      </c>
      <c r="H102" s="204" t="s">
        <v>104</v>
      </c>
      <c r="I102" s="204" t="s">
        <v>101</v>
      </c>
      <c r="J102" s="204" t="s">
        <v>9</v>
      </c>
      <c r="K102" s="205">
        <v>1029.548</v>
      </c>
      <c r="M102" s="185">
        <f t="shared" si="6"/>
        <v>46023</v>
      </c>
      <c r="N102" s="102">
        <f t="shared" si="7"/>
        <v>1060.982</v>
      </c>
      <c r="O102" s="103">
        <f t="shared" si="7"/>
        <v>204.035</v>
      </c>
      <c r="P102" s="189">
        <f t="shared" si="5"/>
        <v>1265.0170000000001</v>
      </c>
      <c r="R102" s="104">
        <f>SourceEnergy!B116</f>
        <v>46023</v>
      </c>
      <c r="S102" s="105">
        <v>41.613340000000001</v>
      </c>
      <c r="T102" s="106">
        <v>37.537269999999999</v>
      </c>
      <c r="U102" s="107">
        <f>IF(AND(Shape_Annually="Yes",Shape_Start&lt;=W102),W109,IF(ISNUMBER(SourceEnergy!$C116),SourceEnergy!$C116/(SourceEnergy!$G116*S102+SourceEnergy!$H116*T102),""))</f>
        <v>0.52637774169382523</v>
      </c>
      <c r="W102" s="108">
        <f>YEAR(M102)</f>
        <v>2026</v>
      </c>
      <c r="X102" s="109"/>
    </row>
    <row r="103" spans="1:24" ht="15" customHeight="1" outlineLevel="1" x14ac:dyDescent="0.2">
      <c r="A103" s="206">
        <v>44562</v>
      </c>
      <c r="B103" t="s">
        <v>104</v>
      </c>
      <c r="C103" t="s">
        <v>101</v>
      </c>
      <c r="D103" t="s">
        <v>10</v>
      </c>
      <c r="E103">
        <v>249.786</v>
      </c>
      <c r="F103" s="23"/>
      <c r="G103" s="203">
        <v>48214</v>
      </c>
      <c r="H103" s="204" t="s">
        <v>104</v>
      </c>
      <c r="I103" s="204" t="s">
        <v>101</v>
      </c>
      <c r="J103" s="204" t="s">
        <v>10</v>
      </c>
      <c r="K103" s="205">
        <v>197.99</v>
      </c>
      <c r="M103" s="183">
        <f t="shared" si="6"/>
        <v>46054</v>
      </c>
      <c r="N103" s="110">
        <f t="shared" si="7"/>
        <v>1213.5119999999999</v>
      </c>
      <c r="O103" s="111">
        <f t="shared" si="7"/>
        <v>202.25200000000001</v>
      </c>
      <c r="P103" s="190">
        <f t="shared" si="5"/>
        <v>1415.7639999999999</v>
      </c>
      <c r="R103" s="112">
        <f>SourceEnergy!B117</f>
        <v>46054</v>
      </c>
      <c r="S103" s="113">
        <v>42.208739999999999</v>
      </c>
      <c r="T103" s="114">
        <v>38.395020000000002</v>
      </c>
      <c r="U103" s="115">
        <f>IF(AND(Shape_Annually="Yes",Shape_Start&lt;=W102),W109,IF(ISNUMBER(SourceEnergy!$C117),SourceEnergy!$C117/(SourceEnergy!$G117*S103+SourceEnergy!$H117*T103),""))</f>
        <v>0.52637774169382523</v>
      </c>
      <c r="W103" s="25">
        <f>SUMPRODUCT(N102:N113,S102:S113)+SUMPRODUCT(O102:O113,T102:T113)</f>
        <v>1003363.5039456998</v>
      </c>
      <c r="X103" s="25" t="s">
        <v>82</v>
      </c>
    </row>
    <row r="104" spans="1:24" ht="15" customHeight="1" outlineLevel="1" x14ac:dyDescent="0.2">
      <c r="A104" s="206">
        <v>44593</v>
      </c>
      <c r="B104" t="s">
        <v>104</v>
      </c>
      <c r="C104" t="s">
        <v>101</v>
      </c>
      <c r="D104" t="s">
        <v>9</v>
      </c>
      <c r="E104">
        <v>1238.088</v>
      </c>
      <c r="F104" s="23"/>
      <c r="G104" s="203">
        <v>48245</v>
      </c>
      <c r="H104" s="204" t="s">
        <v>104</v>
      </c>
      <c r="I104" s="204" t="s">
        <v>101</v>
      </c>
      <c r="J104" s="204" t="s">
        <v>9</v>
      </c>
      <c r="K104" s="205">
        <v>1177.56</v>
      </c>
      <c r="M104" s="183">
        <f t="shared" si="6"/>
        <v>46082</v>
      </c>
      <c r="N104" s="110">
        <f t="shared" si="7"/>
        <v>1848.5740000000001</v>
      </c>
      <c r="O104" s="111">
        <f t="shared" si="7"/>
        <v>356.363</v>
      </c>
      <c r="P104" s="190">
        <f t="shared" si="5"/>
        <v>2204.9369999999999</v>
      </c>
      <c r="R104" s="112">
        <f>SourceEnergy!B118</f>
        <v>46082</v>
      </c>
      <c r="S104" s="113">
        <v>37.074689999999997</v>
      </c>
      <c r="T104" s="114">
        <v>35.287039999999998</v>
      </c>
      <c r="U104" s="115">
        <f>IF(AND(Shape_Annually="Yes",Shape_Start&lt;=W102),W109,IF(ISNUMBER(SourceEnergy!$C118),SourceEnergy!$C118/(SourceEnergy!$G118*S104+SourceEnergy!$H118*T104),""))</f>
        <v>0.52637774169382523</v>
      </c>
    </row>
    <row r="105" spans="1:24" ht="15" customHeight="1" outlineLevel="1" x14ac:dyDescent="0.2">
      <c r="A105" s="206">
        <v>44593</v>
      </c>
      <c r="B105" t="s">
        <v>104</v>
      </c>
      <c r="C105" t="s">
        <v>101</v>
      </c>
      <c r="D105" t="s">
        <v>10</v>
      </c>
      <c r="E105">
        <v>206.34800000000001</v>
      </c>
      <c r="F105" s="23"/>
      <c r="G105" s="203">
        <v>48245</v>
      </c>
      <c r="H105" s="204" t="s">
        <v>104</v>
      </c>
      <c r="I105" s="204" t="s">
        <v>101</v>
      </c>
      <c r="J105" s="204" t="s">
        <v>10</v>
      </c>
      <c r="K105" s="205">
        <v>245.32499999999999</v>
      </c>
      <c r="M105" s="183">
        <f t="shared" si="6"/>
        <v>46113</v>
      </c>
      <c r="N105" s="110">
        <f t="shared" si="7"/>
        <v>2168.4</v>
      </c>
      <c r="O105" s="111">
        <f t="shared" si="7"/>
        <v>378.3</v>
      </c>
      <c r="P105" s="190">
        <f t="shared" si="5"/>
        <v>2546.7000000000003</v>
      </c>
      <c r="R105" s="112">
        <f>SourceEnergy!B119</f>
        <v>46113</v>
      </c>
      <c r="S105" s="113">
        <v>30.21058</v>
      </c>
      <c r="T105" s="114">
        <v>28.01773</v>
      </c>
      <c r="U105" s="115">
        <f>IF(AND(Shape_Annually="Yes",Shape_Start&lt;=W102),W109,IF(ISNUMBER(SourceEnergy!$C119),SourceEnergy!$C119/(SourceEnergy!$G119*S105+SourceEnergy!$H119*T105),""))</f>
        <v>0.52637774169382523</v>
      </c>
      <c r="W105" s="25">
        <f>VLOOKUP(W102,'[1]Table 5'!$L$23:$N$43,2,FALSE)</f>
        <v>528148.21530494094</v>
      </c>
      <c r="X105" s="25" t="s">
        <v>83</v>
      </c>
    </row>
    <row r="106" spans="1:24" ht="15" customHeight="1" outlineLevel="1" x14ac:dyDescent="0.2">
      <c r="A106" s="206">
        <v>44621</v>
      </c>
      <c r="B106" t="s">
        <v>104</v>
      </c>
      <c r="C106" t="s">
        <v>101</v>
      </c>
      <c r="D106" t="s">
        <v>9</v>
      </c>
      <c r="E106">
        <v>1958.499</v>
      </c>
      <c r="F106" s="23"/>
      <c r="G106" s="203">
        <v>48274</v>
      </c>
      <c r="H106" s="204" t="s">
        <v>104</v>
      </c>
      <c r="I106" s="204" t="s">
        <v>101</v>
      </c>
      <c r="J106" s="204" t="s">
        <v>9</v>
      </c>
      <c r="K106" s="205">
        <v>1862.8109999999999</v>
      </c>
      <c r="M106" s="183">
        <f t="shared" si="6"/>
        <v>46143</v>
      </c>
      <c r="N106" s="110">
        <f t="shared" si="7"/>
        <v>2256.7249999999999</v>
      </c>
      <c r="O106" s="111">
        <f t="shared" si="7"/>
        <v>691.28200000000004</v>
      </c>
      <c r="P106" s="190">
        <f t="shared" si="5"/>
        <v>2948.0070000000001</v>
      </c>
      <c r="R106" s="112">
        <f>SourceEnergy!B120</f>
        <v>46143</v>
      </c>
      <c r="S106" s="113">
        <v>30.22297</v>
      </c>
      <c r="T106" s="114">
        <v>27.540590000000002</v>
      </c>
      <c r="U106" s="115">
        <f>IF(AND(Shape_Annually="Yes",Shape_Start&lt;=W102),W109,IF(ISNUMBER(SourceEnergy!$C120),SourceEnergy!$C120/(SourceEnergy!$G120*S106+SourceEnergy!$H120*T106),""))</f>
        <v>0.52637774169382523</v>
      </c>
      <c r="W106" s="25">
        <f>VLOOKUP(W102,'[1]Table 5'!$L$23:$N$43,3,FALSE)</f>
        <v>0</v>
      </c>
      <c r="X106" s="25" t="s">
        <v>84</v>
      </c>
    </row>
    <row r="107" spans="1:24" ht="15" customHeight="1" outlineLevel="1" x14ac:dyDescent="0.2">
      <c r="A107" s="206">
        <v>44621</v>
      </c>
      <c r="B107" t="s">
        <v>104</v>
      </c>
      <c r="C107" t="s">
        <v>101</v>
      </c>
      <c r="D107" t="s">
        <v>10</v>
      </c>
      <c r="E107">
        <v>291.01600000000002</v>
      </c>
      <c r="F107" s="23"/>
      <c r="G107" s="203">
        <v>48274</v>
      </c>
      <c r="H107" s="204" t="s">
        <v>104</v>
      </c>
      <c r="I107" s="204" t="s">
        <v>101</v>
      </c>
      <c r="J107" s="204" t="s">
        <v>10</v>
      </c>
      <c r="K107" s="205">
        <v>276.80900000000003</v>
      </c>
      <c r="M107" s="183">
        <f t="shared" si="6"/>
        <v>46174</v>
      </c>
      <c r="N107" s="110">
        <f t="shared" si="7"/>
        <v>2558.5819999999999</v>
      </c>
      <c r="O107" s="111">
        <f t="shared" si="7"/>
        <v>573.298</v>
      </c>
      <c r="P107" s="190">
        <f t="shared" si="5"/>
        <v>3131.88</v>
      </c>
      <c r="R107" s="112">
        <f>SourceEnergy!B121</f>
        <v>46174</v>
      </c>
      <c r="S107" s="113">
        <v>33.4099</v>
      </c>
      <c r="T107" s="114">
        <v>29.117560000000001</v>
      </c>
      <c r="U107" s="115">
        <f>IF(AND(Shape_Annually="Yes",Shape_Start&lt;=W102),W109,IF(ISNUMBER(SourceEnergy!$C121),SourceEnergy!$C121/(SourceEnergy!$G121*S107+SourceEnergy!$H121*T107),""))</f>
        <v>0.52637774169382523</v>
      </c>
      <c r="W107" s="25">
        <f>W105+W106</f>
        <v>528148.21530494094</v>
      </c>
      <c r="X107" s="25" t="s">
        <v>85</v>
      </c>
    </row>
    <row r="108" spans="1:24" ht="15" customHeight="1" outlineLevel="1" x14ac:dyDescent="0.2">
      <c r="A108" s="206">
        <v>44652</v>
      </c>
      <c r="B108" t="s">
        <v>104</v>
      </c>
      <c r="C108" t="s">
        <v>101</v>
      </c>
      <c r="D108" t="s">
        <v>9</v>
      </c>
      <c r="E108">
        <v>2212.288</v>
      </c>
      <c r="F108" s="23"/>
      <c r="G108" s="203">
        <v>48305</v>
      </c>
      <c r="H108" s="204" t="s">
        <v>104</v>
      </c>
      <c r="I108" s="204" t="s">
        <v>101</v>
      </c>
      <c r="J108" s="204" t="s">
        <v>9</v>
      </c>
      <c r="K108" s="205">
        <v>2104.1799999999998</v>
      </c>
      <c r="M108" s="183">
        <f t="shared" si="6"/>
        <v>46204</v>
      </c>
      <c r="N108" s="110">
        <f t="shared" si="7"/>
        <v>2272.2179999999998</v>
      </c>
      <c r="O108" s="111">
        <f t="shared" si="7"/>
        <v>562.54600000000005</v>
      </c>
      <c r="P108" s="190">
        <f t="shared" si="5"/>
        <v>2834.7640000000001</v>
      </c>
      <c r="R108" s="112">
        <f>SourceEnergy!B122</f>
        <v>46204</v>
      </c>
      <c r="S108" s="113">
        <v>47.323050000000002</v>
      </c>
      <c r="T108" s="114">
        <v>36.864040000000003</v>
      </c>
      <c r="U108" s="115">
        <f>IF(AND(Shape_Annually="Yes",Shape_Start&lt;=W102),W109,IF(ISNUMBER(SourceEnergy!$C122),SourceEnergy!$C122/(SourceEnergy!$G122*S108+SourceEnergy!$H122*T108),""))</f>
        <v>0.52637774169382523</v>
      </c>
    </row>
    <row r="109" spans="1:24" ht="15" customHeight="1" outlineLevel="1" x14ac:dyDescent="0.2">
      <c r="A109" s="206">
        <v>44652</v>
      </c>
      <c r="B109" t="s">
        <v>104</v>
      </c>
      <c r="C109" t="s">
        <v>101</v>
      </c>
      <c r="D109" t="s">
        <v>10</v>
      </c>
      <c r="E109">
        <v>385.98200000000003</v>
      </c>
      <c r="F109" s="23"/>
      <c r="G109" s="203">
        <v>48305</v>
      </c>
      <c r="H109" s="204" t="s">
        <v>104</v>
      </c>
      <c r="I109" s="204" t="s">
        <v>101</v>
      </c>
      <c r="J109" s="204" t="s">
        <v>10</v>
      </c>
      <c r="K109" s="205">
        <v>367.1</v>
      </c>
      <c r="M109" s="183">
        <f t="shared" si="6"/>
        <v>46235</v>
      </c>
      <c r="N109" s="110">
        <f t="shared" si="7"/>
        <v>2328.1179999999999</v>
      </c>
      <c r="O109" s="111">
        <f t="shared" si="7"/>
        <v>511.23399999999998</v>
      </c>
      <c r="P109" s="190">
        <f t="shared" si="5"/>
        <v>2839.3519999999999</v>
      </c>
      <c r="R109" s="112">
        <f>SourceEnergy!B123</f>
        <v>46235</v>
      </c>
      <c r="S109" s="113">
        <v>50.034210000000002</v>
      </c>
      <c r="T109" s="114">
        <v>38.412239999999997</v>
      </c>
      <c r="U109" s="115">
        <f>IF(AND(Shape_Annually="Yes",Shape_Start&lt;=W102),W109,IF(ISNUMBER(SourceEnergy!$C123),SourceEnergy!$C123/(SourceEnergy!$G123*S109+SourceEnergy!$H123*T109),""))</f>
        <v>0.52637774169382523</v>
      </c>
      <c r="W109" s="116">
        <f>W107/W103</f>
        <v>0.52637774169382523</v>
      </c>
      <c r="X109" s="25" t="s">
        <v>86</v>
      </c>
    </row>
    <row r="110" spans="1:24" ht="15" customHeight="1" outlineLevel="1" x14ac:dyDescent="0.2">
      <c r="A110" s="206">
        <v>44682</v>
      </c>
      <c r="B110" t="s">
        <v>104</v>
      </c>
      <c r="C110" t="s">
        <v>101</v>
      </c>
      <c r="D110" t="s">
        <v>9</v>
      </c>
      <c r="E110">
        <v>2302.4250000000002</v>
      </c>
      <c r="F110" s="23"/>
      <c r="G110" s="203">
        <v>48335</v>
      </c>
      <c r="H110" s="204" t="s">
        <v>104</v>
      </c>
      <c r="I110" s="204" t="s">
        <v>101</v>
      </c>
      <c r="J110" s="204" t="s">
        <v>9</v>
      </c>
      <c r="K110" s="205">
        <v>2189.8249999999998</v>
      </c>
      <c r="M110" s="183">
        <f t="shared" si="6"/>
        <v>46266</v>
      </c>
      <c r="N110" s="110">
        <f t="shared" si="7"/>
        <v>2070.0749999999998</v>
      </c>
      <c r="O110" s="111">
        <f t="shared" si="7"/>
        <v>432.85500000000002</v>
      </c>
      <c r="P110" s="190">
        <f t="shared" si="5"/>
        <v>2502.9299999999998</v>
      </c>
      <c r="R110" s="112">
        <f>SourceEnergy!B124</f>
        <v>46266</v>
      </c>
      <c r="S110" s="113">
        <v>41.83155</v>
      </c>
      <c r="T110" s="114">
        <v>34.001510000000003</v>
      </c>
      <c r="U110" s="115">
        <f>IF(AND(Shape_Annually="Yes",Shape_Start&lt;=W102),W109,IF(ISNUMBER(SourceEnergy!$C124),SourceEnergy!$C124/(SourceEnergy!$G124*S110+SourceEnergy!$H124*T110),""))</f>
        <v>0.52637774169382523</v>
      </c>
    </row>
    <row r="111" spans="1:24" ht="15" customHeight="1" outlineLevel="1" x14ac:dyDescent="0.2">
      <c r="A111" s="206">
        <v>44682</v>
      </c>
      <c r="B111" t="s">
        <v>104</v>
      </c>
      <c r="C111" t="s">
        <v>101</v>
      </c>
      <c r="D111" t="s">
        <v>10</v>
      </c>
      <c r="E111">
        <v>705.25699999999995</v>
      </c>
      <c r="F111" s="23"/>
      <c r="G111" s="203">
        <v>48335</v>
      </c>
      <c r="H111" s="204" t="s">
        <v>104</v>
      </c>
      <c r="I111" s="204" t="s">
        <v>101</v>
      </c>
      <c r="J111" s="204" t="s">
        <v>10</v>
      </c>
      <c r="K111" s="205">
        <v>670.79300000000001</v>
      </c>
      <c r="M111" s="183">
        <f t="shared" si="6"/>
        <v>46296</v>
      </c>
      <c r="N111" s="110">
        <f t="shared" ref="N111:O125" si="8">SUMIFS($E$6:$E$245,$A$6:$A$245,$M111,$D$6:$D$245,N$5)</f>
        <v>1766.88</v>
      </c>
      <c r="O111" s="111">
        <f t="shared" si="8"/>
        <v>262.22500000000002</v>
      </c>
      <c r="P111" s="190">
        <f t="shared" si="5"/>
        <v>2029.105</v>
      </c>
      <c r="R111" s="112">
        <f>SourceEnergy!B125</f>
        <v>46296</v>
      </c>
      <c r="S111" s="113">
        <v>40.509039999999999</v>
      </c>
      <c r="T111" s="114">
        <v>36.12556</v>
      </c>
      <c r="U111" s="115">
        <f>IF(AND(Shape_Annually="Yes",Shape_Start&lt;=W102),W109,IF(ISNUMBER(SourceEnergy!$C125),SourceEnergy!$C125/(SourceEnergy!$G125*S111+SourceEnergy!$H125*T111),""))</f>
        <v>0.52637774169382523</v>
      </c>
    </row>
    <row r="112" spans="1:24" ht="15" customHeight="1" outlineLevel="1" x14ac:dyDescent="0.2">
      <c r="A112" s="206">
        <v>44713</v>
      </c>
      <c r="B112" t="s">
        <v>104</v>
      </c>
      <c r="C112" t="s">
        <v>101</v>
      </c>
      <c r="D112" t="s">
        <v>9</v>
      </c>
      <c r="E112">
        <v>2610.4520000000002</v>
      </c>
      <c r="F112" s="23"/>
      <c r="G112" s="203">
        <v>48366</v>
      </c>
      <c r="H112" s="204" t="s">
        <v>104</v>
      </c>
      <c r="I112" s="204" t="s">
        <v>101</v>
      </c>
      <c r="J112" s="204" t="s">
        <v>9</v>
      </c>
      <c r="K112" s="205">
        <v>2482.7919999999999</v>
      </c>
      <c r="M112" s="183">
        <f t="shared" si="6"/>
        <v>46327</v>
      </c>
      <c r="N112" s="110">
        <f t="shared" si="8"/>
        <v>1093.3679999999999</v>
      </c>
      <c r="O112" s="111">
        <f t="shared" si="8"/>
        <v>273.34199999999998</v>
      </c>
      <c r="P112" s="190">
        <f t="shared" si="5"/>
        <v>1366.71</v>
      </c>
      <c r="R112" s="112">
        <f>SourceEnergy!B126</f>
        <v>46327</v>
      </c>
      <c r="S112" s="113">
        <v>41.536999999999999</v>
      </c>
      <c r="T112" s="114">
        <v>37.010770000000001</v>
      </c>
      <c r="U112" s="115">
        <f>IF(AND(Shape_Annually="Yes",Shape_Start&lt;=W102),W109,IF(ISNUMBER(SourceEnergy!$C126),SourceEnergy!$C126/(SourceEnergy!$G126*S112+SourceEnergy!$H126*T112),""))</f>
        <v>0.52637774169382523</v>
      </c>
    </row>
    <row r="113" spans="1:24" ht="15" customHeight="1" outlineLevel="1" x14ac:dyDescent="0.2">
      <c r="A113" s="206">
        <v>44713</v>
      </c>
      <c r="B113" t="s">
        <v>104</v>
      </c>
      <c r="C113" t="s">
        <v>101</v>
      </c>
      <c r="D113" t="s">
        <v>10</v>
      </c>
      <c r="E113">
        <v>584.90800000000002</v>
      </c>
      <c r="F113" s="23"/>
      <c r="G113" s="203">
        <v>48366</v>
      </c>
      <c r="H113" s="204" t="s">
        <v>104</v>
      </c>
      <c r="I113" s="204" t="s">
        <v>101</v>
      </c>
      <c r="J113" s="204" t="s">
        <v>10</v>
      </c>
      <c r="K113" s="205">
        <v>556.298</v>
      </c>
      <c r="M113" s="184">
        <f t="shared" si="6"/>
        <v>46357</v>
      </c>
      <c r="N113" s="117">
        <f t="shared" si="8"/>
        <v>884.31200000000001</v>
      </c>
      <c r="O113" s="118">
        <f t="shared" si="8"/>
        <v>170.06</v>
      </c>
      <c r="P113" s="191">
        <f t="shared" si="5"/>
        <v>1054.3720000000001</v>
      </c>
      <c r="R113" s="119">
        <f>SourceEnergy!B127</f>
        <v>46357</v>
      </c>
      <c r="S113" s="120">
        <v>42.06662</v>
      </c>
      <c r="T113" s="121">
        <v>37.928809999999999</v>
      </c>
      <c r="U113" s="122">
        <f>IF(AND(Shape_Annually="Yes",Shape_Start&lt;=W102),W109,IF(ISNUMBER(SourceEnergy!$C127),SourceEnergy!$C127/(SourceEnergy!$G127*S113+SourceEnergy!$H127*T113),""))</f>
        <v>0.52637774169382523</v>
      </c>
    </row>
    <row r="114" spans="1:24" ht="15" customHeight="1" outlineLevel="1" collapsed="1" x14ac:dyDescent="0.2">
      <c r="A114" s="206">
        <v>44743</v>
      </c>
      <c r="B114" t="s">
        <v>104</v>
      </c>
      <c r="C114" t="s">
        <v>101</v>
      </c>
      <c r="D114" t="s">
        <v>9</v>
      </c>
      <c r="E114">
        <v>2229.125</v>
      </c>
      <c r="F114" s="23"/>
      <c r="G114" s="203">
        <v>48396</v>
      </c>
      <c r="H114" s="204" t="s">
        <v>104</v>
      </c>
      <c r="I114" s="204" t="s">
        <v>101</v>
      </c>
      <c r="J114" s="204" t="s">
        <v>9</v>
      </c>
      <c r="K114" s="205">
        <v>2204.8780000000002</v>
      </c>
      <c r="M114" s="183">
        <f t="shared" si="6"/>
        <v>46388</v>
      </c>
      <c r="N114" s="110">
        <f t="shared" si="8"/>
        <v>1015.05</v>
      </c>
      <c r="O114" s="111">
        <f t="shared" si="8"/>
        <v>243.61199999999999</v>
      </c>
      <c r="P114" s="190">
        <f t="shared" si="5"/>
        <v>1258.662</v>
      </c>
      <c r="R114" s="104">
        <f>SourceEnergy!B128</f>
        <v>46388</v>
      </c>
      <c r="S114" s="105">
        <v>41.804430000000004</v>
      </c>
      <c r="T114" s="106">
        <v>38.415799999999997</v>
      </c>
      <c r="U114" s="107">
        <f>IF(AND(Shape_Annually="Yes",Shape_Start&lt;=W114),W121,IF(ISNUMBER(SourceEnergy!$C128),SourceEnergy!$C128/(SourceEnergy!$G128*S114+SourceEnergy!$H128*T114),""))</f>
        <v>0.53586361487036882</v>
      </c>
      <c r="W114" s="108">
        <f>YEAR(M114)</f>
        <v>2027</v>
      </c>
      <c r="X114" s="109"/>
    </row>
    <row r="115" spans="1:24" ht="15" customHeight="1" outlineLevel="1" x14ac:dyDescent="0.2">
      <c r="A115" s="206">
        <v>44743</v>
      </c>
      <c r="B115" t="s">
        <v>104</v>
      </c>
      <c r="C115" t="s">
        <v>101</v>
      </c>
      <c r="D115" t="s">
        <v>10</v>
      </c>
      <c r="E115">
        <v>663.11300000000006</v>
      </c>
      <c r="F115" s="23"/>
      <c r="G115" s="203">
        <v>48396</v>
      </c>
      <c r="H115" s="204" t="s">
        <v>104</v>
      </c>
      <c r="I115" s="204" t="s">
        <v>101</v>
      </c>
      <c r="J115" s="204" t="s">
        <v>10</v>
      </c>
      <c r="K115" s="205">
        <v>545.87599999999998</v>
      </c>
      <c r="M115" s="183">
        <f t="shared" si="6"/>
        <v>46419</v>
      </c>
      <c r="N115" s="110">
        <f t="shared" si="8"/>
        <v>1207.44</v>
      </c>
      <c r="O115" s="111">
        <f t="shared" si="8"/>
        <v>201.24</v>
      </c>
      <c r="P115" s="190">
        <f t="shared" si="5"/>
        <v>1408.68</v>
      </c>
      <c r="R115" s="112">
        <f>SourceEnergy!B129</f>
        <v>46419</v>
      </c>
      <c r="S115" s="113">
        <v>42.998399999999997</v>
      </c>
      <c r="T115" s="114">
        <v>39.389319999999998</v>
      </c>
      <c r="U115" s="115">
        <f>IF(AND(Shape_Annually="Yes",Shape_Start&lt;=W114),W121,IF(ISNUMBER(SourceEnergy!$C129),SourceEnergy!$C129/(SourceEnergy!$G129*S115+SourceEnergy!$H129*T115),""))</f>
        <v>0.53586361487036882</v>
      </c>
      <c r="W115" s="25">
        <f>SUMPRODUCT(N114:N125,S114:S125)+SUMPRODUCT(O114:O125,T114:T125)</f>
        <v>1027281.47080914</v>
      </c>
      <c r="X115" s="25" t="s">
        <v>82</v>
      </c>
    </row>
    <row r="116" spans="1:24" ht="15" customHeight="1" outlineLevel="1" x14ac:dyDescent="0.2">
      <c r="A116" s="206">
        <v>44774</v>
      </c>
      <c r="B116" t="s">
        <v>104</v>
      </c>
      <c r="C116" t="s">
        <v>101</v>
      </c>
      <c r="D116" t="s">
        <v>9</v>
      </c>
      <c r="E116">
        <v>2466.6660000000002</v>
      </c>
      <c r="F116" s="23"/>
      <c r="G116" s="203">
        <v>48427</v>
      </c>
      <c r="H116" s="204" t="s">
        <v>104</v>
      </c>
      <c r="I116" s="204" t="s">
        <v>101</v>
      </c>
      <c r="J116" s="204" t="s">
        <v>9</v>
      </c>
      <c r="K116" s="205">
        <v>2259.1660000000002</v>
      </c>
      <c r="M116" s="183">
        <f t="shared" si="6"/>
        <v>46447</v>
      </c>
      <c r="N116" s="110">
        <f t="shared" si="8"/>
        <v>1910.0609999999999</v>
      </c>
      <c r="O116" s="111">
        <f t="shared" si="8"/>
        <v>283.80900000000003</v>
      </c>
      <c r="P116" s="190">
        <f t="shared" si="5"/>
        <v>2193.87</v>
      </c>
      <c r="R116" s="112">
        <f>SourceEnergy!B130</f>
        <v>46447</v>
      </c>
      <c r="S116" s="113">
        <v>38.274799999999999</v>
      </c>
      <c r="T116" s="114">
        <v>36.896430000000002</v>
      </c>
      <c r="U116" s="115">
        <f>IF(AND(Shape_Annually="Yes",Shape_Start&lt;=W114),W121,IF(ISNUMBER(SourceEnergy!$C130),SourceEnergy!$C130/(SourceEnergy!$G130*S116+SourceEnergy!$H130*T116),""))</f>
        <v>0.53586361487036882</v>
      </c>
    </row>
    <row r="117" spans="1:24" ht="15" customHeight="1" outlineLevel="1" x14ac:dyDescent="0.2">
      <c r="A117" s="206">
        <v>44774</v>
      </c>
      <c r="B117" t="s">
        <v>104</v>
      </c>
      <c r="C117" t="s">
        <v>101</v>
      </c>
      <c r="D117" t="s">
        <v>10</v>
      </c>
      <c r="E117">
        <v>430.25299999999999</v>
      </c>
      <c r="F117" s="23"/>
      <c r="G117" s="203">
        <v>48427</v>
      </c>
      <c r="H117" s="204" t="s">
        <v>104</v>
      </c>
      <c r="I117" s="204" t="s">
        <v>101</v>
      </c>
      <c r="J117" s="204" t="s">
        <v>10</v>
      </c>
      <c r="K117" s="205">
        <v>496.11399999999998</v>
      </c>
      <c r="M117" s="183">
        <f t="shared" si="6"/>
        <v>46478</v>
      </c>
      <c r="N117" s="110">
        <f t="shared" si="8"/>
        <v>2157.558</v>
      </c>
      <c r="O117" s="111">
        <f t="shared" si="8"/>
        <v>376.42200000000003</v>
      </c>
      <c r="P117" s="190">
        <f t="shared" si="5"/>
        <v>2533.98</v>
      </c>
      <c r="R117" s="112">
        <f>SourceEnergy!B131</f>
        <v>46478</v>
      </c>
      <c r="S117" s="113">
        <v>31.794280000000001</v>
      </c>
      <c r="T117" s="114">
        <v>29.316579999999998</v>
      </c>
      <c r="U117" s="115">
        <f>IF(AND(Shape_Annually="Yes",Shape_Start&lt;=W114),W121,IF(ISNUMBER(SourceEnergy!$C131),SourceEnergy!$C131/(SourceEnergy!$G131*S117+SourceEnergy!$H131*T117),""))</f>
        <v>0.53586361487036882</v>
      </c>
      <c r="W117" s="25">
        <f>VLOOKUP(W114,'[1]Table 5'!$L$23:$N$43,2,FALSE)</f>
        <v>550482.76243713498</v>
      </c>
      <c r="X117" s="25" t="s">
        <v>83</v>
      </c>
    </row>
    <row r="118" spans="1:24" ht="15" customHeight="1" outlineLevel="1" x14ac:dyDescent="0.2">
      <c r="A118" s="206">
        <v>44805</v>
      </c>
      <c r="B118" t="s">
        <v>104</v>
      </c>
      <c r="C118" t="s">
        <v>101</v>
      </c>
      <c r="D118" t="s">
        <v>9</v>
      </c>
      <c r="E118">
        <v>2111.9499999999998</v>
      </c>
      <c r="F118" s="23"/>
      <c r="G118" s="203">
        <v>48458</v>
      </c>
      <c r="H118" s="204" t="s">
        <v>104</v>
      </c>
      <c r="I118" s="204" t="s">
        <v>101</v>
      </c>
      <c r="J118" s="204" t="s">
        <v>9</v>
      </c>
      <c r="K118" s="205">
        <v>2008.675</v>
      </c>
      <c r="M118" s="183">
        <f t="shared" si="6"/>
        <v>46508</v>
      </c>
      <c r="N118" s="110">
        <f t="shared" si="8"/>
        <v>2245.4499999999998</v>
      </c>
      <c r="O118" s="111">
        <f t="shared" si="8"/>
        <v>687.80100000000004</v>
      </c>
      <c r="P118" s="190">
        <f t="shared" si="5"/>
        <v>2933.2509999999997</v>
      </c>
      <c r="R118" s="112">
        <f>SourceEnergy!B132</f>
        <v>46508</v>
      </c>
      <c r="S118" s="113">
        <v>31.86777</v>
      </c>
      <c r="T118" s="114">
        <v>29.385950000000001</v>
      </c>
      <c r="U118" s="115">
        <f>IF(AND(Shape_Annually="Yes",Shape_Start&lt;=W114),W121,IF(ISNUMBER(SourceEnergy!$C132),SourceEnergy!$C132/(SourceEnergy!$G132*S118+SourceEnergy!$H132*T118),""))</f>
        <v>0.53586361487036882</v>
      </c>
      <c r="W118" s="25">
        <f>VLOOKUP(W114,'[1]Table 5'!$L$23:$N$43,3,FALSE)</f>
        <v>0</v>
      </c>
      <c r="X118" s="25" t="s">
        <v>84</v>
      </c>
    </row>
    <row r="119" spans="1:24" ht="15" customHeight="1" outlineLevel="1" x14ac:dyDescent="0.2">
      <c r="A119" s="206">
        <v>44805</v>
      </c>
      <c r="B119" t="s">
        <v>104</v>
      </c>
      <c r="C119" t="s">
        <v>101</v>
      </c>
      <c r="D119" t="s">
        <v>10</v>
      </c>
      <c r="E119">
        <v>441.62</v>
      </c>
      <c r="F119" s="23"/>
      <c r="G119" s="203">
        <v>48458</v>
      </c>
      <c r="H119" s="204" t="s">
        <v>104</v>
      </c>
      <c r="I119" s="204" t="s">
        <v>101</v>
      </c>
      <c r="J119" s="204" t="s">
        <v>10</v>
      </c>
      <c r="K119" s="205">
        <v>420.03500000000003</v>
      </c>
      <c r="M119" s="183">
        <f t="shared" si="6"/>
        <v>46539</v>
      </c>
      <c r="N119" s="110">
        <f t="shared" si="8"/>
        <v>2545.8420000000001</v>
      </c>
      <c r="O119" s="111">
        <f t="shared" si="8"/>
        <v>570.43799999999999</v>
      </c>
      <c r="P119" s="190">
        <f t="shared" si="5"/>
        <v>3116.28</v>
      </c>
      <c r="R119" s="112">
        <f>SourceEnergy!B133</f>
        <v>46539</v>
      </c>
      <c r="S119" s="113">
        <v>34.589790000000001</v>
      </c>
      <c r="T119" s="114">
        <v>30.52928</v>
      </c>
      <c r="U119" s="115">
        <f>IF(AND(Shape_Annually="Yes",Shape_Start&lt;=W114),W121,IF(ISNUMBER(SourceEnergy!$C133),SourceEnergy!$C133/(SourceEnergy!$G133*S119+SourceEnergy!$H133*T119),""))</f>
        <v>0.53586361487036882</v>
      </c>
      <c r="W119" s="25">
        <f>W117+W118</f>
        <v>550482.76243713498</v>
      </c>
      <c r="X119" s="25" t="s">
        <v>85</v>
      </c>
    </row>
    <row r="120" spans="1:24" ht="15" customHeight="1" outlineLevel="1" x14ac:dyDescent="0.2">
      <c r="A120" s="206">
        <v>44835</v>
      </c>
      <c r="B120" t="s">
        <v>104</v>
      </c>
      <c r="C120" t="s">
        <v>101</v>
      </c>
      <c r="D120" t="s">
        <v>9</v>
      </c>
      <c r="E120">
        <v>1735.89</v>
      </c>
      <c r="F120" s="23"/>
      <c r="G120" s="203">
        <v>48488</v>
      </c>
      <c r="H120" s="204" t="s">
        <v>104</v>
      </c>
      <c r="I120" s="204" t="s">
        <v>101</v>
      </c>
      <c r="J120" s="204" t="s">
        <v>9</v>
      </c>
      <c r="K120" s="205">
        <v>1651.104</v>
      </c>
      <c r="M120" s="183">
        <f t="shared" si="6"/>
        <v>46569</v>
      </c>
      <c r="N120" s="110">
        <f t="shared" si="8"/>
        <v>2260.8560000000002</v>
      </c>
      <c r="O120" s="111">
        <f t="shared" si="8"/>
        <v>559.71</v>
      </c>
      <c r="P120" s="190">
        <f t="shared" si="5"/>
        <v>2820.5660000000003</v>
      </c>
      <c r="R120" s="112">
        <f>SourceEnergy!B134</f>
        <v>46569</v>
      </c>
      <c r="S120" s="113">
        <v>48.274889999999999</v>
      </c>
      <c r="T120" s="114">
        <v>38.23874</v>
      </c>
      <c r="U120" s="115">
        <f>IF(AND(Shape_Annually="Yes",Shape_Start&lt;=W114),W121,IF(ISNUMBER(SourceEnergy!$C134),SourceEnergy!$C134/(SourceEnergy!$G134*S120+SourceEnergy!$H134*T120),""))</f>
        <v>0.53586361487036882</v>
      </c>
    </row>
    <row r="121" spans="1:24" ht="15" customHeight="1" outlineLevel="1" x14ac:dyDescent="0.2">
      <c r="A121" s="206">
        <v>44835</v>
      </c>
      <c r="B121" t="s">
        <v>104</v>
      </c>
      <c r="C121" t="s">
        <v>101</v>
      </c>
      <c r="D121" t="s">
        <v>10</v>
      </c>
      <c r="E121">
        <v>334.32100000000003</v>
      </c>
      <c r="F121" s="23"/>
      <c r="G121" s="203">
        <v>48488</v>
      </c>
      <c r="H121" s="204" t="s">
        <v>104</v>
      </c>
      <c r="I121" s="204" t="s">
        <v>101</v>
      </c>
      <c r="J121" s="204" t="s">
        <v>10</v>
      </c>
      <c r="K121" s="205">
        <v>317.98500000000001</v>
      </c>
      <c r="M121" s="183">
        <f t="shared" si="6"/>
        <v>46600</v>
      </c>
      <c r="N121" s="110">
        <f t="shared" si="8"/>
        <v>2316.5219999999999</v>
      </c>
      <c r="O121" s="111">
        <f t="shared" si="8"/>
        <v>508.69400000000002</v>
      </c>
      <c r="P121" s="190">
        <f t="shared" si="5"/>
        <v>2825.2159999999999</v>
      </c>
      <c r="R121" s="112">
        <f>SourceEnergy!B135</f>
        <v>46600</v>
      </c>
      <c r="S121" s="113">
        <v>51.111879999999999</v>
      </c>
      <c r="T121" s="114">
        <v>39.561369999999997</v>
      </c>
      <c r="U121" s="115">
        <f>IF(AND(Shape_Annually="Yes",Shape_Start&lt;=W114),W121,IF(ISNUMBER(SourceEnergy!$C135),SourceEnergy!$C135/(SourceEnergy!$G135*S121+SourceEnergy!$H135*T121),""))</f>
        <v>0.53586361487036882</v>
      </c>
      <c r="W121" s="116">
        <f>W119/W115</f>
        <v>0.53586361487036882</v>
      </c>
      <c r="X121" s="25" t="s">
        <v>86</v>
      </c>
    </row>
    <row r="122" spans="1:24" ht="15" customHeight="1" outlineLevel="1" x14ac:dyDescent="0.2">
      <c r="A122" s="206">
        <v>44866</v>
      </c>
      <c r="B122" t="s">
        <v>104</v>
      </c>
      <c r="C122" t="s">
        <v>101</v>
      </c>
      <c r="D122" t="s">
        <v>9</v>
      </c>
      <c r="E122">
        <v>1162</v>
      </c>
      <c r="F122" s="23"/>
      <c r="G122" s="203">
        <v>48519</v>
      </c>
      <c r="H122" s="204" t="s">
        <v>104</v>
      </c>
      <c r="I122" s="204" t="s">
        <v>101</v>
      </c>
      <c r="J122" s="204" t="s">
        <v>9</v>
      </c>
      <c r="K122" s="205">
        <v>1105.2249999999999</v>
      </c>
      <c r="M122" s="183">
        <f t="shared" si="6"/>
        <v>46631</v>
      </c>
      <c r="N122" s="110">
        <f t="shared" si="8"/>
        <v>2059.6999999999998</v>
      </c>
      <c r="O122" s="111">
        <f t="shared" si="8"/>
        <v>430.69</v>
      </c>
      <c r="P122" s="190">
        <f t="shared" si="5"/>
        <v>2490.39</v>
      </c>
      <c r="R122" s="112">
        <f>SourceEnergy!B136</f>
        <v>46631</v>
      </c>
      <c r="S122" s="113">
        <v>42.398269999999997</v>
      </c>
      <c r="T122" s="114">
        <v>35.097810000000003</v>
      </c>
      <c r="U122" s="115">
        <f>IF(AND(Shape_Annually="Yes",Shape_Start&lt;=W114),W121,IF(ISNUMBER(SourceEnergy!$C136),SourceEnergy!$C136/(SourceEnergy!$G136*S122+SourceEnergy!$H136*T122),""))</f>
        <v>0.53586361487036882</v>
      </c>
    </row>
    <row r="123" spans="1:24" ht="15" customHeight="1" outlineLevel="1" x14ac:dyDescent="0.2">
      <c r="A123" s="206">
        <v>44866</v>
      </c>
      <c r="B123" t="s">
        <v>104</v>
      </c>
      <c r="C123" t="s">
        <v>101</v>
      </c>
      <c r="D123" t="s">
        <v>10</v>
      </c>
      <c r="E123">
        <v>232.4</v>
      </c>
      <c r="F123" s="23"/>
      <c r="G123" s="203">
        <v>48519</v>
      </c>
      <c r="H123" s="204" t="s">
        <v>104</v>
      </c>
      <c r="I123" s="204" t="s">
        <v>101</v>
      </c>
      <c r="J123" s="204" t="s">
        <v>10</v>
      </c>
      <c r="K123" s="205">
        <v>221.04499999999999</v>
      </c>
      <c r="M123" s="183">
        <f t="shared" si="6"/>
        <v>46661</v>
      </c>
      <c r="N123" s="110">
        <f t="shared" si="8"/>
        <v>1692.99</v>
      </c>
      <c r="O123" s="111">
        <f t="shared" si="8"/>
        <v>326.04000000000002</v>
      </c>
      <c r="P123" s="190">
        <f t="shared" si="5"/>
        <v>2019.03</v>
      </c>
      <c r="R123" s="112">
        <f>SourceEnergy!B137</f>
        <v>46661</v>
      </c>
      <c r="S123" s="113">
        <v>41.716790000000003</v>
      </c>
      <c r="T123" s="114">
        <v>37.270389999999999</v>
      </c>
      <c r="U123" s="115">
        <f>IF(AND(Shape_Annually="Yes",Shape_Start&lt;=W114),W121,IF(ISNUMBER(SourceEnergy!$C137),SourceEnergy!$C137/(SourceEnergy!$G137*S123+SourceEnergy!$H137*T123),""))</f>
        <v>0.53586361487036882</v>
      </c>
    </row>
    <row r="124" spans="1:24" ht="15" customHeight="1" outlineLevel="1" x14ac:dyDescent="0.2">
      <c r="A124" s="206">
        <v>44896</v>
      </c>
      <c r="B124" t="s">
        <v>104</v>
      </c>
      <c r="C124" t="s">
        <v>101</v>
      </c>
      <c r="D124" t="s">
        <v>9</v>
      </c>
      <c r="E124">
        <v>902.226</v>
      </c>
      <c r="F124" s="23"/>
      <c r="G124" s="203">
        <v>48549</v>
      </c>
      <c r="H124" s="204" t="s">
        <v>104</v>
      </c>
      <c r="I124" s="204" t="s">
        <v>101</v>
      </c>
      <c r="J124" s="204" t="s">
        <v>9</v>
      </c>
      <c r="K124" s="205">
        <v>858.13</v>
      </c>
      <c r="M124" s="183">
        <f t="shared" si="6"/>
        <v>46692</v>
      </c>
      <c r="N124" s="110">
        <f t="shared" si="8"/>
        <v>1133.2750000000001</v>
      </c>
      <c r="O124" s="111">
        <f t="shared" si="8"/>
        <v>226.655</v>
      </c>
      <c r="P124" s="190">
        <f t="shared" si="5"/>
        <v>1359.93</v>
      </c>
      <c r="R124" s="112">
        <f>SourceEnergy!B138</f>
        <v>46692</v>
      </c>
      <c r="S124" s="113">
        <v>42.806150000000002</v>
      </c>
      <c r="T124" s="114">
        <v>37.827559999999998</v>
      </c>
      <c r="U124" s="115">
        <f>IF(AND(Shape_Annually="Yes",Shape_Start&lt;=W114),W121,IF(ISNUMBER(SourceEnergy!$C138),SourceEnergy!$C138/(SourceEnergy!$G138*S124+SourceEnergy!$H138*T124),""))</f>
        <v>0.53586361487036882</v>
      </c>
    </row>
    <row r="125" spans="1:24" ht="15" customHeight="1" outlineLevel="1" x14ac:dyDescent="0.2">
      <c r="A125" s="206">
        <v>44896</v>
      </c>
      <c r="B125" t="s">
        <v>104</v>
      </c>
      <c r="C125" t="s">
        <v>101</v>
      </c>
      <c r="D125" t="s">
        <v>10</v>
      </c>
      <c r="E125">
        <v>173.505</v>
      </c>
      <c r="F125" s="23"/>
      <c r="G125" s="203">
        <v>48549</v>
      </c>
      <c r="H125" s="204" t="s">
        <v>104</v>
      </c>
      <c r="I125" s="204" t="s">
        <v>101</v>
      </c>
      <c r="J125" s="204" t="s">
        <v>10</v>
      </c>
      <c r="K125" s="205">
        <v>165.02500000000001</v>
      </c>
      <c r="M125" s="183">
        <f t="shared" si="6"/>
        <v>46722</v>
      </c>
      <c r="N125" s="110">
        <f t="shared" si="8"/>
        <v>879.91800000000001</v>
      </c>
      <c r="O125" s="111">
        <f t="shared" si="8"/>
        <v>169.215</v>
      </c>
      <c r="P125" s="190">
        <f t="shared" si="5"/>
        <v>1049.133</v>
      </c>
      <c r="R125" s="119">
        <f>SourceEnergy!B139</f>
        <v>46722</v>
      </c>
      <c r="S125" s="120">
        <v>42.329590000000003</v>
      </c>
      <c r="T125" s="121">
        <v>38.78651</v>
      </c>
      <c r="U125" s="122">
        <f>IF(AND(Shape_Annually="Yes",Shape_Start&lt;=W114),W121,IF(ISNUMBER(SourceEnergy!$C139),SourceEnergy!$C139/(SourceEnergy!$G139*S125+SourceEnergy!$H139*T125),""))</f>
        <v>0.53586361487036882</v>
      </c>
    </row>
    <row r="126" spans="1:24" ht="15" customHeight="1" x14ac:dyDescent="0.2">
      <c r="A126" s="206">
        <v>44927</v>
      </c>
      <c r="B126" t="s">
        <v>104</v>
      </c>
      <c r="C126" t="s">
        <v>101</v>
      </c>
      <c r="D126" t="s">
        <v>9</v>
      </c>
      <c r="E126">
        <v>1035.625</v>
      </c>
      <c r="F126" s="23"/>
      <c r="G126" s="203">
        <v>48580</v>
      </c>
      <c r="H126" s="204" t="s">
        <v>104</v>
      </c>
      <c r="I126" s="204" t="s">
        <v>101</v>
      </c>
      <c r="J126" s="204" t="s">
        <v>9</v>
      </c>
      <c r="K126" s="205">
        <v>985</v>
      </c>
      <c r="M126" s="185">
        <f t="shared" si="6"/>
        <v>46753</v>
      </c>
      <c r="N126" s="102">
        <f t="shared" ref="N126:O145" si="9">SUMIFS($K$6:$K$245,$G$6:$G$245,$M126,$J$6:$J$245,N$5)</f>
        <v>1009.95</v>
      </c>
      <c r="O126" s="103">
        <f t="shared" si="9"/>
        <v>242.38800000000001</v>
      </c>
      <c r="P126" s="189">
        <f t="shared" si="5"/>
        <v>1252.338</v>
      </c>
      <c r="R126" s="104">
        <f>SourceEnergy!B140</f>
        <v>46753</v>
      </c>
      <c r="S126" s="105">
        <v>42.903489999999998</v>
      </c>
      <c r="T126" s="106">
        <v>39.528759999999998</v>
      </c>
      <c r="U126" s="107">
        <f>IF(AND(Shape_Annually="Yes",Shape_Start&lt;=W126),W133,IF(ISNUMBER(SourceEnergy!$C140),SourceEnergy!$C140/(SourceEnergy!$G140*S126+SourceEnergy!$H140*T126),""))</f>
        <v>0.56357620736103309</v>
      </c>
      <c r="W126" s="108">
        <f>YEAR(M126)</f>
        <v>2028</v>
      </c>
      <c r="X126" s="109"/>
    </row>
    <row r="127" spans="1:24" ht="15" customHeight="1" x14ac:dyDescent="0.2">
      <c r="A127" s="206">
        <v>44927</v>
      </c>
      <c r="B127" t="s">
        <v>104</v>
      </c>
      <c r="C127" t="s">
        <v>101</v>
      </c>
      <c r="D127" t="s">
        <v>10</v>
      </c>
      <c r="E127">
        <v>248.55</v>
      </c>
      <c r="F127" s="23"/>
      <c r="G127" s="203">
        <v>48580</v>
      </c>
      <c r="H127" s="204" t="s">
        <v>104</v>
      </c>
      <c r="I127" s="204" t="s">
        <v>101</v>
      </c>
      <c r="J127" s="204" t="s">
        <v>10</v>
      </c>
      <c r="K127" s="205">
        <v>236.4</v>
      </c>
      <c r="M127" s="183">
        <f t="shared" si="6"/>
        <v>46784</v>
      </c>
      <c r="N127" s="110">
        <f t="shared" si="9"/>
        <v>1251.45</v>
      </c>
      <c r="O127" s="111">
        <f t="shared" si="9"/>
        <v>200.232</v>
      </c>
      <c r="P127" s="190">
        <f t="shared" si="5"/>
        <v>1451.682</v>
      </c>
      <c r="R127" s="112">
        <f>SourceEnergy!B141</f>
        <v>46784</v>
      </c>
      <c r="S127" s="113">
        <v>44.579070000000002</v>
      </c>
      <c r="T127" s="114">
        <v>41.083449999999999</v>
      </c>
      <c r="U127" s="115">
        <f>IF(AND(Shape_Annually="Yes",Shape_Start&lt;=W126),W133,IF(ISNUMBER(SourceEnergy!$C141),SourceEnergy!$C141/(SourceEnergy!$G141*S127+SourceEnergy!$H141*T127),""))</f>
        <v>0.56357620736103309</v>
      </c>
      <c r="W127" s="25">
        <f>SUMPRODUCT(N126:N137,S126:S137)+SUMPRODUCT(O126:O137,T126:T137)</f>
        <v>1071626.1395683498</v>
      </c>
      <c r="X127" s="25" t="s">
        <v>82</v>
      </c>
    </row>
    <row r="128" spans="1:24" ht="15" customHeight="1" x14ac:dyDescent="0.2">
      <c r="A128" s="206">
        <v>44958</v>
      </c>
      <c r="B128" t="s">
        <v>104</v>
      </c>
      <c r="C128" t="s">
        <v>101</v>
      </c>
      <c r="D128" t="s">
        <v>9</v>
      </c>
      <c r="E128">
        <v>1231.896</v>
      </c>
      <c r="F128" s="23"/>
      <c r="G128" s="203">
        <v>48611</v>
      </c>
      <c r="H128" s="204" t="s">
        <v>104</v>
      </c>
      <c r="I128" s="204" t="s">
        <v>101</v>
      </c>
      <c r="J128" s="204" t="s">
        <v>9</v>
      </c>
      <c r="K128" s="205">
        <v>1171.68</v>
      </c>
      <c r="M128" s="183">
        <f t="shared" si="6"/>
        <v>46813</v>
      </c>
      <c r="N128" s="110">
        <f t="shared" si="9"/>
        <v>1900.557</v>
      </c>
      <c r="O128" s="111">
        <f t="shared" si="9"/>
        <v>282.40100000000001</v>
      </c>
      <c r="P128" s="190">
        <f t="shared" si="5"/>
        <v>2182.9580000000001</v>
      </c>
      <c r="R128" s="112">
        <f>SourceEnergy!B142</f>
        <v>46813</v>
      </c>
      <c r="S128" s="113">
        <v>39.581409999999998</v>
      </c>
      <c r="T128" s="114">
        <v>37.959130000000002</v>
      </c>
      <c r="U128" s="115">
        <f>IF(AND(Shape_Annually="Yes",Shape_Start&lt;=W126),W133,IF(ISNUMBER(SourceEnergy!$C142),SourceEnergy!$C142/(SourceEnergy!$G142*S128+SourceEnergy!$H142*T128),""))</f>
        <v>0.56357620736103309</v>
      </c>
    </row>
    <row r="129" spans="1:24" ht="15" customHeight="1" x14ac:dyDescent="0.2">
      <c r="A129" s="206">
        <v>44958</v>
      </c>
      <c r="B129" t="s">
        <v>104</v>
      </c>
      <c r="C129" t="s">
        <v>101</v>
      </c>
      <c r="D129" t="s">
        <v>10</v>
      </c>
      <c r="E129">
        <v>205.316</v>
      </c>
      <c r="F129" s="23"/>
      <c r="G129" s="203">
        <v>48611</v>
      </c>
      <c r="H129" s="204" t="s">
        <v>104</v>
      </c>
      <c r="I129" s="204" t="s">
        <v>101</v>
      </c>
      <c r="J129" s="204" t="s">
        <v>10</v>
      </c>
      <c r="K129" s="205">
        <v>195.28</v>
      </c>
      <c r="M129" s="183">
        <f t="shared" si="6"/>
        <v>46844</v>
      </c>
      <c r="N129" s="110">
        <f t="shared" si="9"/>
        <v>2064.1999999999998</v>
      </c>
      <c r="O129" s="111">
        <f t="shared" si="9"/>
        <v>457.09</v>
      </c>
      <c r="P129" s="190">
        <f t="shared" si="5"/>
        <v>2521.29</v>
      </c>
      <c r="R129" s="112">
        <f>SourceEnergy!B143</f>
        <v>46844</v>
      </c>
      <c r="S129" s="113">
        <v>33.334620000000001</v>
      </c>
      <c r="T129" s="114">
        <v>30.865629999999999</v>
      </c>
      <c r="U129" s="115">
        <f>IF(AND(Shape_Annually="Yes",Shape_Start&lt;=W126),W133,IF(ISNUMBER(SourceEnergy!$C143),SourceEnergy!$C143/(SourceEnergy!$G143*S129+SourceEnergy!$H143*T129),""))</f>
        <v>0.56357620736103309</v>
      </c>
      <c r="W129" s="25">
        <f>VLOOKUP(W126,'[1]Table 5'!$L$23:$N$43,2,FALSE)</f>
        <v>603942.99544687569</v>
      </c>
      <c r="X129" s="25" t="s">
        <v>83</v>
      </c>
    </row>
    <row r="130" spans="1:24" ht="15" customHeight="1" x14ac:dyDescent="0.2">
      <c r="A130" s="206">
        <v>44986</v>
      </c>
      <c r="B130" t="s">
        <v>104</v>
      </c>
      <c r="C130" t="s">
        <v>101</v>
      </c>
      <c r="D130" t="s">
        <v>9</v>
      </c>
      <c r="E130">
        <v>1948.752</v>
      </c>
      <c r="F130" s="23"/>
      <c r="G130" s="203">
        <v>48639</v>
      </c>
      <c r="H130" s="204" t="s">
        <v>104</v>
      </c>
      <c r="I130" s="204" t="s">
        <v>101</v>
      </c>
      <c r="J130" s="204" t="s">
        <v>9</v>
      </c>
      <c r="K130" s="205">
        <v>1853.4960000000001</v>
      </c>
      <c r="M130" s="183">
        <f t="shared" si="6"/>
        <v>46874</v>
      </c>
      <c r="N130" s="110">
        <f t="shared" si="9"/>
        <v>2323.6460000000002</v>
      </c>
      <c r="O130" s="111">
        <f t="shared" si="9"/>
        <v>595.03499999999997</v>
      </c>
      <c r="P130" s="190">
        <f t="shared" si="5"/>
        <v>2918.681</v>
      </c>
      <c r="R130" s="112">
        <f>SourceEnergy!B144</f>
        <v>46874</v>
      </c>
      <c r="S130" s="113">
        <v>33.854770000000002</v>
      </c>
      <c r="T130" s="114">
        <v>31.164300000000001</v>
      </c>
      <c r="U130" s="115">
        <f>IF(AND(Shape_Annually="Yes",Shape_Start&lt;=W126),W133,IF(ISNUMBER(SourceEnergy!$C144),SourceEnergy!$C144/(SourceEnergy!$G144*S130+SourceEnergy!$H144*T130),""))</f>
        <v>0.56357620736103309</v>
      </c>
      <c r="W130" s="25">
        <f>VLOOKUP(W126,'[1]Table 5'!$L$23:$N$43,3,FALSE)</f>
        <v>0</v>
      </c>
      <c r="X130" s="25" t="s">
        <v>84</v>
      </c>
    </row>
    <row r="131" spans="1:24" ht="15" customHeight="1" x14ac:dyDescent="0.2">
      <c r="A131" s="206">
        <v>44986</v>
      </c>
      <c r="B131" t="s">
        <v>104</v>
      </c>
      <c r="C131" t="s">
        <v>101</v>
      </c>
      <c r="D131" t="s">
        <v>10</v>
      </c>
      <c r="E131">
        <v>289.572</v>
      </c>
      <c r="F131" s="23"/>
      <c r="G131" s="203">
        <v>48639</v>
      </c>
      <c r="H131" s="204" t="s">
        <v>104</v>
      </c>
      <c r="I131" s="204" t="s">
        <v>101</v>
      </c>
      <c r="J131" s="204" t="s">
        <v>10</v>
      </c>
      <c r="K131" s="205">
        <v>275.42899999999997</v>
      </c>
      <c r="M131" s="183">
        <f t="shared" si="6"/>
        <v>46905</v>
      </c>
      <c r="N131" s="110">
        <f t="shared" si="9"/>
        <v>2533.076</v>
      </c>
      <c r="O131" s="111">
        <f t="shared" si="9"/>
        <v>567.57399999999996</v>
      </c>
      <c r="P131" s="190">
        <f t="shared" si="5"/>
        <v>3100.65</v>
      </c>
      <c r="R131" s="112">
        <f>SourceEnergy!B145</f>
        <v>46905</v>
      </c>
      <c r="S131" s="113">
        <v>36.423929999999999</v>
      </c>
      <c r="T131" s="114">
        <v>32.127490000000002</v>
      </c>
      <c r="U131" s="115">
        <f>IF(AND(Shape_Annually="Yes",Shape_Start&lt;=W126),W133,IF(ISNUMBER(SourceEnergy!$C145),SourceEnergy!$C145/(SourceEnergy!$G145*S131+SourceEnergy!$H145*T131),""))</f>
        <v>0.56357620736103309</v>
      </c>
      <c r="W131" s="25">
        <f>W129+W130</f>
        <v>603942.99544687569</v>
      </c>
      <c r="X131" s="25" t="s">
        <v>85</v>
      </c>
    </row>
    <row r="132" spans="1:24" ht="15" customHeight="1" x14ac:dyDescent="0.2">
      <c r="A132" s="206">
        <v>45017</v>
      </c>
      <c r="B132" t="s">
        <v>104</v>
      </c>
      <c r="C132" t="s">
        <v>101</v>
      </c>
      <c r="D132" t="s">
        <v>9</v>
      </c>
      <c r="E132">
        <v>2116.5749999999998</v>
      </c>
      <c r="F132" s="23"/>
      <c r="G132" s="203">
        <v>48670</v>
      </c>
      <c r="H132" s="204" t="s">
        <v>104</v>
      </c>
      <c r="I132" s="204" t="s">
        <v>101</v>
      </c>
      <c r="J132" s="204" t="s">
        <v>9</v>
      </c>
      <c r="K132" s="205">
        <v>2093.6239999999998</v>
      </c>
      <c r="M132" s="183">
        <f t="shared" si="6"/>
        <v>46935</v>
      </c>
      <c r="N132" s="110">
        <f t="shared" si="9"/>
        <v>2163.0250000000001</v>
      </c>
      <c r="O132" s="111">
        <f t="shared" si="9"/>
        <v>643.46699999999998</v>
      </c>
      <c r="P132" s="190">
        <f t="shared" si="5"/>
        <v>2806.4920000000002</v>
      </c>
      <c r="R132" s="112">
        <f>SourceEnergy!B146</f>
        <v>46935</v>
      </c>
      <c r="S132" s="113">
        <v>50.63223</v>
      </c>
      <c r="T132" s="114">
        <v>40.461150000000004</v>
      </c>
      <c r="U132" s="115">
        <f>IF(AND(Shape_Annually="Yes",Shape_Start&lt;=W126),W133,IF(ISNUMBER(SourceEnergy!$C146),SourceEnergy!$C146/(SourceEnergy!$G146*S132+SourceEnergy!$H146*T132),""))</f>
        <v>0.56357620736103309</v>
      </c>
    </row>
    <row r="133" spans="1:24" ht="15" customHeight="1" x14ac:dyDescent="0.2">
      <c r="A133" s="206">
        <v>45017</v>
      </c>
      <c r="B133" t="s">
        <v>104</v>
      </c>
      <c r="C133" t="s">
        <v>101</v>
      </c>
      <c r="D133" t="s">
        <v>10</v>
      </c>
      <c r="E133">
        <v>468.70499999999998</v>
      </c>
      <c r="F133" s="23"/>
      <c r="G133" s="203">
        <v>48670</v>
      </c>
      <c r="H133" s="204" t="s">
        <v>104</v>
      </c>
      <c r="I133" s="204" t="s">
        <v>101</v>
      </c>
      <c r="J133" s="204" t="s">
        <v>10</v>
      </c>
      <c r="K133" s="205">
        <v>365.26600000000002</v>
      </c>
      <c r="M133" s="183">
        <f t="shared" si="6"/>
        <v>46966</v>
      </c>
      <c r="N133" s="110">
        <f t="shared" si="9"/>
        <v>2393.6039999999998</v>
      </c>
      <c r="O133" s="111">
        <f t="shared" si="9"/>
        <v>417.50700000000001</v>
      </c>
      <c r="P133" s="190">
        <f t="shared" si="5"/>
        <v>2811.1109999999999</v>
      </c>
      <c r="R133" s="112">
        <f>SourceEnergy!B147</f>
        <v>46966</v>
      </c>
      <c r="S133" s="113">
        <v>53.328249999999997</v>
      </c>
      <c r="T133" s="114">
        <v>41.466810000000002</v>
      </c>
      <c r="U133" s="115">
        <f>IF(AND(Shape_Annually="Yes",Shape_Start&lt;=W126),W133,IF(ISNUMBER(SourceEnergy!$C147),SourceEnergy!$C147/(SourceEnergy!$G147*S133+SourceEnergy!$H147*T133),""))</f>
        <v>0.56357620736103309</v>
      </c>
      <c r="W133" s="116">
        <f>W131/W127</f>
        <v>0.56357620736103309</v>
      </c>
      <c r="X133" s="25" t="s">
        <v>86</v>
      </c>
    </row>
    <row r="134" spans="1:24" ht="15" customHeight="1" x14ac:dyDescent="0.2">
      <c r="A134" s="206">
        <v>45047</v>
      </c>
      <c r="B134" t="s">
        <v>104</v>
      </c>
      <c r="C134" t="s">
        <v>101</v>
      </c>
      <c r="D134" t="s">
        <v>9</v>
      </c>
      <c r="E134">
        <v>2382.5100000000002</v>
      </c>
      <c r="F134" s="23"/>
      <c r="G134" s="203">
        <v>48700</v>
      </c>
      <c r="H134" s="204" t="s">
        <v>104</v>
      </c>
      <c r="I134" s="204" t="s">
        <v>101</v>
      </c>
      <c r="J134" s="204" t="s">
        <v>9</v>
      </c>
      <c r="K134" s="205">
        <v>2178.9250000000002</v>
      </c>
      <c r="M134" s="183">
        <f t="shared" si="6"/>
        <v>46997</v>
      </c>
      <c r="N134" s="110">
        <f t="shared" si="9"/>
        <v>2049.35</v>
      </c>
      <c r="O134" s="111">
        <f t="shared" si="9"/>
        <v>428.53</v>
      </c>
      <c r="P134" s="190">
        <f t="shared" si="5"/>
        <v>2477.88</v>
      </c>
      <c r="R134" s="112">
        <f>SourceEnergy!B148</f>
        <v>46997</v>
      </c>
      <c r="S134" s="113">
        <v>43.781739999999999</v>
      </c>
      <c r="T134" s="114">
        <v>37.192970000000003</v>
      </c>
      <c r="U134" s="115">
        <f>IF(AND(Shape_Annually="Yes",Shape_Start&lt;=W126),W133,IF(ISNUMBER(SourceEnergy!$C148),SourceEnergy!$C148/(SourceEnergy!$G148*S134+SourceEnergy!$H148*T134),""))</f>
        <v>0.56357620736103309</v>
      </c>
    </row>
    <row r="135" spans="1:24" ht="15" customHeight="1" x14ac:dyDescent="0.2">
      <c r="A135" s="206">
        <v>45047</v>
      </c>
      <c r="B135" t="s">
        <v>104</v>
      </c>
      <c r="C135" t="s">
        <v>101</v>
      </c>
      <c r="D135" t="s">
        <v>10</v>
      </c>
      <c r="E135">
        <v>610.10599999999999</v>
      </c>
      <c r="F135" s="23"/>
      <c r="G135" s="203">
        <v>48700</v>
      </c>
      <c r="H135" s="204" t="s">
        <v>104</v>
      </c>
      <c r="I135" s="204" t="s">
        <v>101</v>
      </c>
      <c r="J135" s="204" t="s">
        <v>10</v>
      </c>
      <c r="K135" s="205">
        <v>667.46400000000006</v>
      </c>
      <c r="M135" s="183">
        <f t="shared" si="6"/>
        <v>47027</v>
      </c>
      <c r="N135" s="110">
        <f t="shared" si="9"/>
        <v>1684.5139999999999</v>
      </c>
      <c r="O135" s="111">
        <f t="shared" si="9"/>
        <v>324.41000000000003</v>
      </c>
      <c r="P135" s="190">
        <f t="shared" ref="P135:P198" si="10">N135+O135</f>
        <v>2008.924</v>
      </c>
      <c r="R135" s="112">
        <f>SourceEnergy!B149</f>
        <v>47027</v>
      </c>
      <c r="S135" s="113">
        <v>43.199210000000001</v>
      </c>
      <c r="T135" s="114">
        <v>38.828380000000003</v>
      </c>
      <c r="U135" s="115">
        <f>IF(AND(Shape_Annually="Yes",Shape_Start&lt;=W126),W133,IF(ISNUMBER(SourceEnergy!$C149),SourceEnergy!$C149/(SourceEnergy!$G149*S135+SourceEnergy!$H149*T135),""))</f>
        <v>0.56357620736103309</v>
      </c>
    </row>
    <row r="136" spans="1:24" ht="15" customHeight="1" x14ac:dyDescent="0.2">
      <c r="A136" s="206">
        <v>45078</v>
      </c>
      <c r="B136" t="s">
        <v>104</v>
      </c>
      <c r="C136" t="s">
        <v>101</v>
      </c>
      <c r="D136" t="s">
        <v>9</v>
      </c>
      <c r="E136">
        <v>2597.3739999999998</v>
      </c>
      <c r="F136" s="23"/>
      <c r="G136" s="203">
        <v>48731</v>
      </c>
      <c r="H136" s="204" t="s">
        <v>104</v>
      </c>
      <c r="I136" s="204" t="s">
        <v>101</v>
      </c>
      <c r="J136" s="204" t="s">
        <v>9</v>
      </c>
      <c r="K136" s="205">
        <v>2470.364</v>
      </c>
      <c r="M136" s="183">
        <f t="shared" ref="M136:M199" si="11">EDATE(M135,1)</f>
        <v>47058</v>
      </c>
      <c r="N136" s="110">
        <f t="shared" si="9"/>
        <v>1127.55</v>
      </c>
      <c r="O136" s="111">
        <f t="shared" si="9"/>
        <v>225.51</v>
      </c>
      <c r="P136" s="190">
        <f t="shared" si="10"/>
        <v>1353.06</v>
      </c>
      <c r="R136" s="112">
        <f>SourceEnergy!B150</f>
        <v>47058</v>
      </c>
      <c r="S136" s="113">
        <v>45.537210000000002</v>
      </c>
      <c r="T136" s="114">
        <v>40.58914</v>
      </c>
      <c r="U136" s="115">
        <f>IF(AND(Shape_Annually="Yes",Shape_Start&lt;=W126),W133,IF(ISNUMBER(SourceEnergy!$C150),SourceEnergy!$C150/(SourceEnergy!$G150*S136+SourceEnergy!$H150*T136),""))</f>
        <v>0.56357620736103309</v>
      </c>
    </row>
    <row r="137" spans="1:24" ht="15" customHeight="1" x14ac:dyDescent="0.2">
      <c r="A137" s="206">
        <v>45078</v>
      </c>
      <c r="B137" t="s">
        <v>104</v>
      </c>
      <c r="C137" t="s">
        <v>101</v>
      </c>
      <c r="D137" t="s">
        <v>10</v>
      </c>
      <c r="E137">
        <v>581.99599999999998</v>
      </c>
      <c r="F137" s="23"/>
      <c r="G137" s="203">
        <v>48731</v>
      </c>
      <c r="H137" s="204" t="s">
        <v>104</v>
      </c>
      <c r="I137" s="204" t="s">
        <v>101</v>
      </c>
      <c r="J137" s="204" t="s">
        <v>10</v>
      </c>
      <c r="K137" s="205">
        <v>553.54600000000005</v>
      </c>
      <c r="M137" s="184">
        <f t="shared" si="11"/>
        <v>47088</v>
      </c>
      <c r="N137" s="117">
        <f t="shared" si="9"/>
        <v>841.82500000000005</v>
      </c>
      <c r="O137" s="118">
        <f t="shared" si="9"/>
        <v>202.03800000000001</v>
      </c>
      <c r="P137" s="191">
        <f t="shared" si="10"/>
        <v>1043.8630000000001</v>
      </c>
      <c r="R137" s="119">
        <f>SourceEnergy!B151</f>
        <v>47088</v>
      </c>
      <c r="S137" s="120">
        <v>44.762540000000001</v>
      </c>
      <c r="T137" s="121">
        <v>41.591349999999998</v>
      </c>
      <c r="U137" s="122">
        <f>IF(AND(Shape_Annually="Yes",Shape_Start&lt;=W126),W133,IF(ISNUMBER(SourceEnergy!$C151),SourceEnergy!$C151/(SourceEnergy!$G151*S137+SourceEnergy!$H151*T137),""))</f>
        <v>0.56357620736103309</v>
      </c>
    </row>
    <row r="138" spans="1:24" ht="15" customHeight="1" outlineLevel="1" x14ac:dyDescent="0.2">
      <c r="A138" s="206">
        <v>45108</v>
      </c>
      <c r="B138" t="s">
        <v>104</v>
      </c>
      <c r="C138" t="s">
        <v>101</v>
      </c>
      <c r="D138" t="s">
        <v>9</v>
      </c>
      <c r="E138">
        <v>2217.9250000000002</v>
      </c>
      <c r="F138" s="23"/>
      <c r="G138" s="203">
        <v>48761</v>
      </c>
      <c r="H138" s="204" t="s">
        <v>104</v>
      </c>
      <c r="I138" s="204" t="s">
        <v>101</v>
      </c>
      <c r="J138" s="204" t="s">
        <v>9</v>
      </c>
      <c r="K138" s="205">
        <v>2109.5</v>
      </c>
      <c r="M138" s="185">
        <f t="shared" si="11"/>
        <v>47119</v>
      </c>
      <c r="N138" s="102">
        <f t="shared" si="9"/>
        <v>1045.1220000000001</v>
      </c>
      <c r="O138" s="103">
        <f t="shared" si="9"/>
        <v>200.98500000000001</v>
      </c>
      <c r="P138" s="189">
        <f t="shared" si="10"/>
        <v>1246.107</v>
      </c>
      <c r="R138" s="104">
        <f>SourceEnergy!B152</f>
        <v>47119</v>
      </c>
      <c r="S138" s="105">
        <v>45.698979999999999</v>
      </c>
      <c r="T138" s="106">
        <v>42.126240000000003</v>
      </c>
      <c r="U138" s="107">
        <f>IF(AND(Shape_Annually="Yes",Shape_Start&lt;=W138),W145,IF(ISNUMBER(SourceEnergy!$C152),SourceEnergy!$C152/(SourceEnergy!$G152*S138+SourceEnergy!$H152*T138),""))</f>
        <v>0.56592287352957982</v>
      </c>
      <c r="W138" s="108">
        <f>YEAR(M138)</f>
        <v>2029</v>
      </c>
      <c r="X138" s="109"/>
    </row>
    <row r="139" spans="1:24" ht="15" customHeight="1" outlineLevel="1" x14ac:dyDescent="0.2">
      <c r="A139" s="206">
        <v>45108</v>
      </c>
      <c r="B139" t="s">
        <v>104</v>
      </c>
      <c r="C139" t="s">
        <v>101</v>
      </c>
      <c r="D139" t="s">
        <v>10</v>
      </c>
      <c r="E139">
        <v>659.774</v>
      </c>
      <c r="F139" s="23"/>
      <c r="G139" s="203">
        <v>48761</v>
      </c>
      <c r="H139" s="204" t="s">
        <v>104</v>
      </c>
      <c r="I139" s="204" t="s">
        <v>101</v>
      </c>
      <c r="J139" s="204" t="s">
        <v>10</v>
      </c>
      <c r="K139" s="205">
        <v>627.55200000000002</v>
      </c>
      <c r="M139" s="183">
        <f t="shared" si="11"/>
        <v>47150</v>
      </c>
      <c r="N139" s="110">
        <f t="shared" si="9"/>
        <v>1195.3440000000001</v>
      </c>
      <c r="O139" s="111">
        <f t="shared" si="9"/>
        <v>199.22399999999999</v>
      </c>
      <c r="P139" s="190">
        <f t="shared" si="10"/>
        <v>1394.568</v>
      </c>
      <c r="R139" s="112">
        <f>SourceEnergy!B153</f>
        <v>47150</v>
      </c>
      <c r="S139" s="113">
        <v>46.930819999999997</v>
      </c>
      <c r="T139" s="114">
        <v>43.668660000000003</v>
      </c>
      <c r="U139" s="115">
        <f>IF(AND(Shape_Annually="Yes",Shape_Start&lt;=W138),W145,IF(ISNUMBER(SourceEnergy!$C153),SourceEnergy!$C153/(SourceEnergy!$G153*S139+SourceEnergy!$H153*T139),""))</f>
        <v>0.56592287352957982</v>
      </c>
      <c r="W139" s="25">
        <f>SUMPRODUCT(N138:N149,S138:S149)+SUMPRODUCT(O138:O149,T138:T149)</f>
        <v>1116957.3029447701</v>
      </c>
      <c r="X139" s="25" t="s">
        <v>82</v>
      </c>
    </row>
    <row r="140" spans="1:24" ht="15" customHeight="1" outlineLevel="1" x14ac:dyDescent="0.2">
      <c r="A140" s="206">
        <v>45139</v>
      </c>
      <c r="B140" t="s">
        <v>104</v>
      </c>
      <c r="C140" t="s">
        <v>101</v>
      </c>
      <c r="D140" t="s">
        <v>9</v>
      </c>
      <c r="E140">
        <v>2454.3270000000002</v>
      </c>
      <c r="F140" s="23"/>
      <c r="G140" s="203">
        <v>48792</v>
      </c>
      <c r="H140" s="204" t="s">
        <v>104</v>
      </c>
      <c r="I140" s="204" t="s">
        <v>101</v>
      </c>
      <c r="J140" s="204" t="s">
        <v>9</v>
      </c>
      <c r="K140" s="205">
        <v>2334.3389999999999</v>
      </c>
      <c r="M140" s="183">
        <f t="shared" si="11"/>
        <v>47178</v>
      </c>
      <c r="N140" s="110">
        <f t="shared" si="9"/>
        <v>1890.999</v>
      </c>
      <c r="O140" s="111">
        <f t="shared" si="9"/>
        <v>280.98500000000001</v>
      </c>
      <c r="P140" s="190">
        <f t="shared" si="10"/>
        <v>2171.9839999999999</v>
      </c>
      <c r="R140" s="112">
        <f>SourceEnergy!B154</f>
        <v>47178</v>
      </c>
      <c r="S140" s="113">
        <v>41.719340000000003</v>
      </c>
      <c r="T140" s="114">
        <v>40.748139999999999</v>
      </c>
      <c r="U140" s="115">
        <f>IF(AND(Shape_Annually="Yes",Shape_Start&lt;=W138),W145,IF(ISNUMBER(SourceEnergy!$C154),SourceEnergy!$C154/(SourceEnergy!$G154*S140+SourceEnergy!$H154*T140),""))</f>
        <v>0.56592287352957982</v>
      </c>
    </row>
    <row r="141" spans="1:24" ht="15" customHeight="1" outlineLevel="1" x14ac:dyDescent="0.2">
      <c r="A141" s="206">
        <v>45139</v>
      </c>
      <c r="B141" t="s">
        <v>104</v>
      </c>
      <c r="C141" t="s">
        <v>101</v>
      </c>
      <c r="D141" t="s">
        <v>10</v>
      </c>
      <c r="E141">
        <v>428.084</v>
      </c>
      <c r="F141" s="23"/>
      <c r="G141" s="203">
        <v>48792</v>
      </c>
      <c r="H141" s="204" t="s">
        <v>104</v>
      </c>
      <c r="I141" s="204" t="s">
        <v>101</v>
      </c>
      <c r="J141" s="204" t="s">
        <v>10</v>
      </c>
      <c r="K141" s="205">
        <v>407.17700000000002</v>
      </c>
      <c r="M141" s="183">
        <f t="shared" si="11"/>
        <v>47209</v>
      </c>
      <c r="N141" s="110">
        <f t="shared" si="9"/>
        <v>2053.85</v>
      </c>
      <c r="O141" s="111">
        <f t="shared" si="9"/>
        <v>454.81</v>
      </c>
      <c r="P141" s="190">
        <f t="shared" si="10"/>
        <v>2508.66</v>
      </c>
      <c r="R141" s="112">
        <f>SourceEnergy!B155</f>
        <v>47209</v>
      </c>
      <c r="S141" s="113">
        <v>34.60998</v>
      </c>
      <c r="T141" s="114">
        <v>32.036369999999998</v>
      </c>
      <c r="U141" s="115">
        <f>IF(AND(Shape_Annually="Yes",Shape_Start&lt;=W138),W145,IF(ISNUMBER(SourceEnergy!$C155),SourceEnergy!$C155/(SourceEnergy!$G155*S141+SourceEnergy!$H155*T141),""))</f>
        <v>0.56592287352957982</v>
      </c>
      <c r="W141" s="25">
        <f>VLOOKUP(W138,'[1]Table 5'!$L$23:$N$43,2,FALSE)</f>
        <v>632111.68649235368</v>
      </c>
      <c r="X141" s="25" t="s">
        <v>83</v>
      </c>
    </row>
    <row r="142" spans="1:24" ht="15" customHeight="1" outlineLevel="1" x14ac:dyDescent="0.2">
      <c r="A142" s="206">
        <v>45170</v>
      </c>
      <c r="B142" t="s">
        <v>104</v>
      </c>
      <c r="C142" t="s">
        <v>101</v>
      </c>
      <c r="D142" t="s">
        <v>9</v>
      </c>
      <c r="E142">
        <v>2101.375</v>
      </c>
      <c r="F142" s="23"/>
      <c r="G142" s="203">
        <v>48823</v>
      </c>
      <c r="H142" s="204" t="s">
        <v>104</v>
      </c>
      <c r="I142" s="204" t="s">
        <v>101</v>
      </c>
      <c r="J142" s="204" t="s">
        <v>9</v>
      </c>
      <c r="K142" s="205">
        <v>1998.65</v>
      </c>
      <c r="M142" s="183">
        <f t="shared" si="11"/>
        <v>47239</v>
      </c>
      <c r="N142" s="110">
        <f t="shared" si="9"/>
        <v>2311.92</v>
      </c>
      <c r="O142" s="111">
        <f t="shared" si="9"/>
        <v>592.03599999999994</v>
      </c>
      <c r="P142" s="190">
        <f t="shared" si="10"/>
        <v>2903.9560000000001</v>
      </c>
      <c r="R142" s="112">
        <f>SourceEnergy!B156</f>
        <v>47239</v>
      </c>
      <c r="S142" s="113">
        <v>35.472020000000001</v>
      </c>
      <c r="T142" s="114">
        <v>32.697450000000003</v>
      </c>
      <c r="U142" s="115">
        <f>IF(AND(Shape_Annually="Yes",Shape_Start&lt;=W138),W145,IF(ISNUMBER(SourceEnergy!$C156),SourceEnergy!$C156/(SourceEnergy!$G156*S142+SourceEnergy!$H156*T142),""))</f>
        <v>0.56592287352957982</v>
      </c>
      <c r="W142" s="25">
        <f>VLOOKUP(W138,'[1]Table 5'!$L$23:$N$43,3,FALSE)</f>
        <v>0</v>
      </c>
      <c r="X142" s="25" t="s">
        <v>84</v>
      </c>
    </row>
    <row r="143" spans="1:24" ht="15" customHeight="1" outlineLevel="1" x14ac:dyDescent="0.2">
      <c r="A143" s="206">
        <v>45170</v>
      </c>
      <c r="B143" t="s">
        <v>104</v>
      </c>
      <c r="C143" t="s">
        <v>101</v>
      </c>
      <c r="D143" t="s">
        <v>10</v>
      </c>
      <c r="E143">
        <v>439.41500000000002</v>
      </c>
      <c r="F143" s="23"/>
      <c r="G143" s="203">
        <v>48823</v>
      </c>
      <c r="H143" s="204" t="s">
        <v>104</v>
      </c>
      <c r="I143" s="204" t="s">
        <v>101</v>
      </c>
      <c r="J143" s="204" t="s">
        <v>10</v>
      </c>
      <c r="K143" s="205">
        <v>417.94</v>
      </c>
      <c r="M143" s="183">
        <f t="shared" si="11"/>
        <v>47270</v>
      </c>
      <c r="N143" s="110">
        <f t="shared" si="9"/>
        <v>2520.4140000000002</v>
      </c>
      <c r="O143" s="111">
        <f t="shared" si="9"/>
        <v>564.75599999999997</v>
      </c>
      <c r="P143" s="190">
        <f t="shared" si="10"/>
        <v>3085.17</v>
      </c>
      <c r="R143" s="112">
        <f>SourceEnergy!B157</f>
        <v>47270</v>
      </c>
      <c r="S143" s="113">
        <v>36.53389</v>
      </c>
      <c r="T143" s="114">
        <v>32.972079999999998</v>
      </c>
      <c r="U143" s="115">
        <f>IF(AND(Shape_Annually="Yes",Shape_Start&lt;=W138),W145,IF(ISNUMBER(SourceEnergy!$C157),SourceEnergy!$C157/(SourceEnergy!$G157*S143+SourceEnergy!$H157*T143),""))</f>
        <v>0.56592287352957982</v>
      </c>
      <c r="W143" s="25">
        <f>W141+W142</f>
        <v>632111.68649235368</v>
      </c>
      <c r="X143" s="25" t="s">
        <v>85</v>
      </c>
    </row>
    <row r="144" spans="1:24" ht="15" customHeight="1" outlineLevel="1" x14ac:dyDescent="0.2">
      <c r="A144" s="206">
        <v>45200</v>
      </c>
      <c r="B144" t="s">
        <v>104</v>
      </c>
      <c r="C144" t="s">
        <v>101</v>
      </c>
      <c r="D144" t="s">
        <v>9</v>
      </c>
      <c r="E144">
        <v>1727.2059999999999</v>
      </c>
      <c r="F144" s="23"/>
      <c r="G144" s="203">
        <v>48853</v>
      </c>
      <c r="H144" s="204" t="s">
        <v>104</v>
      </c>
      <c r="I144" s="204" t="s">
        <v>101</v>
      </c>
      <c r="J144" s="204" t="s">
        <v>9</v>
      </c>
      <c r="K144" s="205">
        <v>1642.758</v>
      </c>
      <c r="M144" s="183">
        <f t="shared" si="11"/>
        <v>47300</v>
      </c>
      <c r="N144" s="110">
        <f t="shared" si="9"/>
        <v>2152.1999999999998</v>
      </c>
      <c r="O144" s="111">
        <f t="shared" si="9"/>
        <v>640.21799999999996</v>
      </c>
      <c r="P144" s="190">
        <f t="shared" si="10"/>
        <v>2792.4179999999997</v>
      </c>
      <c r="R144" s="112">
        <f>SourceEnergy!B158</f>
        <v>47300</v>
      </c>
      <c r="S144" s="113">
        <v>52.336620000000003</v>
      </c>
      <c r="T144" s="114">
        <v>42.0974</v>
      </c>
      <c r="U144" s="115">
        <f>IF(AND(Shape_Annually="Yes",Shape_Start&lt;=W138),W145,IF(ISNUMBER(SourceEnergy!$C158),SourceEnergy!$C158/(SourceEnergy!$G158*S144+SourceEnergy!$H158*T144),""))</f>
        <v>0.56592287352957982</v>
      </c>
    </row>
    <row r="145" spans="1:24" ht="15" customHeight="1" outlineLevel="1" x14ac:dyDescent="0.2">
      <c r="A145" s="206">
        <v>45200</v>
      </c>
      <c r="B145" t="s">
        <v>104</v>
      </c>
      <c r="C145" t="s">
        <v>101</v>
      </c>
      <c r="D145" t="s">
        <v>10</v>
      </c>
      <c r="E145">
        <v>332.65100000000001</v>
      </c>
      <c r="F145" s="23"/>
      <c r="G145" s="203">
        <v>48853</v>
      </c>
      <c r="H145" s="204" t="s">
        <v>104</v>
      </c>
      <c r="I145" s="204" t="s">
        <v>101</v>
      </c>
      <c r="J145" s="204" t="s">
        <v>10</v>
      </c>
      <c r="K145" s="205">
        <v>316.38</v>
      </c>
      <c r="M145" s="183">
        <f t="shared" si="11"/>
        <v>47331</v>
      </c>
      <c r="N145" s="110">
        <f t="shared" si="9"/>
        <v>2381.616</v>
      </c>
      <c r="O145" s="111">
        <f t="shared" si="9"/>
        <v>415.42099999999999</v>
      </c>
      <c r="P145" s="190">
        <f t="shared" si="10"/>
        <v>2797.0369999999998</v>
      </c>
      <c r="R145" s="112">
        <f>SourceEnergy!B159</f>
        <v>47331</v>
      </c>
      <c r="S145" s="113">
        <v>55.870530000000002</v>
      </c>
      <c r="T145" s="114">
        <v>44.044060000000002</v>
      </c>
      <c r="U145" s="115">
        <f>IF(AND(Shape_Annually="Yes",Shape_Start&lt;=W138),W145,IF(ISNUMBER(SourceEnergy!$C159),SourceEnergy!$C159/(SourceEnergy!$G159*S145+SourceEnergy!$H159*T145),""))</f>
        <v>0.56592287352957982</v>
      </c>
      <c r="W145" s="116">
        <f>W143/W139</f>
        <v>0.56592287352957982</v>
      </c>
      <c r="X145" s="25" t="s">
        <v>86</v>
      </c>
    </row>
    <row r="146" spans="1:24" ht="15" customHeight="1" outlineLevel="1" x14ac:dyDescent="0.2">
      <c r="A146" s="206">
        <v>45231</v>
      </c>
      <c r="B146" t="s">
        <v>104</v>
      </c>
      <c r="C146" t="s">
        <v>101</v>
      </c>
      <c r="D146" t="s">
        <v>9</v>
      </c>
      <c r="E146">
        <v>1156.175</v>
      </c>
      <c r="F146" s="23"/>
      <c r="G146" s="203">
        <v>48884</v>
      </c>
      <c r="H146" s="204" t="s">
        <v>104</v>
      </c>
      <c r="I146" s="204" t="s">
        <v>101</v>
      </c>
      <c r="J146" s="204" t="s">
        <v>9</v>
      </c>
      <c r="K146" s="205">
        <v>1099.675</v>
      </c>
      <c r="M146" s="183">
        <f t="shared" si="11"/>
        <v>47362</v>
      </c>
      <c r="N146" s="110">
        <f t="shared" ref="N146:O165" si="12">SUMIFS($K$6:$K$245,$G$6:$G$245,$M146,$J$6:$J$245,N$5)</f>
        <v>1957.6079999999999</v>
      </c>
      <c r="O146" s="111">
        <f t="shared" si="12"/>
        <v>507.97199999999998</v>
      </c>
      <c r="P146" s="190">
        <f t="shared" si="10"/>
        <v>2465.58</v>
      </c>
      <c r="R146" s="112">
        <f>SourceEnergy!B160</f>
        <v>47362</v>
      </c>
      <c r="S146" s="113">
        <v>47.464649999999999</v>
      </c>
      <c r="T146" s="114">
        <v>40.037730000000003</v>
      </c>
      <c r="U146" s="115">
        <f>IF(AND(Shape_Annually="Yes",Shape_Start&lt;=W138),W145,IF(ISNUMBER(SourceEnergy!$C160),SourceEnergy!$C160/(SourceEnergy!$G160*S146+SourceEnergy!$H160*T146),""))</f>
        <v>0.56592287352957982</v>
      </c>
    </row>
    <row r="147" spans="1:24" ht="15" customHeight="1" outlineLevel="1" x14ac:dyDescent="0.2">
      <c r="A147" s="206">
        <v>45231</v>
      </c>
      <c r="B147" t="s">
        <v>104</v>
      </c>
      <c r="C147" t="s">
        <v>101</v>
      </c>
      <c r="D147" t="s">
        <v>10</v>
      </c>
      <c r="E147">
        <v>231.23500000000001</v>
      </c>
      <c r="F147" s="23"/>
      <c r="G147" s="203">
        <v>48884</v>
      </c>
      <c r="H147" s="204" t="s">
        <v>104</v>
      </c>
      <c r="I147" s="204" t="s">
        <v>101</v>
      </c>
      <c r="J147" s="204" t="s">
        <v>10</v>
      </c>
      <c r="K147" s="205">
        <v>219.935</v>
      </c>
      <c r="M147" s="183">
        <f t="shared" si="11"/>
        <v>47392</v>
      </c>
      <c r="N147" s="110">
        <f t="shared" si="12"/>
        <v>1740.528</v>
      </c>
      <c r="O147" s="111">
        <f t="shared" si="12"/>
        <v>258.32100000000003</v>
      </c>
      <c r="P147" s="190">
        <f t="shared" si="10"/>
        <v>1998.8490000000002</v>
      </c>
      <c r="R147" s="112">
        <f>SourceEnergy!B161</f>
        <v>47392</v>
      </c>
      <c r="S147" s="113">
        <v>46.40934</v>
      </c>
      <c r="T147" s="114">
        <v>41.611930000000001</v>
      </c>
      <c r="U147" s="115">
        <f>IF(AND(Shape_Annually="Yes",Shape_Start&lt;=W138),W145,IF(ISNUMBER(SourceEnergy!$C161),SourceEnergy!$C161/(SourceEnergy!$G161*S147+SourceEnergy!$H161*T147),""))</f>
        <v>0.56592287352957982</v>
      </c>
    </row>
    <row r="148" spans="1:24" ht="15" customHeight="1" outlineLevel="1" x14ac:dyDescent="0.2">
      <c r="A148" s="206">
        <v>45261</v>
      </c>
      <c r="B148" t="s">
        <v>104</v>
      </c>
      <c r="C148" t="s">
        <v>101</v>
      </c>
      <c r="D148" t="s">
        <v>9</v>
      </c>
      <c r="E148">
        <v>863.15</v>
      </c>
      <c r="F148" s="23"/>
      <c r="G148" s="203">
        <v>48914</v>
      </c>
      <c r="H148" s="204" t="s">
        <v>104</v>
      </c>
      <c r="I148" s="204" t="s">
        <v>101</v>
      </c>
      <c r="J148" s="204" t="s">
        <v>9</v>
      </c>
      <c r="K148" s="205">
        <v>853.81399999999996</v>
      </c>
      <c r="M148" s="183">
        <f t="shared" si="11"/>
        <v>47423</v>
      </c>
      <c r="N148" s="110">
        <f t="shared" si="12"/>
        <v>1121.95</v>
      </c>
      <c r="O148" s="111">
        <f t="shared" si="12"/>
        <v>224.39</v>
      </c>
      <c r="P148" s="190">
        <f t="shared" si="10"/>
        <v>1346.3400000000001</v>
      </c>
      <c r="R148" s="112">
        <f>SourceEnergy!B162</f>
        <v>47423</v>
      </c>
      <c r="S148" s="113">
        <v>47.137830000000001</v>
      </c>
      <c r="T148" s="114">
        <v>42.793900000000001</v>
      </c>
      <c r="U148" s="115">
        <f>IF(AND(Shape_Annually="Yes",Shape_Start&lt;=W138),W145,IF(ISNUMBER(SourceEnergy!$C162),SourceEnergy!$C162/(SourceEnergy!$G162*S148+SourceEnergy!$H162*T148),""))</f>
        <v>0.56592287352957982</v>
      </c>
    </row>
    <row r="149" spans="1:24" ht="15" customHeight="1" outlineLevel="1" x14ac:dyDescent="0.2">
      <c r="A149" s="206">
        <v>45261</v>
      </c>
      <c r="B149" t="s">
        <v>104</v>
      </c>
      <c r="C149" t="s">
        <v>101</v>
      </c>
      <c r="D149" t="s">
        <v>10</v>
      </c>
      <c r="E149">
        <v>207.15600000000001</v>
      </c>
      <c r="F149" s="23"/>
      <c r="G149" s="203">
        <v>48914</v>
      </c>
      <c r="H149" s="204" t="s">
        <v>104</v>
      </c>
      <c r="I149" s="204" t="s">
        <v>101</v>
      </c>
      <c r="J149" s="204" t="s">
        <v>10</v>
      </c>
      <c r="K149" s="205">
        <v>164.19499999999999</v>
      </c>
      <c r="M149" s="184">
        <f t="shared" si="11"/>
        <v>47453</v>
      </c>
      <c r="N149" s="117">
        <f t="shared" si="12"/>
        <v>837.6</v>
      </c>
      <c r="O149" s="118">
        <f t="shared" si="12"/>
        <v>201.024</v>
      </c>
      <c r="P149" s="191">
        <f t="shared" si="10"/>
        <v>1038.624</v>
      </c>
      <c r="R149" s="119">
        <f>SourceEnergy!B163</f>
        <v>47453</v>
      </c>
      <c r="S149" s="120">
        <v>48.379190000000001</v>
      </c>
      <c r="T149" s="121">
        <v>45.398409999999998</v>
      </c>
      <c r="U149" s="122">
        <f>IF(AND(Shape_Annually="Yes",Shape_Start&lt;=W138),W145,IF(ISNUMBER(SourceEnergy!$C163),SourceEnergy!$C163/(SourceEnergy!$G163*S149+SourceEnergy!$H163*T149),""))</f>
        <v>0.56592287352957982</v>
      </c>
    </row>
    <row r="150" spans="1:24" ht="15" customHeight="1" outlineLevel="1" x14ac:dyDescent="0.2">
      <c r="A150" s="206">
        <v>45292</v>
      </c>
      <c r="B150" t="s">
        <v>104</v>
      </c>
      <c r="C150" t="s">
        <v>101</v>
      </c>
      <c r="D150" t="s">
        <v>9</v>
      </c>
      <c r="E150">
        <v>1071.616</v>
      </c>
      <c r="F150" s="23"/>
      <c r="G150" s="192">
        <v>48945</v>
      </c>
      <c r="H150" s="181" t="s">
        <v>104</v>
      </c>
      <c r="I150" s="181" t="s">
        <v>101</v>
      </c>
      <c r="J150" s="181" t="s">
        <v>9</v>
      </c>
      <c r="K150" s="193">
        <v>980.05</v>
      </c>
      <c r="M150" s="185">
        <f t="shared" si="11"/>
        <v>47484</v>
      </c>
      <c r="N150" s="102">
        <f t="shared" si="12"/>
        <v>1039.896</v>
      </c>
      <c r="O150" s="103">
        <f t="shared" si="12"/>
        <v>199.98</v>
      </c>
      <c r="P150" s="189">
        <f t="shared" si="10"/>
        <v>1239.876</v>
      </c>
      <c r="R150" s="104">
        <f>SourceEnergy!B164</f>
        <v>47484</v>
      </c>
      <c r="S150" s="105">
        <v>49.03642</v>
      </c>
      <c r="T150" s="106">
        <v>45.785609999999998</v>
      </c>
      <c r="U150" s="107">
        <f>IF(AND(Shape_Annually="Yes",Shape_Start&lt;=W150),W157,IF(ISNUMBER(SourceEnergy!$C164),SourceEnergy!$C164/(SourceEnergy!$G164*S150+SourceEnergy!$H164*T150),""))</f>
        <v>0.61593828953651775</v>
      </c>
      <c r="W150" s="108">
        <f>YEAR(M150)</f>
        <v>2030</v>
      </c>
      <c r="X150" s="109"/>
    </row>
    <row r="151" spans="1:24" ht="15" customHeight="1" outlineLevel="1" x14ac:dyDescent="0.2">
      <c r="A151" s="206">
        <v>45292</v>
      </c>
      <c r="B151" t="s">
        <v>104</v>
      </c>
      <c r="C151" t="s">
        <v>101</v>
      </c>
      <c r="D151" t="s">
        <v>10</v>
      </c>
      <c r="E151">
        <v>206.08</v>
      </c>
      <c r="F151" s="23"/>
      <c r="G151" s="192">
        <v>48945</v>
      </c>
      <c r="H151" s="181" t="s">
        <v>104</v>
      </c>
      <c r="I151" s="181" t="s">
        <v>101</v>
      </c>
      <c r="J151" s="181" t="s">
        <v>10</v>
      </c>
      <c r="K151" s="193">
        <v>235.21199999999999</v>
      </c>
      <c r="M151" s="183">
        <f t="shared" si="11"/>
        <v>47515</v>
      </c>
      <c r="N151" s="110">
        <f t="shared" si="12"/>
        <v>1189.4159999999999</v>
      </c>
      <c r="O151" s="111">
        <f t="shared" si="12"/>
        <v>198.23599999999999</v>
      </c>
      <c r="P151" s="190">
        <f t="shared" si="10"/>
        <v>1387.652</v>
      </c>
      <c r="R151" s="112">
        <f>SourceEnergy!B165</f>
        <v>47515</v>
      </c>
      <c r="S151" s="113">
        <v>49.187330000000003</v>
      </c>
      <c r="T151" s="114">
        <v>45.823709999999998</v>
      </c>
      <c r="U151" s="115">
        <f>IF(AND(Shape_Annually="Yes",Shape_Start&lt;=W150),W157,IF(ISNUMBER(SourceEnergy!$C165),SourceEnergy!$C165/(SourceEnergy!$G165*S151+SourceEnergy!$H165*T151),""))</f>
        <v>0.61593828953651775</v>
      </c>
      <c r="W151" s="25">
        <f>SUMPRODUCT(N150:N161,S150:S161)+SUMPRODUCT(O150:O161,T150:T161)</f>
        <v>1174423.2611086299</v>
      </c>
      <c r="X151" s="25" t="s">
        <v>82</v>
      </c>
    </row>
    <row r="152" spans="1:24" ht="15" customHeight="1" outlineLevel="1" x14ac:dyDescent="0.2">
      <c r="A152" s="206">
        <v>45323</v>
      </c>
      <c r="B152" t="s">
        <v>104</v>
      </c>
      <c r="C152" t="s">
        <v>101</v>
      </c>
      <c r="D152" t="s">
        <v>9</v>
      </c>
      <c r="E152">
        <v>1276.75</v>
      </c>
      <c r="F152" s="23"/>
      <c r="G152" s="192">
        <v>48976</v>
      </c>
      <c r="H152" s="181" t="s">
        <v>104</v>
      </c>
      <c r="I152" s="181" t="s">
        <v>101</v>
      </c>
      <c r="J152" s="181" t="s">
        <v>9</v>
      </c>
      <c r="K152" s="193">
        <v>1165.8240000000001</v>
      </c>
      <c r="M152" s="183">
        <f t="shared" si="11"/>
        <v>47543</v>
      </c>
      <c r="N152" s="110">
        <f t="shared" si="12"/>
        <v>1811.8620000000001</v>
      </c>
      <c r="O152" s="111">
        <f t="shared" si="12"/>
        <v>349.27199999999999</v>
      </c>
      <c r="P152" s="190">
        <f t="shared" si="10"/>
        <v>2161.134</v>
      </c>
      <c r="R152" s="112">
        <f>SourceEnergy!B166</f>
        <v>47543</v>
      </c>
      <c r="S152" s="113">
        <v>43.368690000000001</v>
      </c>
      <c r="T152" s="114">
        <v>42.445129999999999</v>
      </c>
      <c r="U152" s="115">
        <f>IF(AND(Shape_Annually="Yes",Shape_Start&lt;=W150),W157,IF(ISNUMBER(SourceEnergy!$C166),SourceEnergy!$C166/(SourceEnergy!$G166*S152+SourceEnergy!$H166*T152),""))</f>
        <v>0.61593828953651775</v>
      </c>
    </row>
    <row r="153" spans="1:24" ht="15" customHeight="1" outlineLevel="1" x14ac:dyDescent="0.2">
      <c r="A153" s="206">
        <v>45323</v>
      </c>
      <c r="B153" t="s">
        <v>104</v>
      </c>
      <c r="C153" t="s">
        <v>101</v>
      </c>
      <c r="D153" t="s">
        <v>10</v>
      </c>
      <c r="E153">
        <v>204.28</v>
      </c>
      <c r="F153" s="23"/>
      <c r="G153" s="192">
        <v>48976</v>
      </c>
      <c r="H153" s="181" t="s">
        <v>104</v>
      </c>
      <c r="I153" s="181" t="s">
        <v>101</v>
      </c>
      <c r="J153" s="181" t="s">
        <v>10</v>
      </c>
      <c r="K153" s="193">
        <v>194.304</v>
      </c>
      <c r="M153" s="183">
        <f t="shared" si="11"/>
        <v>47574</v>
      </c>
      <c r="N153" s="110">
        <f t="shared" si="12"/>
        <v>2125.3440000000001</v>
      </c>
      <c r="O153" s="111">
        <f t="shared" si="12"/>
        <v>370.80599999999998</v>
      </c>
      <c r="P153" s="190">
        <f t="shared" si="10"/>
        <v>2496.15</v>
      </c>
      <c r="R153" s="112">
        <f>SourceEnergy!B167</f>
        <v>47574</v>
      </c>
      <c r="S153" s="113">
        <v>36.337800000000001</v>
      </c>
      <c r="T153" s="114">
        <v>34.403019999999998</v>
      </c>
      <c r="U153" s="115">
        <f>IF(AND(Shape_Annually="Yes",Shape_Start&lt;=W150),W157,IF(ISNUMBER(SourceEnergy!$C167),SourceEnergy!$C167/(SourceEnergy!$G167*S153+SourceEnergy!$H167*T153),""))</f>
        <v>0.61593828953651775</v>
      </c>
      <c r="W153" s="25">
        <f>VLOOKUP(W150,'[1]Table 5'!$L$23:$N$43,2,FALSE)</f>
        <v>723372.25463914871</v>
      </c>
      <c r="X153" s="25" t="s">
        <v>83</v>
      </c>
    </row>
    <row r="154" spans="1:24" ht="15" customHeight="1" outlineLevel="1" x14ac:dyDescent="0.2">
      <c r="A154" s="206">
        <v>45352</v>
      </c>
      <c r="B154" t="s">
        <v>104</v>
      </c>
      <c r="C154" t="s">
        <v>101</v>
      </c>
      <c r="D154" t="s">
        <v>9</v>
      </c>
      <c r="E154">
        <v>1867.19</v>
      </c>
      <c r="F154" s="23"/>
      <c r="G154" s="192">
        <v>49004</v>
      </c>
      <c r="H154" s="181" t="s">
        <v>104</v>
      </c>
      <c r="I154" s="181" t="s">
        <v>101</v>
      </c>
      <c r="J154" s="181" t="s">
        <v>9</v>
      </c>
      <c r="K154" s="193">
        <v>1844.2080000000001</v>
      </c>
      <c r="M154" s="183">
        <f t="shared" si="11"/>
        <v>47604</v>
      </c>
      <c r="N154" s="110">
        <f t="shared" si="12"/>
        <v>2300.4279999999999</v>
      </c>
      <c r="O154" s="111">
        <f t="shared" si="12"/>
        <v>589.08199999999999</v>
      </c>
      <c r="P154" s="190">
        <f t="shared" si="10"/>
        <v>2889.5099999999998</v>
      </c>
      <c r="R154" s="112">
        <f>SourceEnergy!B168</f>
        <v>47604</v>
      </c>
      <c r="S154" s="113">
        <v>37.906840000000003</v>
      </c>
      <c r="T154" s="114">
        <v>35.059919999999998</v>
      </c>
      <c r="U154" s="115">
        <f>IF(AND(Shape_Annually="Yes",Shape_Start&lt;=W150),W157,IF(ISNUMBER(SourceEnergy!$C168),SourceEnergy!$C168/(SourceEnergy!$G168*S154+SourceEnergy!$H168*T154),""))</f>
        <v>0.61593828953651775</v>
      </c>
      <c r="W154" s="25">
        <f>VLOOKUP(W150,'[1]Table 5'!$L$23:$N$43,3,FALSE)</f>
        <v>0</v>
      </c>
      <c r="X154" s="25" t="s">
        <v>84</v>
      </c>
    </row>
    <row r="155" spans="1:24" ht="15" customHeight="1" outlineLevel="1" x14ac:dyDescent="0.2">
      <c r="A155" s="206">
        <v>45352</v>
      </c>
      <c r="B155" t="s">
        <v>104</v>
      </c>
      <c r="C155" t="s">
        <v>101</v>
      </c>
      <c r="D155" t="s">
        <v>10</v>
      </c>
      <c r="E155">
        <v>359.94299999999998</v>
      </c>
      <c r="F155" s="23"/>
      <c r="G155" s="192">
        <v>49004</v>
      </c>
      <c r="H155" s="181" t="s">
        <v>104</v>
      </c>
      <c r="I155" s="181" t="s">
        <v>101</v>
      </c>
      <c r="J155" s="181" t="s">
        <v>10</v>
      </c>
      <c r="K155" s="193">
        <v>274.02199999999999</v>
      </c>
      <c r="M155" s="183">
        <f t="shared" si="11"/>
        <v>47635</v>
      </c>
      <c r="N155" s="110">
        <f t="shared" si="12"/>
        <v>2411.375</v>
      </c>
      <c r="O155" s="111">
        <f t="shared" si="12"/>
        <v>658.375</v>
      </c>
      <c r="P155" s="190">
        <f t="shared" si="10"/>
        <v>3069.75</v>
      </c>
      <c r="R155" s="112">
        <f>SourceEnergy!B169</f>
        <v>47635</v>
      </c>
      <c r="S155" s="113">
        <v>38.896630000000002</v>
      </c>
      <c r="T155" s="114">
        <v>35.636130000000001</v>
      </c>
      <c r="U155" s="115">
        <f>IF(AND(Shape_Annually="Yes",Shape_Start&lt;=W150),W157,IF(ISNUMBER(SourceEnergy!$C169),SourceEnergy!$C169/(SourceEnergy!$G169*S155+SourceEnergy!$H169*T155),""))</f>
        <v>0.61593828953651775</v>
      </c>
      <c r="W155" s="25">
        <f>W153+W154</f>
        <v>723372.25463914871</v>
      </c>
      <c r="X155" s="25" t="s">
        <v>85</v>
      </c>
    </row>
    <row r="156" spans="1:24" ht="15" customHeight="1" outlineLevel="1" x14ac:dyDescent="0.2">
      <c r="A156" s="206">
        <v>45383</v>
      </c>
      <c r="B156" t="s">
        <v>104</v>
      </c>
      <c r="C156" t="s">
        <v>101</v>
      </c>
      <c r="D156" t="s">
        <v>9</v>
      </c>
      <c r="E156">
        <v>2190.2399999999998</v>
      </c>
      <c r="F156" s="23"/>
      <c r="G156" s="192">
        <v>49035</v>
      </c>
      <c r="H156" s="181" t="s">
        <v>104</v>
      </c>
      <c r="I156" s="181" t="s">
        <v>101</v>
      </c>
      <c r="J156" s="181" t="s">
        <v>9</v>
      </c>
      <c r="K156" s="193">
        <v>2003.0250000000001</v>
      </c>
      <c r="M156" s="183">
        <f t="shared" si="11"/>
        <v>47665</v>
      </c>
      <c r="N156" s="110">
        <f t="shared" si="12"/>
        <v>2227.0819999999999</v>
      </c>
      <c r="O156" s="111">
        <f t="shared" si="12"/>
        <v>551.35500000000002</v>
      </c>
      <c r="P156" s="190">
        <f t="shared" si="10"/>
        <v>2778.4369999999999</v>
      </c>
      <c r="R156" s="112">
        <f>SourceEnergy!B170</f>
        <v>47665</v>
      </c>
      <c r="S156" s="113">
        <v>55.459960000000002</v>
      </c>
      <c r="T156" s="114">
        <v>44.410739999999997</v>
      </c>
      <c r="U156" s="115">
        <f>IF(AND(Shape_Annually="Yes",Shape_Start&lt;=W150),W157,IF(ISNUMBER(SourceEnergy!$C170),SourceEnergy!$C170/(SourceEnergy!$G170*S156+SourceEnergy!$H170*T156),""))</f>
        <v>0.61593828953651775</v>
      </c>
    </row>
    <row r="157" spans="1:24" ht="15" customHeight="1" outlineLevel="1" x14ac:dyDescent="0.2">
      <c r="A157" s="206">
        <v>45383</v>
      </c>
      <c r="B157" t="s">
        <v>104</v>
      </c>
      <c r="C157" t="s">
        <v>101</v>
      </c>
      <c r="D157" t="s">
        <v>10</v>
      </c>
      <c r="E157">
        <v>382.11</v>
      </c>
      <c r="F157" s="23"/>
      <c r="G157" s="192">
        <v>49035</v>
      </c>
      <c r="H157" s="181" t="s">
        <v>104</v>
      </c>
      <c r="I157" s="181" t="s">
        <v>101</v>
      </c>
      <c r="J157" s="181" t="s">
        <v>10</v>
      </c>
      <c r="K157" s="193">
        <v>443.565</v>
      </c>
      <c r="M157" s="183">
        <f t="shared" si="11"/>
        <v>47696</v>
      </c>
      <c r="N157" s="110">
        <f t="shared" si="12"/>
        <v>2369.7089999999998</v>
      </c>
      <c r="O157" s="111">
        <f t="shared" si="12"/>
        <v>413.34699999999998</v>
      </c>
      <c r="P157" s="190">
        <f t="shared" si="10"/>
        <v>2783.0559999999996</v>
      </c>
      <c r="R157" s="112">
        <f>SourceEnergy!B171</f>
        <v>47696</v>
      </c>
      <c r="S157" s="113">
        <v>58.43103</v>
      </c>
      <c r="T157" s="114">
        <v>46.799630000000001</v>
      </c>
      <c r="U157" s="115">
        <f>IF(AND(Shape_Annually="Yes",Shape_Start&lt;=W150),W157,IF(ISNUMBER(SourceEnergy!$C171),SourceEnergy!$C171/(SourceEnergy!$G171*S157+SourceEnergy!$H171*T157),""))</f>
        <v>0.61593828953651775</v>
      </c>
      <c r="W157" s="116">
        <f>W155/W151</f>
        <v>0.61593828953651775</v>
      </c>
      <c r="X157" s="25" t="s">
        <v>86</v>
      </c>
    </row>
    <row r="158" spans="1:24" ht="15" customHeight="1" outlineLevel="1" x14ac:dyDescent="0.2">
      <c r="A158" s="206">
        <v>45413</v>
      </c>
      <c r="B158" t="s">
        <v>104</v>
      </c>
      <c r="C158" t="s">
        <v>101</v>
      </c>
      <c r="D158" t="s">
        <v>9</v>
      </c>
      <c r="E158">
        <v>2370.6280000000002</v>
      </c>
      <c r="F158" s="23"/>
      <c r="G158" s="192">
        <v>49065</v>
      </c>
      <c r="H158" s="181" t="s">
        <v>104</v>
      </c>
      <c r="I158" s="181" t="s">
        <v>101</v>
      </c>
      <c r="J158" s="181" t="s">
        <v>9</v>
      </c>
      <c r="K158" s="193">
        <v>2254.7199999999998</v>
      </c>
      <c r="M158" s="183">
        <f t="shared" si="11"/>
        <v>47727</v>
      </c>
      <c r="N158" s="110">
        <f t="shared" si="12"/>
        <v>1947.768</v>
      </c>
      <c r="O158" s="111">
        <f t="shared" si="12"/>
        <v>505.42200000000003</v>
      </c>
      <c r="P158" s="190">
        <f t="shared" si="10"/>
        <v>2453.19</v>
      </c>
      <c r="R158" s="112">
        <f>SourceEnergy!B172</f>
        <v>47727</v>
      </c>
      <c r="S158" s="113">
        <v>50.254649999999998</v>
      </c>
      <c r="T158" s="114">
        <v>42.796169999999996</v>
      </c>
      <c r="U158" s="115">
        <f>IF(AND(Shape_Annually="Yes",Shape_Start&lt;=W150),W157,IF(ISNUMBER(SourceEnergy!$C172),SourceEnergy!$C172/(SourceEnergy!$G172*S158+SourceEnergy!$H172*T158),""))</f>
        <v>0.61593828953651775</v>
      </c>
    </row>
    <row r="159" spans="1:24" ht="15" customHeight="1" outlineLevel="1" x14ac:dyDescent="0.2">
      <c r="A159" s="206">
        <v>45413</v>
      </c>
      <c r="B159" t="s">
        <v>104</v>
      </c>
      <c r="C159" t="s">
        <v>101</v>
      </c>
      <c r="D159" t="s">
        <v>10</v>
      </c>
      <c r="E159">
        <v>607.04600000000005</v>
      </c>
      <c r="F159" s="23"/>
      <c r="G159" s="192">
        <v>49065</v>
      </c>
      <c r="H159" s="181" t="s">
        <v>104</v>
      </c>
      <c r="I159" s="181" t="s">
        <v>101</v>
      </c>
      <c r="J159" s="181" t="s">
        <v>10</v>
      </c>
      <c r="K159" s="193">
        <v>577.37800000000004</v>
      </c>
      <c r="M159" s="183">
        <f t="shared" si="11"/>
        <v>47757</v>
      </c>
      <c r="N159" s="110">
        <f t="shared" si="12"/>
        <v>1731.8340000000001</v>
      </c>
      <c r="O159" s="111">
        <f t="shared" si="12"/>
        <v>257.03300000000002</v>
      </c>
      <c r="P159" s="190">
        <f t="shared" si="10"/>
        <v>1988.8670000000002</v>
      </c>
      <c r="R159" s="112">
        <f>SourceEnergy!B173</f>
        <v>47757</v>
      </c>
      <c r="S159" s="113">
        <v>48.316339999999997</v>
      </c>
      <c r="T159" s="114">
        <v>44.196660000000001</v>
      </c>
      <c r="U159" s="115">
        <f>IF(AND(Shape_Annually="Yes",Shape_Start&lt;=W150),W157,IF(ISNUMBER(SourceEnergy!$C173),SourceEnergy!$C173/(SourceEnergy!$G173*S159+SourceEnergy!$H173*T159),""))</f>
        <v>0.61593828953651775</v>
      </c>
    </row>
    <row r="160" spans="1:24" ht="15" customHeight="1" outlineLevel="1" x14ac:dyDescent="0.2">
      <c r="A160" s="206">
        <v>45444</v>
      </c>
      <c r="B160" t="s">
        <v>104</v>
      </c>
      <c r="C160" t="s">
        <v>101</v>
      </c>
      <c r="D160" t="s">
        <v>9</v>
      </c>
      <c r="E160">
        <v>2484.9749999999999</v>
      </c>
      <c r="F160" s="23"/>
      <c r="G160" s="192">
        <v>49096</v>
      </c>
      <c r="H160" s="181" t="s">
        <v>104</v>
      </c>
      <c r="I160" s="181" t="s">
        <v>101</v>
      </c>
      <c r="J160" s="181" t="s">
        <v>9</v>
      </c>
      <c r="K160" s="193">
        <v>2458.04</v>
      </c>
      <c r="M160" s="183">
        <f t="shared" si="11"/>
        <v>47788</v>
      </c>
      <c r="N160" s="110">
        <f t="shared" si="12"/>
        <v>1116.375</v>
      </c>
      <c r="O160" s="111">
        <f t="shared" si="12"/>
        <v>223.27500000000001</v>
      </c>
      <c r="P160" s="190">
        <f t="shared" si="10"/>
        <v>1339.65</v>
      </c>
      <c r="R160" s="112">
        <f>SourceEnergy!B174</f>
        <v>47788</v>
      </c>
      <c r="S160" s="113">
        <v>49.44603</v>
      </c>
      <c r="T160" s="114">
        <v>45.701540000000001</v>
      </c>
      <c r="U160" s="115">
        <f>IF(AND(Shape_Annually="Yes",Shape_Start&lt;=W150),W157,IF(ISNUMBER(SourceEnergy!$C174),SourceEnergy!$C174/(SourceEnergy!$G174*S160+SourceEnergy!$H174*T160),""))</f>
        <v>0.61593828953651775</v>
      </c>
    </row>
    <row r="161" spans="1:24" ht="15" customHeight="1" outlineLevel="1" x14ac:dyDescent="0.2">
      <c r="A161" s="206">
        <v>45444</v>
      </c>
      <c r="B161" t="s">
        <v>104</v>
      </c>
      <c r="C161" t="s">
        <v>101</v>
      </c>
      <c r="D161" t="s">
        <v>10</v>
      </c>
      <c r="E161">
        <v>678.495</v>
      </c>
      <c r="F161" s="23"/>
      <c r="G161" s="192">
        <v>49096</v>
      </c>
      <c r="H161" s="181" t="s">
        <v>104</v>
      </c>
      <c r="I161" s="181" t="s">
        <v>101</v>
      </c>
      <c r="J161" s="181" t="s">
        <v>10</v>
      </c>
      <c r="K161" s="193">
        <v>550.78</v>
      </c>
      <c r="M161" s="184">
        <f t="shared" si="11"/>
        <v>47818</v>
      </c>
      <c r="N161" s="117">
        <f t="shared" si="12"/>
        <v>833.47500000000002</v>
      </c>
      <c r="O161" s="118">
        <f t="shared" si="12"/>
        <v>200.03399999999999</v>
      </c>
      <c r="P161" s="191">
        <f t="shared" si="10"/>
        <v>1033.509</v>
      </c>
      <c r="R161" s="119">
        <f>SourceEnergy!B175</f>
        <v>47818</v>
      </c>
      <c r="S161" s="120">
        <v>51.261420000000001</v>
      </c>
      <c r="T161" s="121">
        <v>48.47063</v>
      </c>
      <c r="U161" s="122">
        <f>IF(AND(Shape_Annually="Yes",Shape_Start&lt;=W150),W157,IF(ISNUMBER(SourceEnergy!$C175),SourceEnergy!$C175/(SourceEnergy!$G175*S161+SourceEnergy!$H175*T161),""))</f>
        <v>0.61593828953651775</v>
      </c>
    </row>
    <row r="162" spans="1:24" ht="15" customHeight="1" outlineLevel="1" x14ac:dyDescent="0.2">
      <c r="A162" s="206">
        <v>45474</v>
      </c>
      <c r="B162" t="s">
        <v>104</v>
      </c>
      <c r="C162" t="s">
        <v>101</v>
      </c>
      <c r="D162" t="s">
        <v>9</v>
      </c>
      <c r="E162">
        <v>2295.1239999999998</v>
      </c>
      <c r="F162" s="23"/>
      <c r="G162" s="192">
        <v>49126</v>
      </c>
      <c r="H162" s="181" t="s">
        <v>104</v>
      </c>
      <c r="I162" s="181" t="s">
        <v>101</v>
      </c>
      <c r="J162" s="181" t="s">
        <v>9</v>
      </c>
      <c r="K162" s="193">
        <v>2098.9499999999998</v>
      </c>
      <c r="M162" s="185">
        <f t="shared" si="11"/>
        <v>47849</v>
      </c>
      <c r="N162" s="102">
        <f t="shared" si="12"/>
        <v>1034.722</v>
      </c>
      <c r="O162" s="103">
        <f t="shared" si="12"/>
        <v>198.98500000000001</v>
      </c>
      <c r="P162" s="189">
        <f t="shared" si="10"/>
        <v>1233.7069999999999</v>
      </c>
      <c r="R162" s="104">
        <f>SourceEnergy!B176</f>
        <v>47849</v>
      </c>
      <c r="S162" s="105">
        <v>52.179589999999997</v>
      </c>
      <c r="T162" s="106">
        <v>48.9773</v>
      </c>
      <c r="U162" s="107">
        <f>IF(AND(Shape_Annually="Yes",Shape_Start&lt;=W162),W169,IF(ISNUMBER(SourceEnergy!$C176),SourceEnergy!$C176/(SourceEnergy!$G176*S162+SourceEnergy!$H176*T162),""))</f>
        <v>0.61841251274562559</v>
      </c>
      <c r="W162" s="108">
        <f>YEAR(M162)</f>
        <v>2031</v>
      </c>
      <c r="X162" s="109"/>
    </row>
    <row r="163" spans="1:24" ht="15" customHeight="1" outlineLevel="1" x14ac:dyDescent="0.2">
      <c r="A163" s="206">
        <v>45474</v>
      </c>
      <c r="B163" t="s">
        <v>104</v>
      </c>
      <c r="C163" t="s">
        <v>101</v>
      </c>
      <c r="D163" t="s">
        <v>10</v>
      </c>
      <c r="E163">
        <v>568.19100000000003</v>
      </c>
      <c r="F163" s="23"/>
      <c r="G163" s="192">
        <v>49126</v>
      </c>
      <c r="H163" s="181" t="s">
        <v>104</v>
      </c>
      <c r="I163" s="181" t="s">
        <v>101</v>
      </c>
      <c r="J163" s="181" t="s">
        <v>10</v>
      </c>
      <c r="K163" s="193">
        <v>624.4</v>
      </c>
      <c r="M163" s="183">
        <f t="shared" si="11"/>
        <v>47880</v>
      </c>
      <c r="N163" s="110">
        <f t="shared" si="12"/>
        <v>1183.44</v>
      </c>
      <c r="O163" s="111">
        <f t="shared" si="12"/>
        <v>197.24</v>
      </c>
      <c r="P163" s="190">
        <f t="shared" si="10"/>
        <v>1380.68</v>
      </c>
      <c r="R163" s="112">
        <f>SourceEnergy!B177</f>
        <v>47880</v>
      </c>
      <c r="S163" s="113">
        <v>52.001550000000002</v>
      </c>
      <c r="T163" s="114">
        <v>48.293840000000003</v>
      </c>
      <c r="U163" s="115">
        <f>IF(AND(Shape_Annually="Yes",Shape_Start&lt;=W162),W169,IF(ISNUMBER(SourceEnergy!$C177),SourceEnergy!$C177/(SourceEnergy!$G177*S163+SourceEnergy!$H177*T163),""))</f>
        <v>0.61841251274562559</v>
      </c>
      <c r="W163" s="25">
        <f>SUMPRODUCT(N162:N173,S162:S173)+SUMPRODUCT(O162:O173,T162:T173)</f>
        <v>1218255.7634626001</v>
      </c>
      <c r="X163" s="25" t="s">
        <v>82</v>
      </c>
    </row>
    <row r="164" spans="1:24" ht="15" customHeight="1" outlineLevel="1" x14ac:dyDescent="0.2">
      <c r="A164" s="206">
        <v>45505</v>
      </c>
      <c r="B164" t="s">
        <v>104</v>
      </c>
      <c r="C164" t="s">
        <v>101</v>
      </c>
      <c r="D164" t="s">
        <v>9</v>
      </c>
      <c r="E164">
        <v>2442.069</v>
      </c>
      <c r="F164" s="23"/>
      <c r="G164" s="192">
        <v>49157</v>
      </c>
      <c r="H164" s="181" t="s">
        <v>104</v>
      </c>
      <c r="I164" s="181" t="s">
        <v>101</v>
      </c>
      <c r="J164" s="181" t="s">
        <v>9</v>
      </c>
      <c r="K164" s="193">
        <v>2322.6480000000001</v>
      </c>
      <c r="M164" s="183">
        <f t="shared" si="11"/>
        <v>47908</v>
      </c>
      <c r="N164" s="110">
        <f t="shared" si="12"/>
        <v>1802.84</v>
      </c>
      <c r="O164" s="111">
        <f t="shared" si="12"/>
        <v>347.53699999999998</v>
      </c>
      <c r="P164" s="190">
        <f t="shared" si="10"/>
        <v>2150.377</v>
      </c>
      <c r="R164" s="112">
        <f>SourceEnergy!B178</f>
        <v>47908</v>
      </c>
      <c r="S164" s="113">
        <v>45.4236</v>
      </c>
      <c r="T164" s="114">
        <v>44.106439999999999</v>
      </c>
      <c r="U164" s="115">
        <f>IF(AND(Shape_Annually="Yes",Shape_Start&lt;=W162),W169,IF(ISNUMBER(SourceEnergy!$C178),SourceEnergy!$C178/(SourceEnergy!$G178*S164+SourceEnergy!$H178*T164),""))</f>
        <v>0.61841251274562559</v>
      </c>
    </row>
    <row r="165" spans="1:24" ht="15" customHeight="1" outlineLevel="1" x14ac:dyDescent="0.2">
      <c r="A165" s="206">
        <v>45505</v>
      </c>
      <c r="B165" t="s">
        <v>104</v>
      </c>
      <c r="C165" t="s">
        <v>101</v>
      </c>
      <c r="D165" t="s">
        <v>10</v>
      </c>
      <c r="E165">
        <v>425.95800000000003</v>
      </c>
      <c r="F165" s="23"/>
      <c r="G165" s="192">
        <v>49157</v>
      </c>
      <c r="H165" s="181" t="s">
        <v>104</v>
      </c>
      <c r="I165" s="181" t="s">
        <v>101</v>
      </c>
      <c r="J165" s="181" t="s">
        <v>10</v>
      </c>
      <c r="K165" s="193">
        <v>405.13499999999999</v>
      </c>
      <c r="M165" s="183">
        <f t="shared" si="11"/>
        <v>47939</v>
      </c>
      <c r="N165" s="110">
        <f t="shared" si="12"/>
        <v>2114.71</v>
      </c>
      <c r="O165" s="111">
        <f t="shared" si="12"/>
        <v>368.93</v>
      </c>
      <c r="P165" s="190">
        <f t="shared" si="10"/>
        <v>2483.64</v>
      </c>
      <c r="R165" s="112">
        <f>SourceEnergy!B179</f>
        <v>47939</v>
      </c>
      <c r="S165" s="113">
        <v>39.638460000000002</v>
      </c>
      <c r="T165" s="114">
        <v>36.839820000000003</v>
      </c>
      <c r="U165" s="115">
        <f>IF(AND(Shape_Annually="Yes",Shape_Start&lt;=W162),W169,IF(ISNUMBER(SourceEnergy!$C179),SourceEnergy!$C179/(SourceEnergy!$G179*S165+SourceEnergy!$H179*T165),""))</f>
        <v>0.61841251274562559</v>
      </c>
      <c r="W165" s="25">
        <f>VLOOKUP(W162,'[1]Table 5'!$L$23:$N$43,2,FALSE)</f>
        <v>753384.60784974694</v>
      </c>
      <c r="X165" s="25" t="s">
        <v>83</v>
      </c>
    </row>
    <row r="166" spans="1:24" ht="15" customHeight="1" outlineLevel="1" x14ac:dyDescent="0.2">
      <c r="A166" s="206">
        <v>45536</v>
      </c>
      <c r="B166" t="s">
        <v>104</v>
      </c>
      <c r="C166" t="s">
        <v>101</v>
      </c>
      <c r="D166" t="s">
        <v>9</v>
      </c>
      <c r="E166">
        <v>2007.2639999999999</v>
      </c>
      <c r="F166" s="23"/>
      <c r="G166" s="192">
        <v>49188</v>
      </c>
      <c r="H166" s="181" t="s">
        <v>104</v>
      </c>
      <c r="I166" s="181" t="s">
        <v>101</v>
      </c>
      <c r="J166" s="181" t="s">
        <v>9</v>
      </c>
      <c r="K166" s="193">
        <v>1988.7</v>
      </c>
      <c r="M166" s="183">
        <f t="shared" si="11"/>
        <v>47969</v>
      </c>
      <c r="N166" s="110">
        <f t="shared" ref="N166:O185" si="13">SUMIFS($K$6:$K$245,$G$6:$G$245,$M166,$J$6:$J$245,N$5)</f>
        <v>2288.9360000000001</v>
      </c>
      <c r="O166" s="111">
        <f t="shared" si="13"/>
        <v>586.15899999999999</v>
      </c>
      <c r="P166" s="190">
        <f t="shared" si="10"/>
        <v>2875.0950000000003</v>
      </c>
      <c r="R166" s="112">
        <f>SourceEnergy!B180</f>
        <v>47969</v>
      </c>
      <c r="S166" s="113">
        <v>39.780029999999996</v>
      </c>
      <c r="T166" s="114">
        <v>36.64405</v>
      </c>
      <c r="U166" s="115">
        <f>IF(AND(Shape_Annually="Yes",Shape_Start&lt;=W162),W169,IF(ISNUMBER(SourceEnergy!$C180),SourceEnergy!$C180/(SourceEnergy!$G180*S166+SourceEnergy!$H180*T166),""))</f>
        <v>0.61841251274562559</v>
      </c>
      <c r="W166" s="25">
        <f>VLOOKUP(W162,'[1]Table 5'!$L$23:$N$43,3,FALSE)</f>
        <v>0</v>
      </c>
      <c r="X166" s="25" t="s">
        <v>84</v>
      </c>
    </row>
    <row r="167" spans="1:24" ht="15" customHeight="1" outlineLevel="1" x14ac:dyDescent="0.2">
      <c r="A167" s="206">
        <v>45536</v>
      </c>
      <c r="B167" t="s">
        <v>104</v>
      </c>
      <c r="C167" t="s">
        <v>101</v>
      </c>
      <c r="D167" t="s">
        <v>10</v>
      </c>
      <c r="E167">
        <v>520.86599999999999</v>
      </c>
      <c r="F167" s="23"/>
      <c r="G167" s="192">
        <v>49188</v>
      </c>
      <c r="H167" s="181" t="s">
        <v>104</v>
      </c>
      <c r="I167" s="181" t="s">
        <v>101</v>
      </c>
      <c r="J167" s="181" t="s">
        <v>10</v>
      </c>
      <c r="K167" s="193">
        <v>415.86</v>
      </c>
      <c r="M167" s="183">
        <f t="shared" si="11"/>
        <v>48000</v>
      </c>
      <c r="N167" s="110">
        <f t="shared" si="13"/>
        <v>2399.2750000000001</v>
      </c>
      <c r="O167" s="111">
        <f t="shared" si="13"/>
        <v>655.08500000000004</v>
      </c>
      <c r="P167" s="190">
        <f t="shared" si="10"/>
        <v>3054.36</v>
      </c>
      <c r="R167" s="112">
        <f>SourceEnergy!B181</f>
        <v>48000</v>
      </c>
      <c r="S167" s="113">
        <v>41.345660000000002</v>
      </c>
      <c r="T167" s="114">
        <v>37.38203</v>
      </c>
      <c r="U167" s="115">
        <f>IF(AND(Shape_Annually="Yes",Shape_Start&lt;=W162),W169,IF(ISNUMBER(SourceEnergy!$C181),SourceEnergy!$C181/(SourceEnergy!$G181*S167+SourceEnergy!$H181*T167),""))</f>
        <v>0.61841251274562559</v>
      </c>
      <c r="W167" s="25">
        <f>W165+W166</f>
        <v>753384.60784974694</v>
      </c>
      <c r="X167" s="25" t="s">
        <v>85</v>
      </c>
    </row>
    <row r="168" spans="1:24" ht="15" customHeight="1" outlineLevel="1" x14ac:dyDescent="0.2">
      <c r="A168" s="206">
        <v>45566</v>
      </c>
      <c r="B168" t="s">
        <v>104</v>
      </c>
      <c r="C168" t="s">
        <v>101</v>
      </c>
      <c r="D168" t="s">
        <v>9</v>
      </c>
      <c r="E168">
        <v>1784.7270000000001</v>
      </c>
      <c r="F168" s="23"/>
      <c r="G168" s="192">
        <v>49218</v>
      </c>
      <c r="H168" s="181" t="s">
        <v>104</v>
      </c>
      <c r="I168" s="181" t="s">
        <v>101</v>
      </c>
      <c r="J168" s="181" t="s">
        <v>9</v>
      </c>
      <c r="K168" s="193">
        <v>1634.5940000000001</v>
      </c>
      <c r="M168" s="183">
        <f t="shared" si="11"/>
        <v>48030</v>
      </c>
      <c r="N168" s="110">
        <f t="shared" si="13"/>
        <v>2215.98</v>
      </c>
      <c r="O168" s="111">
        <f t="shared" si="13"/>
        <v>548.63099999999997</v>
      </c>
      <c r="P168" s="190">
        <f t="shared" si="10"/>
        <v>2764.6109999999999</v>
      </c>
      <c r="R168" s="112">
        <f>SourceEnergy!B182</f>
        <v>48030</v>
      </c>
      <c r="S168" s="113">
        <v>57.096260000000001</v>
      </c>
      <c r="T168" s="114">
        <v>46.101759999999999</v>
      </c>
      <c r="U168" s="115">
        <f>IF(AND(Shape_Annually="Yes",Shape_Start&lt;=W162),W169,IF(ISNUMBER(SourceEnergy!$C182),SourceEnergy!$C182/(SourceEnergy!$G182*S168+SourceEnergy!$H182*T168),""))</f>
        <v>0.61841251274562559</v>
      </c>
    </row>
    <row r="169" spans="1:24" ht="15" customHeight="1" outlineLevel="1" x14ac:dyDescent="0.2">
      <c r="A169" s="206">
        <v>45566</v>
      </c>
      <c r="B169" t="s">
        <v>104</v>
      </c>
      <c r="C169" t="s">
        <v>101</v>
      </c>
      <c r="D169" t="s">
        <v>10</v>
      </c>
      <c r="E169">
        <v>264.89999999999998</v>
      </c>
      <c r="F169" s="23"/>
      <c r="G169" s="192">
        <v>49218</v>
      </c>
      <c r="H169" s="181" t="s">
        <v>104</v>
      </c>
      <c r="I169" s="181" t="s">
        <v>101</v>
      </c>
      <c r="J169" s="181" t="s">
        <v>10</v>
      </c>
      <c r="K169" s="193">
        <v>314.81</v>
      </c>
      <c r="M169" s="183">
        <f t="shared" si="11"/>
        <v>48061</v>
      </c>
      <c r="N169" s="110">
        <f t="shared" si="13"/>
        <v>2270.4760000000001</v>
      </c>
      <c r="O169" s="111">
        <f t="shared" si="13"/>
        <v>498.59899999999999</v>
      </c>
      <c r="P169" s="190">
        <f t="shared" si="10"/>
        <v>2769.0750000000003</v>
      </c>
      <c r="R169" s="112">
        <f>SourceEnergy!B183</f>
        <v>48061</v>
      </c>
      <c r="S169" s="113">
        <v>60.285719999999998</v>
      </c>
      <c r="T169" s="114">
        <v>49.007770000000001</v>
      </c>
      <c r="U169" s="115">
        <f>IF(AND(Shape_Annually="Yes",Shape_Start&lt;=W162),W169,IF(ISNUMBER(SourceEnergy!$C183),SourceEnergy!$C183/(SourceEnergy!$G183*S169+SourceEnergy!$H183*T169),""))</f>
        <v>0.61841251274562559</v>
      </c>
      <c r="W169" s="116">
        <f>W167/W163</f>
        <v>0.61841251274562559</v>
      </c>
      <c r="X169" s="25" t="s">
        <v>86</v>
      </c>
    </row>
    <row r="170" spans="1:24" ht="15" customHeight="1" outlineLevel="1" x14ac:dyDescent="0.2">
      <c r="A170" s="206">
        <v>45597</v>
      </c>
      <c r="B170" t="s">
        <v>104</v>
      </c>
      <c r="C170" t="s">
        <v>101</v>
      </c>
      <c r="D170" t="s">
        <v>9</v>
      </c>
      <c r="E170">
        <v>1150.375</v>
      </c>
      <c r="F170" s="23"/>
      <c r="G170" s="192">
        <v>49249</v>
      </c>
      <c r="H170" s="181" t="s">
        <v>104</v>
      </c>
      <c r="I170" s="181" t="s">
        <v>101</v>
      </c>
      <c r="J170" s="181" t="s">
        <v>9</v>
      </c>
      <c r="K170" s="193">
        <v>1094.175</v>
      </c>
      <c r="M170" s="183">
        <f t="shared" si="11"/>
        <v>48092</v>
      </c>
      <c r="N170" s="110">
        <f t="shared" si="13"/>
        <v>2018.8</v>
      </c>
      <c r="O170" s="111">
        <f t="shared" si="13"/>
        <v>422.15</v>
      </c>
      <c r="P170" s="190">
        <f t="shared" si="10"/>
        <v>2440.9499999999998</v>
      </c>
      <c r="R170" s="112">
        <f>SourceEnergy!B184</f>
        <v>48092</v>
      </c>
      <c r="S170" s="113">
        <v>51.890360000000001</v>
      </c>
      <c r="T170" s="114">
        <v>44.276769999999999</v>
      </c>
      <c r="U170" s="115">
        <f>IF(AND(Shape_Annually="Yes",Shape_Start&lt;=W162),W169,IF(ISNUMBER(SourceEnergy!$C184),SourceEnergy!$C184/(SourceEnergy!$G184*S170+SourceEnergy!$H184*T170),""))</f>
        <v>0.61841251274562559</v>
      </c>
    </row>
    <row r="171" spans="1:24" ht="15" customHeight="1" outlineLevel="1" x14ac:dyDescent="0.2">
      <c r="A171" s="206">
        <v>45597</v>
      </c>
      <c r="B171" t="s">
        <v>104</v>
      </c>
      <c r="C171" t="s">
        <v>101</v>
      </c>
      <c r="D171" t="s">
        <v>10</v>
      </c>
      <c r="E171">
        <v>230.07499999999999</v>
      </c>
      <c r="F171" s="23"/>
      <c r="G171" s="192">
        <v>49249</v>
      </c>
      <c r="H171" s="181" t="s">
        <v>104</v>
      </c>
      <c r="I171" s="181" t="s">
        <v>101</v>
      </c>
      <c r="J171" s="181" t="s">
        <v>10</v>
      </c>
      <c r="K171" s="193">
        <v>218.83500000000001</v>
      </c>
      <c r="M171" s="183">
        <f t="shared" si="11"/>
        <v>48122</v>
      </c>
      <c r="N171" s="110">
        <f t="shared" si="13"/>
        <v>1723.194</v>
      </c>
      <c r="O171" s="111">
        <f t="shared" si="13"/>
        <v>255.75299999999999</v>
      </c>
      <c r="P171" s="190">
        <f t="shared" si="10"/>
        <v>1978.9469999999999</v>
      </c>
      <c r="R171" s="112">
        <f>SourceEnergy!B185</f>
        <v>48122</v>
      </c>
      <c r="S171" s="113">
        <v>49.048029999999997</v>
      </c>
      <c r="T171" s="114">
        <v>44.84299</v>
      </c>
      <c r="U171" s="115">
        <f>IF(AND(Shape_Annually="Yes",Shape_Start&lt;=W162),W169,IF(ISNUMBER(SourceEnergy!$C185),SourceEnergy!$C185/(SourceEnergy!$G185*S171+SourceEnergy!$H185*T171),""))</f>
        <v>0.61841251274562559</v>
      </c>
    </row>
    <row r="172" spans="1:24" ht="15" customHeight="1" outlineLevel="1" x14ac:dyDescent="0.2">
      <c r="A172" s="206">
        <v>45627</v>
      </c>
      <c r="B172" t="s">
        <v>104</v>
      </c>
      <c r="C172" t="s">
        <v>101</v>
      </c>
      <c r="D172" t="s">
        <v>9</v>
      </c>
      <c r="E172">
        <v>858.85</v>
      </c>
      <c r="F172" s="23"/>
      <c r="G172" s="192">
        <v>49279</v>
      </c>
      <c r="H172" s="181" t="s">
        <v>104</v>
      </c>
      <c r="I172" s="181" t="s">
        <v>101</v>
      </c>
      <c r="J172" s="181" t="s">
        <v>9</v>
      </c>
      <c r="K172" s="193">
        <v>816.875</v>
      </c>
      <c r="M172" s="183">
        <f t="shared" si="11"/>
        <v>48153</v>
      </c>
      <c r="N172" s="110">
        <f t="shared" si="13"/>
        <v>1066.3679999999999</v>
      </c>
      <c r="O172" s="111">
        <f t="shared" si="13"/>
        <v>266.59199999999998</v>
      </c>
      <c r="P172" s="190">
        <f t="shared" si="10"/>
        <v>1332.96</v>
      </c>
      <c r="R172" s="112">
        <f>SourceEnergy!B186</f>
        <v>48153</v>
      </c>
      <c r="S172" s="113">
        <v>50.35125</v>
      </c>
      <c r="T172" s="114">
        <v>46.541530000000002</v>
      </c>
      <c r="U172" s="115">
        <f>IF(AND(Shape_Annually="Yes",Shape_Start&lt;=W162),W169,IF(ISNUMBER(SourceEnergy!$C186),SourceEnergy!$C186/(SourceEnergy!$G186*S172+SourceEnergy!$H186*T172),""))</f>
        <v>0.61841251274562559</v>
      </c>
    </row>
    <row r="173" spans="1:24" ht="15" customHeight="1" outlineLevel="1" x14ac:dyDescent="0.2">
      <c r="A173" s="206">
        <v>45627</v>
      </c>
      <c r="B173" t="s">
        <v>104</v>
      </c>
      <c r="C173" t="s">
        <v>101</v>
      </c>
      <c r="D173" t="s">
        <v>10</v>
      </c>
      <c r="E173">
        <v>206.124</v>
      </c>
      <c r="F173" s="23"/>
      <c r="G173" s="192">
        <v>49279</v>
      </c>
      <c r="H173" s="181" t="s">
        <v>104</v>
      </c>
      <c r="I173" s="181" t="s">
        <v>101</v>
      </c>
      <c r="J173" s="181" t="s">
        <v>10</v>
      </c>
      <c r="K173" s="193">
        <v>196.05</v>
      </c>
      <c r="M173" s="184">
        <f t="shared" si="11"/>
        <v>48183</v>
      </c>
      <c r="N173" s="117">
        <f t="shared" si="13"/>
        <v>862.42</v>
      </c>
      <c r="O173" s="118">
        <f t="shared" si="13"/>
        <v>165.85</v>
      </c>
      <c r="P173" s="191">
        <f t="shared" si="10"/>
        <v>1028.27</v>
      </c>
      <c r="R173" s="119">
        <f>SourceEnergy!B187</f>
        <v>48183</v>
      </c>
      <c r="S173" s="120">
        <v>52.935929999999999</v>
      </c>
      <c r="T173" s="121">
        <v>49.907730000000001</v>
      </c>
      <c r="U173" s="122">
        <f>IF(AND(Shape_Annually="Yes",Shape_Start&lt;=W162),W169,IF(ISNUMBER(SourceEnergy!$C187),SourceEnergy!$C187/(SourceEnergy!$G187*S173+SourceEnergy!$H187*T173),""))</f>
        <v>0.61841251274562559</v>
      </c>
    </row>
    <row r="174" spans="1:24" ht="15" customHeight="1" outlineLevel="1" x14ac:dyDescent="0.2">
      <c r="A174" s="206">
        <v>45658</v>
      </c>
      <c r="B174" t="s">
        <v>104</v>
      </c>
      <c r="C174" t="s">
        <v>101</v>
      </c>
      <c r="D174" t="s">
        <v>9</v>
      </c>
      <c r="E174">
        <v>1066.3119999999999</v>
      </c>
      <c r="F174" s="23"/>
      <c r="G174" s="192">
        <v>49310</v>
      </c>
      <c r="H174" s="181" t="s">
        <v>104</v>
      </c>
      <c r="I174" s="181" t="s">
        <v>101</v>
      </c>
      <c r="J174" s="181" t="s">
        <v>9</v>
      </c>
      <c r="K174" s="193">
        <v>1014.182</v>
      </c>
      <c r="M174" s="185">
        <f t="shared" si="11"/>
        <v>48214</v>
      </c>
      <c r="N174" s="102">
        <f t="shared" si="13"/>
        <v>1029.548</v>
      </c>
      <c r="O174" s="103">
        <f t="shared" si="13"/>
        <v>197.99</v>
      </c>
      <c r="P174" s="189">
        <f t="shared" si="10"/>
        <v>1227.538</v>
      </c>
      <c r="R174" s="104">
        <f>SourceEnergy!B188</f>
        <v>48214</v>
      </c>
      <c r="S174" s="105">
        <v>53.575389999999999</v>
      </c>
      <c r="T174" s="106">
        <v>50.693280000000001</v>
      </c>
      <c r="U174" s="107">
        <f>IF(AND(Shape_Annually="Yes",Shape_Start&lt;=W174),W181,IF(ISNUMBER(SourceEnergy!$C188),SourceEnergy!$C188/(SourceEnergy!$G188*S174+SourceEnergy!$H188*T174),""))</f>
        <v>0.6314173085993261</v>
      </c>
      <c r="W174" s="108">
        <f>YEAR(M174)</f>
        <v>2032</v>
      </c>
      <c r="X174" s="109"/>
    </row>
    <row r="175" spans="1:24" ht="15" customHeight="1" outlineLevel="1" x14ac:dyDescent="0.2">
      <c r="A175" s="206">
        <v>45658</v>
      </c>
      <c r="B175" t="s">
        <v>104</v>
      </c>
      <c r="C175" t="s">
        <v>101</v>
      </c>
      <c r="D175" t="s">
        <v>10</v>
      </c>
      <c r="E175">
        <v>205.06</v>
      </c>
      <c r="F175" s="23"/>
      <c r="G175" s="192">
        <v>49310</v>
      </c>
      <c r="H175" s="181" t="s">
        <v>104</v>
      </c>
      <c r="I175" s="181" t="s">
        <v>101</v>
      </c>
      <c r="J175" s="181" t="s">
        <v>10</v>
      </c>
      <c r="K175" s="193">
        <v>195.035</v>
      </c>
      <c r="M175" s="183">
        <f t="shared" si="11"/>
        <v>48245</v>
      </c>
      <c r="N175" s="110">
        <f t="shared" si="13"/>
        <v>1177.56</v>
      </c>
      <c r="O175" s="111">
        <f t="shared" si="13"/>
        <v>245.32499999999999</v>
      </c>
      <c r="P175" s="190">
        <f t="shared" si="10"/>
        <v>1422.885</v>
      </c>
      <c r="R175" s="112">
        <f>SourceEnergy!B189</f>
        <v>48245</v>
      </c>
      <c r="S175" s="113">
        <v>53.039700000000003</v>
      </c>
      <c r="T175" s="114">
        <v>49.49597</v>
      </c>
      <c r="U175" s="115">
        <f>IF(AND(Shape_Annually="Yes",Shape_Start&lt;=W174),W181,IF(ISNUMBER(SourceEnergy!$C189),SourceEnergy!$C189/(SourceEnergy!$G189*S175+SourceEnergy!$H189*T175),""))</f>
        <v>0.6314173085993261</v>
      </c>
      <c r="W175" s="25">
        <f>SUMPRODUCT(N174:N185,S174:S185)+SUMPRODUCT(O174:O185,T174:T185)</f>
        <v>1275140.7169562702</v>
      </c>
      <c r="X175" s="25" t="s">
        <v>82</v>
      </c>
    </row>
    <row r="176" spans="1:24" ht="15" customHeight="1" outlineLevel="1" x14ac:dyDescent="0.2">
      <c r="A176" s="206">
        <v>45689</v>
      </c>
      <c r="B176" t="s">
        <v>104</v>
      </c>
      <c r="C176" t="s">
        <v>101</v>
      </c>
      <c r="D176" t="s">
        <v>9</v>
      </c>
      <c r="E176">
        <v>1219.6079999999999</v>
      </c>
      <c r="F176" s="23"/>
      <c r="G176" s="192">
        <v>49341</v>
      </c>
      <c r="H176" s="181" t="s">
        <v>104</v>
      </c>
      <c r="I176" s="181" t="s">
        <v>101</v>
      </c>
      <c r="J176" s="181" t="s">
        <v>9</v>
      </c>
      <c r="K176" s="193">
        <v>1159.9680000000001</v>
      </c>
      <c r="M176" s="183">
        <f t="shared" si="11"/>
        <v>48274</v>
      </c>
      <c r="N176" s="110">
        <f t="shared" si="13"/>
        <v>1862.8109999999999</v>
      </c>
      <c r="O176" s="111">
        <f t="shared" si="13"/>
        <v>276.80900000000003</v>
      </c>
      <c r="P176" s="190">
        <f t="shared" si="10"/>
        <v>2139.62</v>
      </c>
      <c r="R176" s="112">
        <f>SourceEnergy!B190</f>
        <v>48274</v>
      </c>
      <c r="S176" s="113">
        <v>46.425750000000001</v>
      </c>
      <c r="T176" s="114">
        <v>45.415950000000002</v>
      </c>
      <c r="U176" s="115">
        <f>IF(AND(Shape_Annually="Yes",Shape_Start&lt;=W174),W181,IF(ISNUMBER(SourceEnergy!$C190),SourceEnergy!$C190/(SourceEnergy!$G190*S176+SourceEnergy!$H190*T176),""))</f>
        <v>0.6314173085993261</v>
      </c>
    </row>
    <row r="177" spans="1:24" ht="15" customHeight="1" outlineLevel="1" x14ac:dyDescent="0.2">
      <c r="A177" s="206">
        <v>45689</v>
      </c>
      <c r="B177" t="s">
        <v>104</v>
      </c>
      <c r="C177" t="s">
        <v>101</v>
      </c>
      <c r="D177" t="s">
        <v>10</v>
      </c>
      <c r="E177">
        <v>203.268</v>
      </c>
      <c r="F177" s="23"/>
      <c r="G177" s="192">
        <v>49341</v>
      </c>
      <c r="H177" s="181" t="s">
        <v>104</v>
      </c>
      <c r="I177" s="181" t="s">
        <v>101</v>
      </c>
      <c r="J177" s="181" t="s">
        <v>10</v>
      </c>
      <c r="K177" s="193">
        <v>193.328</v>
      </c>
      <c r="M177" s="183">
        <f t="shared" si="11"/>
        <v>48305</v>
      </c>
      <c r="N177" s="110">
        <f t="shared" si="13"/>
        <v>2104.1799999999998</v>
      </c>
      <c r="O177" s="111">
        <f t="shared" si="13"/>
        <v>367.1</v>
      </c>
      <c r="P177" s="190">
        <f t="shared" si="10"/>
        <v>2471.2799999999997</v>
      </c>
      <c r="R177" s="112">
        <f>SourceEnergy!B191</f>
        <v>48305</v>
      </c>
      <c r="S177" s="113">
        <v>41.721200000000003</v>
      </c>
      <c r="T177" s="114">
        <v>38.256239999999998</v>
      </c>
      <c r="U177" s="115">
        <f>IF(AND(Shape_Annually="Yes",Shape_Start&lt;=W174),W181,IF(ISNUMBER(SourceEnergy!$C191),SourceEnergy!$C191/(SourceEnergy!$G191*S177+SourceEnergy!$H191*T177),""))</f>
        <v>0.6314173085993261</v>
      </c>
      <c r="W177" s="25">
        <f>VLOOKUP(W174,'[1]Table 5'!$L$23:$N$43,2,FALSE)</f>
        <v>805145.91958594322</v>
      </c>
      <c r="X177" s="25" t="s">
        <v>83</v>
      </c>
    </row>
    <row r="178" spans="1:24" ht="15" customHeight="1" outlineLevel="1" x14ac:dyDescent="0.2">
      <c r="A178" s="206">
        <v>45717</v>
      </c>
      <c r="B178" t="s">
        <v>104</v>
      </c>
      <c r="C178" t="s">
        <v>101</v>
      </c>
      <c r="D178" t="s">
        <v>9</v>
      </c>
      <c r="E178">
        <v>1857.9079999999999</v>
      </c>
      <c r="F178" s="23"/>
      <c r="G178" s="192">
        <v>49369</v>
      </c>
      <c r="H178" s="181" t="s">
        <v>104</v>
      </c>
      <c r="I178" s="181" t="s">
        <v>101</v>
      </c>
      <c r="J178" s="181" t="s">
        <v>9</v>
      </c>
      <c r="K178" s="193">
        <v>1835.001</v>
      </c>
      <c r="M178" s="183">
        <f t="shared" si="11"/>
        <v>48335</v>
      </c>
      <c r="N178" s="110">
        <f t="shared" si="13"/>
        <v>2189.8249999999998</v>
      </c>
      <c r="O178" s="111">
        <f t="shared" si="13"/>
        <v>670.79300000000001</v>
      </c>
      <c r="P178" s="190">
        <f t="shared" si="10"/>
        <v>2860.6179999999999</v>
      </c>
      <c r="R178" s="112">
        <f>SourceEnergy!B192</f>
        <v>48335</v>
      </c>
      <c r="S178" s="113">
        <v>41.947040000000001</v>
      </c>
      <c r="T178" s="114">
        <v>38.491059999999997</v>
      </c>
      <c r="U178" s="115">
        <f>IF(AND(Shape_Annually="Yes",Shape_Start&lt;=W174),W181,IF(ISNUMBER(SourceEnergy!$C192),SourceEnergy!$C192/(SourceEnergy!$G192*S178+SourceEnergy!$H192*T178),""))</f>
        <v>0.6314173085993261</v>
      </c>
      <c r="W178" s="25">
        <f>VLOOKUP(W174,'[1]Table 5'!$L$23:$N$43,3,FALSE)</f>
        <v>0</v>
      </c>
      <c r="X178" s="25" t="s">
        <v>84</v>
      </c>
    </row>
    <row r="179" spans="1:24" ht="15" customHeight="1" outlineLevel="1" x14ac:dyDescent="0.2">
      <c r="A179" s="206">
        <v>45717</v>
      </c>
      <c r="B179" t="s">
        <v>104</v>
      </c>
      <c r="C179" t="s">
        <v>101</v>
      </c>
      <c r="D179" t="s">
        <v>10</v>
      </c>
      <c r="E179">
        <v>358.15800000000002</v>
      </c>
      <c r="F179" s="23"/>
      <c r="G179" s="192">
        <v>49369</v>
      </c>
      <c r="H179" s="181" t="s">
        <v>104</v>
      </c>
      <c r="I179" s="181" t="s">
        <v>101</v>
      </c>
      <c r="J179" s="181" t="s">
        <v>10</v>
      </c>
      <c r="K179" s="193">
        <v>272.65800000000002</v>
      </c>
      <c r="M179" s="183">
        <f t="shared" si="11"/>
        <v>48366</v>
      </c>
      <c r="N179" s="110">
        <f t="shared" si="13"/>
        <v>2482.7919999999999</v>
      </c>
      <c r="O179" s="111">
        <f t="shared" si="13"/>
        <v>556.298</v>
      </c>
      <c r="P179" s="190">
        <f t="shared" si="10"/>
        <v>3039.09</v>
      </c>
      <c r="R179" s="112">
        <f>SourceEnergy!B193</f>
        <v>48366</v>
      </c>
      <c r="S179" s="113">
        <v>44.057830000000003</v>
      </c>
      <c r="T179" s="114">
        <v>39.57779</v>
      </c>
      <c r="U179" s="115">
        <f>IF(AND(Shape_Annually="Yes",Shape_Start&lt;=W174),W181,IF(ISNUMBER(SourceEnergy!$C193),SourceEnergy!$C193/(SourceEnergy!$G193*S179+SourceEnergy!$H193*T179),""))</f>
        <v>0.6314173085993261</v>
      </c>
      <c r="W179" s="25">
        <f>W177+W178</f>
        <v>805145.91958594322</v>
      </c>
      <c r="X179" s="25" t="s">
        <v>85</v>
      </c>
    </row>
    <row r="180" spans="1:24" ht="15" customHeight="1" outlineLevel="1" x14ac:dyDescent="0.2">
      <c r="A180" s="206">
        <v>45748</v>
      </c>
      <c r="B180" t="s">
        <v>104</v>
      </c>
      <c r="C180" t="s">
        <v>101</v>
      </c>
      <c r="D180" t="s">
        <v>9</v>
      </c>
      <c r="E180">
        <v>2179.268</v>
      </c>
      <c r="F180" s="23"/>
      <c r="G180" s="192">
        <v>49400</v>
      </c>
      <c r="H180" s="181" t="s">
        <v>104</v>
      </c>
      <c r="I180" s="181" t="s">
        <v>101</v>
      </c>
      <c r="J180" s="181" t="s">
        <v>9</v>
      </c>
      <c r="K180" s="193">
        <v>1993.0250000000001</v>
      </c>
      <c r="M180" s="183">
        <f t="shared" si="11"/>
        <v>48396</v>
      </c>
      <c r="N180" s="110">
        <f t="shared" si="13"/>
        <v>2204.8780000000002</v>
      </c>
      <c r="O180" s="111">
        <f t="shared" si="13"/>
        <v>545.87599999999998</v>
      </c>
      <c r="P180" s="190">
        <f t="shared" si="10"/>
        <v>2750.7539999999999</v>
      </c>
      <c r="R180" s="112">
        <f>SourceEnergy!B194</f>
        <v>48396</v>
      </c>
      <c r="S180" s="113">
        <v>59.566220000000001</v>
      </c>
      <c r="T180" s="114">
        <v>48.734549999999999</v>
      </c>
      <c r="U180" s="115">
        <f>IF(AND(Shape_Annually="Yes",Shape_Start&lt;=W174),W181,IF(ISNUMBER(SourceEnergy!$C194),SourceEnergy!$C194/(SourceEnergy!$G194*S180+SourceEnergy!$H194*T180),""))</f>
        <v>0.6314173085993261</v>
      </c>
    </row>
    <row r="181" spans="1:24" ht="15" customHeight="1" outlineLevel="1" x14ac:dyDescent="0.2">
      <c r="A181" s="206">
        <v>45748</v>
      </c>
      <c r="B181" t="s">
        <v>104</v>
      </c>
      <c r="C181" t="s">
        <v>101</v>
      </c>
      <c r="D181" t="s">
        <v>10</v>
      </c>
      <c r="E181">
        <v>380.21199999999999</v>
      </c>
      <c r="F181" s="23"/>
      <c r="G181" s="192">
        <v>49400</v>
      </c>
      <c r="H181" s="181" t="s">
        <v>104</v>
      </c>
      <c r="I181" s="181" t="s">
        <v>101</v>
      </c>
      <c r="J181" s="181" t="s">
        <v>10</v>
      </c>
      <c r="K181" s="193">
        <v>441.35500000000002</v>
      </c>
      <c r="M181" s="183">
        <f t="shared" si="11"/>
        <v>48427</v>
      </c>
      <c r="N181" s="110">
        <f t="shared" si="13"/>
        <v>2259.1660000000002</v>
      </c>
      <c r="O181" s="111">
        <f t="shared" si="13"/>
        <v>496.11399999999998</v>
      </c>
      <c r="P181" s="190">
        <f t="shared" si="10"/>
        <v>2755.28</v>
      </c>
      <c r="R181" s="112">
        <f>SourceEnergy!B195</f>
        <v>48427</v>
      </c>
      <c r="S181" s="113">
        <v>63.368549999999999</v>
      </c>
      <c r="T181" s="114">
        <v>51.703029999999998</v>
      </c>
      <c r="U181" s="115">
        <f>IF(AND(Shape_Annually="Yes",Shape_Start&lt;=W174),W181,IF(ISNUMBER(SourceEnergy!$C195),SourceEnergy!$C195/(SourceEnergy!$G195*S181+SourceEnergy!$H195*T181),""))</f>
        <v>0.6314173085993261</v>
      </c>
      <c r="W181" s="116">
        <f>W179/W175</f>
        <v>0.6314173085993261</v>
      </c>
      <c r="X181" s="25" t="s">
        <v>86</v>
      </c>
    </row>
    <row r="182" spans="1:24" ht="15" customHeight="1" outlineLevel="1" x14ac:dyDescent="0.2">
      <c r="A182" s="206">
        <v>45778</v>
      </c>
      <c r="B182" t="s">
        <v>104</v>
      </c>
      <c r="C182" t="s">
        <v>101</v>
      </c>
      <c r="D182" t="s">
        <v>9</v>
      </c>
      <c r="E182">
        <v>2358.7719999999999</v>
      </c>
      <c r="F182" s="23"/>
      <c r="G182" s="192">
        <v>49430</v>
      </c>
      <c r="H182" s="181" t="s">
        <v>104</v>
      </c>
      <c r="I182" s="181" t="s">
        <v>101</v>
      </c>
      <c r="J182" s="181" t="s">
        <v>9</v>
      </c>
      <c r="K182" s="193">
        <v>2243.4879999999998</v>
      </c>
      <c r="M182" s="183">
        <f t="shared" si="11"/>
        <v>48458</v>
      </c>
      <c r="N182" s="110">
        <f t="shared" si="13"/>
        <v>2008.675</v>
      </c>
      <c r="O182" s="111">
        <f t="shared" si="13"/>
        <v>420.03500000000003</v>
      </c>
      <c r="P182" s="190">
        <f t="shared" si="10"/>
        <v>2428.71</v>
      </c>
      <c r="R182" s="112">
        <f>SourceEnergy!B196</f>
        <v>48458</v>
      </c>
      <c r="S182" s="113">
        <v>54.521529999999998</v>
      </c>
      <c r="T182" s="114">
        <v>47.347900000000003</v>
      </c>
      <c r="U182" s="115">
        <f>IF(AND(Shape_Annually="Yes",Shape_Start&lt;=W174),W181,IF(ISNUMBER(SourceEnergy!$C196),SourceEnergy!$C196/(SourceEnergy!$G196*S182+SourceEnergy!$H196*T182),""))</f>
        <v>0.6314173085993261</v>
      </c>
    </row>
    <row r="183" spans="1:24" ht="15" customHeight="1" outlineLevel="1" x14ac:dyDescent="0.2">
      <c r="A183" s="206">
        <v>45778</v>
      </c>
      <c r="B183" t="s">
        <v>104</v>
      </c>
      <c r="C183" t="s">
        <v>101</v>
      </c>
      <c r="D183" t="s">
        <v>10</v>
      </c>
      <c r="E183">
        <v>604.02200000000005</v>
      </c>
      <c r="F183" s="23"/>
      <c r="G183" s="192">
        <v>49430</v>
      </c>
      <c r="H183" s="181" t="s">
        <v>104</v>
      </c>
      <c r="I183" s="181" t="s">
        <v>101</v>
      </c>
      <c r="J183" s="181" t="s">
        <v>10</v>
      </c>
      <c r="K183" s="193">
        <v>574.505</v>
      </c>
      <c r="M183" s="183">
        <f t="shared" si="11"/>
        <v>48488</v>
      </c>
      <c r="N183" s="110">
        <f t="shared" si="13"/>
        <v>1651.104</v>
      </c>
      <c r="O183" s="111">
        <f t="shared" si="13"/>
        <v>317.98500000000001</v>
      </c>
      <c r="P183" s="190">
        <f t="shared" si="10"/>
        <v>1969.0889999999999</v>
      </c>
      <c r="R183" s="112">
        <f>SourceEnergy!B197</f>
        <v>48488</v>
      </c>
      <c r="S183" s="113">
        <v>53.553289999999997</v>
      </c>
      <c r="T183" s="114">
        <v>48.511569999999999</v>
      </c>
      <c r="U183" s="115">
        <f>IF(AND(Shape_Annually="Yes",Shape_Start&lt;=W174),W181,IF(ISNUMBER(SourceEnergy!$C197),SourceEnergy!$C197/(SourceEnergy!$G197*S183+SourceEnergy!$H197*T183),""))</f>
        <v>0.6314173085993261</v>
      </c>
    </row>
    <row r="184" spans="1:24" ht="15" customHeight="1" outlineLevel="1" x14ac:dyDescent="0.2">
      <c r="A184" s="206">
        <v>45809</v>
      </c>
      <c r="B184" t="s">
        <v>104</v>
      </c>
      <c r="C184" t="s">
        <v>101</v>
      </c>
      <c r="D184" t="s">
        <v>9</v>
      </c>
      <c r="E184">
        <v>2472.5250000000001</v>
      </c>
      <c r="F184" s="23"/>
      <c r="G184" s="192">
        <v>49461</v>
      </c>
      <c r="H184" s="181" t="s">
        <v>104</v>
      </c>
      <c r="I184" s="181" t="s">
        <v>101</v>
      </c>
      <c r="J184" s="181" t="s">
        <v>9</v>
      </c>
      <c r="K184" s="193">
        <v>2445.7420000000002</v>
      </c>
      <c r="M184" s="183">
        <f t="shared" si="11"/>
        <v>48519</v>
      </c>
      <c r="N184" s="110">
        <f t="shared" si="13"/>
        <v>1105.2249999999999</v>
      </c>
      <c r="O184" s="111">
        <f t="shared" si="13"/>
        <v>221.04499999999999</v>
      </c>
      <c r="P184" s="190">
        <f t="shared" si="10"/>
        <v>1326.27</v>
      </c>
      <c r="R184" s="112">
        <f>SourceEnergy!B198</f>
        <v>48519</v>
      </c>
      <c r="S184" s="113">
        <v>53.008200000000002</v>
      </c>
      <c r="T184" s="114">
        <v>48.796390000000002</v>
      </c>
      <c r="U184" s="115">
        <f>IF(AND(Shape_Annually="Yes",Shape_Start&lt;=W174),W181,IF(ISNUMBER(SourceEnergy!$C198),SourceEnergy!$C198/(SourceEnergy!$G198*S184+SourceEnergy!$H198*T184),""))</f>
        <v>0.6314173085993261</v>
      </c>
    </row>
    <row r="185" spans="1:24" ht="15" customHeight="1" outlineLevel="1" x14ac:dyDescent="0.2">
      <c r="A185" s="206">
        <v>45809</v>
      </c>
      <c r="B185" t="s">
        <v>104</v>
      </c>
      <c r="C185" t="s">
        <v>101</v>
      </c>
      <c r="D185" t="s">
        <v>10</v>
      </c>
      <c r="E185">
        <v>675.10500000000002</v>
      </c>
      <c r="F185" s="23"/>
      <c r="G185" s="192">
        <v>49461</v>
      </c>
      <c r="H185" s="181" t="s">
        <v>104</v>
      </c>
      <c r="I185" s="181" t="s">
        <v>101</v>
      </c>
      <c r="J185" s="181" t="s">
        <v>10</v>
      </c>
      <c r="K185" s="193">
        <v>548.01800000000003</v>
      </c>
      <c r="M185" s="184">
        <f t="shared" si="11"/>
        <v>48549</v>
      </c>
      <c r="N185" s="117">
        <f t="shared" si="13"/>
        <v>858.13</v>
      </c>
      <c r="O185" s="118">
        <f t="shared" si="13"/>
        <v>165.02500000000001</v>
      </c>
      <c r="P185" s="191">
        <f t="shared" si="10"/>
        <v>1023.155</v>
      </c>
      <c r="R185" s="119">
        <f>SourceEnergy!B199</f>
        <v>48549</v>
      </c>
      <c r="S185" s="120">
        <v>55.16957</v>
      </c>
      <c r="T185" s="121">
        <v>52.491950000000003</v>
      </c>
      <c r="U185" s="122">
        <f>IF(AND(Shape_Annually="Yes",Shape_Start&lt;=W174),W181,IF(ISNUMBER(SourceEnergy!$C199),SourceEnergy!$C199/(SourceEnergy!$G199*S185+SourceEnergy!$H199*T185),""))</f>
        <v>0.6314173085993261</v>
      </c>
    </row>
    <row r="186" spans="1:24" ht="15" customHeight="1" outlineLevel="1" x14ac:dyDescent="0.2">
      <c r="A186" s="206">
        <v>45839</v>
      </c>
      <c r="B186" t="s">
        <v>104</v>
      </c>
      <c r="C186" t="s">
        <v>101</v>
      </c>
      <c r="D186" t="s">
        <v>9</v>
      </c>
      <c r="E186">
        <v>2283.6320000000001</v>
      </c>
      <c r="F186" s="23"/>
      <c r="G186" s="192">
        <v>49491</v>
      </c>
      <c r="H186" s="181" t="s">
        <v>104</v>
      </c>
      <c r="I186" s="181" t="s">
        <v>101</v>
      </c>
      <c r="J186" s="181" t="s">
        <v>9</v>
      </c>
      <c r="K186" s="193">
        <v>2088.4749999999999</v>
      </c>
      <c r="M186" s="185">
        <f t="shared" si="11"/>
        <v>48580</v>
      </c>
      <c r="N186" s="102">
        <f t="shared" ref="N186:O205" si="14">SUMIFS($K$6:$K$245,$G$6:$G$245,$M186,$J$6:$J$245,N$5)</f>
        <v>985</v>
      </c>
      <c r="O186" s="103">
        <f t="shared" si="14"/>
        <v>236.4</v>
      </c>
      <c r="P186" s="189">
        <f t="shared" si="10"/>
        <v>1221.4000000000001</v>
      </c>
      <c r="R186" s="104">
        <f>SourceEnergy!B200</f>
        <v>48580</v>
      </c>
      <c r="S186" s="105">
        <v>55.890500000000003</v>
      </c>
      <c r="T186" s="106">
        <v>53.227910000000001</v>
      </c>
      <c r="U186" s="107">
        <f>IF(AND(Shape_Annually="Yes",Shape_Start&lt;=W186),W193,IF(ISNUMBER(SourceEnergy!$C200),SourceEnergy!$C200/(SourceEnergy!$G200*S186+SourceEnergy!$H200*T186),""))</f>
        <v>0.73629918263641014</v>
      </c>
      <c r="W186" s="108">
        <f>YEAR(M186)</f>
        <v>2033</v>
      </c>
      <c r="X186" s="109"/>
    </row>
    <row r="187" spans="1:24" ht="15" customHeight="1" outlineLevel="1" x14ac:dyDescent="0.2">
      <c r="A187" s="206">
        <v>45839</v>
      </c>
      <c r="B187" t="s">
        <v>104</v>
      </c>
      <c r="C187" t="s">
        <v>101</v>
      </c>
      <c r="D187" t="s">
        <v>10</v>
      </c>
      <c r="E187">
        <v>565.39200000000005</v>
      </c>
      <c r="F187" s="23"/>
      <c r="G187" s="192">
        <v>49491</v>
      </c>
      <c r="H187" s="181" t="s">
        <v>104</v>
      </c>
      <c r="I187" s="181" t="s">
        <v>101</v>
      </c>
      <c r="J187" s="181" t="s">
        <v>10</v>
      </c>
      <c r="K187" s="193">
        <v>621.26599999999996</v>
      </c>
      <c r="M187" s="183">
        <f t="shared" si="11"/>
        <v>48611</v>
      </c>
      <c r="N187" s="110">
        <f t="shared" si="14"/>
        <v>1171.68</v>
      </c>
      <c r="O187" s="111">
        <f t="shared" si="14"/>
        <v>195.28</v>
      </c>
      <c r="P187" s="190">
        <f t="shared" si="10"/>
        <v>1366.96</v>
      </c>
      <c r="R187" s="112">
        <f>SourceEnergy!B201</f>
        <v>48611</v>
      </c>
      <c r="S187" s="113">
        <v>56.756239999999998</v>
      </c>
      <c r="T187" s="114">
        <v>53.236040000000003</v>
      </c>
      <c r="U187" s="115">
        <f>IF(AND(Shape_Annually="Yes",Shape_Start&lt;=W186),W193,IF(ISNUMBER(SourceEnergy!$C201),SourceEnergy!$C201/(SourceEnergy!$G201*S187+SourceEnergy!$H201*T187),""))</f>
        <v>0.73629918263641014</v>
      </c>
      <c r="W187" s="25">
        <f>SUMPRODUCT(N186:N197,S186:S197)+SUMPRODUCT(O186:O197,T186:T197)</f>
        <v>1338710.2188305499</v>
      </c>
      <c r="X187" s="25" t="s">
        <v>82</v>
      </c>
    </row>
    <row r="188" spans="1:24" ht="15" customHeight="1" outlineLevel="1" x14ac:dyDescent="0.2">
      <c r="A188" s="206">
        <v>45870</v>
      </c>
      <c r="B188" t="s">
        <v>104</v>
      </c>
      <c r="C188" t="s">
        <v>101</v>
      </c>
      <c r="D188" t="s">
        <v>9</v>
      </c>
      <c r="E188">
        <v>2339.87</v>
      </c>
      <c r="F188" s="23"/>
      <c r="G188" s="192">
        <v>49522</v>
      </c>
      <c r="H188" s="181" t="s">
        <v>104</v>
      </c>
      <c r="I188" s="181" t="s">
        <v>101</v>
      </c>
      <c r="J188" s="181" t="s">
        <v>9</v>
      </c>
      <c r="K188" s="193">
        <v>2311.038</v>
      </c>
      <c r="M188" s="183">
        <f t="shared" si="11"/>
        <v>48639</v>
      </c>
      <c r="N188" s="110">
        <f t="shared" si="14"/>
        <v>1853.4960000000001</v>
      </c>
      <c r="O188" s="111">
        <f t="shared" si="14"/>
        <v>275.42899999999997</v>
      </c>
      <c r="P188" s="190">
        <f t="shared" si="10"/>
        <v>2128.9250000000002</v>
      </c>
      <c r="R188" s="112">
        <f>SourceEnergy!B202</f>
        <v>48639</v>
      </c>
      <c r="S188" s="113">
        <v>48.696150000000003</v>
      </c>
      <c r="T188" s="114">
        <v>47.81861</v>
      </c>
      <c r="U188" s="115">
        <f>IF(AND(Shape_Annually="Yes",Shape_Start&lt;=W186),W193,IF(ISNUMBER(SourceEnergy!$C202),SourceEnergy!$C202/(SourceEnergy!$G202*S188+SourceEnergy!$H202*T188),""))</f>
        <v>0.73629918263641014</v>
      </c>
    </row>
    <row r="189" spans="1:24" ht="15" customHeight="1" outlineLevel="1" x14ac:dyDescent="0.2">
      <c r="A189" s="206">
        <v>45870</v>
      </c>
      <c r="B189" t="s">
        <v>104</v>
      </c>
      <c r="C189" t="s">
        <v>101</v>
      </c>
      <c r="D189" t="s">
        <v>10</v>
      </c>
      <c r="E189">
        <v>513.83500000000004</v>
      </c>
      <c r="F189" s="23"/>
      <c r="G189" s="192">
        <v>49522</v>
      </c>
      <c r="H189" s="181" t="s">
        <v>104</v>
      </c>
      <c r="I189" s="181" t="s">
        <v>101</v>
      </c>
      <c r="J189" s="181" t="s">
        <v>10</v>
      </c>
      <c r="K189" s="193">
        <v>403.10500000000002</v>
      </c>
      <c r="M189" s="183">
        <f t="shared" si="11"/>
        <v>48670</v>
      </c>
      <c r="N189" s="110">
        <f t="shared" si="14"/>
        <v>2093.6239999999998</v>
      </c>
      <c r="O189" s="111">
        <f t="shared" si="14"/>
        <v>365.26600000000002</v>
      </c>
      <c r="P189" s="190">
        <f t="shared" si="10"/>
        <v>2458.89</v>
      </c>
      <c r="R189" s="112">
        <f>SourceEnergy!B203</f>
        <v>48670</v>
      </c>
      <c r="S189" s="113">
        <v>43.533070000000002</v>
      </c>
      <c r="T189" s="114">
        <v>40.983040000000003</v>
      </c>
      <c r="U189" s="115">
        <f>IF(AND(Shape_Annually="Yes",Shape_Start&lt;=W186),W193,IF(ISNUMBER(SourceEnergy!$C203),SourceEnergy!$C203/(SourceEnergy!$G203*S189+SourceEnergy!$H203*T189),""))</f>
        <v>0.73629918263641014</v>
      </c>
      <c r="W189" s="25">
        <f>VLOOKUP(W186,'[1]Table 5'!$L$23:$N$43,2,FALSE)</f>
        <v>985691.23991194367</v>
      </c>
      <c r="X189" s="25" t="s">
        <v>83</v>
      </c>
    </row>
    <row r="190" spans="1:24" ht="15" customHeight="1" outlineLevel="1" x14ac:dyDescent="0.2">
      <c r="A190" s="206">
        <v>45901</v>
      </c>
      <c r="B190" t="s">
        <v>104</v>
      </c>
      <c r="C190" t="s">
        <v>101</v>
      </c>
      <c r="D190" t="s">
        <v>9</v>
      </c>
      <c r="E190">
        <v>2080.4250000000002</v>
      </c>
      <c r="F190" s="23"/>
      <c r="G190" s="192">
        <v>49553</v>
      </c>
      <c r="H190" s="181" t="s">
        <v>104</v>
      </c>
      <c r="I190" s="181" t="s">
        <v>101</v>
      </c>
      <c r="J190" s="181" t="s">
        <v>9</v>
      </c>
      <c r="K190" s="193">
        <v>1899.6</v>
      </c>
      <c r="M190" s="183">
        <f t="shared" si="11"/>
        <v>48700</v>
      </c>
      <c r="N190" s="110">
        <f t="shared" si="14"/>
        <v>2178.9250000000002</v>
      </c>
      <c r="O190" s="111">
        <f t="shared" si="14"/>
        <v>667.46400000000006</v>
      </c>
      <c r="P190" s="190">
        <f t="shared" si="10"/>
        <v>2846.3890000000001</v>
      </c>
      <c r="R190" s="112">
        <f>SourceEnergy!B204</f>
        <v>48700</v>
      </c>
      <c r="S190" s="113">
        <v>45.391469999999998</v>
      </c>
      <c r="T190" s="114">
        <v>41.772190000000002</v>
      </c>
      <c r="U190" s="115">
        <f>IF(AND(Shape_Annually="Yes",Shape_Start&lt;=W186),W193,IF(ISNUMBER(SourceEnergy!$C204),SourceEnergy!$C204/(SourceEnergy!$G204*S190+SourceEnergy!$H204*T190),""))</f>
        <v>0.73629918263641014</v>
      </c>
      <c r="W190" s="25">
        <f>VLOOKUP(W186,'[1]Table 5'!$L$23:$N$43,3,FALSE)</f>
        <v>0</v>
      </c>
      <c r="X190" s="25" t="s">
        <v>84</v>
      </c>
    </row>
    <row r="191" spans="1:24" ht="15" customHeight="1" outlineLevel="1" x14ac:dyDescent="0.2">
      <c r="A191" s="206">
        <v>45901</v>
      </c>
      <c r="B191" t="s">
        <v>104</v>
      </c>
      <c r="C191" t="s">
        <v>101</v>
      </c>
      <c r="D191" t="s">
        <v>10</v>
      </c>
      <c r="E191">
        <v>435.01499999999999</v>
      </c>
      <c r="F191" s="23"/>
      <c r="G191" s="192">
        <v>49553</v>
      </c>
      <c r="H191" s="181" t="s">
        <v>104</v>
      </c>
      <c r="I191" s="181" t="s">
        <v>101</v>
      </c>
      <c r="J191" s="181" t="s">
        <v>10</v>
      </c>
      <c r="K191" s="193">
        <v>492.93</v>
      </c>
      <c r="M191" s="183">
        <f t="shared" si="11"/>
        <v>48731</v>
      </c>
      <c r="N191" s="110">
        <f t="shared" si="14"/>
        <v>2470.364</v>
      </c>
      <c r="O191" s="111">
        <f t="shared" si="14"/>
        <v>553.54600000000005</v>
      </c>
      <c r="P191" s="190">
        <f t="shared" si="10"/>
        <v>3023.91</v>
      </c>
      <c r="R191" s="112">
        <f>SourceEnergy!B205</f>
        <v>48731</v>
      </c>
      <c r="S191" s="113">
        <v>47.537559999999999</v>
      </c>
      <c r="T191" s="114">
        <v>42.259729999999998</v>
      </c>
      <c r="U191" s="115">
        <f>IF(AND(Shape_Annually="Yes",Shape_Start&lt;=W186),W193,IF(ISNUMBER(SourceEnergy!$C205),SourceEnergy!$C205/(SourceEnergy!$G205*S191+SourceEnergy!$H205*T191),""))</f>
        <v>0.73629918263641014</v>
      </c>
      <c r="W191" s="25">
        <f>W189+W190</f>
        <v>985691.23991194367</v>
      </c>
      <c r="X191" s="25" t="s">
        <v>85</v>
      </c>
    </row>
    <row r="192" spans="1:24" ht="15" customHeight="1" outlineLevel="1" x14ac:dyDescent="0.2">
      <c r="A192" s="206">
        <v>45931</v>
      </c>
      <c r="B192" t="s">
        <v>104</v>
      </c>
      <c r="C192" t="s">
        <v>101</v>
      </c>
      <c r="D192" t="s">
        <v>9</v>
      </c>
      <c r="E192">
        <v>1775.817</v>
      </c>
      <c r="F192" s="23"/>
      <c r="G192" s="192">
        <v>49583</v>
      </c>
      <c r="H192" s="181" t="s">
        <v>104</v>
      </c>
      <c r="I192" s="181" t="s">
        <v>101</v>
      </c>
      <c r="J192" s="181" t="s">
        <v>9</v>
      </c>
      <c r="K192" s="193">
        <v>1688.931</v>
      </c>
      <c r="M192" s="183">
        <f t="shared" si="11"/>
        <v>48761</v>
      </c>
      <c r="N192" s="110">
        <f t="shared" si="14"/>
        <v>2109.5</v>
      </c>
      <c r="O192" s="111">
        <f t="shared" si="14"/>
        <v>627.55200000000002</v>
      </c>
      <c r="P192" s="190">
        <f t="shared" si="10"/>
        <v>2737.0520000000001</v>
      </c>
      <c r="R192" s="112">
        <f>SourceEnergy!B206</f>
        <v>48761</v>
      </c>
      <c r="S192" s="113">
        <v>62.967640000000003</v>
      </c>
      <c r="T192" s="114">
        <v>52.1096</v>
      </c>
      <c r="U192" s="115">
        <f>IF(AND(Shape_Annually="Yes",Shape_Start&lt;=W186),W193,IF(ISNUMBER(SourceEnergy!$C206),SourceEnergy!$C206/(SourceEnergy!$G206*S192+SourceEnergy!$H206*T192),""))</f>
        <v>0.73629918263641014</v>
      </c>
    </row>
    <row r="193" spans="1:24" ht="15" customHeight="1" outlineLevel="1" x14ac:dyDescent="0.2">
      <c r="A193" s="206">
        <v>45931</v>
      </c>
      <c r="B193" t="s">
        <v>104</v>
      </c>
      <c r="C193" t="s">
        <v>101</v>
      </c>
      <c r="D193" t="s">
        <v>10</v>
      </c>
      <c r="E193">
        <v>263.58</v>
      </c>
      <c r="F193" s="23"/>
      <c r="G193" s="192">
        <v>49583</v>
      </c>
      <c r="H193" s="181" t="s">
        <v>104</v>
      </c>
      <c r="I193" s="181" t="s">
        <v>101</v>
      </c>
      <c r="J193" s="181" t="s">
        <v>10</v>
      </c>
      <c r="K193" s="193">
        <v>250.67699999999999</v>
      </c>
      <c r="M193" s="183">
        <f t="shared" si="11"/>
        <v>48792</v>
      </c>
      <c r="N193" s="110">
        <f t="shared" si="14"/>
        <v>2334.3389999999999</v>
      </c>
      <c r="O193" s="111">
        <f t="shared" si="14"/>
        <v>407.17700000000002</v>
      </c>
      <c r="P193" s="190">
        <f t="shared" si="10"/>
        <v>2741.5160000000001</v>
      </c>
      <c r="R193" s="112">
        <f>SourceEnergy!B207</f>
        <v>48792</v>
      </c>
      <c r="S193" s="113">
        <v>66.903530000000003</v>
      </c>
      <c r="T193" s="114">
        <v>55.027790000000003</v>
      </c>
      <c r="U193" s="115">
        <f>IF(AND(Shape_Annually="Yes",Shape_Start&lt;=W186),W193,IF(ISNUMBER(SourceEnergy!$C207),SourceEnergy!$C207/(SourceEnergy!$G207*S193+SourceEnergy!$H207*T193),""))</f>
        <v>0.73629918263641014</v>
      </c>
      <c r="W193" s="116">
        <f>IFERROR(W191/W187,0)</f>
        <v>0.73629918263641014</v>
      </c>
      <c r="X193" s="25" t="s">
        <v>86</v>
      </c>
    </row>
    <row r="194" spans="1:24" ht="15" customHeight="1" outlineLevel="1" x14ac:dyDescent="0.2">
      <c r="A194" s="206">
        <v>45962</v>
      </c>
      <c r="B194" t="s">
        <v>104</v>
      </c>
      <c r="C194" t="s">
        <v>101</v>
      </c>
      <c r="D194" t="s">
        <v>9</v>
      </c>
      <c r="E194">
        <v>1098.8879999999999</v>
      </c>
      <c r="F194" s="23"/>
      <c r="G194" s="192">
        <v>49614</v>
      </c>
      <c r="H194" s="181" t="s">
        <v>104</v>
      </c>
      <c r="I194" s="181" t="s">
        <v>101</v>
      </c>
      <c r="J194" s="181" t="s">
        <v>9</v>
      </c>
      <c r="K194" s="193">
        <v>1088.7</v>
      </c>
      <c r="M194" s="183">
        <f t="shared" si="11"/>
        <v>48823</v>
      </c>
      <c r="N194" s="110">
        <f t="shared" si="14"/>
        <v>1998.65</v>
      </c>
      <c r="O194" s="111">
        <f t="shared" si="14"/>
        <v>417.94</v>
      </c>
      <c r="P194" s="190">
        <f t="shared" si="10"/>
        <v>2416.59</v>
      </c>
      <c r="R194" s="112">
        <f>SourceEnergy!B208</f>
        <v>48823</v>
      </c>
      <c r="S194" s="113">
        <v>57.308610000000002</v>
      </c>
      <c r="T194" s="114">
        <v>50.337069999999997</v>
      </c>
      <c r="U194" s="115">
        <f>IF(AND(Shape_Annually="Yes",Shape_Start&lt;=W186),W193,IF(ISNUMBER(SourceEnergy!$C208),SourceEnergy!$C208/(SourceEnergy!$G208*S194+SourceEnergy!$H208*T194),""))</f>
        <v>0.73629918263641014</v>
      </c>
    </row>
    <row r="195" spans="1:24" ht="15" customHeight="1" outlineLevel="1" x14ac:dyDescent="0.2">
      <c r="A195" s="206">
        <v>45962</v>
      </c>
      <c r="B195" t="s">
        <v>104</v>
      </c>
      <c r="C195" t="s">
        <v>101</v>
      </c>
      <c r="D195" t="s">
        <v>10</v>
      </c>
      <c r="E195">
        <v>274.72199999999998</v>
      </c>
      <c r="F195" s="23"/>
      <c r="G195" s="192">
        <v>49614</v>
      </c>
      <c r="H195" s="181" t="s">
        <v>104</v>
      </c>
      <c r="I195" s="181" t="s">
        <v>101</v>
      </c>
      <c r="J195" s="181" t="s">
        <v>10</v>
      </c>
      <c r="K195" s="193">
        <v>217.74</v>
      </c>
      <c r="M195" s="183">
        <f t="shared" si="11"/>
        <v>48853</v>
      </c>
      <c r="N195" s="110">
        <f t="shared" si="14"/>
        <v>1642.758</v>
      </c>
      <c r="O195" s="111">
        <f t="shared" si="14"/>
        <v>316.38</v>
      </c>
      <c r="P195" s="190">
        <f t="shared" si="10"/>
        <v>1959.1379999999999</v>
      </c>
      <c r="R195" s="112">
        <f>SourceEnergy!B209</f>
        <v>48853</v>
      </c>
      <c r="S195" s="113">
        <v>55.425620000000002</v>
      </c>
      <c r="T195" s="114">
        <v>50.84713</v>
      </c>
      <c r="U195" s="115">
        <f>IF(AND(Shape_Annually="Yes",Shape_Start&lt;=W186),W193,IF(ISNUMBER(SourceEnergy!$C209),SourceEnergy!$C209/(SourceEnergy!$G209*S195+SourceEnergy!$H209*T195),""))</f>
        <v>0.73629918263641014</v>
      </c>
    </row>
    <row r="196" spans="1:24" ht="15" customHeight="1" outlineLevel="1" x14ac:dyDescent="0.2">
      <c r="A196" s="206">
        <v>45992</v>
      </c>
      <c r="B196" t="s">
        <v>104</v>
      </c>
      <c r="C196" t="s">
        <v>101</v>
      </c>
      <c r="D196" t="s">
        <v>9</v>
      </c>
      <c r="E196">
        <v>888.81</v>
      </c>
      <c r="F196" s="23"/>
      <c r="G196" s="192">
        <v>49644</v>
      </c>
      <c r="H196" s="181" t="s">
        <v>104</v>
      </c>
      <c r="I196" s="181" t="s">
        <v>101</v>
      </c>
      <c r="J196" s="181" t="s">
        <v>9</v>
      </c>
      <c r="K196" s="193">
        <v>812.77499999999998</v>
      </c>
      <c r="M196" s="183">
        <f t="shared" si="11"/>
        <v>48884</v>
      </c>
      <c r="N196" s="110">
        <f t="shared" si="14"/>
        <v>1099.675</v>
      </c>
      <c r="O196" s="111">
        <f t="shared" si="14"/>
        <v>219.935</v>
      </c>
      <c r="P196" s="190">
        <f t="shared" si="10"/>
        <v>1319.61</v>
      </c>
      <c r="R196" s="112">
        <f>SourceEnergy!B210</f>
        <v>48884</v>
      </c>
      <c r="S196" s="113">
        <v>55.632739999999998</v>
      </c>
      <c r="T196" s="114">
        <v>51.636319999999998</v>
      </c>
      <c r="U196" s="115">
        <f>IF(AND(Shape_Annually="Yes",Shape_Start&lt;=W186),W193,IF(ISNUMBER(SourceEnergy!$C210),SourceEnergy!$C210/(SourceEnergy!$G210*S196+SourceEnergy!$H210*T196),""))</f>
        <v>0.73629918263641014</v>
      </c>
    </row>
    <row r="197" spans="1:24" ht="15" customHeight="1" outlineLevel="1" x14ac:dyDescent="0.2">
      <c r="A197" s="206">
        <v>45992</v>
      </c>
      <c r="B197" t="s">
        <v>104</v>
      </c>
      <c r="C197" t="s">
        <v>101</v>
      </c>
      <c r="D197" t="s">
        <v>10</v>
      </c>
      <c r="E197">
        <v>170.92500000000001</v>
      </c>
      <c r="F197" s="23"/>
      <c r="G197" s="192">
        <v>49644</v>
      </c>
      <c r="H197" s="181" t="s">
        <v>104</v>
      </c>
      <c r="I197" s="181" t="s">
        <v>101</v>
      </c>
      <c r="J197" s="181" t="s">
        <v>10</v>
      </c>
      <c r="K197" s="193">
        <v>195.066</v>
      </c>
      <c r="M197" s="184">
        <f t="shared" si="11"/>
        <v>48914</v>
      </c>
      <c r="N197" s="117">
        <f t="shared" si="14"/>
        <v>853.81399999999996</v>
      </c>
      <c r="O197" s="118">
        <f t="shared" si="14"/>
        <v>164.19499999999999</v>
      </c>
      <c r="P197" s="191">
        <f t="shared" si="10"/>
        <v>1018.009</v>
      </c>
      <c r="R197" s="119">
        <f>SourceEnergy!B211</f>
        <v>48914</v>
      </c>
      <c r="S197" s="120">
        <v>57.094149999999999</v>
      </c>
      <c r="T197" s="121">
        <v>54.28595</v>
      </c>
      <c r="U197" s="122">
        <f>IF(AND(Shape_Annually="Yes",Shape_Start&lt;=W186),W193,IF(ISNUMBER(SourceEnergy!$C211),SourceEnergy!$C211/(SourceEnergy!$G211*S197+SourceEnergy!$H211*T197),""))</f>
        <v>0.73629918263641014</v>
      </c>
    </row>
    <row r="198" spans="1:24" ht="15" customHeight="1" outlineLevel="1" x14ac:dyDescent="0.2">
      <c r="A198" s="206">
        <v>46023</v>
      </c>
      <c r="B198" t="s">
        <v>104</v>
      </c>
      <c r="C198" t="s">
        <v>101</v>
      </c>
      <c r="D198" t="s">
        <v>9</v>
      </c>
      <c r="E198">
        <v>1060.982</v>
      </c>
      <c r="F198" s="23"/>
      <c r="G198" s="192">
        <v>49675</v>
      </c>
      <c r="H198" s="181" t="s">
        <v>104</v>
      </c>
      <c r="I198" s="181" t="s">
        <v>101</v>
      </c>
      <c r="J198" s="181" t="s">
        <v>9</v>
      </c>
      <c r="K198" s="193">
        <v>1009.034</v>
      </c>
      <c r="M198" s="185">
        <f t="shared" si="11"/>
        <v>48945</v>
      </c>
      <c r="N198" s="102">
        <f t="shared" si="14"/>
        <v>980.05</v>
      </c>
      <c r="O198" s="103">
        <f t="shared" si="14"/>
        <v>235.21199999999999</v>
      </c>
      <c r="P198" s="189">
        <f t="shared" si="10"/>
        <v>1215.2619999999999</v>
      </c>
      <c r="R198" s="104">
        <f>SourceEnergy!B212</f>
        <v>48945</v>
      </c>
      <c r="S198" s="105">
        <v>58.217489999999998</v>
      </c>
      <c r="T198" s="106">
        <v>55.122709999999998</v>
      </c>
      <c r="U198" s="107">
        <f>IF(AND(Shape_Annually="Yes",Shape_Start&lt;=W198),W205,IF(ISNUMBER(SourceEnergy!$C212),SourceEnergy!$C212/(SourceEnergy!$G212*S198+SourceEnergy!$H212*T198),""))</f>
        <v>0.82003596396741962</v>
      </c>
      <c r="W198" s="108">
        <f>YEAR(M198)</f>
        <v>2034</v>
      </c>
      <c r="X198" s="109"/>
    </row>
    <row r="199" spans="1:24" ht="15" customHeight="1" outlineLevel="1" x14ac:dyDescent="0.2">
      <c r="A199" s="206">
        <v>46023</v>
      </c>
      <c r="B199" t="s">
        <v>104</v>
      </c>
      <c r="C199" t="s">
        <v>101</v>
      </c>
      <c r="D199" t="s">
        <v>10</v>
      </c>
      <c r="E199">
        <v>204.035</v>
      </c>
      <c r="F199" s="23"/>
      <c r="G199" s="192">
        <v>49675</v>
      </c>
      <c r="H199" s="181" t="s">
        <v>104</v>
      </c>
      <c r="I199" s="181" t="s">
        <v>101</v>
      </c>
      <c r="J199" s="181" t="s">
        <v>10</v>
      </c>
      <c r="K199" s="193">
        <v>194.04499999999999</v>
      </c>
      <c r="M199" s="183">
        <f t="shared" si="11"/>
        <v>48976</v>
      </c>
      <c r="N199" s="110">
        <f t="shared" si="14"/>
        <v>1165.8240000000001</v>
      </c>
      <c r="O199" s="111">
        <f t="shared" si="14"/>
        <v>194.304</v>
      </c>
      <c r="P199" s="190">
        <f t="shared" ref="P199:P245" si="15">N199+O199</f>
        <v>1360.1280000000002</v>
      </c>
      <c r="R199" s="112">
        <f>SourceEnergy!B213</f>
        <v>48976</v>
      </c>
      <c r="S199" s="113">
        <v>58.2453</v>
      </c>
      <c r="T199" s="114">
        <v>55.116079999999997</v>
      </c>
      <c r="U199" s="115">
        <f>IF(AND(Shape_Annually="Yes",Shape_Start&lt;=W198),W205,IF(ISNUMBER(SourceEnergy!$C213),SourceEnergy!$C213/(SourceEnergy!$G213*S199+SourceEnergy!$H213*T199),""))</f>
        <v>0.82003596396741962</v>
      </c>
      <c r="W199" s="25">
        <f>SUMPRODUCT(N198:N209,S198:S209)+SUMPRODUCT(O198:O209,T198:T209)</f>
        <v>1382215.16616734</v>
      </c>
      <c r="X199" s="25" t="s">
        <v>82</v>
      </c>
    </row>
    <row r="200" spans="1:24" ht="15" customHeight="1" outlineLevel="1" x14ac:dyDescent="0.2">
      <c r="A200" s="206">
        <v>46054</v>
      </c>
      <c r="B200" t="s">
        <v>104</v>
      </c>
      <c r="C200" t="s">
        <v>101</v>
      </c>
      <c r="D200" t="s">
        <v>9</v>
      </c>
      <c r="E200">
        <v>1213.5119999999999</v>
      </c>
      <c r="F200" s="23"/>
      <c r="G200" s="192">
        <v>49706</v>
      </c>
      <c r="H200" s="181" t="s">
        <v>104</v>
      </c>
      <c r="I200" s="181" t="s">
        <v>101</v>
      </c>
      <c r="J200" s="181" t="s">
        <v>9</v>
      </c>
      <c r="K200" s="193">
        <v>1202.25</v>
      </c>
      <c r="M200" s="183">
        <f t="shared" ref="M200:M257" si="16">EDATE(M199,1)</f>
        <v>49004</v>
      </c>
      <c r="N200" s="110">
        <f t="shared" si="14"/>
        <v>1844.2080000000001</v>
      </c>
      <c r="O200" s="111">
        <f t="shared" si="14"/>
        <v>274.02199999999999</v>
      </c>
      <c r="P200" s="190">
        <f t="shared" si="15"/>
        <v>2118.23</v>
      </c>
      <c r="R200" s="112">
        <f>SourceEnergy!B214</f>
        <v>49004</v>
      </c>
      <c r="S200" s="113">
        <v>52.230670000000003</v>
      </c>
      <c r="T200" s="114">
        <v>51.093899999999998</v>
      </c>
      <c r="U200" s="115">
        <f>IF(AND(Shape_Annually="Yes",Shape_Start&lt;=W198),W205,IF(ISNUMBER(SourceEnergy!$C214),SourceEnergy!$C214/(SourceEnergy!$G214*S200+SourceEnergy!$H214*T200),""))</f>
        <v>0.82003596396741962</v>
      </c>
    </row>
    <row r="201" spans="1:24" ht="15" customHeight="1" outlineLevel="1" x14ac:dyDescent="0.2">
      <c r="A201" s="206">
        <v>46054</v>
      </c>
      <c r="B201" t="s">
        <v>104</v>
      </c>
      <c r="C201" t="s">
        <v>101</v>
      </c>
      <c r="D201" t="s">
        <v>10</v>
      </c>
      <c r="E201">
        <v>202.25200000000001</v>
      </c>
      <c r="F201" s="23"/>
      <c r="G201" s="192">
        <v>49706</v>
      </c>
      <c r="H201" s="181" t="s">
        <v>104</v>
      </c>
      <c r="I201" s="181" t="s">
        <v>101</v>
      </c>
      <c r="J201" s="181" t="s">
        <v>10</v>
      </c>
      <c r="K201" s="193">
        <v>192.36</v>
      </c>
      <c r="M201" s="183">
        <f t="shared" si="16"/>
        <v>49035</v>
      </c>
      <c r="N201" s="110">
        <f t="shared" si="14"/>
        <v>2003.0250000000001</v>
      </c>
      <c r="O201" s="111">
        <f t="shared" si="14"/>
        <v>443.565</v>
      </c>
      <c r="P201" s="190">
        <f t="shared" si="15"/>
        <v>2446.59</v>
      </c>
      <c r="R201" s="112">
        <f>SourceEnergy!B215</f>
        <v>49035</v>
      </c>
      <c r="S201" s="113">
        <v>47.250999999999998</v>
      </c>
      <c r="T201" s="114">
        <v>44.257109999999997</v>
      </c>
      <c r="U201" s="115">
        <f>IF(AND(Shape_Annually="Yes",Shape_Start&lt;=W198),W205,IF(ISNUMBER(SourceEnergy!$C215),SourceEnergy!$C215/(SourceEnergy!$G215*S201+SourceEnergy!$H215*T201),""))</f>
        <v>0.82003596396741962</v>
      </c>
      <c r="W201" s="25">
        <f>VLOOKUP(W198,'[1]Table 5'!$L$23:$N$43,2,FALSE)</f>
        <v>1133466.1461984217</v>
      </c>
      <c r="X201" s="25" t="s">
        <v>83</v>
      </c>
    </row>
    <row r="202" spans="1:24" ht="15" customHeight="1" outlineLevel="1" x14ac:dyDescent="0.2">
      <c r="A202" s="206">
        <v>46082</v>
      </c>
      <c r="B202" t="s">
        <v>104</v>
      </c>
      <c r="C202" t="s">
        <v>101</v>
      </c>
      <c r="D202" t="s">
        <v>9</v>
      </c>
      <c r="E202">
        <v>1848.5740000000001</v>
      </c>
      <c r="F202" s="23"/>
      <c r="G202" s="192">
        <v>49735</v>
      </c>
      <c r="H202" s="181" t="s">
        <v>104</v>
      </c>
      <c r="I202" s="181" t="s">
        <v>101</v>
      </c>
      <c r="J202" s="181" t="s">
        <v>9</v>
      </c>
      <c r="K202" s="193">
        <v>1758.2239999999999</v>
      </c>
      <c r="M202" s="183">
        <f t="shared" si="16"/>
        <v>49065</v>
      </c>
      <c r="N202" s="110">
        <f t="shared" si="14"/>
        <v>2254.7199999999998</v>
      </c>
      <c r="O202" s="111">
        <f t="shared" si="14"/>
        <v>577.37800000000004</v>
      </c>
      <c r="P202" s="190">
        <f t="shared" si="15"/>
        <v>2832.098</v>
      </c>
      <c r="R202" s="112">
        <f>SourceEnergy!B216</f>
        <v>49065</v>
      </c>
      <c r="S202" s="113">
        <v>47.921579999999999</v>
      </c>
      <c r="T202" s="114">
        <v>44.196449999999999</v>
      </c>
      <c r="U202" s="115">
        <f>IF(AND(Shape_Annually="Yes",Shape_Start&lt;=W198),W205,IF(ISNUMBER(SourceEnergy!$C216),SourceEnergy!$C216/(SourceEnergy!$G216*S202+SourceEnergy!$H216*T202),""))</f>
        <v>0.82003596396741962</v>
      </c>
      <c r="W202" s="25">
        <f>VLOOKUP(W198,'[1]Table 5'!$L$23:$N$43,3,FALSE)</f>
        <v>0</v>
      </c>
      <c r="X202" s="25" t="s">
        <v>84</v>
      </c>
    </row>
    <row r="203" spans="1:24" ht="15" customHeight="1" outlineLevel="1" x14ac:dyDescent="0.2">
      <c r="A203" s="206">
        <v>46082</v>
      </c>
      <c r="B203" t="s">
        <v>104</v>
      </c>
      <c r="C203" t="s">
        <v>101</v>
      </c>
      <c r="D203" t="s">
        <v>10</v>
      </c>
      <c r="E203">
        <v>356.363</v>
      </c>
      <c r="F203" s="23"/>
      <c r="G203" s="192">
        <v>49735</v>
      </c>
      <c r="H203" s="181" t="s">
        <v>104</v>
      </c>
      <c r="I203" s="181" t="s">
        <v>101</v>
      </c>
      <c r="J203" s="181" t="s">
        <v>10</v>
      </c>
      <c r="K203" s="193">
        <v>338.92599999999999</v>
      </c>
      <c r="M203" s="183">
        <f t="shared" si="16"/>
        <v>49096</v>
      </c>
      <c r="N203" s="110">
        <f t="shared" si="14"/>
        <v>2458.04</v>
      </c>
      <c r="O203" s="111">
        <f t="shared" si="14"/>
        <v>550.78</v>
      </c>
      <c r="P203" s="190">
        <f t="shared" si="15"/>
        <v>3008.8199999999997</v>
      </c>
      <c r="R203" s="112">
        <f>SourceEnergy!B217</f>
        <v>49096</v>
      </c>
      <c r="S203" s="113">
        <v>49.77111</v>
      </c>
      <c r="T203" s="114">
        <v>44.651850000000003</v>
      </c>
      <c r="U203" s="115">
        <f>IF(AND(Shape_Annually="Yes",Shape_Start&lt;=W198),W205,IF(ISNUMBER(SourceEnergy!$C217),SourceEnergy!$C217/(SourceEnergy!$G217*S203+SourceEnergy!$H217*T203),""))</f>
        <v>0.82003596396741962</v>
      </c>
      <c r="W203" s="25">
        <f>W201+W202</f>
        <v>1133466.1461984217</v>
      </c>
      <c r="X203" s="25" t="s">
        <v>85</v>
      </c>
    </row>
    <row r="204" spans="1:24" ht="15" customHeight="1" outlineLevel="1" x14ac:dyDescent="0.2">
      <c r="A204" s="206">
        <v>46113</v>
      </c>
      <c r="B204" t="s">
        <v>104</v>
      </c>
      <c r="C204" t="s">
        <v>101</v>
      </c>
      <c r="D204" t="s">
        <v>9</v>
      </c>
      <c r="E204">
        <v>2168.4</v>
      </c>
      <c r="F204" s="23"/>
      <c r="G204" s="192">
        <v>49766</v>
      </c>
      <c r="H204" s="181" t="s">
        <v>104</v>
      </c>
      <c r="I204" s="181" t="s">
        <v>101</v>
      </c>
      <c r="J204" s="181" t="s">
        <v>9</v>
      </c>
      <c r="K204" s="193">
        <v>2062.346</v>
      </c>
      <c r="M204" s="183">
        <f t="shared" si="16"/>
        <v>49126</v>
      </c>
      <c r="N204" s="110">
        <f t="shared" si="14"/>
        <v>2098.9499999999998</v>
      </c>
      <c r="O204" s="111">
        <f t="shared" si="14"/>
        <v>624.4</v>
      </c>
      <c r="P204" s="190">
        <f t="shared" si="15"/>
        <v>2723.35</v>
      </c>
      <c r="R204" s="112">
        <f>SourceEnergy!B218</f>
        <v>49126</v>
      </c>
      <c r="S204" s="113">
        <v>64.693860000000001</v>
      </c>
      <c r="T204" s="114">
        <v>53.819090000000003</v>
      </c>
      <c r="U204" s="115">
        <f>IF(AND(Shape_Annually="Yes",Shape_Start&lt;=W198),W205,IF(ISNUMBER(SourceEnergy!$C218),SourceEnergy!$C218/(SourceEnergy!$G218*S204+SourceEnergy!$H218*T204),""))</f>
        <v>0.82003596396741962</v>
      </c>
    </row>
    <row r="205" spans="1:24" ht="15" customHeight="1" outlineLevel="1" x14ac:dyDescent="0.2">
      <c r="A205" s="206">
        <v>46113</v>
      </c>
      <c r="B205" t="s">
        <v>104</v>
      </c>
      <c r="C205" t="s">
        <v>101</v>
      </c>
      <c r="D205" t="s">
        <v>10</v>
      </c>
      <c r="E205">
        <v>378.3</v>
      </c>
      <c r="F205" s="23"/>
      <c r="G205" s="192">
        <v>49766</v>
      </c>
      <c r="H205" s="181" t="s">
        <v>104</v>
      </c>
      <c r="I205" s="181" t="s">
        <v>101</v>
      </c>
      <c r="J205" s="181" t="s">
        <v>10</v>
      </c>
      <c r="K205" s="193">
        <v>359.79399999999998</v>
      </c>
      <c r="M205" s="183">
        <f t="shared" si="16"/>
        <v>49157</v>
      </c>
      <c r="N205" s="110">
        <f t="shared" si="14"/>
        <v>2322.6480000000001</v>
      </c>
      <c r="O205" s="111">
        <f t="shared" si="14"/>
        <v>405.13499999999999</v>
      </c>
      <c r="P205" s="190">
        <f t="shared" si="15"/>
        <v>2727.7830000000004</v>
      </c>
      <c r="R205" s="112">
        <f>SourceEnergy!B219</f>
        <v>49157</v>
      </c>
      <c r="S205" s="113">
        <v>68.509690000000006</v>
      </c>
      <c r="T205" s="114">
        <v>56.571849999999998</v>
      </c>
      <c r="U205" s="115">
        <f>IF(AND(Shape_Annually="Yes",Shape_Start&lt;=W198),W205,IF(ISNUMBER(SourceEnergy!$C219),SourceEnergy!$C219/(SourceEnergy!$G219*S205+SourceEnergy!$H219*T205),""))</f>
        <v>0.82003596396741962</v>
      </c>
      <c r="W205" s="116">
        <f>IFERROR(W203/W199,0)</f>
        <v>0.82003596396741962</v>
      </c>
      <c r="X205" s="25" t="s">
        <v>86</v>
      </c>
    </row>
    <row r="206" spans="1:24" ht="15" customHeight="1" outlineLevel="1" x14ac:dyDescent="0.2">
      <c r="A206" s="206">
        <v>46143</v>
      </c>
      <c r="B206" t="s">
        <v>104</v>
      </c>
      <c r="C206" t="s">
        <v>101</v>
      </c>
      <c r="D206" t="s">
        <v>9</v>
      </c>
      <c r="E206">
        <v>2256.7249999999999</v>
      </c>
      <c r="F206" s="23"/>
      <c r="G206" s="192">
        <v>49796</v>
      </c>
      <c r="H206" s="181" t="s">
        <v>104</v>
      </c>
      <c r="I206" s="181" t="s">
        <v>101</v>
      </c>
      <c r="J206" s="181" t="s">
        <v>9</v>
      </c>
      <c r="K206" s="193">
        <v>2232.2559999999999</v>
      </c>
      <c r="M206" s="183">
        <f t="shared" si="16"/>
        <v>49188</v>
      </c>
      <c r="N206" s="110">
        <f t="shared" ref="N206:O225" si="17">SUMIFS($K$6:$K$245,$G$6:$G$245,$M206,$J$6:$J$245,N$5)</f>
        <v>1988.7</v>
      </c>
      <c r="O206" s="111">
        <f t="shared" si="17"/>
        <v>415.86</v>
      </c>
      <c r="P206" s="190">
        <f t="shared" si="15"/>
        <v>2404.56</v>
      </c>
      <c r="R206" s="112">
        <f>SourceEnergy!B220</f>
        <v>49188</v>
      </c>
      <c r="S206" s="113">
        <v>57.768369999999997</v>
      </c>
      <c r="T206" s="114">
        <v>51.489800000000002</v>
      </c>
      <c r="U206" s="115">
        <f>IF(AND(Shape_Annually="Yes",Shape_Start&lt;=W198),W205,IF(ISNUMBER(SourceEnergy!$C220),SourceEnergy!$C220/(SourceEnergy!$G220*S206+SourceEnergy!$H220*T206),""))</f>
        <v>0.82003596396741962</v>
      </c>
    </row>
    <row r="207" spans="1:24" ht="15" customHeight="1" outlineLevel="1" x14ac:dyDescent="0.2">
      <c r="A207" s="206">
        <v>46143</v>
      </c>
      <c r="B207" t="s">
        <v>104</v>
      </c>
      <c r="C207" t="s">
        <v>101</v>
      </c>
      <c r="D207" t="s">
        <v>10</v>
      </c>
      <c r="E207">
        <v>691.28200000000004</v>
      </c>
      <c r="F207" s="23"/>
      <c r="G207" s="192">
        <v>49796</v>
      </c>
      <c r="H207" s="181" t="s">
        <v>104</v>
      </c>
      <c r="I207" s="181" t="s">
        <v>101</v>
      </c>
      <c r="J207" s="181" t="s">
        <v>10</v>
      </c>
      <c r="K207" s="193">
        <v>571.63199999999995</v>
      </c>
      <c r="M207" s="183">
        <f t="shared" si="16"/>
        <v>49218</v>
      </c>
      <c r="N207" s="110">
        <f t="shared" si="17"/>
        <v>1634.5940000000001</v>
      </c>
      <c r="O207" s="111">
        <f t="shared" si="17"/>
        <v>314.81</v>
      </c>
      <c r="P207" s="190">
        <f t="shared" si="15"/>
        <v>1949.404</v>
      </c>
      <c r="R207" s="112">
        <f>SourceEnergy!B221</f>
        <v>49218</v>
      </c>
      <c r="S207" s="113">
        <v>55.617229999999999</v>
      </c>
      <c r="T207" s="114">
        <v>51.454569999999997</v>
      </c>
      <c r="U207" s="115">
        <f>IF(AND(Shape_Annually="Yes",Shape_Start&lt;=W198),W205,IF(ISNUMBER(SourceEnergy!$C221),SourceEnergy!$C221/(SourceEnergy!$G221*S207+SourceEnergy!$H221*T207),""))</f>
        <v>0.82003596396741962</v>
      </c>
    </row>
    <row r="208" spans="1:24" ht="15" customHeight="1" outlineLevel="1" x14ac:dyDescent="0.2">
      <c r="A208" s="206">
        <v>46174</v>
      </c>
      <c r="B208" t="s">
        <v>104</v>
      </c>
      <c r="C208" t="s">
        <v>101</v>
      </c>
      <c r="D208" t="s">
        <v>9</v>
      </c>
      <c r="E208">
        <v>2558.5819999999999</v>
      </c>
      <c r="F208" s="23"/>
      <c r="G208" s="192">
        <v>49827</v>
      </c>
      <c r="H208" s="181" t="s">
        <v>104</v>
      </c>
      <c r="I208" s="181" t="s">
        <v>101</v>
      </c>
      <c r="J208" s="181" t="s">
        <v>9</v>
      </c>
      <c r="K208" s="193">
        <v>2339.9</v>
      </c>
      <c r="M208" s="183">
        <f t="shared" si="16"/>
        <v>49249</v>
      </c>
      <c r="N208" s="110">
        <f t="shared" si="17"/>
        <v>1094.175</v>
      </c>
      <c r="O208" s="111">
        <f t="shared" si="17"/>
        <v>218.83500000000001</v>
      </c>
      <c r="P208" s="190">
        <f t="shared" si="15"/>
        <v>1313.01</v>
      </c>
      <c r="R208" s="112">
        <f>SourceEnergy!B222</f>
        <v>49249</v>
      </c>
      <c r="S208" s="113">
        <v>57.721420000000002</v>
      </c>
      <c r="T208" s="114">
        <v>53.654969999999999</v>
      </c>
      <c r="U208" s="115">
        <f>IF(AND(Shape_Annually="Yes",Shape_Start&lt;=W198),W205,IF(ISNUMBER(SourceEnergy!$C222),SourceEnergy!$C222/(SourceEnergy!$G222*S208+SourceEnergy!$H222*T208),""))</f>
        <v>0.82003596396741962</v>
      </c>
    </row>
    <row r="209" spans="1:24" ht="15" customHeight="1" outlineLevel="1" x14ac:dyDescent="0.2">
      <c r="A209" s="206">
        <v>46174</v>
      </c>
      <c r="B209" t="s">
        <v>104</v>
      </c>
      <c r="C209" t="s">
        <v>101</v>
      </c>
      <c r="D209" t="s">
        <v>10</v>
      </c>
      <c r="E209">
        <v>573.298</v>
      </c>
      <c r="F209" s="23"/>
      <c r="G209" s="192">
        <v>49827</v>
      </c>
      <c r="H209" s="181" t="s">
        <v>104</v>
      </c>
      <c r="I209" s="181" t="s">
        <v>101</v>
      </c>
      <c r="J209" s="181" t="s">
        <v>10</v>
      </c>
      <c r="K209" s="193">
        <v>638.89</v>
      </c>
      <c r="M209" s="184">
        <f t="shared" si="16"/>
        <v>49279</v>
      </c>
      <c r="N209" s="117">
        <f t="shared" si="17"/>
        <v>816.875</v>
      </c>
      <c r="O209" s="118">
        <f t="shared" si="17"/>
        <v>196.05</v>
      </c>
      <c r="P209" s="191">
        <f t="shared" si="15"/>
        <v>1012.925</v>
      </c>
      <c r="R209" s="119">
        <f>SourceEnergy!B223</f>
        <v>49279</v>
      </c>
      <c r="S209" s="120">
        <v>58.467509999999997</v>
      </c>
      <c r="T209" s="121">
        <v>55.986150000000002</v>
      </c>
      <c r="U209" s="122">
        <f>IF(AND(Shape_Annually="Yes",Shape_Start&lt;=W198),W205,IF(ISNUMBER(SourceEnergy!$C223),SourceEnergy!$C223/(SourceEnergy!$G223*S209+SourceEnergy!$H223*T209),""))</f>
        <v>0.82003596396741962</v>
      </c>
    </row>
    <row r="210" spans="1:24" ht="15" customHeight="1" outlineLevel="1" x14ac:dyDescent="0.2">
      <c r="A210" s="206">
        <v>46204</v>
      </c>
      <c r="B210" t="s">
        <v>104</v>
      </c>
      <c r="C210" t="s">
        <v>101</v>
      </c>
      <c r="D210" t="s">
        <v>9</v>
      </c>
      <c r="E210">
        <v>2272.2179999999998</v>
      </c>
      <c r="F210" s="23"/>
      <c r="G210" s="192">
        <v>49857</v>
      </c>
      <c r="H210" s="181" t="s">
        <v>104</v>
      </c>
      <c r="I210" s="181" t="s">
        <v>101</v>
      </c>
      <c r="J210" s="181" t="s">
        <v>9</v>
      </c>
      <c r="K210" s="193">
        <v>2161.172</v>
      </c>
      <c r="M210" s="185">
        <f t="shared" si="16"/>
        <v>49310</v>
      </c>
      <c r="N210" s="102">
        <f t="shared" si="17"/>
        <v>1014.182</v>
      </c>
      <c r="O210" s="103">
        <f t="shared" si="17"/>
        <v>195.035</v>
      </c>
      <c r="P210" s="189">
        <f t="shared" si="15"/>
        <v>1209.2170000000001</v>
      </c>
      <c r="R210" s="104">
        <f>SourceEnergy!B224</f>
        <v>49310</v>
      </c>
      <c r="S210" s="105">
        <v>59.41037</v>
      </c>
      <c r="T210" s="106">
        <v>56.418219999999998</v>
      </c>
      <c r="U210" s="107">
        <f>IF(AND(Shape_Annually="Yes",Shape_Start&lt;=W210),W217,IF(ISNUMBER(SourceEnergy!$C224),SourceEnergy!$C224/(SourceEnergy!$G224*S210+SourceEnergy!$H224*T210),""))</f>
        <v>1.5053229797259613</v>
      </c>
      <c r="W210" s="108">
        <f>YEAR(M210)</f>
        <v>2035</v>
      </c>
      <c r="X210" s="109"/>
    </row>
    <row r="211" spans="1:24" ht="15" customHeight="1" outlineLevel="1" x14ac:dyDescent="0.2">
      <c r="A211" s="206">
        <v>46204</v>
      </c>
      <c r="B211" t="s">
        <v>104</v>
      </c>
      <c r="C211" t="s">
        <v>101</v>
      </c>
      <c r="D211" t="s">
        <v>10</v>
      </c>
      <c r="E211">
        <v>562.54600000000005</v>
      </c>
      <c r="F211" s="23"/>
      <c r="G211" s="192">
        <v>49857</v>
      </c>
      <c r="H211" s="181" t="s">
        <v>104</v>
      </c>
      <c r="I211" s="181" t="s">
        <v>101</v>
      </c>
      <c r="J211" s="181" t="s">
        <v>10</v>
      </c>
      <c r="K211" s="193">
        <v>535.053</v>
      </c>
      <c r="M211" s="183">
        <f t="shared" si="16"/>
        <v>49341</v>
      </c>
      <c r="N211" s="110">
        <f t="shared" si="17"/>
        <v>1159.9680000000001</v>
      </c>
      <c r="O211" s="111">
        <f t="shared" si="17"/>
        <v>193.328</v>
      </c>
      <c r="P211" s="190">
        <f t="shared" si="15"/>
        <v>1353.296</v>
      </c>
      <c r="R211" s="112">
        <f>SourceEnergy!B225</f>
        <v>49341</v>
      </c>
      <c r="S211" s="113">
        <v>59.89479</v>
      </c>
      <c r="T211" s="114">
        <v>56.638309999999997</v>
      </c>
      <c r="U211" s="115">
        <f>IF(AND(Shape_Annually="Yes",Shape_Start&lt;=W210),W217,IF(ISNUMBER(SourceEnergy!$C225),SourceEnergy!$C225/(SourceEnergy!$G225*S211+SourceEnergy!$H225*T211),""))</f>
        <v>1.5053229797259613</v>
      </c>
      <c r="W211" s="25">
        <f>SUMPRODUCT(N210:N221,S210:S221)+SUMPRODUCT(O210:O221,T210:T221)</f>
        <v>1441820.1342130501</v>
      </c>
      <c r="X211" s="25" t="s">
        <v>82</v>
      </c>
    </row>
    <row r="212" spans="1:24" ht="15" customHeight="1" outlineLevel="1" x14ac:dyDescent="0.2">
      <c r="A212" s="206">
        <v>46235</v>
      </c>
      <c r="B212" t="s">
        <v>104</v>
      </c>
      <c r="C212" t="s">
        <v>101</v>
      </c>
      <c r="D212" t="s">
        <v>9</v>
      </c>
      <c r="E212">
        <v>2328.1179999999999</v>
      </c>
      <c r="F212" s="23"/>
      <c r="G212" s="192">
        <v>49888</v>
      </c>
      <c r="H212" s="181" t="s">
        <v>104</v>
      </c>
      <c r="I212" s="181" t="s">
        <v>101</v>
      </c>
      <c r="J212" s="181" t="s">
        <v>9</v>
      </c>
      <c r="K212" s="193">
        <v>2214.3420000000001</v>
      </c>
      <c r="M212" s="183">
        <f t="shared" si="16"/>
        <v>49369</v>
      </c>
      <c r="N212" s="110">
        <f t="shared" si="17"/>
        <v>1835.001</v>
      </c>
      <c r="O212" s="111">
        <f t="shared" si="17"/>
        <v>272.65800000000002</v>
      </c>
      <c r="P212" s="190">
        <f t="shared" si="15"/>
        <v>2107.6590000000001</v>
      </c>
      <c r="R212" s="112">
        <f>SourceEnergy!B226</f>
        <v>49369</v>
      </c>
      <c r="S212" s="113">
        <v>54.003079999999997</v>
      </c>
      <c r="T212" s="114">
        <v>52.886659999999999</v>
      </c>
      <c r="U212" s="115">
        <f>IF(AND(Shape_Annually="Yes",Shape_Start&lt;=W210),W217,IF(ISNUMBER(SourceEnergy!$C226),SourceEnergy!$C226/(SourceEnergy!$G226*S212+SourceEnergy!$H226*T212),""))</f>
        <v>1.5053229797259613</v>
      </c>
    </row>
    <row r="213" spans="1:24" ht="15" customHeight="1" outlineLevel="1" x14ac:dyDescent="0.2">
      <c r="A213" s="206">
        <v>46235</v>
      </c>
      <c r="B213" t="s">
        <v>104</v>
      </c>
      <c r="C213" t="s">
        <v>101</v>
      </c>
      <c r="D213" t="s">
        <v>10</v>
      </c>
      <c r="E213">
        <v>511.23399999999998</v>
      </c>
      <c r="F213" s="23"/>
      <c r="G213" s="192">
        <v>49888</v>
      </c>
      <c r="H213" s="181" t="s">
        <v>104</v>
      </c>
      <c r="I213" s="181" t="s">
        <v>101</v>
      </c>
      <c r="J213" s="181" t="s">
        <v>10</v>
      </c>
      <c r="K213" s="193">
        <v>486.25400000000002</v>
      </c>
      <c r="M213" s="183">
        <f t="shared" si="16"/>
        <v>49400</v>
      </c>
      <c r="N213" s="110">
        <f t="shared" si="17"/>
        <v>1993.0250000000001</v>
      </c>
      <c r="O213" s="111">
        <f t="shared" si="17"/>
        <v>441.35500000000002</v>
      </c>
      <c r="P213" s="190">
        <f t="shared" si="15"/>
        <v>2434.38</v>
      </c>
      <c r="R213" s="112">
        <f>SourceEnergy!B227</f>
        <v>49400</v>
      </c>
      <c r="S213" s="113">
        <v>49.013730000000002</v>
      </c>
      <c r="T213" s="114">
        <v>45.731859999999998</v>
      </c>
      <c r="U213" s="115">
        <f>IF(AND(Shape_Annually="Yes",Shape_Start&lt;=W210),W217,IF(ISNUMBER(SourceEnergy!$C227),SourceEnergy!$C227/(SourceEnergy!$G227*S213+SourceEnergy!$H227*T213),""))</f>
        <v>1.5053229797259613</v>
      </c>
      <c r="W213" s="25">
        <f>VLOOKUP(W210,'[1]Table 5'!$L$23:$N$43,2,FALSE)</f>
        <v>-4164.4104828834534</v>
      </c>
      <c r="X213" s="25" t="s">
        <v>83</v>
      </c>
    </row>
    <row r="214" spans="1:24" ht="15" customHeight="1" outlineLevel="1" x14ac:dyDescent="0.2">
      <c r="A214" s="206">
        <v>46266</v>
      </c>
      <c r="B214" t="s">
        <v>104</v>
      </c>
      <c r="C214" t="s">
        <v>101</v>
      </c>
      <c r="D214" t="s">
        <v>9</v>
      </c>
      <c r="E214">
        <v>2070.0749999999998</v>
      </c>
      <c r="F214" s="23"/>
      <c r="G214" s="192">
        <v>49919</v>
      </c>
      <c r="H214" s="181" t="s">
        <v>104</v>
      </c>
      <c r="I214" s="181" t="s">
        <v>101</v>
      </c>
      <c r="J214" s="181" t="s">
        <v>9</v>
      </c>
      <c r="K214" s="193">
        <v>1968.85</v>
      </c>
      <c r="M214" s="183">
        <f t="shared" si="16"/>
        <v>49430</v>
      </c>
      <c r="N214" s="110">
        <f t="shared" si="17"/>
        <v>2243.4879999999998</v>
      </c>
      <c r="O214" s="111">
        <f t="shared" si="17"/>
        <v>574.505</v>
      </c>
      <c r="P214" s="190">
        <f t="shared" si="15"/>
        <v>2817.9929999999999</v>
      </c>
      <c r="R214" s="112">
        <f>SourceEnergy!B228</f>
        <v>49430</v>
      </c>
      <c r="S214" s="113">
        <v>50.24147</v>
      </c>
      <c r="T214" s="114">
        <v>46.751519999999999</v>
      </c>
      <c r="U214" s="115">
        <f>IF(AND(Shape_Annually="Yes",Shape_Start&lt;=W210),W217,IF(ISNUMBER(SourceEnergy!$C228),SourceEnergy!$C228/(SourceEnergy!$G228*S214+SourceEnergy!$H228*T214),""))</f>
        <v>1.5053229797259613</v>
      </c>
      <c r="W214" s="25">
        <f>VLOOKUP(W210,'[1]Table 5'!$L$23:$N$43,3,FALSE)</f>
        <v>2174569.3911453574</v>
      </c>
      <c r="X214" s="25" t="s">
        <v>84</v>
      </c>
    </row>
    <row r="215" spans="1:24" ht="15" customHeight="1" outlineLevel="1" x14ac:dyDescent="0.2">
      <c r="A215" s="206">
        <v>46266</v>
      </c>
      <c r="B215" t="s">
        <v>104</v>
      </c>
      <c r="C215" t="s">
        <v>101</v>
      </c>
      <c r="D215" t="s">
        <v>10</v>
      </c>
      <c r="E215">
        <v>432.85500000000002</v>
      </c>
      <c r="F215" s="23"/>
      <c r="G215" s="192">
        <v>49919</v>
      </c>
      <c r="H215" s="181" t="s">
        <v>104</v>
      </c>
      <c r="I215" s="181" t="s">
        <v>101</v>
      </c>
      <c r="J215" s="181" t="s">
        <v>10</v>
      </c>
      <c r="K215" s="193">
        <v>411.71</v>
      </c>
      <c r="M215" s="183">
        <f t="shared" si="16"/>
        <v>49461</v>
      </c>
      <c r="N215" s="110">
        <f t="shared" si="17"/>
        <v>2445.7420000000002</v>
      </c>
      <c r="O215" s="111">
        <f t="shared" si="17"/>
        <v>548.01800000000003</v>
      </c>
      <c r="P215" s="190">
        <f t="shared" si="15"/>
        <v>2993.76</v>
      </c>
      <c r="R215" s="112">
        <f>SourceEnergy!B229</f>
        <v>49461</v>
      </c>
      <c r="S215" s="113">
        <v>52.255110000000002</v>
      </c>
      <c r="T215" s="114">
        <v>47.007089999999998</v>
      </c>
      <c r="U215" s="115">
        <f>IF(AND(Shape_Annually="Yes",Shape_Start&lt;=W210),W217,IF(ISNUMBER(SourceEnergy!$C229),SourceEnergy!$C229/(SourceEnergy!$G229*S215+SourceEnergy!$H229*T215),""))</f>
        <v>1.5053229797259613</v>
      </c>
      <c r="W215" s="25">
        <f>W213+W214</f>
        <v>2170404.9806624739</v>
      </c>
      <c r="X215" s="25" t="s">
        <v>85</v>
      </c>
    </row>
    <row r="216" spans="1:24" ht="15" customHeight="1" outlineLevel="1" x14ac:dyDescent="0.2">
      <c r="A216" s="206">
        <v>46296</v>
      </c>
      <c r="B216" t="s">
        <v>104</v>
      </c>
      <c r="C216" t="s">
        <v>101</v>
      </c>
      <c r="D216" t="s">
        <v>9</v>
      </c>
      <c r="E216">
        <v>1766.88</v>
      </c>
      <c r="F216" s="23"/>
      <c r="G216" s="192">
        <v>49949</v>
      </c>
      <c r="H216" s="181" t="s">
        <v>104</v>
      </c>
      <c r="I216" s="181" t="s">
        <v>101</v>
      </c>
      <c r="J216" s="181" t="s">
        <v>9</v>
      </c>
      <c r="K216" s="193">
        <v>1680.48</v>
      </c>
      <c r="M216" s="183">
        <f t="shared" si="16"/>
        <v>49491</v>
      </c>
      <c r="N216" s="110">
        <f t="shared" si="17"/>
        <v>2088.4749999999999</v>
      </c>
      <c r="O216" s="111">
        <f t="shared" si="17"/>
        <v>621.26599999999996</v>
      </c>
      <c r="P216" s="190">
        <f t="shared" si="15"/>
        <v>2709.741</v>
      </c>
      <c r="R216" s="112">
        <f>SourceEnergy!B230</f>
        <v>49491</v>
      </c>
      <c r="S216" s="113">
        <v>68.513599999999997</v>
      </c>
      <c r="T216" s="114">
        <v>57.06006</v>
      </c>
      <c r="U216" s="115">
        <f>IF(AND(Shape_Annually="Yes",Shape_Start&lt;=W210),W217,IF(ISNUMBER(SourceEnergy!$C230),SourceEnergy!$C230/(SourceEnergy!$G230*S216+SourceEnergy!$H230*T216),""))</f>
        <v>1.5053229797259613</v>
      </c>
    </row>
    <row r="217" spans="1:24" ht="15" customHeight="1" outlineLevel="1" x14ac:dyDescent="0.2">
      <c r="A217" s="206">
        <v>46296</v>
      </c>
      <c r="B217" t="s">
        <v>104</v>
      </c>
      <c r="C217" t="s">
        <v>101</v>
      </c>
      <c r="D217" t="s">
        <v>10</v>
      </c>
      <c r="E217">
        <v>262.22500000000002</v>
      </c>
      <c r="F217" s="23"/>
      <c r="G217" s="192">
        <v>49949</v>
      </c>
      <c r="H217" s="181" t="s">
        <v>104</v>
      </c>
      <c r="I217" s="181" t="s">
        <v>101</v>
      </c>
      <c r="J217" s="181" t="s">
        <v>10</v>
      </c>
      <c r="K217" s="193">
        <v>249.42500000000001</v>
      </c>
      <c r="M217" s="183">
        <f t="shared" si="16"/>
        <v>49522</v>
      </c>
      <c r="N217" s="110">
        <f t="shared" si="17"/>
        <v>2311.038</v>
      </c>
      <c r="O217" s="111">
        <f t="shared" si="17"/>
        <v>403.10500000000002</v>
      </c>
      <c r="P217" s="190">
        <f t="shared" si="15"/>
        <v>2714.143</v>
      </c>
      <c r="R217" s="112">
        <f>SourceEnergy!B231</f>
        <v>49522</v>
      </c>
      <c r="S217" s="113">
        <v>71.916880000000006</v>
      </c>
      <c r="T217" s="114">
        <v>59.006790000000002</v>
      </c>
      <c r="U217" s="115">
        <f>IF(AND(Shape_Annually="Yes",Shape_Start&lt;=W210),W217,IF(ISNUMBER(SourceEnergy!$C231),SourceEnergy!$C231/(SourceEnergy!$G231*S217+SourceEnergy!$H231*T217),""))</f>
        <v>1.5053229797259613</v>
      </c>
      <c r="W217" s="116">
        <f>IFERROR(W215/W211,0)</f>
        <v>1.5053229797259613</v>
      </c>
      <c r="X217" s="25" t="s">
        <v>86</v>
      </c>
    </row>
    <row r="218" spans="1:24" ht="15" customHeight="1" outlineLevel="1" x14ac:dyDescent="0.2">
      <c r="A218" s="206">
        <v>46327</v>
      </c>
      <c r="B218" t="s">
        <v>104</v>
      </c>
      <c r="C218" t="s">
        <v>101</v>
      </c>
      <c r="D218" t="s">
        <v>9</v>
      </c>
      <c r="E218">
        <v>1093.3679999999999</v>
      </c>
      <c r="F218" s="23"/>
      <c r="G218" s="192">
        <v>49980</v>
      </c>
      <c r="H218" s="181" t="s">
        <v>104</v>
      </c>
      <c r="I218" s="181" t="s">
        <v>101</v>
      </c>
      <c r="J218" s="181" t="s">
        <v>9</v>
      </c>
      <c r="K218" s="193">
        <v>1039.896</v>
      </c>
      <c r="M218" s="183">
        <f t="shared" si="16"/>
        <v>49553</v>
      </c>
      <c r="N218" s="110">
        <f t="shared" si="17"/>
        <v>1899.6</v>
      </c>
      <c r="O218" s="111">
        <f t="shared" si="17"/>
        <v>492.93</v>
      </c>
      <c r="P218" s="190">
        <f t="shared" si="15"/>
        <v>2392.5299999999997</v>
      </c>
      <c r="R218" s="112">
        <f>SourceEnergy!B232</f>
        <v>49553</v>
      </c>
      <c r="S218" s="113">
        <v>62.781599999999997</v>
      </c>
      <c r="T218" s="114">
        <v>55.08184</v>
      </c>
      <c r="U218" s="115">
        <f>IF(AND(Shape_Annually="Yes",Shape_Start&lt;=W210),W217,IF(ISNUMBER(SourceEnergy!$C232),SourceEnergy!$C232/(SourceEnergy!$G232*S218+SourceEnergy!$H232*T218),""))</f>
        <v>1.5053229797259613</v>
      </c>
    </row>
    <row r="219" spans="1:24" ht="15" customHeight="1" outlineLevel="1" x14ac:dyDescent="0.2">
      <c r="A219" s="206">
        <v>46327</v>
      </c>
      <c r="B219" t="s">
        <v>104</v>
      </c>
      <c r="C219" t="s">
        <v>101</v>
      </c>
      <c r="D219" t="s">
        <v>10</v>
      </c>
      <c r="E219">
        <v>273.34199999999998</v>
      </c>
      <c r="F219" s="23"/>
      <c r="G219" s="192">
        <v>49980</v>
      </c>
      <c r="H219" s="181" t="s">
        <v>104</v>
      </c>
      <c r="I219" s="181" t="s">
        <v>101</v>
      </c>
      <c r="J219" s="181" t="s">
        <v>10</v>
      </c>
      <c r="K219" s="193">
        <v>259.97399999999999</v>
      </c>
      <c r="M219" s="183">
        <f t="shared" si="16"/>
        <v>49583</v>
      </c>
      <c r="N219" s="110">
        <f t="shared" si="17"/>
        <v>1688.931</v>
      </c>
      <c r="O219" s="111">
        <f t="shared" si="17"/>
        <v>250.67699999999999</v>
      </c>
      <c r="P219" s="190">
        <f t="shared" si="15"/>
        <v>1939.6079999999999</v>
      </c>
      <c r="R219" s="112">
        <f>SourceEnergy!B233</f>
        <v>49583</v>
      </c>
      <c r="S219" s="113">
        <v>59.602760000000004</v>
      </c>
      <c r="T219" s="114">
        <v>54.310339999999997</v>
      </c>
      <c r="U219" s="115">
        <f>IF(AND(Shape_Annually="Yes",Shape_Start&lt;=W210),W217,IF(ISNUMBER(SourceEnergy!$C233),SourceEnergy!$C233/(SourceEnergy!$G233*S219+SourceEnergy!$H233*T219),""))</f>
        <v>1.5053229797259613</v>
      </c>
    </row>
    <row r="220" spans="1:24" ht="15" customHeight="1" outlineLevel="1" x14ac:dyDescent="0.2">
      <c r="A220" s="206">
        <v>46357</v>
      </c>
      <c r="B220" t="s">
        <v>104</v>
      </c>
      <c r="C220" t="s">
        <v>101</v>
      </c>
      <c r="D220" t="s">
        <v>9</v>
      </c>
      <c r="E220">
        <v>884.31200000000001</v>
      </c>
      <c r="F220" s="23"/>
      <c r="G220" s="192">
        <v>50010</v>
      </c>
      <c r="H220" s="181" t="s">
        <v>104</v>
      </c>
      <c r="I220" s="181" t="s">
        <v>101</v>
      </c>
      <c r="J220" s="181" t="s">
        <v>9</v>
      </c>
      <c r="K220" s="193">
        <v>841.07399999999996</v>
      </c>
      <c r="M220" s="183">
        <f t="shared" si="16"/>
        <v>49614</v>
      </c>
      <c r="N220" s="110">
        <f t="shared" si="17"/>
        <v>1088.7</v>
      </c>
      <c r="O220" s="111">
        <f t="shared" si="17"/>
        <v>217.74</v>
      </c>
      <c r="P220" s="190">
        <f t="shared" si="15"/>
        <v>1306.44</v>
      </c>
      <c r="R220" s="112">
        <f>SourceEnergy!B234</f>
        <v>49614</v>
      </c>
      <c r="S220" s="113">
        <v>58.745130000000003</v>
      </c>
      <c r="T220" s="114">
        <v>54.949779999999997</v>
      </c>
      <c r="U220" s="115">
        <f>IF(AND(Shape_Annually="Yes",Shape_Start&lt;=W210),W217,IF(ISNUMBER(SourceEnergy!$C234),SourceEnergy!$C234/(SourceEnergy!$G234*S220+SourceEnergy!$H234*T220),""))</f>
        <v>1.5053229797259613</v>
      </c>
    </row>
    <row r="221" spans="1:24" ht="15" customHeight="1" outlineLevel="1" x14ac:dyDescent="0.2">
      <c r="A221" s="206">
        <v>46357</v>
      </c>
      <c r="B221" t="s">
        <v>104</v>
      </c>
      <c r="C221" t="s">
        <v>101</v>
      </c>
      <c r="D221" t="s">
        <v>10</v>
      </c>
      <c r="E221">
        <v>170.06</v>
      </c>
      <c r="F221" s="23"/>
      <c r="G221" s="192">
        <v>50010</v>
      </c>
      <c r="H221" s="181" t="s">
        <v>104</v>
      </c>
      <c r="I221" s="181" t="s">
        <v>101</v>
      </c>
      <c r="J221" s="181" t="s">
        <v>10</v>
      </c>
      <c r="K221" s="193">
        <v>161.745</v>
      </c>
      <c r="M221" s="184">
        <f t="shared" si="16"/>
        <v>49644</v>
      </c>
      <c r="N221" s="117">
        <f t="shared" si="17"/>
        <v>812.77499999999998</v>
      </c>
      <c r="O221" s="118">
        <f t="shared" si="17"/>
        <v>195.066</v>
      </c>
      <c r="P221" s="191">
        <f t="shared" si="15"/>
        <v>1007.841</v>
      </c>
      <c r="R221" s="119">
        <f>SourceEnergy!B235</f>
        <v>49644</v>
      </c>
      <c r="S221" s="120">
        <v>60.426310000000001</v>
      </c>
      <c r="T221" s="121">
        <v>58.251860000000001</v>
      </c>
      <c r="U221" s="122">
        <f>IF(AND(Shape_Annually="Yes",Shape_Start&lt;=W210),W217,IF(ISNUMBER(SourceEnergy!$C235),SourceEnergy!$C235/(SourceEnergy!$G235*S221+SourceEnergy!$H235*T221),""))</f>
        <v>1.5053229797259613</v>
      </c>
    </row>
    <row r="222" spans="1:24" ht="15" customHeight="1" outlineLevel="1" x14ac:dyDescent="0.2">
      <c r="A222" s="206">
        <v>46388</v>
      </c>
      <c r="B222" t="s">
        <v>104</v>
      </c>
      <c r="C222" t="s">
        <v>101</v>
      </c>
      <c r="D222" t="s">
        <v>9</v>
      </c>
      <c r="E222">
        <v>1015.05</v>
      </c>
      <c r="F222" s="23"/>
      <c r="G222" s="192">
        <v>50041</v>
      </c>
      <c r="H222" s="181" t="s">
        <v>104</v>
      </c>
      <c r="I222" s="181" t="s">
        <v>101</v>
      </c>
      <c r="J222" s="181" t="s">
        <v>9</v>
      </c>
      <c r="K222" s="193">
        <v>1004.068</v>
      </c>
      <c r="M222" s="185">
        <f t="shared" si="16"/>
        <v>49675</v>
      </c>
      <c r="N222" s="102">
        <f t="shared" si="17"/>
        <v>1009.034</v>
      </c>
      <c r="O222" s="103">
        <f t="shared" si="17"/>
        <v>194.04499999999999</v>
      </c>
      <c r="P222" s="189">
        <f t="shared" si="15"/>
        <v>1203.079</v>
      </c>
      <c r="R222" s="104">
        <f>SourceEnergy!B236</f>
        <v>49675</v>
      </c>
      <c r="S222" s="105">
        <v>62.280419999999999</v>
      </c>
      <c r="T222" s="106">
        <v>59.451979999999999</v>
      </c>
      <c r="U222" s="107">
        <f>IF(AND(Shape_Annually="Yes",Shape_Start&lt;=W222),W229,IF(ISNUMBER(SourceEnergy!$C236),SourceEnergy!$C236/(SourceEnergy!$G236*S222+SourceEnergy!$H236*T222),""))</f>
        <v>1.4497905070485071</v>
      </c>
      <c r="W222" s="108">
        <f>YEAR(M222)</f>
        <v>2036</v>
      </c>
      <c r="X222" s="109"/>
    </row>
    <row r="223" spans="1:24" ht="15" customHeight="1" outlineLevel="1" x14ac:dyDescent="0.2">
      <c r="A223" s="206">
        <v>46388</v>
      </c>
      <c r="B223" t="s">
        <v>104</v>
      </c>
      <c r="C223" t="s">
        <v>101</v>
      </c>
      <c r="D223" t="s">
        <v>10</v>
      </c>
      <c r="E223">
        <v>243.61199999999999</v>
      </c>
      <c r="F223" s="23"/>
      <c r="G223" s="192">
        <v>50041</v>
      </c>
      <c r="H223" s="181" t="s">
        <v>104</v>
      </c>
      <c r="I223" s="181" t="s">
        <v>101</v>
      </c>
      <c r="J223" s="181" t="s">
        <v>10</v>
      </c>
      <c r="K223" s="193">
        <v>193.09</v>
      </c>
      <c r="M223" s="183">
        <f t="shared" si="16"/>
        <v>49706</v>
      </c>
      <c r="N223" s="110">
        <f t="shared" si="17"/>
        <v>1202.25</v>
      </c>
      <c r="O223" s="111">
        <f t="shared" si="17"/>
        <v>192.36</v>
      </c>
      <c r="P223" s="190">
        <f t="shared" si="15"/>
        <v>1394.6100000000001</v>
      </c>
      <c r="R223" s="112">
        <f>SourceEnergy!B237</f>
        <v>49706</v>
      </c>
      <c r="S223" s="113">
        <v>62.797370000000001</v>
      </c>
      <c r="T223" s="114">
        <v>59.575130000000001</v>
      </c>
      <c r="U223" s="115">
        <f>IF(AND(Shape_Annually="Yes",Shape_Start&lt;=W222),W229,IF(ISNUMBER(SourceEnergy!$C237),SourceEnergy!$C237/(SourceEnergy!$G237*S223+SourceEnergy!$H237*T223),""))</f>
        <v>1.4497905070485071</v>
      </c>
      <c r="W223" s="25">
        <f>SUMPRODUCT(N222:N233,S222:S233)+SUMPRODUCT(O222:O233,T222:T233)</f>
        <v>1531886.7695589699</v>
      </c>
      <c r="X223" s="25" t="s">
        <v>82</v>
      </c>
    </row>
    <row r="224" spans="1:24" ht="15" customHeight="1" outlineLevel="1" x14ac:dyDescent="0.2">
      <c r="A224" s="206">
        <v>46419</v>
      </c>
      <c r="B224" t="s">
        <v>104</v>
      </c>
      <c r="C224" t="s">
        <v>101</v>
      </c>
      <c r="D224" t="s">
        <v>9</v>
      </c>
      <c r="E224">
        <v>1207.44</v>
      </c>
      <c r="F224" s="23"/>
      <c r="G224" s="192">
        <v>50072</v>
      </c>
      <c r="H224" s="181" t="s">
        <v>104</v>
      </c>
      <c r="I224" s="181" t="s">
        <v>101</v>
      </c>
      <c r="J224" s="181" t="s">
        <v>9</v>
      </c>
      <c r="K224" s="193">
        <v>1148.4480000000001</v>
      </c>
      <c r="M224" s="183">
        <f t="shared" si="16"/>
        <v>49735</v>
      </c>
      <c r="N224" s="110">
        <f t="shared" si="17"/>
        <v>1758.2239999999999</v>
      </c>
      <c r="O224" s="111">
        <f t="shared" si="17"/>
        <v>338.92599999999999</v>
      </c>
      <c r="P224" s="190">
        <f t="shared" si="15"/>
        <v>2097.15</v>
      </c>
      <c r="R224" s="112">
        <f>SourceEnergy!B238</f>
        <v>49735</v>
      </c>
      <c r="S224" s="113">
        <v>57.184750000000001</v>
      </c>
      <c r="T224" s="114">
        <v>56.024700000000003</v>
      </c>
      <c r="U224" s="115">
        <f>IF(AND(Shape_Annually="Yes",Shape_Start&lt;=W222),W229,IF(ISNUMBER(SourceEnergy!$C238),SourceEnergy!$C238/(SourceEnergy!$G238*S224+SourceEnergy!$H238*T224),""))</f>
        <v>1.4497905070485071</v>
      </c>
    </row>
    <row r="225" spans="1:24" ht="15" customHeight="1" outlineLevel="1" x14ac:dyDescent="0.2">
      <c r="A225" s="206">
        <v>46419</v>
      </c>
      <c r="B225" t="s">
        <v>104</v>
      </c>
      <c r="C225" t="s">
        <v>101</v>
      </c>
      <c r="D225" t="s">
        <v>10</v>
      </c>
      <c r="E225">
        <v>201.24</v>
      </c>
      <c r="F225" s="23"/>
      <c r="G225" s="192">
        <v>50072</v>
      </c>
      <c r="H225" s="181" t="s">
        <v>104</v>
      </c>
      <c r="I225" s="181" t="s">
        <v>101</v>
      </c>
      <c r="J225" s="181" t="s">
        <v>10</v>
      </c>
      <c r="K225" s="193">
        <v>191.40799999999999</v>
      </c>
      <c r="M225" s="183">
        <f t="shared" si="16"/>
        <v>49766</v>
      </c>
      <c r="N225" s="110">
        <f t="shared" si="17"/>
        <v>2062.346</v>
      </c>
      <c r="O225" s="111">
        <f t="shared" si="17"/>
        <v>359.79399999999998</v>
      </c>
      <c r="P225" s="190">
        <f t="shared" si="15"/>
        <v>2422.14</v>
      </c>
      <c r="R225" s="112">
        <f>SourceEnergy!B239</f>
        <v>49766</v>
      </c>
      <c r="S225" s="113">
        <v>52.560110000000002</v>
      </c>
      <c r="T225" s="114">
        <v>49.224130000000002</v>
      </c>
      <c r="U225" s="115">
        <f>IF(AND(Shape_Annually="Yes",Shape_Start&lt;=W222),W229,IF(ISNUMBER(SourceEnergy!$C239),SourceEnergy!$C239/(SourceEnergy!$G239*S225+SourceEnergy!$H239*T225),""))</f>
        <v>1.4497905070485071</v>
      </c>
      <c r="W225" s="25">
        <f>VLOOKUP(W222,'[1]Table 5'!$L$23:$N$43,2,FALSE)</f>
        <v>-6574.0084458887577</v>
      </c>
      <c r="X225" s="25" t="s">
        <v>83</v>
      </c>
    </row>
    <row r="226" spans="1:24" ht="15" customHeight="1" outlineLevel="1" x14ac:dyDescent="0.2">
      <c r="A226" s="206">
        <v>46447</v>
      </c>
      <c r="B226" t="s">
        <v>104</v>
      </c>
      <c r="C226" t="s">
        <v>101</v>
      </c>
      <c r="D226" t="s">
        <v>9</v>
      </c>
      <c r="E226">
        <v>1910.0609999999999</v>
      </c>
      <c r="F226" s="23"/>
      <c r="G226" s="192">
        <v>50100</v>
      </c>
      <c r="H226" s="181" t="s">
        <v>104</v>
      </c>
      <c r="I226" s="181" t="s">
        <v>101</v>
      </c>
      <c r="J226" s="181" t="s">
        <v>9</v>
      </c>
      <c r="K226" s="193">
        <v>1749.4359999999999</v>
      </c>
      <c r="M226" s="183">
        <f t="shared" si="16"/>
        <v>49796</v>
      </c>
      <c r="N226" s="110">
        <f t="shared" ref="N226:O245" si="18">SUMIFS($K$6:$K$245,$G$6:$G$245,$M226,$J$6:$J$245,N$5)</f>
        <v>2232.2559999999999</v>
      </c>
      <c r="O226" s="111">
        <f t="shared" si="18"/>
        <v>571.63199999999995</v>
      </c>
      <c r="P226" s="190">
        <f t="shared" si="15"/>
        <v>2803.8879999999999</v>
      </c>
      <c r="R226" s="112">
        <f>SourceEnergy!B240</f>
        <v>49796</v>
      </c>
      <c r="S226" s="113">
        <v>54.187899999999999</v>
      </c>
      <c r="T226" s="114">
        <v>50.64199</v>
      </c>
      <c r="U226" s="115">
        <f>IF(AND(Shape_Annually="Yes",Shape_Start&lt;=W222),W229,IF(ISNUMBER(SourceEnergy!$C240),SourceEnergy!$C240/(SourceEnergy!$G240*S226+SourceEnergy!$H240*T226),""))</f>
        <v>1.4497905070485071</v>
      </c>
      <c r="W226" s="25">
        <f>VLOOKUP(W222,'[1]Table 5'!$L$23:$N$43,3,FALSE)</f>
        <v>2227488.9048256874</v>
      </c>
      <c r="X226" s="25" t="s">
        <v>84</v>
      </c>
    </row>
    <row r="227" spans="1:24" ht="15" customHeight="1" outlineLevel="1" x14ac:dyDescent="0.2">
      <c r="A227" s="206">
        <v>46447</v>
      </c>
      <c r="B227" t="s">
        <v>104</v>
      </c>
      <c r="C227" t="s">
        <v>101</v>
      </c>
      <c r="D227" t="s">
        <v>10</v>
      </c>
      <c r="E227">
        <v>283.80900000000003</v>
      </c>
      <c r="F227" s="23"/>
      <c r="G227" s="192">
        <v>50100</v>
      </c>
      <c r="H227" s="181" t="s">
        <v>104</v>
      </c>
      <c r="I227" s="181" t="s">
        <v>101</v>
      </c>
      <c r="J227" s="181" t="s">
        <v>10</v>
      </c>
      <c r="K227" s="193">
        <v>337.23599999999999</v>
      </c>
      <c r="M227" s="183">
        <f t="shared" si="16"/>
        <v>49827</v>
      </c>
      <c r="N227" s="110">
        <f t="shared" si="18"/>
        <v>2339.9</v>
      </c>
      <c r="O227" s="111">
        <f t="shared" si="18"/>
        <v>638.89</v>
      </c>
      <c r="P227" s="190">
        <f t="shared" si="15"/>
        <v>2978.79</v>
      </c>
      <c r="R227" s="112">
        <f>SourceEnergy!B241</f>
        <v>49827</v>
      </c>
      <c r="S227" s="113">
        <v>55.48077</v>
      </c>
      <c r="T227" s="114">
        <v>50.777500000000003</v>
      </c>
      <c r="U227" s="115">
        <f>IF(AND(Shape_Annually="Yes",Shape_Start&lt;=W222),W229,IF(ISNUMBER(SourceEnergy!$C241),SourceEnergy!$C241/(SourceEnergy!$G241*S227+SourceEnergy!$H241*T227),""))</f>
        <v>1.4497905070485071</v>
      </c>
      <c r="W227" s="25">
        <f>W225+W226</f>
        <v>2220914.8963797987</v>
      </c>
      <c r="X227" s="25" t="s">
        <v>85</v>
      </c>
    </row>
    <row r="228" spans="1:24" ht="15" customHeight="1" outlineLevel="1" x14ac:dyDescent="0.2">
      <c r="A228" s="206">
        <v>46478</v>
      </c>
      <c r="B228" t="s">
        <v>104</v>
      </c>
      <c r="C228" t="s">
        <v>101</v>
      </c>
      <c r="D228" t="s">
        <v>9</v>
      </c>
      <c r="E228">
        <v>2157.558</v>
      </c>
      <c r="F228" s="23"/>
      <c r="G228" s="192">
        <v>50131</v>
      </c>
      <c r="H228" s="181" t="s">
        <v>104</v>
      </c>
      <c r="I228" s="181" t="s">
        <v>101</v>
      </c>
      <c r="J228" s="181" t="s">
        <v>9</v>
      </c>
      <c r="K228" s="193">
        <v>2052.0500000000002</v>
      </c>
      <c r="M228" s="183">
        <f t="shared" si="16"/>
        <v>49857</v>
      </c>
      <c r="N228" s="110">
        <f t="shared" si="18"/>
        <v>2161.172</v>
      </c>
      <c r="O228" s="111">
        <f t="shared" si="18"/>
        <v>535.053</v>
      </c>
      <c r="P228" s="190">
        <f t="shared" si="15"/>
        <v>2696.2249999999999</v>
      </c>
      <c r="R228" s="112">
        <f>SourceEnergy!B242</f>
        <v>49857</v>
      </c>
      <c r="S228" s="113">
        <v>73.051280000000006</v>
      </c>
      <c r="T228" s="114">
        <v>60.768279999999997</v>
      </c>
      <c r="U228" s="115">
        <f>IF(AND(Shape_Annually="Yes",Shape_Start&lt;=W222),W229,IF(ISNUMBER(SourceEnergy!$C242),SourceEnergy!$C242/(SourceEnergy!$G242*S228+SourceEnergy!$H242*T228),""))</f>
        <v>1.4497905070485071</v>
      </c>
    </row>
    <row r="229" spans="1:24" ht="15" customHeight="1" outlineLevel="1" x14ac:dyDescent="0.2">
      <c r="A229" s="206">
        <v>46478</v>
      </c>
      <c r="B229" t="s">
        <v>104</v>
      </c>
      <c r="C229" t="s">
        <v>101</v>
      </c>
      <c r="D229" t="s">
        <v>10</v>
      </c>
      <c r="E229">
        <v>376.42200000000003</v>
      </c>
      <c r="F229" s="23"/>
      <c r="G229" s="192">
        <v>50131</v>
      </c>
      <c r="H229" s="181" t="s">
        <v>104</v>
      </c>
      <c r="I229" s="181" t="s">
        <v>101</v>
      </c>
      <c r="J229" s="181" t="s">
        <v>10</v>
      </c>
      <c r="K229" s="193">
        <v>358</v>
      </c>
      <c r="M229" s="183">
        <f t="shared" si="16"/>
        <v>49888</v>
      </c>
      <c r="N229" s="110">
        <f t="shared" si="18"/>
        <v>2214.3420000000001</v>
      </c>
      <c r="O229" s="111">
        <f t="shared" si="18"/>
        <v>486.25400000000002</v>
      </c>
      <c r="P229" s="190">
        <f t="shared" si="15"/>
        <v>2700.596</v>
      </c>
      <c r="R229" s="112">
        <f>SourceEnergy!B243</f>
        <v>49888</v>
      </c>
      <c r="S229" s="113">
        <v>76.274150000000006</v>
      </c>
      <c r="T229" s="114">
        <v>63.739490000000004</v>
      </c>
      <c r="U229" s="115">
        <f>IF(AND(Shape_Annually="Yes",Shape_Start&lt;=W222),W229,IF(ISNUMBER(SourceEnergy!$C243),SourceEnergy!$C243/(SourceEnergy!$G243*S229+SourceEnergy!$H243*T229),""))</f>
        <v>1.4497905070485071</v>
      </c>
      <c r="W229" s="116">
        <f>IFERROR(W227/W223,0)</f>
        <v>1.4497905070485071</v>
      </c>
      <c r="X229" s="25" t="s">
        <v>86</v>
      </c>
    </row>
    <row r="230" spans="1:24" ht="15" customHeight="1" outlineLevel="1" x14ac:dyDescent="0.2">
      <c r="A230" s="206">
        <v>46508</v>
      </c>
      <c r="B230" t="s">
        <v>104</v>
      </c>
      <c r="C230" t="s">
        <v>101</v>
      </c>
      <c r="D230" t="s">
        <v>9</v>
      </c>
      <c r="E230">
        <v>2245.4499999999998</v>
      </c>
      <c r="F230" s="23"/>
      <c r="G230" s="192">
        <v>50161</v>
      </c>
      <c r="H230" s="181" t="s">
        <v>104</v>
      </c>
      <c r="I230" s="181" t="s">
        <v>101</v>
      </c>
      <c r="J230" s="181" t="s">
        <v>9</v>
      </c>
      <c r="K230" s="193">
        <v>2135.6750000000002</v>
      </c>
      <c r="M230" s="183">
        <f t="shared" si="16"/>
        <v>49919</v>
      </c>
      <c r="N230" s="110">
        <f t="shared" si="18"/>
        <v>1968.85</v>
      </c>
      <c r="O230" s="111">
        <f t="shared" si="18"/>
        <v>411.71</v>
      </c>
      <c r="P230" s="190">
        <f t="shared" si="15"/>
        <v>2380.56</v>
      </c>
      <c r="R230" s="112">
        <f>SourceEnergy!B244</f>
        <v>49919</v>
      </c>
      <c r="S230" s="113">
        <v>66.9285</v>
      </c>
      <c r="T230" s="114">
        <v>58.801090000000002</v>
      </c>
      <c r="U230" s="115">
        <f>IF(AND(Shape_Annually="Yes",Shape_Start&lt;=W222),W229,IF(ISNUMBER(SourceEnergy!$C244),SourceEnergy!$C244/(SourceEnergy!$G244*S230+SourceEnergy!$H244*T230),""))</f>
        <v>1.4497905070485071</v>
      </c>
    </row>
    <row r="231" spans="1:24" ht="15" customHeight="1" outlineLevel="1" x14ac:dyDescent="0.2">
      <c r="A231" s="206">
        <v>46508</v>
      </c>
      <c r="B231" t="s">
        <v>104</v>
      </c>
      <c r="C231" t="s">
        <v>101</v>
      </c>
      <c r="D231" t="s">
        <v>10</v>
      </c>
      <c r="E231">
        <v>687.80100000000004</v>
      </c>
      <c r="F231" s="23"/>
      <c r="G231" s="192">
        <v>50161</v>
      </c>
      <c r="H231" s="181" t="s">
        <v>104</v>
      </c>
      <c r="I231" s="181" t="s">
        <v>101</v>
      </c>
      <c r="J231" s="181" t="s">
        <v>10</v>
      </c>
      <c r="K231" s="193">
        <v>654.20100000000002</v>
      </c>
      <c r="M231" s="183">
        <f t="shared" si="16"/>
        <v>49949</v>
      </c>
      <c r="N231" s="110">
        <f t="shared" si="18"/>
        <v>1680.48</v>
      </c>
      <c r="O231" s="111">
        <f t="shared" si="18"/>
        <v>249.42500000000001</v>
      </c>
      <c r="P231" s="190">
        <f t="shared" si="15"/>
        <v>1929.905</v>
      </c>
      <c r="R231" s="112">
        <f>SourceEnergy!B245</f>
        <v>49949</v>
      </c>
      <c r="S231" s="113">
        <v>63.105589999999999</v>
      </c>
      <c r="T231" s="114">
        <v>57.984070000000003</v>
      </c>
      <c r="U231" s="115">
        <f>IF(AND(Shape_Annually="Yes",Shape_Start&lt;=W222),W229,IF(ISNUMBER(SourceEnergy!$C245),SourceEnergy!$C245/(SourceEnergy!$G245*S231+SourceEnergy!$H245*T231),""))</f>
        <v>1.4497905070485071</v>
      </c>
    </row>
    <row r="232" spans="1:24" ht="15" customHeight="1" outlineLevel="1" x14ac:dyDescent="0.2">
      <c r="A232" s="206">
        <v>46539</v>
      </c>
      <c r="B232" t="s">
        <v>104</v>
      </c>
      <c r="C232" t="s">
        <v>101</v>
      </c>
      <c r="D232" t="s">
        <v>9</v>
      </c>
      <c r="E232">
        <v>2545.8420000000001</v>
      </c>
      <c r="F232" s="23"/>
      <c r="G232" s="192">
        <v>50192</v>
      </c>
      <c r="H232" s="181" t="s">
        <v>104</v>
      </c>
      <c r="I232" s="181" t="s">
        <v>101</v>
      </c>
      <c r="J232" s="181" t="s">
        <v>9</v>
      </c>
      <c r="K232" s="193">
        <v>2421.328</v>
      </c>
      <c r="M232" s="183">
        <f t="shared" si="16"/>
        <v>49980</v>
      </c>
      <c r="N232" s="110">
        <f t="shared" si="18"/>
        <v>1039.896</v>
      </c>
      <c r="O232" s="111">
        <f t="shared" si="18"/>
        <v>259.97399999999999</v>
      </c>
      <c r="P232" s="190">
        <f t="shared" si="15"/>
        <v>1299.8699999999999</v>
      </c>
      <c r="R232" s="112">
        <f>SourceEnergy!B246</f>
        <v>49980</v>
      </c>
      <c r="S232" s="113">
        <v>63.209710000000001</v>
      </c>
      <c r="T232" s="114">
        <v>59.443049999999999</v>
      </c>
      <c r="U232" s="115">
        <f>IF(AND(Shape_Annually="Yes",Shape_Start&lt;=W222),W229,IF(ISNUMBER(SourceEnergy!$C246),SourceEnergy!$C246/(SourceEnergy!$G246*S232+SourceEnergy!$H246*T232),""))</f>
        <v>1.4497905070485071</v>
      </c>
    </row>
    <row r="233" spans="1:24" ht="15" customHeight="1" outlineLevel="1" x14ac:dyDescent="0.2">
      <c r="A233" s="206">
        <v>46539</v>
      </c>
      <c r="B233" t="s">
        <v>104</v>
      </c>
      <c r="C233" t="s">
        <v>101</v>
      </c>
      <c r="D233" t="s">
        <v>10</v>
      </c>
      <c r="E233">
        <v>570.43799999999999</v>
      </c>
      <c r="F233" s="23"/>
      <c r="G233" s="192">
        <v>50192</v>
      </c>
      <c r="H233" s="181" t="s">
        <v>104</v>
      </c>
      <c r="I233" s="181" t="s">
        <v>101</v>
      </c>
      <c r="J233" s="181" t="s">
        <v>10</v>
      </c>
      <c r="K233" s="193">
        <v>542.55200000000002</v>
      </c>
      <c r="M233" s="184">
        <f t="shared" si="16"/>
        <v>50010</v>
      </c>
      <c r="N233" s="117">
        <f t="shared" si="18"/>
        <v>841.07399999999996</v>
      </c>
      <c r="O233" s="118">
        <f t="shared" si="18"/>
        <v>161.745</v>
      </c>
      <c r="P233" s="191">
        <f t="shared" si="15"/>
        <v>1002.819</v>
      </c>
      <c r="R233" s="119">
        <f>SourceEnergy!B247</f>
        <v>50010</v>
      </c>
      <c r="S233" s="120">
        <v>64.982489999999999</v>
      </c>
      <c r="T233" s="121">
        <v>62.606200000000001</v>
      </c>
      <c r="U233" s="122">
        <f>IF(AND(Shape_Annually="Yes",Shape_Start&lt;=W222),W229,IF(ISNUMBER(SourceEnergy!$C247),SourceEnergy!$C247/(SourceEnergy!$G247*S233+SourceEnergy!$H247*T233),""))</f>
        <v>1.4497905070485071</v>
      </c>
    </row>
    <row r="234" spans="1:24" ht="15" customHeight="1" x14ac:dyDescent="0.2">
      <c r="A234" s="206">
        <v>46569</v>
      </c>
      <c r="B234" t="s">
        <v>104</v>
      </c>
      <c r="C234" t="s">
        <v>101</v>
      </c>
      <c r="D234" t="s">
        <v>9</v>
      </c>
      <c r="E234">
        <v>2260.8560000000002</v>
      </c>
      <c r="F234" s="23"/>
      <c r="G234" s="192">
        <v>50222</v>
      </c>
      <c r="H234" s="181" t="s">
        <v>104</v>
      </c>
      <c r="I234" s="181" t="s">
        <v>101</v>
      </c>
      <c r="J234" s="181" t="s">
        <v>9</v>
      </c>
      <c r="K234" s="193">
        <v>2150.33</v>
      </c>
      <c r="M234" s="185">
        <f t="shared" si="16"/>
        <v>50041</v>
      </c>
      <c r="N234" s="102">
        <f t="shared" si="18"/>
        <v>1004.068</v>
      </c>
      <c r="O234" s="103">
        <f t="shared" si="18"/>
        <v>193.09</v>
      </c>
      <c r="P234" s="189">
        <f t="shared" si="15"/>
        <v>1197.1579999999999</v>
      </c>
      <c r="R234" s="104">
        <f>SourceEnergy!B248</f>
        <v>50041</v>
      </c>
      <c r="S234" s="105">
        <v>66.804810000000003</v>
      </c>
      <c r="T234" s="106">
        <v>63.701129999999999</v>
      </c>
      <c r="U234" s="107">
        <f>IF(AND(Shape_Annually="Yes",Shape_Start&lt;=W234),W241,IF(ISNUMBER(SourceEnergy!$C248),SourceEnergy!$C248/(SourceEnergy!$G248*S234+SourceEnergy!$H248*T234),""))</f>
        <v>1.441816322664105</v>
      </c>
      <c r="W234" s="108">
        <f>YEAR(M234)</f>
        <v>2037</v>
      </c>
      <c r="X234" s="109"/>
    </row>
    <row r="235" spans="1:24" ht="15" customHeight="1" x14ac:dyDescent="0.2">
      <c r="A235" s="206">
        <v>46569</v>
      </c>
      <c r="B235" t="s">
        <v>104</v>
      </c>
      <c r="C235" t="s">
        <v>101</v>
      </c>
      <c r="D235" t="s">
        <v>10</v>
      </c>
      <c r="E235">
        <v>559.71</v>
      </c>
      <c r="F235" s="23"/>
      <c r="G235" s="192">
        <v>50222</v>
      </c>
      <c r="H235" s="181" t="s">
        <v>104</v>
      </c>
      <c r="I235" s="181" t="s">
        <v>101</v>
      </c>
      <c r="J235" s="181" t="s">
        <v>10</v>
      </c>
      <c r="K235" s="193">
        <v>532.37900000000002</v>
      </c>
      <c r="M235" s="183">
        <f t="shared" si="16"/>
        <v>50072</v>
      </c>
      <c r="N235" s="110">
        <f t="shared" si="18"/>
        <v>1148.4480000000001</v>
      </c>
      <c r="O235" s="111">
        <f t="shared" si="18"/>
        <v>191.40799999999999</v>
      </c>
      <c r="P235" s="190">
        <f t="shared" si="15"/>
        <v>1339.856</v>
      </c>
      <c r="R235" s="112">
        <f>SourceEnergy!B249</f>
        <v>50072</v>
      </c>
      <c r="S235" s="113">
        <v>66.686260000000004</v>
      </c>
      <c r="T235" s="114">
        <v>63.747340000000001</v>
      </c>
      <c r="U235" s="115">
        <f>IF(AND(Shape_Annually="Yes",Shape_Start&lt;=W234),W241,IF(ISNUMBER(SourceEnergy!$C249),SourceEnergy!$C249/(SourceEnergy!$G249*S235+SourceEnergy!$H249*T235),""))</f>
        <v>1.441816322664105</v>
      </c>
      <c r="W235" s="25">
        <f>SUMPRODUCT(N234:N245,S234:S245)+SUMPRODUCT(O234:O245,T234:T245)</f>
        <v>1577793.79719709</v>
      </c>
      <c r="X235" s="25" t="s">
        <v>82</v>
      </c>
    </row>
    <row r="236" spans="1:24" ht="15" customHeight="1" x14ac:dyDescent="0.2">
      <c r="A236" s="206">
        <v>46600</v>
      </c>
      <c r="B236" t="s">
        <v>104</v>
      </c>
      <c r="C236" t="s">
        <v>101</v>
      </c>
      <c r="D236" t="s">
        <v>9</v>
      </c>
      <c r="E236">
        <v>2316.5219999999999</v>
      </c>
      <c r="F236" s="23"/>
      <c r="G236" s="192">
        <v>50253</v>
      </c>
      <c r="H236" s="181" t="s">
        <v>104</v>
      </c>
      <c r="I236" s="181" t="s">
        <v>101</v>
      </c>
      <c r="J236" s="181" t="s">
        <v>9</v>
      </c>
      <c r="K236" s="193">
        <v>2203.2399999999998</v>
      </c>
      <c r="M236" s="183">
        <f t="shared" si="16"/>
        <v>50100</v>
      </c>
      <c r="N236" s="110">
        <f t="shared" si="18"/>
        <v>1749.4359999999999</v>
      </c>
      <c r="O236" s="111">
        <f t="shared" si="18"/>
        <v>337.23599999999999</v>
      </c>
      <c r="P236" s="190">
        <f t="shared" si="15"/>
        <v>2086.672</v>
      </c>
      <c r="R236" s="112">
        <f>SourceEnergy!B250</f>
        <v>50100</v>
      </c>
      <c r="S236" s="113">
        <v>60.054070000000003</v>
      </c>
      <c r="T236" s="114">
        <v>58.864899999999999</v>
      </c>
      <c r="U236" s="115">
        <f>IF(AND(Shape_Annually="Yes",Shape_Start&lt;=W234),W241,IF(ISNUMBER(SourceEnergy!$C250),SourceEnergy!$C250/(SourceEnergy!$G250*S236+SourceEnergy!$H250*T236),""))</f>
        <v>1.441816322664105</v>
      </c>
    </row>
    <row r="237" spans="1:24" ht="15" customHeight="1" x14ac:dyDescent="0.2">
      <c r="A237" s="206">
        <v>46600</v>
      </c>
      <c r="B237" t="s">
        <v>104</v>
      </c>
      <c r="C237" t="s">
        <v>101</v>
      </c>
      <c r="D237" t="s">
        <v>10</v>
      </c>
      <c r="E237">
        <v>508.69400000000002</v>
      </c>
      <c r="F237" s="23"/>
      <c r="G237" s="192">
        <v>50253</v>
      </c>
      <c r="H237" s="181" t="s">
        <v>104</v>
      </c>
      <c r="I237" s="181" t="s">
        <v>101</v>
      </c>
      <c r="J237" s="181" t="s">
        <v>10</v>
      </c>
      <c r="K237" s="193">
        <v>483.80900000000003</v>
      </c>
      <c r="M237" s="183">
        <f t="shared" si="16"/>
        <v>50131</v>
      </c>
      <c r="N237" s="110">
        <f t="shared" si="18"/>
        <v>2052.0500000000002</v>
      </c>
      <c r="O237" s="111">
        <f t="shared" si="18"/>
        <v>358</v>
      </c>
      <c r="P237" s="190">
        <f t="shared" si="15"/>
        <v>2410.0500000000002</v>
      </c>
      <c r="R237" s="112">
        <f>SourceEnergy!B251</f>
        <v>50131</v>
      </c>
      <c r="S237" s="113">
        <v>55.000979999999998</v>
      </c>
      <c r="T237" s="114">
        <v>52.076160000000002</v>
      </c>
      <c r="U237" s="115">
        <f>IF(AND(Shape_Annually="Yes",Shape_Start&lt;=W234),W241,IF(ISNUMBER(SourceEnergy!$C251),SourceEnergy!$C251/(SourceEnergy!$G251*S237+SourceEnergy!$H251*T237),""))</f>
        <v>1.441816322664105</v>
      </c>
      <c r="W237" s="25">
        <f>VLOOKUP(W234,'[1]Table 5'!$L$23:$N$43,2,FALSE)</f>
        <v>-6805.8060888051987</v>
      </c>
      <c r="X237" s="25" t="s">
        <v>83</v>
      </c>
    </row>
    <row r="238" spans="1:24" ht="15" customHeight="1" x14ac:dyDescent="0.2">
      <c r="A238" s="206">
        <v>46631</v>
      </c>
      <c r="B238" t="s">
        <v>104</v>
      </c>
      <c r="C238" t="s">
        <v>101</v>
      </c>
      <c r="D238" t="s">
        <v>9</v>
      </c>
      <c r="E238">
        <v>2059.6999999999998</v>
      </c>
      <c r="F238" s="23"/>
      <c r="G238" s="192">
        <v>50284</v>
      </c>
      <c r="H238" s="181" t="s">
        <v>104</v>
      </c>
      <c r="I238" s="181" t="s">
        <v>101</v>
      </c>
      <c r="J238" s="181" t="s">
        <v>9</v>
      </c>
      <c r="K238" s="193">
        <v>1958.95</v>
      </c>
      <c r="M238" s="183">
        <f t="shared" si="16"/>
        <v>50161</v>
      </c>
      <c r="N238" s="110">
        <f t="shared" si="18"/>
        <v>2135.6750000000002</v>
      </c>
      <c r="O238" s="111">
        <f t="shared" si="18"/>
        <v>654.20100000000002</v>
      </c>
      <c r="P238" s="190">
        <f t="shared" si="15"/>
        <v>2789.8760000000002</v>
      </c>
      <c r="R238" s="112">
        <f>SourceEnergy!B252</f>
        <v>50161</v>
      </c>
      <c r="S238" s="113">
        <v>56.227440000000001</v>
      </c>
      <c r="T238" s="114">
        <v>52.473199999999999</v>
      </c>
      <c r="U238" s="115">
        <f>IF(AND(Shape_Annually="Yes",Shape_Start&lt;=W234),W241,IF(ISNUMBER(SourceEnergy!$C252),SourceEnergy!$C252/(SourceEnergy!$G252*S238+SourceEnergy!$H252*T238),""))</f>
        <v>1.441816322664105</v>
      </c>
      <c r="W238" s="25">
        <f>VLOOKUP(W234,'[1]Table 5'!$L$23:$N$43,3,FALSE)</f>
        <v>2281694.6566857481</v>
      </c>
      <c r="X238" s="25" t="s">
        <v>84</v>
      </c>
    </row>
    <row r="239" spans="1:24" ht="15" customHeight="1" x14ac:dyDescent="0.2">
      <c r="A239" s="206">
        <v>46631</v>
      </c>
      <c r="B239" t="s">
        <v>104</v>
      </c>
      <c r="C239" t="s">
        <v>101</v>
      </c>
      <c r="D239" t="s">
        <v>10</v>
      </c>
      <c r="E239">
        <v>430.69</v>
      </c>
      <c r="F239" s="23"/>
      <c r="G239" s="192">
        <v>50284</v>
      </c>
      <c r="H239" s="181" t="s">
        <v>104</v>
      </c>
      <c r="I239" s="181" t="s">
        <v>101</v>
      </c>
      <c r="J239" s="181" t="s">
        <v>10</v>
      </c>
      <c r="K239" s="193">
        <v>409.64</v>
      </c>
      <c r="M239" s="183">
        <f t="shared" si="16"/>
        <v>50192</v>
      </c>
      <c r="N239" s="110">
        <f t="shared" si="18"/>
        <v>2421.328</v>
      </c>
      <c r="O239" s="111">
        <f t="shared" si="18"/>
        <v>542.55200000000002</v>
      </c>
      <c r="P239" s="190">
        <f t="shared" si="15"/>
        <v>2963.88</v>
      </c>
      <c r="R239" s="112">
        <f>SourceEnergy!B253</f>
        <v>50192</v>
      </c>
      <c r="S239" s="113">
        <v>58.917319999999997</v>
      </c>
      <c r="T239" s="114">
        <v>53.451999999999998</v>
      </c>
      <c r="U239" s="115">
        <f>IF(AND(Shape_Annually="Yes",Shape_Start&lt;=W234),W241,IF(ISNUMBER(SourceEnergy!$C253),SourceEnergy!$C253/(SourceEnergy!$G253*S239+SourceEnergy!$H253*T239),""))</f>
        <v>1.441816322664105</v>
      </c>
      <c r="W239" s="25">
        <f>W237+W238</f>
        <v>2274888.8505969429</v>
      </c>
      <c r="X239" s="25" t="s">
        <v>85</v>
      </c>
    </row>
    <row r="240" spans="1:24" ht="15" customHeight="1" x14ac:dyDescent="0.2">
      <c r="A240" s="206">
        <v>46661</v>
      </c>
      <c r="B240" t="s">
        <v>104</v>
      </c>
      <c r="C240" t="s">
        <v>101</v>
      </c>
      <c r="D240" t="s">
        <v>9</v>
      </c>
      <c r="E240">
        <v>1692.99</v>
      </c>
      <c r="F240" s="23"/>
      <c r="G240" s="192">
        <v>50314</v>
      </c>
      <c r="H240" s="181" t="s">
        <v>104</v>
      </c>
      <c r="I240" s="181" t="s">
        <v>101</v>
      </c>
      <c r="J240" s="181" t="s">
        <v>9</v>
      </c>
      <c r="K240" s="193">
        <v>1672.11</v>
      </c>
      <c r="M240" s="183">
        <f t="shared" si="16"/>
        <v>50222</v>
      </c>
      <c r="N240" s="110">
        <f t="shared" si="18"/>
        <v>2150.33</v>
      </c>
      <c r="O240" s="111">
        <f t="shared" si="18"/>
        <v>532.37900000000002</v>
      </c>
      <c r="P240" s="190">
        <f t="shared" si="15"/>
        <v>2682.7089999999998</v>
      </c>
      <c r="R240" s="112">
        <f>SourceEnergy!B254</f>
        <v>50222</v>
      </c>
      <c r="S240" s="113">
        <v>74.806359999999998</v>
      </c>
      <c r="T240" s="114">
        <v>62.566009999999999</v>
      </c>
      <c r="U240" s="115">
        <f>IF(AND(Shape_Annually="Yes",Shape_Start&lt;=W234),W241,IF(ISNUMBER(SourceEnergy!$C254),SourceEnergy!$C254/(SourceEnergy!$G254*S240+SourceEnergy!$H254*T240),""))</f>
        <v>1.441816322664105</v>
      </c>
    </row>
    <row r="241" spans="1:24" ht="15" customHeight="1" x14ac:dyDescent="0.2">
      <c r="A241" s="206">
        <v>46661</v>
      </c>
      <c r="B241" t="s">
        <v>104</v>
      </c>
      <c r="C241" t="s">
        <v>101</v>
      </c>
      <c r="D241" t="s">
        <v>10</v>
      </c>
      <c r="E241">
        <v>326.04000000000002</v>
      </c>
      <c r="F241" s="23"/>
      <c r="G241" s="192">
        <v>50314</v>
      </c>
      <c r="H241" s="181" t="s">
        <v>104</v>
      </c>
      <c r="I241" s="181" t="s">
        <v>101</v>
      </c>
      <c r="J241" s="181" t="s">
        <v>10</v>
      </c>
      <c r="K241" s="193">
        <v>248.185</v>
      </c>
      <c r="M241" s="183">
        <f t="shared" si="16"/>
        <v>50253</v>
      </c>
      <c r="N241" s="110">
        <f t="shared" si="18"/>
        <v>2203.2399999999998</v>
      </c>
      <c r="O241" s="111">
        <f t="shared" si="18"/>
        <v>483.80900000000003</v>
      </c>
      <c r="P241" s="190">
        <f t="shared" si="15"/>
        <v>2687.049</v>
      </c>
      <c r="R241" s="112">
        <f>SourceEnergy!B255</f>
        <v>50253</v>
      </c>
      <c r="S241" s="113">
        <v>78.668949999999995</v>
      </c>
      <c r="T241" s="114">
        <v>65.373390000000001</v>
      </c>
      <c r="U241" s="115">
        <f>IF(AND(Shape_Annually="Yes",Shape_Start&lt;=W234),W241,IF(ISNUMBER(SourceEnergy!$C255),SourceEnergy!$C255/(SourceEnergy!$G255*S241+SourceEnergy!$H255*T241),""))</f>
        <v>1.441816322664105</v>
      </c>
      <c r="W241" s="116">
        <f>IFERROR(W239/W235,0)</f>
        <v>1.441816322664105</v>
      </c>
      <c r="X241" s="25" t="s">
        <v>86</v>
      </c>
    </row>
    <row r="242" spans="1:24" ht="15" customHeight="1" x14ac:dyDescent="0.2">
      <c r="A242" s="206">
        <v>46692</v>
      </c>
      <c r="B242" t="s">
        <v>104</v>
      </c>
      <c r="C242" t="s">
        <v>101</v>
      </c>
      <c r="D242" t="s">
        <v>9</v>
      </c>
      <c r="E242">
        <v>1133.2750000000001</v>
      </c>
      <c r="F242" s="23"/>
      <c r="G242" s="192">
        <v>50345</v>
      </c>
      <c r="H242" s="181" t="s">
        <v>104</v>
      </c>
      <c r="I242" s="181" t="s">
        <v>101</v>
      </c>
      <c r="J242" s="181" t="s">
        <v>9</v>
      </c>
      <c r="K242" s="193">
        <v>1034.6880000000001</v>
      </c>
      <c r="M242" s="183">
        <f t="shared" si="16"/>
        <v>50284</v>
      </c>
      <c r="N242" s="110">
        <f t="shared" si="18"/>
        <v>1958.95</v>
      </c>
      <c r="O242" s="111">
        <f t="shared" si="18"/>
        <v>409.64</v>
      </c>
      <c r="P242" s="190">
        <f t="shared" si="15"/>
        <v>2368.59</v>
      </c>
      <c r="R242" s="112">
        <f>SourceEnergy!B256</f>
        <v>50284</v>
      </c>
      <c r="S242" s="113">
        <v>68.147750000000002</v>
      </c>
      <c r="T242" s="114">
        <v>60.115729999999999</v>
      </c>
      <c r="U242" s="115">
        <f>IF(AND(Shape_Annually="Yes",Shape_Start&lt;=W234),W241,IF(ISNUMBER(SourceEnergy!$C256),SourceEnergy!$C256/(SourceEnergy!$G256*S242+SourceEnergy!$H256*T242),""))</f>
        <v>1.441816322664105</v>
      </c>
    </row>
    <row r="243" spans="1:24" ht="15" customHeight="1" x14ac:dyDescent="0.2">
      <c r="A243" s="206">
        <v>46692</v>
      </c>
      <c r="B243" t="s">
        <v>104</v>
      </c>
      <c r="C243" t="s">
        <v>101</v>
      </c>
      <c r="D243" t="s">
        <v>10</v>
      </c>
      <c r="E243">
        <v>226.655</v>
      </c>
      <c r="F243" s="23"/>
      <c r="G243" s="192">
        <v>50345</v>
      </c>
      <c r="H243" s="181" t="s">
        <v>104</v>
      </c>
      <c r="I243" s="181" t="s">
        <v>101</v>
      </c>
      <c r="J243" s="181" t="s">
        <v>10</v>
      </c>
      <c r="K243" s="193">
        <v>258.67200000000003</v>
      </c>
      <c r="M243" s="183">
        <f t="shared" si="16"/>
        <v>50314</v>
      </c>
      <c r="N243" s="110">
        <f t="shared" si="18"/>
        <v>1672.11</v>
      </c>
      <c r="O243" s="111">
        <f t="shared" si="18"/>
        <v>248.185</v>
      </c>
      <c r="P243" s="190">
        <f t="shared" si="15"/>
        <v>1920.2949999999998</v>
      </c>
      <c r="R243" s="112">
        <f>SourceEnergy!B257</f>
        <v>50314</v>
      </c>
      <c r="S243" s="113">
        <v>63.86795</v>
      </c>
      <c r="T243" s="114">
        <v>58.925359999999998</v>
      </c>
      <c r="U243" s="115">
        <f>IF(AND(Shape_Annually="Yes",Shape_Start&lt;=W234),W241,IF(ISNUMBER(SourceEnergy!$C257),SourceEnergy!$C257/(SourceEnergy!$G257*S243+SourceEnergy!$H257*T243),""))</f>
        <v>1.441816322664105</v>
      </c>
    </row>
    <row r="244" spans="1:24" ht="15" customHeight="1" x14ac:dyDescent="0.2">
      <c r="A244" s="206">
        <v>46722</v>
      </c>
      <c r="B244" t="s">
        <v>104</v>
      </c>
      <c r="C244" t="s">
        <v>101</v>
      </c>
      <c r="D244" t="s">
        <v>9</v>
      </c>
      <c r="E244">
        <v>879.91800000000001</v>
      </c>
      <c r="F244" s="23"/>
      <c r="G244" s="192">
        <v>50375</v>
      </c>
      <c r="H244" s="181" t="s">
        <v>104</v>
      </c>
      <c r="I244" s="181" t="s">
        <v>101</v>
      </c>
      <c r="J244" s="181" t="s">
        <v>9</v>
      </c>
      <c r="K244" s="193">
        <v>836.86199999999997</v>
      </c>
      <c r="M244" s="183">
        <f t="shared" si="16"/>
        <v>50345</v>
      </c>
      <c r="N244" s="110">
        <f t="shared" si="18"/>
        <v>1034.6880000000001</v>
      </c>
      <c r="O244" s="111">
        <f t="shared" si="18"/>
        <v>258.67200000000003</v>
      </c>
      <c r="P244" s="190">
        <f t="shared" si="15"/>
        <v>1293.3600000000001</v>
      </c>
      <c r="R244" s="112">
        <f>SourceEnergy!B258</f>
        <v>50345</v>
      </c>
      <c r="S244" s="113">
        <v>65.020309999999995</v>
      </c>
      <c r="T244" s="114">
        <v>60.517330000000001</v>
      </c>
      <c r="U244" s="115">
        <f>IF(AND(Shape_Annually="Yes",Shape_Start&lt;=W234),W241,IF(ISNUMBER(SourceEnergy!$C258),SourceEnergy!$C258/(SourceEnergy!$G258*S244+SourceEnergy!$H258*T244),""))</f>
        <v>1.441816322664105</v>
      </c>
    </row>
    <row r="245" spans="1:24" ht="15" customHeight="1" thickBot="1" x14ac:dyDescent="0.25">
      <c r="A245" s="206">
        <v>46722</v>
      </c>
      <c r="B245" t="s">
        <v>104</v>
      </c>
      <c r="C245" t="s">
        <v>101</v>
      </c>
      <c r="D245" t="s">
        <v>10</v>
      </c>
      <c r="E245">
        <v>169.215</v>
      </c>
      <c r="F245" s="23"/>
      <c r="G245" s="194">
        <v>50375</v>
      </c>
      <c r="H245" s="195" t="s">
        <v>104</v>
      </c>
      <c r="I245" s="195" t="s">
        <v>101</v>
      </c>
      <c r="J245" s="195" t="s">
        <v>10</v>
      </c>
      <c r="K245" s="196">
        <v>160.935</v>
      </c>
      <c r="M245" s="184">
        <f t="shared" si="16"/>
        <v>50375</v>
      </c>
      <c r="N245" s="117">
        <f t="shared" si="18"/>
        <v>836.86199999999997</v>
      </c>
      <c r="O245" s="118">
        <f t="shared" si="18"/>
        <v>160.935</v>
      </c>
      <c r="P245" s="191">
        <f t="shared" si="15"/>
        <v>997.79700000000003</v>
      </c>
      <c r="R245" s="119">
        <f>SourceEnergy!B259</f>
        <v>50375</v>
      </c>
      <c r="S245" s="120">
        <v>65.998919999999998</v>
      </c>
      <c r="T245" s="121">
        <v>64.082030000000003</v>
      </c>
      <c r="U245" s="122">
        <f>IF(AND(Shape_Annually="Yes",Shape_Start&lt;=W234),W241,IF(ISNUMBER(SourceEnergy!$C259),SourceEnergy!$C259/(SourceEnergy!$G259*S245+SourceEnergy!$H259*T245),""))</f>
        <v>1.441816322664105</v>
      </c>
    </row>
    <row r="246" spans="1:24" ht="15" customHeight="1" x14ac:dyDescent="0.2">
      <c r="G246" s="192">
        <v>50771</v>
      </c>
      <c r="H246" s="181" t="s">
        <v>103</v>
      </c>
      <c r="I246" s="181" t="s">
        <v>101</v>
      </c>
      <c r="J246" s="181" t="s">
        <v>9</v>
      </c>
      <c r="K246" s="193">
        <v>2659.0250000000001</v>
      </c>
      <c r="M246" s="185">
        <f t="shared" si="16"/>
        <v>50406</v>
      </c>
      <c r="N246" s="103" t="str">
        <f>IF(AND(P246&lt;&gt;"",N245&gt;0),ROUND(AVERAGE(N234/P234,N222/P222,N210/P210,N198/P198,N186/P186,N174/P174,N162/P162,N150/P150)*P246,1),"")</f>
        <v/>
      </c>
      <c r="O246" s="103" t="str">
        <f>IF(P246&lt;&gt;"",P246-N246,"")</f>
        <v/>
      </c>
      <c r="P246" s="189" t="str">
        <f>SourceEnergy!F260</f>
        <v/>
      </c>
      <c r="R246" s="104">
        <f>SourceEnergy!B260</f>
        <v>50406</v>
      </c>
      <c r="S246" s="105">
        <v>68.876649999999998</v>
      </c>
      <c r="T246" s="106">
        <v>65.670910000000006</v>
      </c>
      <c r="U246" s="107">
        <f>IF(AND(Shape_Annually="Yes",Shape_Start&lt;=W246),W253,IF(ISNUMBER(SourceEnergy!$C260),SourceEnergy!$C260/(SourceEnergy!$G260*S246+SourceEnergy!$H260*T246),""))</f>
        <v>0</v>
      </c>
      <c r="W246" s="108">
        <f>YEAR(M246)</f>
        <v>2038</v>
      </c>
      <c r="X246" s="109"/>
    </row>
    <row r="247" spans="1:24" ht="15" customHeight="1" x14ac:dyDescent="0.2">
      <c r="G247" s="192">
        <v>50771</v>
      </c>
      <c r="H247" s="181" t="s">
        <v>103</v>
      </c>
      <c r="I247" s="181" t="s">
        <v>101</v>
      </c>
      <c r="J247" s="181" t="s">
        <v>10</v>
      </c>
      <c r="K247" s="193">
        <v>638.16600000000005</v>
      </c>
      <c r="M247" s="183">
        <f t="shared" si="16"/>
        <v>50437</v>
      </c>
      <c r="N247" s="111" t="str">
        <f t="shared" ref="N247:N256" si="19">IF(P247&lt;&gt;"",ROUND(AVERAGE(N235/P235,N223/P223,N211/P211,N199/P199,N187/P187,N175/P175,N163/P163,N151/P151)*P247,1),"")</f>
        <v/>
      </c>
      <c r="O247" s="111" t="str">
        <f t="shared" ref="O247:O256" si="20">IF(P247&lt;&gt;"",P247-N247,"")</f>
        <v/>
      </c>
      <c r="P247" s="190" t="str">
        <f>SourceEnergy!F261</f>
        <v/>
      </c>
      <c r="R247" s="112">
        <f>SourceEnergy!B261</f>
        <v>50437</v>
      </c>
      <c r="S247" s="113">
        <v>69.736009999999993</v>
      </c>
      <c r="T247" s="114">
        <v>65.923320000000004</v>
      </c>
      <c r="U247" s="115">
        <f>IF(AND(Shape_Annually="Yes",Shape_Start&lt;=W246),W253,IF(ISNUMBER(SourceEnergy!$C261),SourceEnergy!$C261/(SourceEnergy!$G261*S247+SourceEnergy!$H261*T247),""))</f>
        <v>0</v>
      </c>
      <c r="W247" s="25">
        <f>IFERROR(SUMPRODUCT(N246:N257,S246:S257)+SUMPRODUCT(O246:O257,T246:T257),0)</f>
        <v>0</v>
      </c>
      <c r="X247" s="25" t="s">
        <v>82</v>
      </c>
    </row>
    <row r="248" spans="1:24" ht="15" customHeight="1" x14ac:dyDescent="0.2">
      <c r="G248" s="192">
        <v>50802</v>
      </c>
      <c r="H248" s="181" t="s">
        <v>103</v>
      </c>
      <c r="I248" s="181" t="s">
        <v>101</v>
      </c>
      <c r="J248" s="181" t="s">
        <v>9</v>
      </c>
      <c r="K248" s="193">
        <v>3821.8319999999999</v>
      </c>
      <c r="M248" s="183">
        <f t="shared" si="16"/>
        <v>50465</v>
      </c>
      <c r="N248" s="111" t="str">
        <f t="shared" si="19"/>
        <v/>
      </c>
      <c r="O248" s="111" t="str">
        <f t="shared" si="20"/>
        <v/>
      </c>
      <c r="P248" s="190" t="str">
        <f>SourceEnergy!F262</f>
        <v/>
      </c>
      <c r="R248" s="112">
        <f>SourceEnergy!B262</f>
        <v>50465</v>
      </c>
      <c r="S248" s="113">
        <v>62.89141</v>
      </c>
      <c r="T248" s="114">
        <v>61.979410000000001</v>
      </c>
      <c r="U248" s="115">
        <f>IF(AND(Shape_Annually="Yes",Shape_Start&lt;=W246),W253,IF(ISNUMBER(SourceEnergy!$C262),SourceEnergy!$C262/(SourceEnergy!$G262*S248+SourceEnergy!$H262*T248),""))</f>
        <v>0</v>
      </c>
    </row>
    <row r="249" spans="1:24" ht="15" customHeight="1" x14ac:dyDescent="0.2">
      <c r="G249" s="192">
        <v>50802</v>
      </c>
      <c r="H249" s="181" t="s">
        <v>103</v>
      </c>
      <c r="I249" s="181" t="s">
        <v>101</v>
      </c>
      <c r="J249" s="181" t="s">
        <v>10</v>
      </c>
      <c r="K249" s="193">
        <v>636.97199999999998</v>
      </c>
      <c r="M249" s="183">
        <f t="shared" si="16"/>
        <v>50496</v>
      </c>
      <c r="N249" s="111" t="str">
        <f t="shared" si="19"/>
        <v/>
      </c>
      <c r="O249" s="111" t="str">
        <f t="shared" si="20"/>
        <v/>
      </c>
      <c r="P249" s="190" t="str">
        <f>SourceEnergy!F263</f>
        <v/>
      </c>
      <c r="R249" s="112">
        <f>SourceEnergy!B263</f>
        <v>50496</v>
      </c>
      <c r="S249" s="113">
        <v>58.304459999999999</v>
      </c>
      <c r="T249" s="114">
        <v>54.81861</v>
      </c>
      <c r="U249" s="115">
        <f>IF(AND(Shape_Annually="Yes",Shape_Start&lt;=W246),W253,IF(ISNUMBER(SourceEnergy!$C263),SourceEnergy!$C263/(SourceEnergy!$G263*S249+SourceEnergy!$H263*T249),""))</f>
        <v>0</v>
      </c>
      <c r="W249" s="25">
        <f>VLOOKUP(W246,'[1]Table 5'!$L$23:$N$43,2,FALSE)</f>
        <v>0</v>
      </c>
      <c r="X249" s="25" t="s">
        <v>83</v>
      </c>
    </row>
    <row r="250" spans="1:24" ht="15" customHeight="1" x14ac:dyDescent="0.2">
      <c r="G250" s="192">
        <v>50830</v>
      </c>
      <c r="H250" s="181" t="s">
        <v>103</v>
      </c>
      <c r="I250" s="181" t="s">
        <v>101</v>
      </c>
      <c r="J250" s="181" t="s">
        <v>9</v>
      </c>
      <c r="K250" s="193">
        <v>6131.7</v>
      </c>
      <c r="M250" s="183">
        <f t="shared" si="16"/>
        <v>50526</v>
      </c>
      <c r="N250" s="111" t="str">
        <f t="shared" si="19"/>
        <v/>
      </c>
      <c r="O250" s="111" t="str">
        <f t="shared" si="20"/>
        <v/>
      </c>
      <c r="P250" s="190" t="str">
        <f>SourceEnergy!F264</f>
        <v/>
      </c>
      <c r="R250" s="112">
        <f>SourceEnergy!B264</f>
        <v>50526</v>
      </c>
      <c r="S250" s="113">
        <v>59.169870000000003</v>
      </c>
      <c r="T250" s="114">
        <v>55.497549999999997</v>
      </c>
      <c r="U250" s="115">
        <f>IF(AND(Shape_Annually="Yes",Shape_Start&lt;=W246),W253,IF(ISNUMBER(SourceEnergy!$C264),SourceEnergy!$C264/(SourceEnergy!$G264*S250+SourceEnergy!$H264*T250),""))</f>
        <v>0</v>
      </c>
      <c r="W250" s="25">
        <f>VLOOKUP(W246,'[1]Table 5'!$L$23:$N$43,3,FALSE)</f>
        <v>0</v>
      </c>
      <c r="X250" s="25" t="s">
        <v>84</v>
      </c>
    </row>
    <row r="251" spans="1:24" ht="15" customHeight="1" x14ac:dyDescent="0.2">
      <c r="G251" s="192">
        <v>50830</v>
      </c>
      <c r="H251" s="181" t="s">
        <v>103</v>
      </c>
      <c r="I251" s="181" t="s">
        <v>101</v>
      </c>
      <c r="J251" s="181" t="s">
        <v>10</v>
      </c>
      <c r="K251" s="193">
        <v>927.80600000000004</v>
      </c>
      <c r="M251" s="183">
        <f t="shared" si="16"/>
        <v>50557</v>
      </c>
      <c r="N251" s="111" t="str">
        <f t="shared" si="19"/>
        <v/>
      </c>
      <c r="O251" s="111" t="str">
        <f t="shared" si="20"/>
        <v/>
      </c>
      <c r="P251" s="190" t="str">
        <f>SourceEnergy!F265</f>
        <v/>
      </c>
      <c r="R251" s="112">
        <f>SourceEnergy!B265</f>
        <v>50557</v>
      </c>
      <c r="S251" s="113">
        <v>62.104309999999998</v>
      </c>
      <c r="T251" s="114">
        <v>56.760640000000002</v>
      </c>
      <c r="U251" s="115">
        <f>IF(AND(Shape_Annually="Yes",Shape_Start&lt;=W246),W253,IF(ISNUMBER(SourceEnergy!$C265),SourceEnergy!$C265/(SourceEnergy!$G265*S251+SourceEnergy!$H265*T251),""))</f>
        <v>0</v>
      </c>
      <c r="W251" s="25">
        <f>W249+W250</f>
        <v>0</v>
      </c>
      <c r="X251" s="25" t="s">
        <v>85</v>
      </c>
    </row>
    <row r="252" spans="1:24" ht="15" customHeight="1" x14ac:dyDescent="0.2">
      <c r="G252" s="192">
        <v>50861</v>
      </c>
      <c r="H252" s="181" t="s">
        <v>103</v>
      </c>
      <c r="I252" s="181" t="s">
        <v>101</v>
      </c>
      <c r="J252" s="181" t="s">
        <v>9</v>
      </c>
      <c r="K252" s="193">
        <v>7007.442</v>
      </c>
      <c r="M252" s="183">
        <f t="shared" si="16"/>
        <v>50587</v>
      </c>
      <c r="N252" s="111" t="str">
        <f t="shared" si="19"/>
        <v/>
      </c>
      <c r="O252" s="111" t="str">
        <f t="shared" si="20"/>
        <v/>
      </c>
      <c r="P252" s="190" t="str">
        <f>SourceEnergy!F266</f>
        <v/>
      </c>
      <c r="R252" s="112">
        <f>SourceEnergy!B266</f>
        <v>50587</v>
      </c>
      <c r="S252" s="113">
        <v>79.136830000000003</v>
      </c>
      <c r="T252" s="114">
        <v>67.140219999999999</v>
      </c>
      <c r="U252" s="115">
        <f>IF(AND(Shape_Annually="Yes",Shape_Start&lt;=W246),W253,IF(ISNUMBER(SourceEnergy!$C266),SourceEnergy!$C266/(SourceEnergy!$G266*S252+SourceEnergy!$H266*T252),""))</f>
        <v>0</v>
      </c>
    </row>
    <row r="253" spans="1:24" ht="15" customHeight="1" x14ac:dyDescent="0.2">
      <c r="G253" s="192">
        <v>50861</v>
      </c>
      <c r="H253" s="181" t="s">
        <v>103</v>
      </c>
      <c r="I253" s="181" t="s">
        <v>101</v>
      </c>
      <c r="J253" s="181" t="s">
        <v>10</v>
      </c>
      <c r="K253" s="193">
        <v>1402.998</v>
      </c>
      <c r="M253" s="183">
        <f t="shared" si="16"/>
        <v>50618</v>
      </c>
      <c r="N253" s="111" t="str">
        <f t="shared" si="19"/>
        <v/>
      </c>
      <c r="O253" s="111" t="str">
        <f t="shared" si="20"/>
        <v/>
      </c>
      <c r="P253" s="190" t="str">
        <f>SourceEnergy!F267</f>
        <v/>
      </c>
      <c r="R253" s="112">
        <f>SourceEnergy!B267</f>
        <v>50618</v>
      </c>
      <c r="S253" s="113">
        <v>83.077349999999996</v>
      </c>
      <c r="T253" s="114">
        <v>69.759410000000003</v>
      </c>
      <c r="U253" s="115">
        <f>IF(AND(Shape_Annually="Yes",Shape_Start&lt;=W246),W253,IF(ISNUMBER(SourceEnergy!$C267),SourceEnergy!$C267/(SourceEnergy!$G267*S253+SourceEnergy!$H267*T253),""))</f>
        <v>0</v>
      </c>
      <c r="W253" s="116">
        <f>IFERROR(W251/W247,0)</f>
        <v>0</v>
      </c>
      <c r="X253" s="25" t="s">
        <v>86</v>
      </c>
    </row>
    <row r="254" spans="1:24" ht="15" customHeight="1" x14ac:dyDescent="0.2">
      <c r="G254" s="192">
        <v>50891</v>
      </c>
      <c r="H254" s="181" t="s">
        <v>103</v>
      </c>
      <c r="I254" s="181" t="s">
        <v>101</v>
      </c>
      <c r="J254" s="181" t="s">
        <v>9</v>
      </c>
      <c r="K254" s="193">
        <v>7177.4750000000004</v>
      </c>
      <c r="M254" s="183">
        <f t="shared" si="16"/>
        <v>50649</v>
      </c>
      <c r="N254" s="111" t="str">
        <f t="shared" si="19"/>
        <v/>
      </c>
      <c r="O254" s="111" t="str">
        <f t="shared" si="20"/>
        <v/>
      </c>
      <c r="P254" s="190" t="str">
        <f>SourceEnergy!F268</f>
        <v/>
      </c>
      <c r="R254" s="112">
        <f>SourceEnergy!B268</f>
        <v>50649</v>
      </c>
      <c r="S254" s="113">
        <v>71.988029999999995</v>
      </c>
      <c r="T254" s="114">
        <v>63.879829999999998</v>
      </c>
      <c r="U254" s="115">
        <f>IF(AND(Shape_Annually="Yes",Shape_Start&lt;=W246),W253,IF(ISNUMBER(SourceEnergy!$C268),SourceEnergy!$C268/(SourceEnergy!$G268*S254+SourceEnergy!$H268*T254),""))</f>
        <v>0</v>
      </c>
    </row>
    <row r="255" spans="1:24" ht="15" customHeight="1" x14ac:dyDescent="0.2">
      <c r="G255" s="192">
        <v>50891</v>
      </c>
      <c r="H255" s="181" t="s">
        <v>103</v>
      </c>
      <c r="I255" s="181" t="s">
        <v>101</v>
      </c>
      <c r="J255" s="181" t="s">
        <v>10</v>
      </c>
      <c r="K255" s="193">
        <v>2649.866</v>
      </c>
      <c r="M255" s="183">
        <f t="shared" si="16"/>
        <v>50679</v>
      </c>
      <c r="N255" s="111" t="str">
        <f t="shared" si="19"/>
        <v/>
      </c>
      <c r="O255" s="111" t="str">
        <f t="shared" si="20"/>
        <v/>
      </c>
      <c r="P255" s="190" t="str">
        <f>SourceEnergy!F269</f>
        <v/>
      </c>
      <c r="R255" s="112">
        <f>SourceEnergy!B269</f>
        <v>50679</v>
      </c>
      <c r="S255" s="113">
        <v>68.672200000000004</v>
      </c>
      <c r="T255" s="114">
        <v>63.061219999999999</v>
      </c>
      <c r="U255" s="115">
        <f>IF(AND(Shape_Annually="Yes",Shape_Start&lt;=W246),W253,IF(ISNUMBER(SourceEnergy!$C269),SourceEnergy!$C269/(SourceEnergy!$G269*S255+SourceEnergy!$H269*T255),""))</f>
        <v>0</v>
      </c>
    </row>
    <row r="256" spans="1:24" ht="15" customHeight="1" x14ac:dyDescent="0.2">
      <c r="G256" s="192">
        <v>50922</v>
      </c>
      <c r="H256" s="181" t="s">
        <v>103</v>
      </c>
      <c r="I256" s="181" t="s">
        <v>101</v>
      </c>
      <c r="J256" s="181" t="s">
        <v>9</v>
      </c>
      <c r="K256" s="193">
        <v>8409.8559999999998</v>
      </c>
      <c r="M256" s="183">
        <f t="shared" si="16"/>
        <v>50710</v>
      </c>
      <c r="N256" s="111" t="str">
        <f t="shared" si="19"/>
        <v/>
      </c>
      <c r="O256" s="111" t="str">
        <f t="shared" si="20"/>
        <v/>
      </c>
      <c r="P256" s="190" t="str">
        <f>SourceEnergy!F270</f>
        <v/>
      </c>
      <c r="R256" s="112">
        <f>SourceEnergy!B270</f>
        <v>50710</v>
      </c>
      <c r="S256" s="113">
        <v>69.985810000000001</v>
      </c>
      <c r="T256" s="114">
        <v>64.658680000000004</v>
      </c>
      <c r="U256" s="115">
        <f>IF(AND(Shape_Annually="Yes",Shape_Start&lt;=W246),W253,IF(ISNUMBER(SourceEnergy!$C270),SourceEnergy!$C270/(SourceEnergy!$G270*S256+SourceEnergy!$H270*T256),""))</f>
        <v>0</v>
      </c>
    </row>
    <row r="257" spans="7:21" ht="15" customHeight="1" thickBot="1" x14ac:dyDescent="0.25">
      <c r="G257" s="192">
        <v>50922</v>
      </c>
      <c r="H257" s="181" t="s">
        <v>103</v>
      </c>
      <c r="I257" s="181" t="s">
        <v>101</v>
      </c>
      <c r="J257" s="181" t="s">
        <v>10</v>
      </c>
      <c r="K257" s="193">
        <v>2424.674</v>
      </c>
      <c r="M257" s="186">
        <f t="shared" si="16"/>
        <v>50740</v>
      </c>
      <c r="N257" s="187"/>
      <c r="O257" s="187"/>
      <c r="P257" s="188"/>
      <c r="R257" s="119"/>
      <c r="S257" s="120"/>
      <c r="T257" s="121"/>
      <c r="U257" s="122"/>
    </row>
  </sheetData>
  <conditionalFormatting sqref="A1:F1 L1:U1">
    <cfRule type="expression" dxfId="8" priority="3">
      <formula>$A$1&lt;&gt;"ERROR - Capacity Factor Test Failed"</formula>
    </cfRule>
    <cfRule type="expression" dxfId="7" priority="4">
      <formula>$A$1="ERROR - Capacity Factor Test Failed"</formula>
    </cfRule>
  </conditionalFormatting>
  <conditionalFormatting sqref="G1:K1">
    <cfRule type="expression" dxfId="6" priority="1">
      <formula>$A$1&lt;&gt;"ERROR - Capacity Factor Test Failed"</formula>
    </cfRule>
    <cfRule type="expression" dxfId="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41"/>
  <sheetViews>
    <sheetView workbookViewId="0">
      <selection activeCell="C5" sqref="C5"/>
    </sheetView>
  </sheetViews>
  <sheetFormatPr defaultRowHeight="12.75" x14ac:dyDescent="0.2"/>
  <cols>
    <col min="1" max="2" width="9.140625" style="25"/>
    <col min="3" max="4" width="13.42578125" style="25" customWidth="1"/>
    <col min="5" max="5" width="11.85546875" style="25" customWidth="1"/>
    <col min="6" max="6" width="2.140625" style="25" customWidth="1"/>
    <col min="7" max="7" width="13" style="25" customWidth="1"/>
    <col min="8" max="8" width="13.7109375" style="25" customWidth="1"/>
    <col min="9" max="9" width="12" style="25" customWidth="1"/>
    <col min="10" max="10" width="9.140625" style="25"/>
    <col min="11" max="12" width="15.140625" style="25" customWidth="1"/>
    <col min="13" max="16384" width="9.140625" style="25"/>
  </cols>
  <sheetData>
    <row r="1" spans="2:13" ht="13.5" thickBot="1" x14ac:dyDescent="0.25"/>
    <row r="2" spans="2:13" ht="13.5" thickBot="1" x14ac:dyDescent="0.25">
      <c r="B2" s="90" t="str">
        <f>"Levelized Price Starting "&amp;TEXT(SourceEnergy!N20,"mmm YYYY")</f>
        <v>Levelized Price Starting Jan 2018</v>
      </c>
      <c r="C2" s="124"/>
      <c r="D2" s="124"/>
      <c r="E2" s="91"/>
      <c r="G2" s="125" t="s">
        <v>90</v>
      </c>
      <c r="H2" s="125"/>
      <c r="I2" s="125"/>
      <c r="K2" s="126" t="s">
        <v>79</v>
      </c>
      <c r="L2" s="126"/>
    </row>
    <row r="3" spans="2:13" ht="26.25" thickBot="1" x14ac:dyDescent="0.25">
      <c r="B3" s="127" t="s">
        <v>15</v>
      </c>
      <c r="C3" s="128" t="s">
        <v>46</v>
      </c>
      <c r="D3" s="128" t="s">
        <v>3</v>
      </c>
      <c r="E3" s="129" t="s">
        <v>1</v>
      </c>
      <c r="G3" s="130" t="s">
        <v>75</v>
      </c>
      <c r="H3" s="130" t="s">
        <v>77</v>
      </c>
      <c r="I3" s="130" t="s">
        <v>5</v>
      </c>
      <c r="K3" s="131" t="s">
        <v>91</v>
      </c>
      <c r="L3" s="131" t="s">
        <v>78</v>
      </c>
    </row>
    <row r="4" spans="2:13" ht="6" customHeight="1" thickBot="1" x14ac:dyDescent="0.25">
      <c r="B4" s="132"/>
      <c r="C4" s="123"/>
      <c r="D4" s="133"/>
      <c r="E4" s="133"/>
    </row>
    <row r="5" spans="2:13" x14ac:dyDescent="0.2">
      <c r="B5" s="134" t="s">
        <v>22</v>
      </c>
      <c r="C5" s="135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322723.70593484509</v>
      </c>
      <c r="D5" s="135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11502.667143384229</v>
      </c>
      <c r="E5" s="136">
        <f>C5/D5</f>
        <v>28.056423950375713</v>
      </c>
      <c r="G5" s="104">
        <f>SourceEnergy!N20</f>
        <v>43101</v>
      </c>
      <c r="H5" s="137">
        <f ca="1">IF($K$5+$L$5=0,SUM(OFFSET('MWH-Split'!$P$5,MATCH(G5,'MWH-Split'!$M$6:$M$257,0),0,12)),SUMIFS(SourceEnergy!F20:F43,SourceEnergy!B20:B43,"&gt;="&amp;G5,SourceEnergy!B20:B43,"&lt;"&amp;G6))</f>
        <v>27209.159</v>
      </c>
      <c r="I5" s="138">
        <f ca="1">H5/$H$5</f>
        <v>1</v>
      </c>
      <c r="K5" s="139">
        <v>0</v>
      </c>
      <c r="L5" s="139"/>
      <c r="M5" s="25" t="s">
        <v>96</v>
      </c>
    </row>
    <row r="6" spans="2:13" x14ac:dyDescent="0.2">
      <c r="B6" s="140" t="s">
        <v>23</v>
      </c>
      <c r="C6" s="141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377042.3233654949</v>
      </c>
      <c r="D6" s="141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13454.458512863168</v>
      </c>
      <c r="E6" s="142">
        <f t="shared" ref="E6:E28" si="0">C6/D6</f>
        <v>28.023597010985071</v>
      </c>
      <c r="G6" s="112">
        <f>EDATE(G5,12)</f>
        <v>43466</v>
      </c>
      <c r="H6" s="143">
        <f ca="1">IF($K$5+$L$5=0,SUM(OFFSET('MWH-Split'!$P$5,MATCH(G6,'MWH-Split'!$M$6:$M$257,0),0,12)),IF(ISNUMBER($K$5),$H$5*(1-$K$5)^(YEAR(G6)-YEAR($G$6)),IF(ISNUMBER($L$5),H5-$H$5*$L$5,9999)))</f>
        <v>27073.124</v>
      </c>
      <c r="I6" s="144">
        <f t="shared" ref="I6:I25" ca="1" si="1">H6/$H$5</f>
        <v>0.99500039674140606</v>
      </c>
      <c r="J6" s="154"/>
    </row>
    <row r="7" spans="2:13" x14ac:dyDescent="0.2">
      <c r="B7" s="140" t="s">
        <v>24</v>
      </c>
      <c r="C7" s="141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526201.41592160263</v>
      </c>
      <c r="D7" s="141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20749.739787532169</v>
      </c>
      <c r="E7" s="142">
        <f t="shared" si="0"/>
        <v>25.359422398047595</v>
      </c>
      <c r="G7" s="112">
        <f t="shared" ref="G7:G25" si="2">EDATE(G6,12)</f>
        <v>43831</v>
      </c>
      <c r="H7" s="143">
        <f ca="1">IF($K$5+$L$5=0,SUM(OFFSET('MWH-Split'!$P$5,MATCH(G7,'MWH-Split'!$M$6:$M$257,0),0,12)),IF(ISNUMBER($K$5),$H$5*(1-$K$5)^(YEAR(G7)-YEAR($G$6)),IF(ISNUMBER($L$5),H6-$H$5*$L$5,9999)))</f>
        <v>26989.835999999996</v>
      </c>
      <c r="I7" s="144">
        <f t="shared" ca="1" si="1"/>
        <v>0.99193936865156307</v>
      </c>
      <c r="J7" s="154"/>
      <c r="K7" s="126" t="s">
        <v>87</v>
      </c>
      <c r="L7" s="126"/>
    </row>
    <row r="8" spans="2:13" x14ac:dyDescent="0.2">
      <c r="B8" s="140" t="s">
        <v>25</v>
      </c>
      <c r="C8" s="141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515879.53881652263</v>
      </c>
      <c r="D8" s="141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23565.131131212227</v>
      </c>
      <c r="E8" s="142">
        <f t="shared" si="0"/>
        <v>21.89164727936674</v>
      </c>
      <c r="G8" s="112">
        <f t="shared" si="2"/>
        <v>44197</v>
      </c>
      <c r="H8" s="143">
        <f ca="1">IF($K$5+$L$5=0,SUM(OFFSET('MWH-Split'!$P$5,MATCH(G8,'MWH-Split'!$M$6:$M$257,0),0,12)),IF(ISNUMBER($K$5),$H$5*(1-$K$5)^(YEAR(G8)-YEAR($G$6)),IF(ISNUMBER($L$5),H7-$H$5*$L$5,9999)))</f>
        <v>26803.155999999995</v>
      </c>
      <c r="I8" s="144">
        <f t="shared" ca="1" si="1"/>
        <v>0.98507844362260499</v>
      </c>
      <c r="J8" s="154"/>
      <c r="K8" s="131" t="s">
        <v>92</v>
      </c>
      <c r="L8" s="131" t="s">
        <v>93</v>
      </c>
    </row>
    <row r="9" spans="2:13" x14ac:dyDescent="0.2">
      <c r="B9" s="140" t="s">
        <v>26</v>
      </c>
      <c r="C9" s="141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570085.0029393608</v>
      </c>
      <c r="D9" s="141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25396.250606496269</v>
      </c>
      <c r="E9" s="142">
        <f t="shared" si="0"/>
        <v>22.44760503322231</v>
      </c>
      <c r="G9" s="112">
        <f t="shared" si="2"/>
        <v>44562</v>
      </c>
      <c r="H9" s="143">
        <f ca="1">IF($K$5+$L$5=0,SUM(OFFSET('MWH-Split'!$P$5,MATCH(G9,'MWH-Split'!$M$6:$M$257,0),0,12)),IF(ISNUMBER($K$5),$H$5*(1-$K$5)^(YEAR(G9)-YEAR($G$6)),IF(ISNUMBER($L$5),H8-$H$5*$L$5,9999)))</f>
        <v>26668.893000000004</v>
      </c>
      <c r="I9" s="144">
        <f t="shared" ca="1" si="1"/>
        <v>0.98014396549338423</v>
      </c>
      <c r="J9" s="154"/>
      <c r="K9" s="145" t="s">
        <v>102</v>
      </c>
      <c r="L9" s="146">
        <v>2015</v>
      </c>
    </row>
    <row r="10" spans="2:13" x14ac:dyDescent="0.2">
      <c r="B10" s="140" t="s">
        <v>27</v>
      </c>
      <c r="C10" s="141">
        <f>NPV(Discount_Rate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,SourceEnergy!D265)</f>
        <v>662258.99892154115</v>
      </c>
      <c r="D10" s="141">
        <f>NPV(Discount_Rate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,SourceEnergy!G265)</f>
        <v>27803.258351436554</v>
      </c>
      <c r="E10" s="142">
        <f t="shared" si="0"/>
        <v>23.81947434183818</v>
      </c>
      <c r="G10" s="112">
        <f t="shared" si="2"/>
        <v>44927</v>
      </c>
      <c r="H10" s="143">
        <f ca="1">IF($K$5+$L$5=0,SUM(OFFSET('MWH-Split'!$P$5,MATCH(G10,'MWH-Split'!$M$6:$M$257,0),0,12)),IF(ISNUMBER($K$5),$H$5*(1-$K$5)^(YEAR(G10)-YEAR($G$6)),IF(ISNUMBER($L$5),H9-$H$5*$L$5,9999)))</f>
        <v>26535.45</v>
      </c>
      <c r="I10" s="144">
        <f t="shared" ca="1" si="1"/>
        <v>0.97523962427504651</v>
      </c>
      <c r="J10" s="154"/>
    </row>
    <row r="11" spans="2:13" x14ac:dyDescent="0.2">
      <c r="B11" s="140" t="s">
        <v>28</v>
      </c>
      <c r="C11" s="141">
        <f>NPV(Discount_Rate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,SourceEnergy!D266)</f>
        <v>795678.91320996033</v>
      </c>
      <c r="D11" s="141">
        <f>NPV(Discount_Rate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,SourceEnergy!G266)</f>
        <v>24598.190771379752</v>
      </c>
      <c r="E11" s="142">
        <f t="shared" si="0"/>
        <v>32.347050260937927</v>
      </c>
      <c r="G11" s="112">
        <f t="shared" si="2"/>
        <v>45292</v>
      </c>
      <c r="H11" s="143">
        <f ca="1">IF($K$5+$L$5=0,SUM(OFFSET('MWH-Split'!$P$5,MATCH(G11,'MWH-Split'!$M$6:$M$257,0),0,12)),IF(ISNUMBER($K$5),$H$5*(1-$K$5)^(YEAR(G11)-YEAR($G$6)),IF(ISNUMBER($L$5),H10-$H$5*$L$5,9999)))</f>
        <v>26453.876</v>
      </c>
      <c r="I11" s="144">
        <f t="shared" ca="1" si="1"/>
        <v>0.97224158967941643</v>
      </c>
      <c r="J11" s="154"/>
    </row>
    <row r="12" spans="2:13" x14ac:dyDescent="0.2">
      <c r="B12" s="140" t="s">
        <v>29</v>
      </c>
      <c r="C12" s="141">
        <f>NPV(Discount_Rate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,SourceEnergy!D267)</f>
        <v>873606.24327048566</v>
      </c>
      <c r="D12" s="141">
        <f>NPV(Discount_Rate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,SourceEnergy!G267)</f>
        <v>26159.048991027525</v>
      </c>
      <c r="E12" s="142">
        <f t="shared" si="0"/>
        <v>33.395948131376258</v>
      </c>
      <c r="G12" s="112">
        <f t="shared" si="2"/>
        <v>45658</v>
      </c>
      <c r="H12" s="143">
        <f ca="1">IF($K$5+$L$5=0,SUM(OFFSET('MWH-Split'!$P$5,MATCH(G12,'MWH-Split'!$M$6:$M$257,0),0,12)),IF(ISNUMBER($K$5),$H$5*(1-$K$5)^(YEAR(G12)-YEAR($G$6)),IF(ISNUMBER($L$5),H11-$H$5*$L$5,9999)))</f>
        <v>26271.129000000001</v>
      </c>
      <c r="I12" s="144">
        <f t="shared" ca="1" si="1"/>
        <v>0.96552521156570847</v>
      </c>
      <c r="J12" s="154"/>
    </row>
    <row r="13" spans="2:13" x14ac:dyDescent="0.2">
      <c r="B13" s="140" t="s">
        <v>30</v>
      </c>
      <c r="C13" s="141">
        <f>NPV(Discount_Rate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,SourceEnergy!D268)</f>
        <v>652209.66638460394</v>
      </c>
      <c r="D13" s="141">
        <f>NPV(Discount_Rate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,SourceEnergy!G268)</f>
        <v>22446.37722668847</v>
      </c>
      <c r="E13" s="142">
        <f t="shared" si="0"/>
        <v>29.056344362293554</v>
      </c>
      <c r="G13" s="112">
        <f t="shared" si="2"/>
        <v>46023</v>
      </c>
      <c r="H13" s="143">
        <f ca="1">IF($K$5+$L$5=0,SUM(OFFSET('MWH-Split'!$P$5,MATCH(G13,'MWH-Split'!$M$6:$M$257,0),0,12)),IF(ISNUMBER($K$5),$H$5*(1-$K$5)^(YEAR(G13)-YEAR($G$6)),IF(ISNUMBER($L$5),H12-$H$5*$L$5,9999)))</f>
        <v>26139.537999999997</v>
      </c>
      <c r="I13" s="144">
        <f t="shared" ca="1" si="1"/>
        <v>0.96068893566317126</v>
      </c>
      <c r="J13" s="154"/>
      <c r="K13" s="25" t="s">
        <v>94</v>
      </c>
      <c r="M13" s="25" t="s">
        <v>95</v>
      </c>
    </row>
    <row r="14" spans="2:13" x14ac:dyDescent="0.2">
      <c r="B14" s="140" t="s">
        <v>31</v>
      </c>
      <c r="C14" s="141">
        <f>NPV(Discount_Rate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,SourceEnergy!D269)</f>
        <v>520417.31498984533</v>
      </c>
      <c r="D14" s="141">
        <f>NPV(Discount_Rate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,SourceEnergy!G269)</f>
        <v>19141.708531051852</v>
      </c>
      <c r="E14" s="142">
        <f t="shared" si="0"/>
        <v>27.187610455232857</v>
      </c>
      <c r="G14" s="112">
        <f t="shared" si="2"/>
        <v>46388</v>
      </c>
      <c r="H14" s="143">
        <f ca="1">IF($K$5+$L$5=0,SUM(OFFSET('MWH-Split'!$P$5,MATCH(G14,'MWH-Split'!$M$6:$M$257,0),0,12)),IF(ISNUMBER($K$5),$H$5*(1-$K$5)^(YEAR(G14)-YEAR($G$6)),IF(ISNUMBER($L$5),H13-$H$5*$L$5,9999)))</f>
        <v>26008.988000000001</v>
      </c>
      <c r="I14" s="144">
        <f t="shared" ca="1" si="1"/>
        <v>0.95589091893652434</v>
      </c>
      <c r="J14" s="154"/>
      <c r="K14" s="25" t="s">
        <v>9</v>
      </c>
      <c r="L14" s="25">
        <f>SUM(D5:D16)</f>
        <v>236744.20183310358</v>
      </c>
      <c r="M14" s="94">
        <f>L14/L16</f>
        <v>0.82352932506540388</v>
      </c>
    </row>
    <row r="15" spans="2:13" ht="15" x14ac:dyDescent="0.35">
      <c r="B15" s="140" t="s">
        <v>32</v>
      </c>
      <c r="C15" s="141">
        <f>NPV(Discount_Rate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,SourceEnergy!D270)</f>
        <v>338919.69759940839</v>
      </c>
      <c r="D15" s="141">
        <f>NPV(Discount_Rate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,SourceEnergy!G270)</f>
        <v>12384.581780277638</v>
      </c>
      <c r="E15" s="142">
        <f t="shared" si="0"/>
        <v>27.366261018126238</v>
      </c>
      <c r="G15" s="112">
        <f t="shared" si="2"/>
        <v>46753</v>
      </c>
      <c r="H15" s="143">
        <f ca="1">IF($K$5+$L$5=0,SUM(OFFSET('MWH-Split'!$P$5,MATCH(G15,'MWH-Split'!$M$6:$M$257,0),0,12)),IF(ISNUMBER($K$5),$H$5*(1-$K$5)^(YEAR(G15)-YEAR($G$6)),IF(ISNUMBER($L$5),H14-$H$5*$L$5,9999)))</f>
        <v>25928.929000000004</v>
      </c>
      <c r="I15" s="144">
        <f t="shared" ca="1" si="1"/>
        <v>0.9529485641213683</v>
      </c>
      <c r="J15" s="154"/>
      <c r="K15" s="25" t="s">
        <v>10</v>
      </c>
      <c r="L15" s="147">
        <f>SUM(D17:D28)</f>
        <v>50730.930657535508</v>
      </c>
      <c r="M15" s="148">
        <f>L15/L16</f>
        <v>0.17647067493459606</v>
      </c>
    </row>
    <row r="16" spans="2:13" ht="13.5" thickBot="1" x14ac:dyDescent="0.25">
      <c r="B16" s="149" t="s">
        <v>33</v>
      </c>
      <c r="C16" s="150">
        <f>NPV(Discount_Rate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,SourceEnergy!D271)</f>
        <v>271146.14282580791</v>
      </c>
      <c r="D16" s="150">
        <f>NPV(Discount_Rate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,SourceEnergy!G271)</f>
        <v>9542.7889997537823</v>
      </c>
      <c r="E16" s="151">
        <f t="shared" si="0"/>
        <v>28.413720855905321</v>
      </c>
      <c r="G16" s="112">
        <f t="shared" si="2"/>
        <v>47119</v>
      </c>
      <c r="H16" s="143">
        <f ca="1">IF($K$5+$L$5=0,SUM(OFFSET('MWH-Split'!$P$5,MATCH(G16,'MWH-Split'!$M$6:$M$257,0),0,12)),IF(ISNUMBER($K$5),$H$5*(1-$K$5)^(YEAR(G16)-YEAR($G$6)),IF(ISNUMBER($L$5),H15-$H$5*$L$5,9999)))</f>
        <v>25749.292999999998</v>
      </c>
      <c r="I16" s="144">
        <f t="shared" ca="1" si="1"/>
        <v>0.94634652250736595</v>
      </c>
      <c r="J16" s="154"/>
      <c r="K16" s="25" t="s">
        <v>85</v>
      </c>
      <c r="L16" s="25">
        <f>SUM(L14:L15)</f>
        <v>287475.13249063911</v>
      </c>
      <c r="M16" s="94">
        <f>L16/L16</f>
        <v>1</v>
      </c>
    </row>
    <row r="17" spans="2:10" x14ac:dyDescent="0.2">
      <c r="B17" s="140" t="s">
        <v>34</v>
      </c>
      <c r="C17" s="141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61954.351906706768</v>
      </c>
      <c r="D17" s="141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2402.9142491828579</v>
      </c>
      <c r="E17" s="142">
        <f t="shared" si="0"/>
        <v>25.783005751360104</v>
      </c>
      <c r="G17" s="112">
        <f t="shared" si="2"/>
        <v>47484</v>
      </c>
      <c r="H17" s="143">
        <f ca="1">IF($K$5+$L$5=0,SUM(OFFSET('MWH-Split'!$P$5,MATCH(G17,'MWH-Split'!$M$6:$M$257,0),0,12)),IF(ISNUMBER($K$5),$H$5*(1-$K$5)^(YEAR(G17)-YEAR($G$6)),IF(ISNUMBER($L$5),H16-$H$5*$L$5,9999)))</f>
        <v>25620.780999999995</v>
      </c>
      <c r="I17" s="144">
        <f t="shared" ca="1" si="1"/>
        <v>0.9416234070299635</v>
      </c>
      <c r="J17" s="154"/>
    </row>
    <row r="18" spans="2:10" x14ac:dyDescent="0.2">
      <c r="B18" s="140" t="s">
        <v>35</v>
      </c>
      <c r="C18" s="141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58477.873943905339</v>
      </c>
      <c r="D18" s="141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2242.1374383961047</v>
      </c>
      <c r="E18" s="142">
        <f t="shared" si="0"/>
        <v>26.081306588295956</v>
      </c>
      <c r="G18" s="112">
        <f t="shared" si="2"/>
        <v>47849</v>
      </c>
      <c r="H18" s="143">
        <f ca="1">IF($K$5+$L$5=0,SUM(OFFSET('MWH-Split'!$P$5,MATCH(G18,'MWH-Split'!$M$6:$M$257,0),0,12)),IF(ISNUMBER($K$5),$H$5*(1-$K$5)^(YEAR(G18)-YEAR($G$6)),IF(ISNUMBER($L$5),H17-$H$5*$L$5,9999)))</f>
        <v>25492.672000000002</v>
      </c>
      <c r="I18" s="144">
        <f t="shared" ca="1" si="1"/>
        <v>0.93691510274169088</v>
      </c>
      <c r="J18" s="154"/>
    </row>
    <row r="19" spans="2:10" x14ac:dyDescent="0.2">
      <c r="B19" s="140" t="s">
        <v>36</v>
      </c>
      <c r="C19" s="141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84779.610094984659</v>
      </c>
      <c r="D19" s="141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3488.0176748693202</v>
      </c>
      <c r="E19" s="142">
        <f t="shared" si="0"/>
        <v>24.305957709391755</v>
      </c>
      <c r="G19" s="112">
        <f t="shared" si="2"/>
        <v>48214</v>
      </c>
      <c r="H19" s="143">
        <f ca="1">IF($K$5+$L$5=0,SUM(OFFSET('MWH-Split'!$P$5,MATCH(G19,'MWH-Split'!$M$6:$M$257,0),0,12)),IF(ISNUMBER($K$5),$H$5*(1-$K$5)^(YEAR(G19)-YEAR($G$6)),IF(ISNUMBER($L$5),H18-$H$5*$L$5,9999)))</f>
        <v>25414.288999999997</v>
      </c>
      <c r="I19" s="144">
        <f t="shared" ca="1" si="1"/>
        <v>0.93403434483219405</v>
      </c>
      <c r="J19" s="154"/>
    </row>
    <row r="20" spans="2:10" x14ac:dyDescent="0.2">
      <c r="B20" s="140" t="s">
        <v>37</v>
      </c>
      <c r="C20" s="141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88020.936741096288</v>
      </c>
      <c r="D20" s="141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4429.6423732015119</v>
      </c>
      <c r="E20" s="142">
        <f t="shared" si="0"/>
        <v>19.870890091174424</v>
      </c>
      <c r="G20" s="112">
        <f t="shared" si="2"/>
        <v>48580</v>
      </c>
      <c r="H20" s="143">
        <f ca="1">IF($K$5+$L$5=0,SUM(OFFSET('MWH-Split'!$P$5,MATCH(G20,'MWH-Split'!$M$6:$M$257,0),0,12)),IF(ISNUMBER($K$5),$H$5*(1-$K$5)^(YEAR(G20)-YEAR($G$6)),IF(ISNUMBER($L$5),H19-$H$5*$L$5,9999)))</f>
        <v>25238.388999999996</v>
      </c>
      <c r="I20" s="144">
        <f t="shared" ca="1" si="1"/>
        <v>0.92756960992436388</v>
      </c>
      <c r="J20" s="154"/>
    </row>
    <row r="21" spans="2:10" x14ac:dyDescent="0.2">
      <c r="B21" s="140" t="s">
        <v>38</v>
      </c>
      <c r="C21" s="141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131987.35736157335</v>
      </c>
      <c r="D21" s="141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7009.783630169929</v>
      </c>
      <c r="E21" s="142">
        <f t="shared" si="0"/>
        <v>18.82902017025221</v>
      </c>
      <c r="G21" s="112">
        <f t="shared" si="2"/>
        <v>48945</v>
      </c>
      <c r="H21" s="143">
        <f ca="1">IF($K$5+$L$5=0,SUM(OFFSET('MWH-Split'!$P$5,MATCH(G21,'MWH-Split'!$M$6:$M$257,0),0,12)),IF(ISNUMBER($K$5),$H$5*(1-$K$5)^(YEAR(G21)-YEAR($G$6)),IF(ISNUMBER($L$5),H20-$H$5*$L$5,9999)))</f>
        <v>25112.16</v>
      </c>
      <c r="I21" s="144">
        <f t="shared" ca="1" si="1"/>
        <v>0.92293040001714133</v>
      </c>
      <c r="J21" s="154"/>
    </row>
    <row r="22" spans="2:10" x14ac:dyDescent="0.2">
      <c r="B22" s="140" t="s">
        <v>39</v>
      </c>
      <c r="C22" s="141">
        <f>NPV(Discount_Rate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,SourceEnergy!E265)</f>
        <v>129082.37823494364</v>
      </c>
      <c r="D22" s="141">
        <f>NPV(Discount_Rate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,SourceEnergy!H265)</f>
        <v>6624.4502600704855</v>
      </c>
      <c r="E22" s="142">
        <f t="shared" si="0"/>
        <v>19.485749483696807</v>
      </c>
      <c r="G22" s="112">
        <f t="shared" si="2"/>
        <v>49310</v>
      </c>
      <c r="H22" s="143">
        <f ca="1">IF($K$5+$L$5=0,SUM(OFFSET('MWH-Split'!$P$5,MATCH(G22,'MWH-Split'!$M$6:$M$257,0),0,12)),IF(ISNUMBER($K$5),$H$5*(1-$K$5)^(YEAR(G22)-YEAR($G$6)),IF(ISNUMBER($L$5),H21-$H$5*$L$5,9999)))</f>
        <v>24986.607999999997</v>
      </c>
      <c r="I22" s="144">
        <f t="shared" ca="1" si="1"/>
        <v>0.91831607143756255</v>
      </c>
      <c r="J22" s="154"/>
    </row>
    <row r="23" spans="2:10" x14ac:dyDescent="0.2">
      <c r="B23" s="140" t="s">
        <v>40</v>
      </c>
      <c r="C23" s="141">
        <f>NPV(Discount_Rate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,SourceEnergy!E266)</f>
        <v>165900.18742452096</v>
      </c>
      <c r="D23" s="141">
        <f>NPV(Discount_Rate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,SourceEnergy!H266)</f>
        <v>6563.1880520281329</v>
      </c>
      <c r="E23" s="142">
        <f t="shared" si="0"/>
        <v>25.27737832732906</v>
      </c>
      <c r="G23" s="112">
        <f t="shared" si="2"/>
        <v>49675</v>
      </c>
      <c r="H23" s="143">
        <f ca="1">IF($K$5+$L$5=0,SUM(OFFSET('MWH-Split'!$P$5,MATCH(G23,'MWH-Split'!$M$6:$M$257,0),0,12)),IF(ISNUMBER($K$5),$H$5*(1-$K$5)^(YEAR(G23)-YEAR($G$6)),IF(ISNUMBER($L$5),H22-$H$5*$L$5,9999)))</f>
        <v>24909.631999999998</v>
      </c>
      <c r="I23" s="144">
        <f t="shared" ca="1" si="1"/>
        <v>0.91548702405686255</v>
      </c>
      <c r="J23" s="154"/>
    </row>
    <row r="24" spans="2:10" x14ac:dyDescent="0.2">
      <c r="B24" s="140" t="s">
        <v>41</v>
      </c>
      <c r="C24" s="141">
        <f>NPV(Discount_Rate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,SourceEnergy!E267)</f>
        <v>132734.61491327541</v>
      </c>
      <c r="D24" s="141">
        <f>NPV(Discount_Rate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,SourceEnergy!H267)</f>
        <v>5053.2697399281396</v>
      </c>
      <c r="E24" s="142">
        <f t="shared" si="0"/>
        <v>26.267074932588692</v>
      </c>
      <c r="G24" s="112">
        <f t="shared" si="2"/>
        <v>50041</v>
      </c>
      <c r="H24" s="143">
        <f ca="1">IF($K$5+$L$5=0,SUM(OFFSET('MWH-Split'!$P$5,MATCH(G24,'MWH-Split'!$M$6:$M$257,0),0,12)),IF(ISNUMBER($K$5),$H$5*(1-$K$5)^(YEAR(G24)-YEAR($G$6)),IF(ISNUMBER($L$5),H23-$H$5*$L$5,9999)))</f>
        <v>24737.291999999998</v>
      </c>
      <c r="I24" s="144">
        <f t="shared" ca="1" si="1"/>
        <v>0.9091531274450636</v>
      </c>
      <c r="J24" s="154"/>
    </row>
    <row r="25" spans="2:10" x14ac:dyDescent="0.2">
      <c r="B25" s="140" t="s">
        <v>42</v>
      </c>
      <c r="C25" s="141">
        <f>NPV(Discount_Rate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,SourceEnergy!E268)</f>
        <v>119605.36238969323</v>
      </c>
      <c r="D25" s="141">
        <f>NPV(Discount_Rate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,SourceEnergy!H268)</f>
        <v>5066.8490975860086</v>
      </c>
      <c r="E25" s="142">
        <f t="shared" si="0"/>
        <v>23.605471583252129</v>
      </c>
      <c r="G25" s="119">
        <f t="shared" si="2"/>
        <v>50406</v>
      </c>
      <c r="H25" s="152">
        <f ca="1">IF($K$5+$L$5=0,SUM(OFFSET('MWH-Split'!$P$5,MATCH(G25,'MWH-Split'!$M$6:$M$257,0),0,12)),IF(ISNUMBER($K$5),$H$5*(1-$K$5)^(YEAR(G25)-YEAR($G$6)),IF(ISNUMBER($L$5),H24-$H$5*$L$5,9999)))</f>
        <v>0</v>
      </c>
      <c r="I25" s="153">
        <f t="shared" ca="1" si="1"/>
        <v>0</v>
      </c>
      <c r="J25" s="154"/>
    </row>
    <row r="26" spans="2:10" x14ac:dyDescent="0.2">
      <c r="B26" s="140" t="s">
        <v>43</v>
      </c>
      <c r="C26" s="141">
        <f>NPV(Discount_Rate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,SourceEnergy!E269)</f>
        <v>77513.724465769235</v>
      </c>
      <c r="D26" s="141">
        <f>NPV(Discount_Rate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,SourceEnergy!H269)</f>
        <v>3163.9131449977767</v>
      </c>
      <c r="E26" s="142">
        <f t="shared" si="0"/>
        <v>24.499321224516009</v>
      </c>
    </row>
    <row r="27" spans="2:10" x14ac:dyDescent="0.2">
      <c r="B27" s="140" t="s">
        <v>44</v>
      </c>
      <c r="C27" s="141">
        <f>NPV(Discount_Rate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,SourceEnergy!E270)</f>
        <v>67073.756516205161</v>
      </c>
      <c r="D27" s="141">
        <f>NPV(Discount_Rate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,SourceEnergy!H270)</f>
        <v>2639.2095479852037</v>
      </c>
      <c r="E27" s="142">
        <f t="shared" si="0"/>
        <v>25.414335351813907</v>
      </c>
    </row>
    <row r="28" spans="2:10" ht="13.5" thickBot="1" x14ac:dyDescent="0.25">
      <c r="B28" s="149" t="s">
        <v>45</v>
      </c>
      <c r="C28" s="150">
        <f>NPV(Discount_Rate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,SourceEnergy!E271)</f>
        <v>54616.497195022232</v>
      </c>
      <c r="D28" s="150">
        <f>NPV(Discount_Rate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,SourceEnergy!H271)</f>
        <v>2047.5554491200317</v>
      </c>
      <c r="E28" s="151">
        <f t="shared" si="0"/>
        <v>26.674001536072936</v>
      </c>
    </row>
    <row r="30" spans="2:10" hidden="1" x14ac:dyDescent="0.2">
      <c r="B30" s="25" t="s">
        <v>58</v>
      </c>
      <c r="C30" s="25">
        <f>(NPV(Monthly_Discount_Rate,C$5:C$16)+NPV(Monthly_Discount_Rate,C$17:C$28))*(1+Discount_Rate)</f>
        <v>7821223.1216390086</v>
      </c>
      <c r="D30" s="25">
        <f>(NPV(Monthly_Discount_Rate,D$5:D$16)+NPV(Monthly_Discount_Rate,D$17:D$28))*(1+Discount_Rate)</f>
        <v>296166.69147308788</v>
      </c>
      <c r="E30" s="142">
        <f t="shared" ref="E30:E41" si="3">C30/D30</f>
        <v>26.408179403083579</v>
      </c>
      <c r="F30" s="25" t="str">
        <f>"&lt; ---- Calculated assuming the monthly stream starts in "&amp;B30</f>
        <v>&lt; ---- Calculated assuming the monthly stream starts in Jan</v>
      </c>
    </row>
    <row r="31" spans="2:10" hidden="1" x14ac:dyDescent="0.2">
      <c r="B31" s="25" t="s">
        <v>60</v>
      </c>
      <c r="C31" s="25">
        <f>(NPV(Monthly_Discount_Rate,C$6:C$16,C5)+NPV(Monthly_Discount_Rate,C$18:C$28,C17))*(1+Discount_Rate)</f>
        <v>7837533.1750703547</v>
      </c>
      <c r="D31" s="25">
        <f>(NPV(Monthly_Discount_Rate,D$6:D$16,D5)+NPV(Monthly_Discount_Rate,D$18:D$28,D17))*(1+Discount_Rate)</f>
        <v>296827.735768329</v>
      </c>
      <c r="E31" s="142">
        <f t="shared" si="3"/>
        <v>26.404315468644306</v>
      </c>
      <c r="F31" s="25" t="str">
        <f t="shared" ref="F31:F41" si="4">"&lt; ---- Calculated assuming the monthly stream starts in "&amp;B31</f>
        <v>&lt; ---- Calculated assuming the monthly stream starts in Feb</v>
      </c>
    </row>
    <row r="32" spans="2:10" hidden="1" x14ac:dyDescent="0.2">
      <c r="B32" s="25" t="s">
        <v>61</v>
      </c>
      <c r="C32" s="25">
        <f>(NPV(Monthly_Discount_Rate,C$7:C$16,C$5:C6)+NPV(Monthly_Discount_Rate,C$19:C$28,C$17:C18))*(1+Discount_Rate)</f>
        <v>7850589.6162354872</v>
      </c>
      <c r="D32" s="25">
        <f>(NPV(Monthly_Discount_Rate,D$7:D$16,D$5:D6)+NPV(Monthly_Discount_Rate,D$19:D$28,D$17:D18))*(1+Discount_Rate)</f>
        <v>297374.62500703521</v>
      </c>
      <c r="E32" s="142">
        <f t="shared" si="3"/>
        <v>26.399662096420499</v>
      </c>
      <c r="F32" s="25" t="str">
        <f t="shared" si="4"/>
        <v>&lt; ---- Calculated assuming the monthly stream starts in Mar</v>
      </c>
    </row>
    <row r="33" spans="2:6" hidden="1" x14ac:dyDescent="0.2">
      <c r="B33" s="25" t="s">
        <v>62</v>
      </c>
      <c r="C33" s="25">
        <f>(NPV(Monthly_Discount_Rate,C$8:C$16,C$5:C7)+NPV(Monthly_Discount_Rate,C$20:C$28,C$17:C19))*(1+Discount_Rate)</f>
        <v>7852187.6986442227</v>
      </c>
      <c r="D33" s="25">
        <f>(NPV(Monthly_Discount_Rate,D$8:D$16,D$5:D7)+NPV(Monthly_Discount_Rate,D$20:D$28,D$17:D19))*(1+Discount_Rate)</f>
        <v>297363.26760179183</v>
      </c>
      <c r="E33" s="142">
        <f t="shared" si="3"/>
        <v>26.406044572927296</v>
      </c>
      <c r="F33" s="25" t="str">
        <f t="shared" si="4"/>
        <v>&lt; ---- Calculated assuming the monthly stream starts in Apr</v>
      </c>
    </row>
    <row r="34" spans="2:6" hidden="1" x14ac:dyDescent="0.2">
      <c r="B34" s="25" t="s">
        <v>59</v>
      </c>
      <c r="C34" s="25">
        <f>(NPV(Monthly_Discount_Rate,C$9:C$16,C$5:C8)+NPV(Monthly_Discount_Rate,C$21:C$28,C$17:C20))*(1+Discount_Rate)</f>
        <v>7854259.4698051466</v>
      </c>
      <c r="D34" s="25">
        <f>(NPV(Monthly_Discount_Rate,D$9:D$16,D$5:D8)+NPV(Monthly_Discount_Rate,D$21:D$28,D$17:D20))*(1+Discount_Rate)</f>
        <v>297105.01385822904</v>
      </c>
      <c r="E34" s="142">
        <f t="shared" si="3"/>
        <v>26.435970796349466</v>
      </c>
      <c r="F34" s="25" t="str">
        <f t="shared" si="4"/>
        <v>&lt; ---- Calculated assuming the monthly stream starts in May</v>
      </c>
    </row>
    <row r="35" spans="2:6" hidden="1" x14ac:dyDescent="0.2">
      <c r="B35" s="25" t="s">
        <v>63</v>
      </c>
      <c r="C35" s="25">
        <f>(NPV(Monthly_Discount_Rate,C$10:C$16,C$5:C9)+NPV(Monthly_Discount_Rate,C$22:C$28,C$17:C21))*(1+Discount_Rate)</f>
        <v>7849892.3632049188</v>
      </c>
      <c r="D35" s="25">
        <f>(NPV(Monthly_Discount_Rate,D$10:D$16,D$5:D9)+NPV(Monthly_Discount_Rate,D$22:D$28,D$17:D21))*(1+Discount_Rate)</f>
        <v>296555.56721681246</v>
      </c>
      <c r="E35" s="142">
        <f t="shared" si="3"/>
        <v>26.470224237826717</v>
      </c>
      <c r="F35" s="25" t="str">
        <f t="shared" si="4"/>
        <v>&lt; ---- Calculated assuming the monthly stream starts in Jun</v>
      </c>
    </row>
    <row r="36" spans="2:6" hidden="1" x14ac:dyDescent="0.2">
      <c r="B36" s="25" t="s">
        <v>64</v>
      </c>
      <c r="C36" s="25">
        <f>(NPV(Monthly_Discount_Rate,C$11:C$16,C$5:C10)+NPV(Monthly_Discount_Rate,C$23:C$28,C$17:C22))*(1+Discount_Rate)</f>
        <v>7839637.063431398</v>
      </c>
      <c r="D36" s="25">
        <f>(NPV(Monthly_Discount_Rate,D$11:D$16,D$5:D10)+NPV(Monthly_Discount_Rate,D$23:D$28,D$17:D22))*(1+Discount_Rate)</f>
        <v>295870.37530459382</v>
      </c>
      <c r="E36" s="142">
        <f t="shared" si="3"/>
        <v>26.496863889669985</v>
      </c>
      <c r="F36" s="25" t="str">
        <f t="shared" si="4"/>
        <v>&lt; ---- Calculated assuming the monthly stream starts in Jul</v>
      </c>
    </row>
    <row r="37" spans="2:6" hidden="1" x14ac:dyDescent="0.2">
      <c r="B37" s="25" t="s">
        <v>65</v>
      </c>
      <c r="C37" s="25">
        <f>(NPV(Monthly_Discount_Rate,C$12:C$16,C$5:C11)+NPV(Monthly_Discount_Rate,C$24:C$28,C$17:C23))*(1+Discount_Rate)</f>
        <v>7818142.6204733308</v>
      </c>
      <c r="D37" s="25">
        <f>(NPV(Monthly_Discount_Rate,D$12:D$16,D$5:D11)+NPV(Monthly_Discount_Rate,D$24:D$28,D$17:D23))*(1+Discount_Rate)</f>
        <v>295396.13827290572</v>
      </c>
      <c r="E37" s="142">
        <f t="shared" si="3"/>
        <v>26.466637872057873</v>
      </c>
      <c r="F37" s="25" t="str">
        <f t="shared" si="4"/>
        <v>&lt; ---- Calculated assuming the monthly stream starts in Aug</v>
      </c>
    </row>
    <row r="38" spans="2:6" hidden="1" x14ac:dyDescent="0.2">
      <c r="B38" s="25" t="s">
        <v>66</v>
      </c>
      <c r="C38" s="25">
        <f>(NPV(Monthly_Discount_Rate,C$13:C$16,C$5:C12)+NPV(Monthly_Discount_Rate,C$25:C$28,C$17:C24))*(1+Discount_Rate)</f>
        <v>7793593.0497015724</v>
      </c>
      <c r="D38" s="25">
        <f>(NPV(Monthly_Discount_Rate,D$13:D$16,D$5:D12)+NPV(Monthly_Discount_Rate,D$25:D$28,D$17:D24))*(1+Discount_Rate)</f>
        <v>294916.03309478023</v>
      </c>
      <c r="E38" s="142">
        <f t="shared" si="3"/>
        <v>26.426481354429669</v>
      </c>
      <c r="F38" s="25" t="str">
        <f t="shared" si="4"/>
        <v>&lt; ---- Calculated assuming the monthly stream starts in Sep</v>
      </c>
    </row>
    <row r="39" spans="2:6" hidden="1" x14ac:dyDescent="0.2">
      <c r="B39" s="25" t="s">
        <v>67</v>
      </c>
      <c r="C39" s="25">
        <f>(NPV(Monthly_Discount_Rate,C$14:C$16,C$5:C13)+NPV(Monthly_Discount_Rate,C$26:C$28,C$17:C25))*(1+Discount_Rate)</f>
        <v>7784321.302262187</v>
      </c>
      <c r="D39" s="25">
        <f>(NPV(Monthly_Discount_Rate,D$14:D$16,D$5:D13)+NPV(Monthly_Discount_Rate,D$26:D$28,D$17:D25))*(1+Discount_Rate)</f>
        <v>294676.40569385927</v>
      </c>
      <c r="E39" s="142">
        <f t="shared" si="3"/>
        <v>26.416506893155727</v>
      </c>
      <c r="F39" s="25" t="str">
        <f t="shared" si="4"/>
        <v>&lt; ---- Calculated assuming the monthly stream starts in Oct</v>
      </c>
    </row>
    <row r="40" spans="2:6" hidden="1" x14ac:dyDescent="0.2">
      <c r="B40" s="25" t="s">
        <v>68</v>
      </c>
      <c r="C40" s="25">
        <f>(NPV(Monthly_Discount_Rate,C$15:C$16,C$5:C14)+NPV(Monthly_Discount_Rate,C$27:C$28,C$17:C26))*(1+Discount_Rate)</f>
        <v>7786424.4374600267</v>
      </c>
      <c r="D40" s="25">
        <f>(NPV(Monthly_Discount_Rate,D$15:D$16,D$5:D14)+NPV(Monthly_Discount_Rate,D$27:D$28,D$17:D26))*(1+Discount_Rate)</f>
        <v>294777.64388198388</v>
      </c>
      <c r="E40" s="142">
        <f t="shared" si="3"/>
        <v>26.414569079659824</v>
      </c>
      <c r="F40" s="25" t="str">
        <f t="shared" si="4"/>
        <v>&lt; ---- Calculated assuming the monthly stream starts in Nov</v>
      </c>
    </row>
    <row r="41" spans="2:6" hidden="1" x14ac:dyDescent="0.2">
      <c r="B41" s="25" t="s">
        <v>69</v>
      </c>
      <c r="C41" s="25">
        <f>(NPV(Monthly_Discount_Rate,C$16:C$16,C$5:C15)+NPV(Monthly_Discount_Rate,C$28:C$28,C$17:C27))*(1+Discount_Rate)</f>
        <v>7801149.0538355885</v>
      </c>
      <c r="D41" s="25">
        <f>(NPV(Monthly_Discount_Rate,D$16:D$16,D$5:D15)+NPV(Monthly_Discount_Rate,D$28:D$28,D$17:D27))*(1+Discount_Rate)</f>
        <v>295357.836580979</v>
      </c>
      <c r="E41" s="142">
        <f t="shared" si="3"/>
        <v>26.41253451792781</v>
      </c>
      <c r="F41" s="25" t="str">
        <f t="shared" si="4"/>
        <v>&lt; ---- Calculated assuming the monthly stream starts in Dec</v>
      </c>
    </row>
  </sheetData>
  <conditionalFormatting sqref="B5:B28">
    <cfRule type="expression" dxfId="4" priority="25">
      <formula>$B5=$Z$6</formula>
    </cfRule>
  </conditionalFormatting>
  <conditionalFormatting sqref="E5:E28">
    <cfRule type="expression" dxfId="3" priority="29">
      <formula>$B5=$Z$6</formula>
    </cfRule>
  </conditionalFormatting>
  <conditionalFormatting sqref="C17:D28">
    <cfRule type="expression" dxfId="2" priority="1">
      <formula>$B5=$Z$6</formula>
    </cfRule>
  </conditionalFormatting>
  <conditionalFormatting sqref="C17:D28">
    <cfRule type="expression" dxfId="1" priority="2">
      <formula>$B5=$Z$6</formula>
    </cfRule>
  </conditionalFormatting>
  <conditionalFormatting sqref="C5:D16">
    <cfRule type="expression" dxfId="0" priority="3">
      <formula>$B5=$Z$6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 (Energy PMT)</vt:lpstr>
      <vt:lpstr>Monthly Energy Prices</vt:lpstr>
      <vt:lpstr>SourceEnergy</vt:lpstr>
      <vt:lpstr>MWH-Split</vt:lpstr>
      <vt:lpstr>Monthly Levelized</vt:lpstr>
      <vt:lpstr>Discount_Rate</vt:lpstr>
      <vt:lpstr>Monthly_Discount_Rate</vt:lpstr>
      <vt:lpstr>'Monthly Energy Prices'!Print_Area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2017-05-31T14:14:36Z</dcterms:modified>
</cp:coreProperties>
</file>