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T07\"/>
    </mc:Choice>
  </mc:AlternateContent>
  <bookViews>
    <workbookView xWindow="-15" yWindow="-15" windowWidth="19230" windowHeight="2910" tabRatio="928" firstSheet="6" activeTab="10"/>
  </bookViews>
  <sheets>
    <sheet name="Table 1" sheetId="38" r:id="rId1"/>
    <sheet name="Table 2A BaseLoad" sheetId="17" r:id="rId2"/>
    <sheet name="Table 2B Wind" sheetId="40" r:id="rId3"/>
    <sheet name="Table 2C SolarFixed" sheetId="41" r:id="rId4"/>
    <sheet name="Table 2D SolarTracking" sheetId="42" r:id="rId5"/>
    <sheet name="Tables 3 to 5" sheetId="5" r:id="rId6"/>
    <sheet name="Table 6" sheetId="13" r:id="rId7"/>
    <sheet name="Table 7" sheetId="28" r:id="rId8"/>
    <sheet name="Table 8" sheetId="29" r:id="rId9"/>
    <sheet name="Table 9" sheetId="32" r:id="rId10"/>
    <sheet name="Table 10" sheetId="43" r:id="rId11"/>
    <sheet name="--- Do Not Print ---&gt;" sheetId="37" r:id="rId12"/>
    <sheet name="Tariff Page" sheetId="36" r:id="rId13"/>
    <sheet name="Tariff Page Solar Fixed" sheetId="44" r:id="rId14"/>
    <sheet name="Tariff Page Solar Tracking" sheetId="45" r:id="rId15"/>
    <sheet name="Tariff Page Wind" sheetId="39" r:id="rId16"/>
    <sheet name="OFPC Source" sheetId="52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Capacity_Contr_Solar_Fixed" localSheetId="2">'Table 2B Wind'!#REF!</definedName>
    <definedName name="Capacity_Contr_Solar_Fixed" localSheetId="3">'Table 2C SolarFixed'!$F$93</definedName>
    <definedName name="Capacity_Contr_Solar_Fixed" localSheetId="4">'Table 2D SolarTracking'!#REF!</definedName>
    <definedName name="Capacity_Contr_Solar_Fixed">'Table 2A BaseLoad'!$E$110</definedName>
    <definedName name="Capacity_Contr_Solar_Tracking" localSheetId="2">'Table 2B Wind'!$D$92</definedName>
    <definedName name="Capacity_Contr_Solar_Tracking" localSheetId="3">'Table 2C SolarFixed'!#REF!</definedName>
    <definedName name="Capacity_Contr_Solar_Tracking" localSheetId="4">'Table 2D SolarTracking'!$F$93</definedName>
    <definedName name="Capacity_Contr_Solar_Tracking">'Table 2A BaseLoad'!#REF!</definedName>
    <definedName name="Capacity_Contr_Wind" localSheetId="2">'Table 2B Wind'!$E$93</definedName>
    <definedName name="Capacity_Contr_Wind" localSheetId="3">'Table 2C SolarFixed'!#REF!</definedName>
    <definedName name="Capacity_Contr_Wind" localSheetId="4">'Table 2D SolarTracking'!#REF!</definedName>
    <definedName name="Capacity_Contr_Wind">'Table 2A BaseLoad'!#REF!</definedName>
    <definedName name="dateTable" localSheetId="0">'[1]on off peak hours'!$C$15:$ED$15</definedName>
    <definedName name="dateTable">'[2]on off peak hours'!$C$15:$ED$15</definedName>
    <definedName name="DispatchSum">"GRID Thermal Generation!R2C1:R4C2"</definedName>
    <definedName name="HoursHoliday" localSheetId="0">'[1]on off peak hours'!$C$16:$ED$20</definedName>
    <definedName name="HoursHoliday">'[2]on off peak hours'!$C$16:$ED$20</definedName>
    <definedName name="_xlnm.Print_Area" localSheetId="0">'Table 1'!$A$1:$Y$68</definedName>
    <definedName name="_xlnm.Print_Area" localSheetId="10">'Table 10'!$A$1:$G$41</definedName>
    <definedName name="_xlnm.Print_Area" localSheetId="1">'Table 2A BaseLoad'!$A$1:$M$110</definedName>
    <definedName name="_xlnm.Print_Area" localSheetId="2">'Table 2B Wind'!$A$1:$M$93</definedName>
    <definedName name="_xlnm.Print_Area" localSheetId="3">'Table 2C SolarFixed'!$A$1:$M$93</definedName>
    <definedName name="_xlnm.Print_Area" localSheetId="4">'Table 2D SolarTracking'!$A$1:$M$93</definedName>
    <definedName name="_xlnm.Print_Area" localSheetId="6">'Table 6'!$A$1:$O$49</definedName>
    <definedName name="_xlnm.Print_Area" localSheetId="7">'Table 7'!$B$1:$K$151</definedName>
    <definedName name="_xlnm.Print_Area" localSheetId="8">'Table 8'!$A$1:$F$34</definedName>
    <definedName name="_xlnm.Print_Area" localSheetId="9">'Table 9'!$A$1:$G$31</definedName>
    <definedName name="_xlnm.Print_Area" localSheetId="5">'Tables 3 to 5'!$A$1:$AR$47</definedName>
    <definedName name="_xlnm.Print_Area" localSheetId="12">'Tariff Page'!$A$1:$G$39</definedName>
    <definedName name="_xlnm.Print_Area" localSheetId="13">'Tariff Page Solar Fixed'!$A$1:$F$47</definedName>
    <definedName name="_xlnm.Print_Area" localSheetId="14">'Tariff Page Solar Tracking'!$A$1:$F$47</definedName>
    <definedName name="_xlnm.Print_Area" localSheetId="15">'Tariff Page Wind'!$A$1:$F$47</definedName>
    <definedName name="RevenueSum">"GRID Thermal Revenue!R2C1:R4C2"</definedName>
    <definedName name="Solar_Fixed_integr_cost" localSheetId="16">'[3]Table 12'!$B$46</definedName>
    <definedName name="Solar_Fixed_integr_cost">'Table 10'!#REF!</definedName>
    <definedName name="Solar_Tracking_integr_cost" localSheetId="16">'[3]Table 12'!$B$45</definedName>
    <definedName name="Solar_Tracking_integr_cost">'Table 10'!#REF!</definedName>
    <definedName name="Study_Name" localSheetId="0">[4]ImportData!$D$7</definedName>
    <definedName name="Study_Name">[2]ImportData!$D$7</definedName>
  </definedNames>
  <calcPr calcId="152511"/>
</workbook>
</file>

<file path=xl/calcChain.xml><?xml version="1.0" encoding="utf-8"?>
<calcChain xmlns="http://schemas.openxmlformats.org/spreadsheetml/2006/main">
  <c r="M21" i="17" l="1"/>
  <c r="L21" i="17"/>
  <c r="K21" i="17"/>
  <c r="J21" i="17"/>
  <c r="I21" i="17"/>
  <c r="H21" i="17"/>
  <c r="G21" i="17"/>
  <c r="F21" i="17"/>
  <c r="E21" i="17"/>
  <c r="D21" i="17"/>
  <c r="C21" i="17"/>
  <c r="B21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M11" i="17"/>
  <c r="L11" i="17"/>
  <c r="K11" i="17"/>
  <c r="J11" i="17"/>
  <c r="I11" i="17"/>
  <c r="H11" i="17"/>
  <c r="G11" i="17"/>
  <c r="H93" i="42"/>
  <c r="H93" i="41"/>
  <c r="AP16" i="5" l="1"/>
  <c r="AP15" i="5"/>
  <c r="AP13" i="5"/>
  <c r="AH13" i="5"/>
  <c r="AH14" i="5"/>
  <c r="AH17" i="5"/>
  <c r="F9" i="43"/>
  <c r="F10" i="43" s="1"/>
  <c r="F11" i="43" s="1"/>
  <c r="F12" i="43" s="1"/>
  <c r="F13" i="43" s="1"/>
  <c r="F14" i="43" s="1"/>
  <c r="E9" i="43"/>
  <c r="E10" i="43" s="1"/>
  <c r="E11" i="43" s="1"/>
  <c r="E12" i="43" s="1"/>
  <c r="E13" i="43" s="1"/>
  <c r="E14" i="43" s="1"/>
  <c r="D9" i="43"/>
  <c r="D10" i="43" s="1"/>
  <c r="D11" i="43" s="1"/>
  <c r="D12" i="43" s="1"/>
  <c r="D13" i="43" s="1"/>
  <c r="C9" i="43"/>
  <c r="C10" i="43" s="1"/>
  <c r="C11" i="43" s="1"/>
  <c r="C12" i="43" s="1"/>
  <c r="C13" i="43" s="1"/>
  <c r="C14" i="43" s="1"/>
  <c r="AH16" i="5" l="1"/>
  <c r="AP17" i="5"/>
  <c r="AH15" i="5"/>
  <c r="AP14" i="5"/>
  <c r="AH18" i="5"/>
  <c r="AP18" i="5"/>
  <c r="C15" i="43"/>
  <c r="C16" i="43" s="1"/>
  <c r="C17" i="43" s="1"/>
  <c r="C18" i="43" s="1"/>
  <c r="C19" i="43" s="1"/>
  <c r="C20" i="43" s="1"/>
  <c r="C21" i="43" s="1"/>
  <c r="C22" i="43" s="1"/>
  <c r="C23" i="43" s="1"/>
  <c r="C24" i="43" s="1"/>
  <c r="C25" i="43" s="1"/>
  <c r="C26" i="43" s="1"/>
  <c r="E15" i="43"/>
  <c r="E16" i="43" s="1"/>
  <c r="E17" i="43" s="1"/>
  <c r="E18" i="43" s="1"/>
  <c r="E19" i="43" s="1"/>
  <c r="E20" i="43" s="1"/>
  <c r="E21" i="43" s="1"/>
  <c r="E22" i="43" s="1"/>
  <c r="E23" i="43" s="1"/>
  <c r="E24" i="43" s="1"/>
  <c r="E25" i="43" s="1"/>
  <c r="E26" i="43" s="1"/>
  <c r="F15" i="43"/>
  <c r="D14" i="43"/>
  <c r="D15" i="43" s="1"/>
  <c r="D16" i="43" s="1"/>
  <c r="D17" i="43" s="1"/>
  <c r="D18" i="43" s="1"/>
  <c r="D19" i="43" s="1"/>
  <c r="D20" i="43" s="1"/>
  <c r="D21" i="43" s="1"/>
  <c r="D22" i="43" s="1"/>
  <c r="D23" i="43" s="1"/>
  <c r="D24" i="43" s="1"/>
  <c r="D25" i="43" s="1"/>
  <c r="D26" i="43" s="1"/>
  <c r="M42" i="13"/>
  <c r="J42" i="13"/>
  <c r="G42" i="13"/>
  <c r="D42" i="13"/>
  <c r="B41" i="13"/>
  <c r="F16" i="43" l="1"/>
  <c r="AP19" i="5"/>
  <c r="AH19" i="5"/>
  <c r="F17" i="43" l="1"/>
  <c r="AH20" i="5"/>
  <c r="AP20" i="5"/>
  <c r="D7" i="52"/>
  <c r="C7" i="52"/>
  <c r="F18" i="43" l="1"/>
  <c r="AP21" i="5"/>
  <c r="AH21" i="5"/>
  <c r="D139" i="28"/>
  <c r="D126" i="28"/>
  <c r="D113" i="28"/>
  <c r="I6" i="52"/>
  <c r="H6" i="52"/>
  <c r="C6" i="29"/>
  <c r="D6" i="29"/>
  <c r="F19" i="43" l="1"/>
  <c r="AH22" i="5"/>
  <c r="AP22" i="5"/>
  <c r="D106" i="28"/>
  <c r="G89" i="28"/>
  <c r="C89" i="28"/>
  <c r="C88" i="28"/>
  <c r="F20" i="43" l="1"/>
  <c r="AP23" i="5"/>
  <c r="AH23" i="5"/>
  <c r="H93" i="40"/>
  <c r="F21" i="43" l="1"/>
  <c r="AH24" i="5"/>
  <c r="AP24" i="5"/>
  <c r="D109" i="28" l="1"/>
  <c r="F22" i="43"/>
  <c r="AP27" i="5"/>
  <c r="AH27" i="5"/>
  <c r="G88" i="28"/>
  <c r="C106" i="28"/>
  <c r="C109" i="28" s="1"/>
  <c r="F10" i="28"/>
  <c r="C10" i="28"/>
  <c r="D10" i="28" s="1"/>
  <c r="F23" i="43" l="1"/>
  <c r="AH28" i="5"/>
  <c r="AP28" i="5"/>
  <c r="D108" i="28"/>
  <c r="D107" i="28"/>
  <c r="C108" i="28"/>
  <c r="C107" i="28"/>
  <c r="I88" i="28" s="1"/>
  <c r="D111" i="28"/>
  <c r="D112" i="28"/>
  <c r="C111" i="28"/>
  <c r="C112" i="28"/>
  <c r="D141" i="28"/>
  <c r="D136" i="28"/>
  <c r="C136" i="28"/>
  <c r="D128" i="28"/>
  <c r="C114" i="28" s="1"/>
  <c r="G93" i="28" s="1"/>
  <c r="D123" i="28"/>
  <c r="C123" i="28"/>
  <c r="F24" i="43" l="1"/>
  <c r="AP29" i="5"/>
  <c r="AH29" i="5"/>
  <c r="E142" i="28"/>
  <c r="D114" i="28"/>
  <c r="E129" i="28"/>
  <c r="D129" i="28"/>
  <c r="O24" i="5"/>
  <c r="B30" i="29"/>
  <c r="F25" i="43" l="1"/>
  <c r="AH30" i="5"/>
  <c r="AP30" i="5"/>
  <c r="F11" i="28"/>
  <c r="D11" i="28"/>
  <c r="A25" i="38"/>
  <c r="F26" i="43" l="1"/>
  <c r="AP31" i="5"/>
  <c r="AH31" i="5"/>
  <c r="H30" i="39"/>
  <c r="H29" i="39"/>
  <c r="H30" i="45"/>
  <c r="H29" i="45"/>
  <c r="AH32" i="5" l="1"/>
  <c r="AP32" i="5"/>
  <c r="H29" i="44"/>
  <c r="H30" i="44"/>
  <c r="K10" i="44" l="1"/>
  <c r="V10" i="44" s="1"/>
  <c r="I11" i="44" l="1"/>
  <c r="K11" i="44" s="1"/>
  <c r="M10" i="44"/>
  <c r="S10" i="44"/>
  <c r="P10" i="44"/>
  <c r="I12" i="44" l="1"/>
  <c r="K12" i="44" s="1"/>
  <c r="P11" i="44"/>
  <c r="V11" i="44"/>
  <c r="S11" i="44"/>
  <c r="M11" i="44"/>
  <c r="I13" i="44" l="1"/>
  <c r="K13" i="44" s="1"/>
  <c r="M12" i="44"/>
  <c r="S12" i="44"/>
  <c r="P12" i="44"/>
  <c r="V12" i="44"/>
  <c r="I14" i="44" l="1"/>
  <c r="K14" i="44"/>
  <c r="I15" i="44"/>
  <c r="P13" i="44"/>
  <c r="V13" i="44"/>
  <c r="M13" i="44"/>
  <c r="S13" i="44"/>
  <c r="K15" i="44" l="1"/>
  <c r="I16" i="44"/>
  <c r="M14" i="44"/>
  <c r="S14" i="44"/>
  <c r="V14" i="44"/>
  <c r="P14" i="44"/>
  <c r="P15" i="44" l="1"/>
  <c r="V15" i="44"/>
  <c r="S15" i="44"/>
  <c r="M15" i="44"/>
  <c r="K16" i="44"/>
  <c r="I17" i="44"/>
  <c r="M16" i="44" l="1"/>
  <c r="S16" i="44"/>
  <c r="P16" i="44"/>
  <c r="V16" i="44"/>
  <c r="K17" i="44"/>
  <c r="I18" i="44"/>
  <c r="K18" i="44" l="1"/>
  <c r="I19" i="44"/>
  <c r="P17" i="44"/>
  <c r="V17" i="44"/>
  <c r="M17" i="44"/>
  <c r="S17" i="44"/>
  <c r="K19" i="44" l="1"/>
  <c r="I20" i="44"/>
  <c r="M18" i="44"/>
  <c r="S18" i="44"/>
  <c r="V18" i="44"/>
  <c r="P18" i="44"/>
  <c r="D45" i="13"/>
  <c r="D46" i="13"/>
  <c r="D47" i="13"/>
  <c r="D48" i="13"/>
  <c r="B12" i="13"/>
  <c r="AC26" i="52"/>
  <c r="AC27" i="52" s="1"/>
  <c r="AC28" i="52" s="1"/>
  <c r="AC29" i="52" s="1"/>
  <c r="AC30" i="52" s="1"/>
  <c r="AC31" i="52" s="1"/>
  <c r="AC32" i="52" s="1"/>
  <c r="AC33" i="52" s="1"/>
  <c r="AC34" i="52" s="1"/>
  <c r="AC35" i="52" s="1"/>
  <c r="AC36" i="52" s="1"/>
  <c r="AC37" i="52" s="1"/>
  <c r="AC38" i="52" s="1"/>
  <c r="AC39" i="52" s="1"/>
  <c r="AC9" i="52"/>
  <c r="AC10" i="52" s="1"/>
  <c r="AC11" i="52" s="1"/>
  <c r="AC12" i="52" s="1"/>
  <c r="AC13" i="52" s="1"/>
  <c r="AC14" i="52" s="1"/>
  <c r="AC15" i="52" s="1"/>
  <c r="AC16" i="52" s="1"/>
  <c r="AC17" i="52" s="1"/>
  <c r="AC18" i="52" s="1"/>
  <c r="AC19" i="52" s="1"/>
  <c r="AC20" i="52" s="1"/>
  <c r="AC21" i="52" s="1"/>
  <c r="E48" i="13" l="1"/>
  <c r="E46" i="13"/>
  <c r="I21" i="44"/>
  <c r="K20" i="44"/>
  <c r="P19" i="44"/>
  <c r="V19" i="44"/>
  <c r="S19" i="44"/>
  <c r="M19" i="44"/>
  <c r="M20" i="44" l="1"/>
  <c r="S20" i="44"/>
  <c r="V20" i="44"/>
  <c r="P20" i="44"/>
  <c r="K21" i="44"/>
  <c r="I22" i="44"/>
  <c r="P21" i="44" l="1"/>
  <c r="V21" i="44"/>
  <c r="M21" i="44"/>
  <c r="S21" i="44"/>
  <c r="I23" i="44"/>
  <c r="K22" i="44"/>
  <c r="M22" i="44" l="1"/>
  <c r="S22" i="44"/>
  <c r="V22" i="44"/>
  <c r="P22" i="44"/>
  <c r="K23" i="44"/>
  <c r="I24" i="44"/>
  <c r="P23" i="44" l="1"/>
  <c r="V23" i="44"/>
  <c r="M23" i="44"/>
  <c r="S23" i="44"/>
  <c r="I25" i="44"/>
  <c r="K24" i="44"/>
  <c r="K25" i="44" l="1"/>
  <c r="K35" i="44" s="1"/>
  <c r="I26" i="44"/>
  <c r="M24" i="44"/>
  <c r="S24" i="44"/>
  <c r="P24" i="44"/>
  <c r="V24" i="44"/>
  <c r="K37" i="44" l="1"/>
  <c r="P25" i="44"/>
  <c r="P35" i="44" s="1"/>
  <c r="V25" i="44"/>
  <c r="V35" i="44" s="1"/>
  <c r="S25" i="44"/>
  <c r="S35" i="44" s="1"/>
  <c r="M25" i="44"/>
  <c r="M35" i="44" s="1"/>
  <c r="K26" i="44"/>
  <c r="I27" i="44"/>
  <c r="K27" i="44" l="1"/>
  <c r="M26" i="44"/>
  <c r="S26" i="44"/>
  <c r="P26" i="44"/>
  <c r="V26" i="44"/>
  <c r="P27" i="44" l="1"/>
  <c r="V27" i="44"/>
  <c r="S27" i="44"/>
  <c r="M27" i="44"/>
  <c r="C146" i="28"/>
  <c r="D12" i="28" l="1"/>
  <c r="F12" i="28"/>
  <c r="C147" i="28"/>
  <c r="C144" i="28"/>
  <c r="B30" i="32"/>
  <c r="C148" i="28" l="1"/>
  <c r="C149" i="28" l="1"/>
  <c r="C150" i="28" l="1"/>
  <c r="C151" i="28" l="1"/>
  <c r="F145" i="28" l="1"/>
  <c r="F146" i="28" l="1"/>
  <c r="F147" i="28" l="1"/>
  <c r="F148" i="28" l="1"/>
  <c r="F149" i="28" l="1"/>
  <c r="F150" i="28" l="1"/>
  <c r="F151" i="28" l="1"/>
  <c r="I145" i="28" l="1"/>
  <c r="I146" i="28" l="1"/>
  <c r="I147" i="28" l="1"/>
  <c r="N10" i="13"/>
  <c r="K10" i="13"/>
  <c r="H10" i="13"/>
  <c r="E10" i="13"/>
  <c r="I148" i="28" l="1"/>
  <c r="B13" i="13"/>
  <c r="I149" i="28" l="1"/>
  <c r="B14" i="13"/>
  <c r="AR10" i="5"/>
  <c r="AQ10" i="5"/>
  <c r="AM10" i="5"/>
  <c r="AM44" i="5"/>
  <c r="AL44" i="5"/>
  <c r="AM43" i="5"/>
  <c r="AL43" i="5"/>
  <c r="AM42" i="5"/>
  <c r="AL42" i="5"/>
  <c r="AE44" i="5"/>
  <c r="AD44" i="5"/>
  <c r="AE43" i="5"/>
  <c r="AD43" i="5"/>
  <c r="AE42" i="5"/>
  <c r="AD42" i="5"/>
  <c r="AJ10" i="5"/>
  <c r="AI10" i="5"/>
  <c r="W43" i="5"/>
  <c r="W42" i="5"/>
  <c r="V43" i="5"/>
  <c r="V42" i="5"/>
  <c r="V44" i="5"/>
  <c r="W44" i="5"/>
  <c r="AB10" i="5"/>
  <c r="AA10" i="5"/>
  <c r="N43" i="5"/>
  <c r="T10" i="5"/>
  <c r="S10" i="5"/>
  <c r="B15" i="13" l="1"/>
  <c r="B16" i="13" l="1"/>
  <c r="B17" i="13" l="1"/>
  <c r="B18" i="13" l="1"/>
  <c r="B19" i="13" l="1"/>
  <c r="B20" i="13" l="1"/>
  <c r="AM41" i="5"/>
  <c r="B21" i="13" l="1"/>
  <c r="B22" i="13" l="1"/>
  <c r="B23" i="13" l="1"/>
  <c r="Q226" i="52"/>
  <c r="P226" i="52"/>
  <c r="B9" i="52"/>
  <c r="M8" i="52"/>
  <c r="G8" i="52"/>
  <c r="E8" i="52"/>
  <c r="M3" i="52"/>
  <c r="L8" i="52" l="1"/>
  <c r="K8" i="52"/>
  <c r="B10" i="52"/>
  <c r="B24" i="13"/>
  <c r="E9" i="52"/>
  <c r="G9" i="52"/>
  <c r="W8" i="52"/>
  <c r="M9" i="52"/>
  <c r="M10" i="52" l="1"/>
  <c r="E10" i="52"/>
  <c r="B11" i="52"/>
  <c r="K9" i="52"/>
  <c r="L9" i="52"/>
  <c r="L10" i="52"/>
  <c r="U8" i="52"/>
  <c r="B25" i="13"/>
  <c r="T8" i="52"/>
  <c r="W9" i="52"/>
  <c r="G10" i="52"/>
  <c r="K10" i="52" l="1"/>
  <c r="E11" i="52"/>
  <c r="B12" i="52"/>
  <c r="M11" i="52"/>
  <c r="K11" i="52" s="1"/>
  <c r="T9" i="52"/>
  <c r="U9" i="52"/>
  <c r="B26" i="13"/>
  <c r="W10" i="52"/>
  <c r="G11" i="52"/>
  <c r="B13" i="52" l="1"/>
  <c r="E12" i="52"/>
  <c r="L11" i="52"/>
  <c r="M12" i="52"/>
  <c r="L12" i="52" s="1"/>
  <c r="U10" i="52"/>
  <c r="T10" i="52"/>
  <c r="B27" i="13"/>
  <c r="B38" i="13" s="1"/>
  <c r="G12" i="52"/>
  <c r="B14" i="52"/>
  <c r="W11" i="52"/>
  <c r="M13" i="52" l="1"/>
  <c r="E13" i="52"/>
  <c r="G39" i="13"/>
  <c r="J39" i="13"/>
  <c r="D39" i="13"/>
  <c r="M39" i="13"/>
  <c r="K12" i="52"/>
  <c r="T11" i="52"/>
  <c r="U11" i="52"/>
  <c r="K13" i="52"/>
  <c r="L13" i="52"/>
  <c r="B28" i="13"/>
  <c r="E14" i="52"/>
  <c r="B15" i="52"/>
  <c r="M14" i="52"/>
  <c r="G13" i="52"/>
  <c r="W12" i="52"/>
  <c r="U12" i="52" l="1"/>
  <c r="T12" i="52"/>
  <c r="U13" i="52"/>
  <c r="T13" i="52"/>
  <c r="K14" i="52"/>
  <c r="L14" i="52"/>
  <c r="B29" i="13"/>
  <c r="G14" i="52"/>
  <c r="W13" i="52"/>
  <c r="M15" i="52"/>
  <c r="B16" i="52"/>
  <c r="E15" i="52"/>
  <c r="U14" i="52" l="1"/>
  <c r="K15" i="52"/>
  <c r="L15" i="52"/>
  <c r="T14" i="52"/>
  <c r="W14" i="52"/>
  <c r="G15" i="52"/>
  <c r="E16" i="52"/>
  <c r="M16" i="52"/>
  <c r="B17" i="52"/>
  <c r="T15" i="52" l="1"/>
  <c r="U15" i="52"/>
  <c r="K16" i="52"/>
  <c r="L16" i="52"/>
  <c r="B18" i="52"/>
  <c r="E17" i="52"/>
  <c r="M17" i="52"/>
  <c r="W15" i="52"/>
  <c r="G16" i="52"/>
  <c r="U16" i="52" l="1"/>
  <c r="L17" i="52"/>
  <c r="K17" i="52"/>
  <c r="T16" i="52"/>
  <c r="W16" i="52"/>
  <c r="E18" i="52"/>
  <c r="B19" i="52"/>
  <c r="M18" i="52"/>
  <c r="G17" i="52"/>
  <c r="U17" i="52" l="1"/>
  <c r="T17" i="52"/>
  <c r="K18" i="52"/>
  <c r="L18" i="52"/>
  <c r="M19" i="52"/>
  <c r="E19" i="52"/>
  <c r="B20" i="52"/>
  <c r="G18" i="52"/>
  <c r="W17" i="52"/>
  <c r="T18" i="52" l="1"/>
  <c r="U18" i="52"/>
  <c r="L19" i="52"/>
  <c r="K19" i="52"/>
  <c r="E20" i="52"/>
  <c r="M20" i="52"/>
  <c r="B21" i="52"/>
  <c r="G19" i="52"/>
  <c r="W18" i="52"/>
  <c r="U19" i="52" l="1"/>
  <c r="T19" i="52"/>
  <c r="K20" i="52"/>
  <c r="L20" i="52"/>
  <c r="B22" i="52"/>
  <c r="E21" i="52"/>
  <c r="M21" i="52"/>
  <c r="W19" i="52"/>
  <c r="G20" i="52"/>
  <c r="U20" i="52" l="1"/>
  <c r="T20" i="52"/>
  <c r="K21" i="52"/>
  <c r="L21" i="52"/>
  <c r="G21" i="52"/>
  <c r="W20" i="52"/>
  <c r="B23" i="52"/>
  <c r="M22" i="52"/>
  <c r="E22" i="52"/>
  <c r="U21" i="52" l="1"/>
  <c r="T21" i="52"/>
  <c r="K22" i="52"/>
  <c r="L22" i="52"/>
  <c r="M23" i="52"/>
  <c r="E23" i="52"/>
  <c r="B24" i="52"/>
  <c r="W21" i="52"/>
  <c r="G22" i="52"/>
  <c r="U22" i="52" l="1"/>
  <c r="T22" i="52"/>
  <c r="K23" i="52"/>
  <c r="L23" i="52"/>
  <c r="E24" i="52"/>
  <c r="M24" i="52"/>
  <c r="B25" i="52"/>
  <c r="W22" i="52"/>
  <c r="G23" i="52"/>
  <c r="U23" i="52" l="1"/>
  <c r="T23" i="52"/>
  <c r="K24" i="52"/>
  <c r="L24" i="52"/>
  <c r="B26" i="52"/>
  <c r="M25" i="52"/>
  <c r="E25" i="52"/>
  <c r="G24" i="52"/>
  <c r="W23" i="52"/>
  <c r="U24" i="52" l="1"/>
  <c r="T24" i="52"/>
  <c r="L25" i="52"/>
  <c r="K25" i="52"/>
  <c r="W24" i="52"/>
  <c r="G25" i="52"/>
  <c r="B27" i="52"/>
  <c r="M26" i="52"/>
  <c r="E26" i="52"/>
  <c r="T25" i="52" l="1"/>
  <c r="U25" i="52"/>
  <c r="K26" i="52"/>
  <c r="L26" i="52"/>
  <c r="M27" i="52"/>
  <c r="B28" i="52"/>
  <c r="E27" i="52"/>
  <c r="W25" i="52"/>
  <c r="U26" i="52" l="1"/>
  <c r="T26" i="52"/>
  <c r="K27" i="52"/>
  <c r="L27" i="52"/>
  <c r="E28" i="52"/>
  <c r="B29" i="52"/>
  <c r="M28" i="52"/>
  <c r="U27" i="52" l="1"/>
  <c r="T27" i="52"/>
  <c r="K28" i="52"/>
  <c r="L28" i="52"/>
  <c r="M29" i="52"/>
  <c r="B30" i="52"/>
  <c r="E29" i="52"/>
  <c r="U28" i="52" l="1"/>
  <c r="T28" i="52"/>
  <c r="L29" i="52"/>
  <c r="K29" i="52"/>
  <c r="E30" i="52"/>
  <c r="B31" i="52"/>
  <c r="M30" i="52"/>
  <c r="T29" i="52" l="1"/>
  <c r="U29" i="52"/>
  <c r="K30" i="52"/>
  <c r="L30" i="52"/>
  <c r="B32" i="52"/>
  <c r="M31" i="52"/>
  <c r="E31" i="52"/>
  <c r="U30" i="52" l="1"/>
  <c r="T30" i="52"/>
  <c r="K31" i="52"/>
  <c r="L31" i="52"/>
  <c r="E32" i="52"/>
  <c r="M32" i="52"/>
  <c r="B33" i="52"/>
  <c r="T31" i="52" l="1"/>
  <c r="U31" i="52"/>
  <c r="K32" i="52"/>
  <c r="L32" i="52"/>
  <c r="M33" i="52"/>
  <c r="E33" i="52"/>
  <c r="B34" i="52"/>
  <c r="U32" i="52" l="1"/>
  <c r="T32" i="52"/>
  <c r="L33" i="52"/>
  <c r="K33" i="52"/>
  <c r="M34" i="52"/>
  <c r="E34" i="52"/>
  <c r="B35" i="52"/>
  <c r="T33" i="52" l="1"/>
  <c r="U33" i="52"/>
  <c r="K34" i="52"/>
  <c r="L34" i="52"/>
  <c r="M35" i="52"/>
  <c r="E35" i="52"/>
  <c r="B36" i="52"/>
  <c r="T34" i="52" l="1"/>
  <c r="U34" i="52"/>
  <c r="K35" i="52"/>
  <c r="L35" i="52"/>
  <c r="M36" i="52"/>
  <c r="E36" i="52"/>
  <c r="B37" i="52"/>
  <c r="U35" i="52" l="1"/>
  <c r="T35" i="52"/>
  <c r="K36" i="52"/>
  <c r="L36" i="52"/>
  <c r="B38" i="52"/>
  <c r="M37" i="52"/>
  <c r="E37" i="52"/>
  <c r="U36" i="52" l="1"/>
  <c r="T36" i="52"/>
  <c r="L37" i="52"/>
  <c r="K37" i="52"/>
  <c r="B39" i="52"/>
  <c r="E38" i="52"/>
  <c r="M38" i="52"/>
  <c r="U37" i="52" l="1"/>
  <c r="T37" i="52"/>
  <c r="K38" i="52"/>
  <c r="L38" i="52"/>
  <c r="B40" i="52"/>
  <c r="E39" i="52"/>
  <c r="M39" i="52"/>
  <c r="T38" i="52" l="1"/>
  <c r="U38" i="52"/>
  <c r="L39" i="52"/>
  <c r="K39" i="52"/>
  <c r="B41" i="52"/>
  <c r="E40" i="52"/>
  <c r="M40" i="52"/>
  <c r="U39" i="52" l="1"/>
  <c r="T39" i="52"/>
  <c r="K40" i="52"/>
  <c r="L40" i="52"/>
  <c r="B42" i="52"/>
  <c r="E41" i="52"/>
  <c r="M41" i="52"/>
  <c r="U40" i="52" l="1"/>
  <c r="T40" i="52"/>
  <c r="K41" i="52"/>
  <c r="L41" i="52"/>
  <c r="B43" i="52"/>
  <c r="E42" i="52"/>
  <c r="M42" i="52"/>
  <c r="U41" i="52" l="1"/>
  <c r="T41" i="52"/>
  <c r="K42" i="52"/>
  <c r="L42" i="52"/>
  <c r="B44" i="52"/>
  <c r="E43" i="52"/>
  <c r="M43" i="52"/>
  <c r="U42" i="52" l="1"/>
  <c r="T42" i="52"/>
  <c r="L43" i="52"/>
  <c r="K43" i="52"/>
  <c r="B45" i="52"/>
  <c r="E44" i="52"/>
  <c r="M44" i="52"/>
  <c r="U43" i="52" l="1"/>
  <c r="T43" i="52"/>
  <c r="K44" i="52"/>
  <c r="L44" i="52"/>
  <c r="B46" i="52"/>
  <c r="E45" i="52"/>
  <c r="M45" i="52"/>
  <c r="U44" i="52" l="1"/>
  <c r="T44" i="52"/>
  <c r="K45" i="52"/>
  <c r="L45" i="52"/>
  <c r="B47" i="52"/>
  <c r="E46" i="52"/>
  <c r="M46" i="52"/>
  <c r="U45" i="52" l="1"/>
  <c r="T45" i="52"/>
  <c r="K46" i="52"/>
  <c r="L46" i="52"/>
  <c r="B48" i="52"/>
  <c r="E47" i="52"/>
  <c r="M47" i="52"/>
  <c r="U46" i="52" l="1"/>
  <c r="T46" i="52"/>
  <c r="L47" i="52"/>
  <c r="K47" i="52"/>
  <c r="B49" i="52"/>
  <c r="E48" i="52"/>
  <c r="M48" i="52"/>
  <c r="U47" i="52" l="1"/>
  <c r="T47" i="52"/>
  <c r="K48" i="52"/>
  <c r="L48" i="52"/>
  <c r="B50" i="52"/>
  <c r="E49" i="52"/>
  <c r="M49" i="52"/>
  <c r="U48" i="52" l="1"/>
  <c r="T48" i="52"/>
  <c r="K49" i="52"/>
  <c r="L49" i="52"/>
  <c r="B51" i="52"/>
  <c r="E50" i="52"/>
  <c r="M50" i="52"/>
  <c r="U49" i="52" l="1"/>
  <c r="T49" i="52"/>
  <c r="K50" i="52"/>
  <c r="L50" i="52"/>
  <c r="B52" i="52"/>
  <c r="E51" i="52"/>
  <c r="M51" i="52"/>
  <c r="T50" i="52" l="1"/>
  <c r="U50" i="52"/>
  <c r="L51" i="52"/>
  <c r="K51" i="52"/>
  <c r="B53" i="52"/>
  <c r="E52" i="52"/>
  <c r="M52" i="52"/>
  <c r="U51" i="52" l="1"/>
  <c r="T51" i="52"/>
  <c r="K52" i="52"/>
  <c r="L52" i="52"/>
  <c r="B54" i="52"/>
  <c r="M53" i="52"/>
  <c r="E53" i="52"/>
  <c r="U52" i="52" l="1"/>
  <c r="T52" i="52"/>
  <c r="L53" i="52"/>
  <c r="K53" i="52"/>
  <c r="B55" i="52"/>
  <c r="M54" i="52"/>
  <c r="E54" i="52"/>
  <c r="T53" i="52" l="1"/>
  <c r="U53" i="52"/>
  <c r="K54" i="52"/>
  <c r="L54" i="52"/>
  <c r="B56" i="52"/>
  <c r="M55" i="52"/>
  <c r="E55" i="52"/>
  <c r="U54" i="52" l="1"/>
  <c r="T54" i="52"/>
  <c r="K55" i="52"/>
  <c r="L55" i="52"/>
  <c r="B57" i="52"/>
  <c r="M56" i="52"/>
  <c r="E56" i="52"/>
  <c r="U55" i="52" l="1"/>
  <c r="T55" i="52"/>
  <c r="K56" i="52"/>
  <c r="L56" i="52"/>
  <c r="B58" i="52"/>
  <c r="M57" i="52"/>
  <c r="E57" i="52"/>
  <c r="U56" i="52" l="1"/>
  <c r="T56" i="52"/>
  <c r="L57" i="52"/>
  <c r="K57" i="52"/>
  <c r="B59" i="52"/>
  <c r="M58" i="52"/>
  <c r="E58" i="52"/>
  <c r="U57" i="52" l="1"/>
  <c r="T57" i="52"/>
  <c r="K58" i="52"/>
  <c r="L58" i="52"/>
  <c r="B60" i="52"/>
  <c r="M59" i="52"/>
  <c r="E59" i="52"/>
  <c r="U58" i="52" l="1"/>
  <c r="T58" i="52"/>
  <c r="K59" i="52"/>
  <c r="L59" i="52"/>
  <c r="B61" i="52"/>
  <c r="M60" i="52"/>
  <c r="E60" i="52"/>
  <c r="T59" i="52" l="1"/>
  <c r="U59" i="52"/>
  <c r="K60" i="52"/>
  <c r="L60" i="52"/>
  <c r="B62" i="52"/>
  <c r="M61" i="52"/>
  <c r="E61" i="52"/>
  <c r="U60" i="52" l="1"/>
  <c r="T60" i="52"/>
  <c r="L61" i="52"/>
  <c r="K61" i="52"/>
  <c r="B63" i="52"/>
  <c r="M62" i="52"/>
  <c r="E62" i="52"/>
  <c r="U61" i="52" l="1"/>
  <c r="T61" i="52"/>
  <c r="K62" i="52"/>
  <c r="L62" i="52"/>
  <c r="B64" i="52"/>
  <c r="M63" i="52"/>
  <c r="E63" i="52"/>
  <c r="U62" i="52" l="1"/>
  <c r="T62" i="52"/>
  <c r="K63" i="52"/>
  <c r="L63" i="52"/>
  <c r="B65" i="52"/>
  <c r="M64" i="52"/>
  <c r="E64" i="52"/>
  <c r="U63" i="52" l="1"/>
  <c r="T63" i="52"/>
  <c r="K64" i="52"/>
  <c r="L64" i="52"/>
  <c r="B66" i="52"/>
  <c r="M65" i="52"/>
  <c r="E65" i="52"/>
  <c r="U64" i="52" l="1"/>
  <c r="T64" i="52"/>
  <c r="L65" i="52"/>
  <c r="K65" i="52"/>
  <c r="B67" i="52"/>
  <c r="M66" i="52"/>
  <c r="E66" i="52"/>
  <c r="U65" i="52" l="1"/>
  <c r="T65" i="52"/>
  <c r="K66" i="52"/>
  <c r="L66" i="52"/>
  <c r="B68" i="52"/>
  <c r="M67" i="52"/>
  <c r="E67" i="52"/>
  <c r="U66" i="52" l="1"/>
  <c r="T66" i="52"/>
  <c r="K67" i="52"/>
  <c r="L67" i="52"/>
  <c r="B69" i="52"/>
  <c r="M68" i="52"/>
  <c r="E68" i="52"/>
  <c r="U67" i="52" l="1"/>
  <c r="T67" i="52"/>
  <c r="K68" i="52"/>
  <c r="L68" i="52"/>
  <c r="B70" i="52"/>
  <c r="M69" i="52"/>
  <c r="E69" i="52"/>
  <c r="U68" i="52" l="1"/>
  <c r="T68" i="52"/>
  <c r="L69" i="52"/>
  <c r="K69" i="52"/>
  <c r="B71" i="52"/>
  <c r="M70" i="52"/>
  <c r="E70" i="52"/>
  <c r="U69" i="52" l="1"/>
  <c r="K70" i="52"/>
  <c r="L70" i="52"/>
  <c r="T69" i="52"/>
  <c r="B72" i="52"/>
  <c r="M71" i="52"/>
  <c r="E71" i="52"/>
  <c r="U70" i="52" l="1"/>
  <c r="T70" i="52"/>
  <c r="L71" i="52"/>
  <c r="K71" i="52"/>
  <c r="B73" i="52"/>
  <c r="M72" i="52"/>
  <c r="E72" i="52"/>
  <c r="U71" i="52" l="1"/>
  <c r="T71" i="52"/>
  <c r="K72" i="52"/>
  <c r="L72" i="52"/>
  <c r="B74" i="52"/>
  <c r="M73" i="52"/>
  <c r="E73" i="52"/>
  <c r="U72" i="52" l="1"/>
  <c r="T72" i="52"/>
  <c r="K73" i="52"/>
  <c r="L73" i="52"/>
  <c r="B75" i="52"/>
  <c r="M74" i="52"/>
  <c r="E74" i="52"/>
  <c r="U73" i="52" l="1"/>
  <c r="T73" i="52"/>
  <c r="K74" i="52"/>
  <c r="L74" i="52"/>
  <c r="B76" i="52"/>
  <c r="M75" i="52"/>
  <c r="E75" i="52"/>
  <c r="U74" i="52" l="1"/>
  <c r="T74" i="52"/>
  <c r="L75" i="52"/>
  <c r="K75" i="52"/>
  <c r="B77" i="52"/>
  <c r="M76" i="52"/>
  <c r="E76" i="52"/>
  <c r="U75" i="52" l="1"/>
  <c r="T75" i="52"/>
  <c r="K76" i="52"/>
  <c r="L76" i="52"/>
  <c r="B78" i="52"/>
  <c r="M77" i="52"/>
  <c r="E77" i="52"/>
  <c r="U76" i="52" l="1"/>
  <c r="T76" i="52"/>
  <c r="L77" i="52"/>
  <c r="K77" i="52"/>
  <c r="B79" i="52"/>
  <c r="M78" i="52"/>
  <c r="E78" i="52"/>
  <c r="U77" i="52" l="1"/>
  <c r="T77" i="52"/>
  <c r="K78" i="52"/>
  <c r="L78" i="52"/>
  <c r="B80" i="52"/>
  <c r="M79" i="52"/>
  <c r="E79" i="52"/>
  <c r="U78" i="52" l="1"/>
  <c r="T78" i="52"/>
  <c r="K79" i="52"/>
  <c r="L79" i="52"/>
  <c r="B81" i="52"/>
  <c r="M80" i="52"/>
  <c r="E80" i="52"/>
  <c r="U79" i="52" l="1"/>
  <c r="T79" i="52"/>
  <c r="K80" i="52"/>
  <c r="L80" i="52"/>
  <c r="B82" i="52"/>
  <c r="M81" i="52"/>
  <c r="E81" i="52"/>
  <c r="T80" i="52" l="1"/>
  <c r="U80" i="52"/>
  <c r="K81" i="52"/>
  <c r="L81" i="52"/>
  <c r="B83" i="52"/>
  <c r="M82" i="52"/>
  <c r="E82" i="52"/>
  <c r="U81" i="52" l="1"/>
  <c r="T81" i="52"/>
  <c r="K82" i="52"/>
  <c r="L82" i="52"/>
  <c r="B84" i="52"/>
  <c r="M83" i="52"/>
  <c r="E83" i="52"/>
  <c r="T82" i="52" l="1"/>
  <c r="U82" i="52"/>
  <c r="L83" i="52"/>
  <c r="K83" i="52"/>
  <c r="B85" i="52"/>
  <c r="M84" i="52"/>
  <c r="E84" i="52"/>
  <c r="T83" i="52" l="1"/>
  <c r="U83" i="52"/>
  <c r="K84" i="52"/>
  <c r="L84" i="52"/>
  <c r="B86" i="52"/>
  <c r="M85" i="52"/>
  <c r="E85" i="52"/>
  <c r="U84" i="52" l="1"/>
  <c r="T84" i="52"/>
  <c r="L85" i="52"/>
  <c r="K85" i="52"/>
  <c r="B87" i="52"/>
  <c r="M86" i="52"/>
  <c r="E86" i="52"/>
  <c r="U85" i="52" l="1"/>
  <c r="T85" i="52"/>
  <c r="K86" i="52"/>
  <c r="L86" i="52"/>
  <c r="B88" i="52"/>
  <c r="M87" i="52"/>
  <c r="E87" i="52"/>
  <c r="T86" i="52" l="1"/>
  <c r="U86" i="52"/>
  <c r="K87" i="52"/>
  <c r="L87" i="52"/>
  <c r="B89" i="52"/>
  <c r="M88" i="52"/>
  <c r="E88" i="52"/>
  <c r="U87" i="52" l="1"/>
  <c r="T87" i="52"/>
  <c r="K88" i="52"/>
  <c r="L88" i="52"/>
  <c r="B90" i="52"/>
  <c r="M89" i="52"/>
  <c r="E89" i="52"/>
  <c r="U88" i="52" l="1"/>
  <c r="T88" i="52"/>
  <c r="L89" i="52"/>
  <c r="K89" i="52"/>
  <c r="B91" i="52"/>
  <c r="M90" i="52"/>
  <c r="E90" i="52"/>
  <c r="U89" i="52" l="1"/>
  <c r="T89" i="52"/>
  <c r="K90" i="52"/>
  <c r="L90" i="52"/>
  <c r="B92" i="52"/>
  <c r="M91" i="52"/>
  <c r="E91" i="52"/>
  <c r="U90" i="52" l="1"/>
  <c r="T90" i="52"/>
  <c r="L91" i="52"/>
  <c r="K91" i="52"/>
  <c r="B93" i="52"/>
  <c r="M92" i="52"/>
  <c r="E92" i="52"/>
  <c r="U91" i="52" l="1"/>
  <c r="K92" i="52"/>
  <c r="L92" i="52"/>
  <c r="T91" i="52"/>
  <c r="B94" i="52"/>
  <c r="M93" i="52"/>
  <c r="E93" i="52"/>
  <c r="U92" i="52" l="1"/>
  <c r="T92" i="52"/>
  <c r="K93" i="52"/>
  <c r="L93" i="52"/>
  <c r="B95" i="52"/>
  <c r="M94" i="52"/>
  <c r="E94" i="52"/>
  <c r="T93" i="52" l="1"/>
  <c r="U93" i="52"/>
  <c r="K94" i="52"/>
  <c r="L94" i="52"/>
  <c r="B96" i="52"/>
  <c r="M95" i="52"/>
  <c r="E95" i="52"/>
  <c r="U94" i="52" l="1"/>
  <c r="T94" i="52"/>
  <c r="K95" i="52"/>
  <c r="L95" i="52"/>
  <c r="B97" i="52"/>
  <c r="M96" i="52"/>
  <c r="E96" i="52"/>
  <c r="T95" i="52" l="1"/>
  <c r="U95" i="52"/>
  <c r="K96" i="52"/>
  <c r="L96" i="52"/>
  <c r="B98" i="52"/>
  <c r="M97" i="52"/>
  <c r="E97" i="52"/>
  <c r="U96" i="52" l="1"/>
  <c r="T96" i="52"/>
  <c r="K97" i="52"/>
  <c r="L97" i="52"/>
  <c r="B99" i="52"/>
  <c r="M98" i="52"/>
  <c r="E98" i="52"/>
  <c r="U97" i="52" l="1"/>
  <c r="T97" i="52"/>
  <c r="K98" i="52"/>
  <c r="L98" i="52"/>
  <c r="B100" i="52"/>
  <c r="M99" i="52"/>
  <c r="E99" i="52"/>
  <c r="T98" i="52" l="1"/>
  <c r="U98" i="52"/>
  <c r="K99" i="52"/>
  <c r="L99" i="52"/>
  <c r="B101" i="52"/>
  <c r="M100" i="52"/>
  <c r="E100" i="52"/>
  <c r="U99" i="52" l="1"/>
  <c r="T99" i="52"/>
  <c r="K100" i="52"/>
  <c r="L100" i="52"/>
  <c r="B102" i="52"/>
  <c r="M101" i="52"/>
  <c r="E101" i="52"/>
  <c r="T100" i="52" l="1"/>
  <c r="U100" i="52"/>
  <c r="K101" i="52"/>
  <c r="L101" i="52"/>
  <c r="B103" i="52"/>
  <c r="M102" i="52"/>
  <c r="E102" i="52"/>
  <c r="U101" i="52" l="1"/>
  <c r="T101" i="52"/>
  <c r="K102" i="52"/>
  <c r="L102" i="52"/>
  <c r="B104" i="52"/>
  <c r="M103" i="52"/>
  <c r="E103" i="52"/>
  <c r="U102" i="52" l="1"/>
  <c r="T102" i="52"/>
  <c r="K103" i="52"/>
  <c r="L103" i="52"/>
  <c r="B105" i="52"/>
  <c r="M104" i="52"/>
  <c r="E104" i="52"/>
  <c r="U103" i="52" l="1"/>
  <c r="T103" i="52"/>
  <c r="K104" i="52"/>
  <c r="L104" i="52"/>
  <c r="B106" i="52"/>
  <c r="M105" i="52"/>
  <c r="E105" i="52"/>
  <c r="U104" i="52" l="1"/>
  <c r="T104" i="52"/>
  <c r="K105" i="52"/>
  <c r="L105" i="52"/>
  <c r="B107" i="52"/>
  <c r="M106" i="52"/>
  <c r="E106" i="52"/>
  <c r="T105" i="52" l="1"/>
  <c r="U105" i="52"/>
  <c r="K106" i="52"/>
  <c r="L106" i="52"/>
  <c r="B108" i="52"/>
  <c r="M107" i="52"/>
  <c r="E107" i="52"/>
  <c r="U106" i="52" l="1"/>
  <c r="T106" i="52"/>
  <c r="K107" i="52"/>
  <c r="L107" i="52"/>
  <c r="B109" i="52"/>
  <c r="M108" i="52"/>
  <c r="E108" i="52"/>
  <c r="U107" i="52" l="1"/>
  <c r="T107" i="52"/>
  <c r="K108" i="52"/>
  <c r="L108" i="52"/>
  <c r="B110" i="52"/>
  <c r="M109" i="52"/>
  <c r="E109" i="52"/>
  <c r="T108" i="52" l="1"/>
  <c r="U108" i="52"/>
  <c r="K109" i="52"/>
  <c r="L109" i="52"/>
  <c r="B111" i="52"/>
  <c r="M110" i="52"/>
  <c r="E110" i="52"/>
  <c r="T109" i="52" l="1"/>
  <c r="U109" i="52"/>
  <c r="K110" i="52"/>
  <c r="L110" i="52"/>
  <c r="B112" i="52"/>
  <c r="M111" i="52"/>
  <c r="E111" i="52"/>
  <c r="T110" i="52" l="1"/>
  <c r="U110" i="52"/>
  <c r="K111" i="52"/>
  <c r="L111" i="52"/>
  <c r="B113" i="52"/>
  <c r="M112" i="52"/>
  <c r="E112" i="52"/>
  <c r="U111" i="52" l="1"/>
  <c r="T111" i="52"/>
  <c r="K112" i="52"/>
  <c r="L112" i="52"/>
  <c r="B114" i="52"/>
  <c r="M113" i="52"/>
  <c r="E113" i="52"/>
  <c r="U112" i="52" l="1"/>
  <c r="T112" i="52"/>
  <c r="K113" i="52"/>
  <c r="L113" i="52"/>
  <c r="B115" i="52"/>
  <c r="M114" i="52"/>
  <c r="E114" i="52"/>
  <c r="U113" i="52" l="1"/>
  <c r="T113" i="52"/>
  <c r="K114" i="52"/>
  <c r="L114" i="52"/>
  <c r="B116" i="52"/>
  <c r="M115" i="52"/>
  <c r="E115" i="52"/>
  <c r="U114" i="52" l="1"/>
  <c r="T114" i="52"/>
  <c r="K115" i="52"/>
  <c r="L115" i="52"/>
  <c r="B117" i="52"/>
  <c r="M116" i="52"/>
  <c r="E116" i="52"/>
  <c r="U115" i="52" l="1"/>
  <c r="T115" i="52"/>
  <c r="K116" i="52"/>
  <c r="L116" i="52"/>
  <c r="B118" i="52"/>
  <c r="M117" i="52"/>
  <c r="E117" i="52"/>
  <c r="T116" i="52" l="1"/>
  <c r="U116" i="52"/>
  <c r="K117" i="52"/>
  <c r="L117" i="52"/>
  <c r="B119" i="52"/>
  <c r="M118" i="52"/>
  <c r="E118" i="52"/>
  <c r="U117" i="52" l="1"/>
  <c r="T117" i="52"/>
  <c r="K118" i="52"/>
  <c r="L118" i="52"/>
  <c r="B120" i="52"/>
  <c r="M119" i="52"/>
  <c r="E119" i="52"/>
  <c r="U118" i="52" l="1"/>
  <c r="T118" i="52"/>
  <c r="K119" i="52"/>
  <c r="L119" i="52"/>
  <c r="B121" i="52"/>
  <c r="M120" i="52"/>
  <c r="E120" i="52"/>
  <c r="U119" i="52" l="1"/>
  <c r="T119" i="52"/>
  <c r="K120" i="52"/>
  <c r="L120" i="52"/>
  <c r="B122" i="52"/>
  <c r="M121" i="52"/>
  <c r="E121" i="52"/>
  <c r="U120" i="52" l="1"/>
  <c r="T120" i="52"/>
  <c r="K121" i="52"/>
  <c r="L121" i="52"/>
  <c r="B123" i="52"/>
  <c r="M122" i="52"/>
  <c r="E122" i="52"/>
  <c r="U121" i="52" l="1"/>
  <c r="T121" i="52"/>
  <c r="K122" i="52"/>
  <c r="L122" i="52"/>
  <c r="B124" i="52"/>
  <c r="M123" i="52"/>
  <c r="E123" i="52"/>
  <c r="U122" i="52" l="1"/>
  <c r="T122" i="52"/>
  <c r="K123" i="52"/>
  <c r="L123" i="52"/>
  <c r="B125" i="52"/>
  <c r="M124" i="52"/>
  <c r="E124" i="52"/>
  <c r="U123" i="52" l="1"/>
  <c r="T123" i="52"/>
  <c r="K124" i="52"/>
  <c r="L124" i="52"/>
  <c r="B126" i="52"/>
  <c r="M125" i="52"/>
  <c r="E125" i="52"/>
  <c r="T124" i="52" l="1"/>
  <c r="K125" i="52"/>
  <c r="L125" i="52"/>
  <c r="U124" i="52"/>
  <c r="B127" i="52"/>
  <c r="M126" i="52"/>
  <c r="E126" i="52"/>
  <c r="U125" i="52" l="1"/>
  <c r="T125" i="52"/>
  <c r="K126" i="52"/>
  <c r="L126" i="52"/>
  <c r="B128" i="52"/>
  <c r="M127" i="52"/>
  <c r="E127" i="52"/>
  <c r="U126" i="52" l="1"/>
  <c r="T126" i="52"/>
  <c r="K127" i="52"/>
  <c r="L127" i="52"/>
  <c r="B129" i="52"/>
  <c r="M128" i="52"/>
  <c r="E128" i="52"/>
  <c r="U127" i="52" l="1"/>
  <c r="T127" i="52"/>
  <c r="K128" i="52"/>
  <c r="L128" i="52"/>
  <c r="B130" i="52"/>
  <c r="M129" i="52"/>
  <c r="E129" i="52"/>
  <c r="T128" i="52" l="1"/>
  <c r="U128" i="52"/>
  <c r="K129" i="52"/>
  <c r="L129" i="52"/>
  <c r="B131" i="52"/>
  <c r="M130" i="52"/>
  <c r="E130" i="52"/>
  <c r="U129" i="52" l="1"/>
  <c r="T129" i="52"/>
  <c r="K130" i="52"/>
  <c r="L130" i="52"/>
  <c r="B132" i="52"/>
  <c r="M131" i="52"/>
  <c r="E131" i="52"/>
  <c r="T130" i="52" l="1"/>
  <c r="U130" i="52"/>
  <c r="K131" i="52"/>
  <c r="L131" i="52"/>
  <c r="B133" i="52"/>
  <c r="E132" i="52"/>
  <c r="M132" i="52"/>
  <c r="U131" i="52" l="1"/>
  <c r="T131" i="52"/>
  <c r="K132" i="52"/>
  <c r="L132" i="52"/>
  <c r="B134" i="52"/>
  <c r="M133" i="52"/>
  <c r="E133" i="52"/>
  <c r="T132" i="52" l="1"/>
  <c r="U132" i="52"/>
  <c r="K133" i="52"/>
  <c r="L133" i="52"/>
  <c r="B135" i="52"/>
  <c r="E134" i="52"/>
  <c r="M134" i="52"/>
  <c r="U133" i="52" l="1"/>
  <c r="T133" i="52"/>
  <c r="K134" i="52"/>
  <c r="L134" i="52"/>
  <c r="B136" i="52"/>
  <c r="M135" i="52"/>
  <c r="E135" i="52"/>
  <c r="U134" i="52" l="1"/>
  <c r="T134" i="52"/>
  <c r="K135" i="52"/>
  <c r="L135" i="52"/>
  <c r="B137" i="52"/>
  <c r="E136" i="52"/>
  <c r="M136" i="52"/>
  <c r="U135" i="52" l="1"/>
  <c r="T135" i="52"/>
  <c r="K136" i="52"/>
  <c r="L136" i="52"/>
  <c r="B138" i="52"/>
  <c r="M137" i="52"/>
  <c r="E137" i="52"/>
  <c r="U136" i="52" l="1"/>
  <c r="T136" i="52"/>
  <c r="K137" i="52"/>
  <c r="L137" i="52"/>
  <c r="B139" i="52"/>
  <c r="E138" i="52"/>
  <c r="M138" i="52"/>
  <c r="U137" i="52" l="1"/>
  <c r="T137" i="52"/>
  <c r="K138" i="52"/>
  <c r="L138" i="52"/>
  <c r="B140" i="52"/>
  <c r="M139" i="52"/>
  <c r="E139" i="52"/>
  <c r="U138" i="52" l="1"/>
  <c r="T138" i="52"/>
  <c r="K139" i="52"/>
  <c r="L139" i="52"/>
  <c r="B141" i="52"/>
  <c r="E140" i="52"/>
  <c r="M140" i="52"/>
  <c r="U139" i="52" l="1"/>
  <c r="T139" i="52"/>
  <c r="K140" i="52"/>
  <c r="L140" i="52"/>
  <c r="B142" i="52"/>
  <c r="M141" i="52"/>
  <c r="E141" i="52"/>
  <c r="U140" i="52" l="1"/>
  <c r="T140" i="52"/>
  <c r="K141" i="52"/>
  <c r="L141" i="52"/>
  <c r="B143" i="52"/>
  <c r="E142" i="52"/>
  <c r="M142" i="52"/>
  <c r="T141" i="52" l="1"/>
  <c r="U141" i="52"/>
  <c r="K142" i="52"/>
  <c r="L142" i="52"/>
  <c r="B144" i="52"/>
  <c r="M143" i="52"/>
  <c r="E143" i="52"/>
  <c r="U142" i="52" l="1"/>
  <c r="T142" i="52"/>
  <c r="K143" i="52"/>
  <c r="L143" i="52"/>
  <c r="B145" i="52"/>
  <c r="E144" i="52"/>
  <c r="M144" i="52"/>
  <c r="U143" i="52" l="1"/>
  <c r="T143" i="52"/>
  <c r="K144" i="52"/>
  <c r="L144" i="52"/>
  <c r="B146" i="52"/>
  <c r="M145" i="52"/>
  <c r="E145" i="52"/>
  <c r="U144" i="52" l="1"/>
  <c r="T144" i="52"/>
  <c r="K145" i="52"/>
  <c r="L145" i="52"/>
  <c r="B147" i="52"/>
  <c r="E146" i="52"/>
  <c r="M146" i="52"/>
  <c r="T145" i="52" l="1"/>
  <c r="U145" i="52"/>
  <c r="K146" i="52"/>
  <c r="L146" i="52"/>
  <c r="B148" i="52"/>
  <c r="M147" i="52"/>
  <c r="E147" i="52"/>
  <c r="U146" i="52" l="1"/>
  <c r="T146" i="52"/>
  <c r="K147" i="52"/>
  <c r="L147" i="52"/>
  <c r="B149" i="52"/>
  <c r="E148" i="52"/>
  <c r="M148" i="52"/>
  <c r="U147" i="52" l="1"/>
  <c r="T147" i="52"/>
  <c r="K148" i="52"/>
  <c r="L148" i="52"/>
  <c r="B150" i="52"/>
  <c r="M149" i="52"/>
  <c r="E149" i="52"/>
  <c r="T148" i="52" l="1"/>
  <c r="U148" i="52"/>
  <c r="K149" i="52"/>
  <c r="L149" i="52"/>
  <c r="B151" i="52"/>
  <c r="E150" i="52"/>
  <c r="M150" i="52"/>
  <c r="T149" i="52" l="1"/>
  <c r="U149" i="52"/>
  <c r="K150" i="52"/>
  <c r="L150" i="52"/>
  <c r="B152" i="52"/>
  <c r="M151" i="52"/>
  <c r="E151" i="52"/>
  <c r="U150" i="52" l="1"/>
  <c r="T150" i="52"/>
  <c r="K151" i="52"/>
  <c r="L151" i="52"/>
  <c r="B153" i="52"/>
  <c r="E152" i="52"/>
  <c r="M152" i="52"/>
  <c r="T151" i="52" l="1"/>
  <c r="U151" i="52"/>
  <c r="K152" i="52"/>
  <c r="L152" i="52"/>
  <c r="B154" i="52"/>
  <c r="M153" i="52"/>
  <c r="E153" i="52"/>
  <c r="U152" i="52" l="1"/>
  <c r="T152" i="52"/>
  <c r="K153" i="52"/>
  <c r="L153" i="52"/>
  <c r="B155" i="52"/>
  <c r="E154" i="52"/>
  <c r="M154" i="52"/>
  <c r="U153" i="52" l="1"/>
  <c r="T153" i="52"/>
  <c r="K154" i="52"/>
  <c r="L154" i="52"/>
  <c r="B156" i="52"/>
  <c r="M155" i="52"/>
  <c r="E155" i="52"/>
  <c r="U154" i="52" l="1"/>
  <c r="T154" i="52"/>
  <c r="K155" i="52"/>
  <c r="L155" i="52"/>
  <c r="B157" i="52"/>
  <c r="E156" i="52"/>
  <c r="M156" i="52"/>
  <c r="T155" i="52" l="1"/>
  <c r="U155" i="52"/>
  <c r="K156" i="52"/>
  <c r="L156" i="52"/>
  <c r="B158" i="52"/>
  <c r="M157" i="52"/>
  <c r="E157" i="52"/>
  <c r="U156" i="52" l="1"/>
  <c r="T156" i="52"/>
  <c r="K157" i="52"/>
  <c r="L157" i="52"/>
  <c r="B159" i="52"/>
  <c r="E158" i="52"/>
  <c r="M158" i="52"/>
  <c r="U157" i="52" l="1"/>
  <c r="T157" i="52"/>
  <c r="K158" i="52"/>
  <c r="L158" i="52"/>
  <c r="B160" i="52"/>
  <c r="M159" i="52"/>
  <c r="E159" i="52"/>
  <c r="T158" i="52" l="1"/>
  <c r="U158" i="52"/>
  <c r="K159" i="52"/>
  <c r="L159" i="52"/>
  <c r="B161" i="52"/>
  <c r="E160" i="52"/>
  <c r="M160" i="52"/>
  <c r="U159" i="52" l="1"/>
  <c r="T159" i="52"/>
  <c r="K160" i="52"/>
  <c r="L160" i="52"/>
  <c r="B162" i="52"/>
  <c r="M161" i="52"/>
  <c r="E161" i="52"/>
  <c r="U160" i="52" l="1"/>
  <c r="T160" i="52"/>
  <c r="K161" i="52"/>
  <c r="L161" i="52"/>
  <c r="B163" i="52"/>
  <c r="E162" i="52"/>
  <c r="M162" i="52"/>
  <c r="U161" i="52" l="1"/>
  <c r="T161" i="52"/>
  <c r="K162" i="52"/>
  <c r="L162" i="52"/>
  <c r="B164" i="52"/>
  <c r="M163" i="52"/>
  <c r="E163" i="52"/>
  <c r="U162" i="52" l="1"/>
  <c r="T162" i="52"/>
  <c r="K163" i="52"/>
  <c r="L163" i="52"/>
  <c r="B165" i="52"/>
  <c r="E164" i="52"/>
  <c r="M164" i="52"/>
  <c r="U163" i="52" l="1"/>
  <c r="T163" i="52"/>
  <c r="K164" i="52"/>
  <c r="L164" i="52"/>
  <c r="B166" i="52"/>
  <c r="E165" i="52"/>
  <c r="M165" i="52"/>
  <c r="U164" i="52" l="1"/>
  <c r="T164" i="52"/>
  <c r="K165" i="52"/>
  <c r="L165" i="52"/>
  <c r="B167" i="52"/>
  <c r="M166" i="52"/>
  <c r="E166" i="52"/>
  <c r="T165" i="52" l="1"/>
  <c r="U165" i="52"/>
  <c r="K166" i="52"/>
  <c r="L166" i="52"/>
  <c r="B168" i="52"/>
  <c r="E167" i="52"/>
  <c r="M167" i="52"/>
  <c r="U166" i="52" l="1"/>
  <c r="T166" i="52"/>
  <c r="K167" i="52"/>
  <c r="L167" i="52"/>
  <c r="B169" i="52"/>
  <c r="M168" i="52"/>
  <c r="E168" i="52"/>
  <c r="U167" i="52" l="1"/>
  <c r="T167" i="52"/>
  <c r="K168" i="52"/>
  <c r="L168" i="52"/>
  <c r="B170" i="52"/>
  <c r="E169" i="52"/>
  <c r="M169" i="52"/>
  <c r="U168" i="52" l="1"/>
  <c r="T168" i="52"/>
  <c r="K169" i="52"/>
  <c r="L169" i="52"/>
  <c r="B171" i="52"/>
  <c r="M170" i="52"/>
  <c r="E170" i="52"/>
  <c r="U169" i="52" l="1"/>
  <c r="T169" i="52"/>
  <c r="K170" i="52"/>
  <c r="L170" i="52"/>
  <c r="B172" i="52"/>
  <c r="E171" i="52"/>
  <c r="M171" i="52"/>
  <c r="U170" i="52" l="1"/>
  <c r="T170" i="52"/>
  <c r="K171" i="52"/>
  <c r="L171" i="52"/>
  <c r="B173" i="52"/>
  <c r="E172" i="52"/>
  <c r="M172" i="52"/>
  <c r="U171" i="52" l="1"/>
  <c r="T171" i="52"/>
  <c r="K172" i="52"/>
  <c r="L172" i="52"/>
  <c r="B174" i="52"/>
  <c r="E173" i="52"/>
  <c r="M173" i="52"/>
  <c r="T172" i="52" l="1"/>
  <c r="U172" i="52"/>
  <c r="K173" i="52"/>
  <c r="L173" i="52"/>
  <c r="B175" i="52"/>
  <c r="M174" i="52"/>
  <c r="E174" i="52"/>
  <c r="U173" i="52" l="1"/>
  <c r="T173" i="52"/>
  <c r="K174" i="52"/>
  <c r="L174" i="52"/>
  <c r="B176" i="52"/>
  <c r="E175" i="52"/>
  <c r="M175" i="52"/>
  <c r="T174" i="52" l="1"/>
  <c r="U174" i="52"/>
  <c r="K175" i="52"/>
  <c r="L175" i="52"/>
  <c r="B177" i="52"/>
  <c r="M176" i="52"/>
  <c r="E176" i="52"/>
  <c r="U175" i="52" l="1"/>
  <c r="T175" i="52"/>
  <c r="K176" i="52"/>
  <c r="L176" i="52"/>
  <c r="B178" i="52"/>
  <c r="E177" i="52"/>
  <c r="M177" i="52"/>
  <c r="T176" i="52" l="1"/>
  <c r="U176" i="52"/>
  <c r="K177" i="52"/>
  <c r="L177" i="52"/>
  <c r="B179" i="52"/>
  <c r="M178" i="52"/>
  <c r="E178" i="52"/>
  <c r="U177" i="52" l="1"/>
  <c r="T177" i="52"/>
  <c r="K178" i="52"/>
  <c r="L178" i="52"/>
  <c r="B180" i="52"/>
  <c r="E179" i="52"/>
  <c r="M179" i="52"/>
  <c r="U178" i="52" l="1"/>
  <c r="T178" i="52"/>
  <c r="K179" i="52"/>
  <c r="L179" i="52"/>
  <c r="B181" i="52"/>
  <c r="E180" i="52"/>
  <c r="M180" i="52"/>
  <c r="U179" i="52" l="1"/>
  <c r="T179" i="52"/>
  <c r="K180" i="52"/>
  <c r="L180" i="52"/>
  <c r="B182" i="52"/>
  <c r="E181" i="52"/>
  <c r="M181" i="52"/>
  <c r="U180" i="52" l="1"/>
  <c r="T180" i="52"/>
  <c r="K181" i="52"/>
  <c r="L181" i="52"/>
  <c r="B183" i="52"/>
  <c r="M182" i="52"/>
  <c r="E182" i="52"/>
  <c r="U181" i="52" l="1"/>
  <c r="T181" i="52"/>
  <c r="K182" i="52"/>
  <c r="L182" i="52"/>
  <c r="B184" i="52"/>
  <c r="E183" i="52"/>
  <c r="M183" i="52"/>
  <c r="U182" i="52" l="1"/>
  <c r="T182" i="52"/>
  <c r="K183" i="52"/>
  <c r="L183" i="52"/>
  <c r="B185" i="52"/>
  <c r="M184" i="52"/>
  <c r="E184" i="52"/>
  <c r="T183" i="52" l="1"/>
  <c r="U183" i="52"/>
  <c r="K184" i="52"/>
  <c r="L184" i="52"/>
  <c r="B186" i="52"/>
  <c r="M185" i="52"/>
  <c r="E185" i="52"/>
  <c r="T184" i="52" l="1"/>
  <c r="U184" i="52"/>
  <c r="K185" i="52"/>
  <c r="L185" i="52"/>
  <c r="B187" i="52"/>
  <c r="M186" i="52"/>
  <c r="E186" i="52"/>
  <c r="U185" i="52" l="1"/>
  <c r="T185" i="52"/>
  <c r="K186" i="52"/>
  <c r="L186" i="52"/>
  <c r="B188" i="52"/>
  <c r="M187" i="52"/>
  <c r="E187" i="52"/>
  <c r="U186" i="52" l="1"/>
  <c r="T186" i="52"/>
  <c r="K187" i="52"/>
  <c r="L187" i="52"/>
  <c r="B189" i="52"/>
  <c r="M188" i="52"/>
  <c r="E188" i="52"/>
  <c r="T187" i="52" l="1"/>
  <c r="U187" i="52"/>
  <c r="K188" i="52"/>
  <c r="L188" i="52"/>
  <c r="B190" i="52"/>
  <c r="M189" i="52"/>
  <c r="E189" i="52"/>
  <c r="U188" i="52" l="1"/>
  <c r="T188" i="52"/>
  <c r="K189" i="52"/>
  <c r="L189" i="52"/>
  <c r="B191" i="52"/>
  <c r="M190" i="52"/>
  <c r="E190" i="52"/>
  <c r="U189" i="52" l="1"/>
  <c r="T189" i="52"/>
  <c r="K190" i="52"/>
  <c r="L190" i="52"/>
  <c r="B192" i="52"/>
  <c r="M191" i="52"/>
  <c r="E191" i="52"/>
  <c r="U190" i="52" l="1"/>
  <c r="T190" i="52"/>
  <c r="K191" i="52"/>
  <c r="L191" i="52"/>
  <c r="B193" i="52"/>
  <c r="M192" i="52"/>
  <c r="E192" i="52"/>
  <c r="U191" i="52" l="1"/>
  <c r="T191" i="52"/>
  <c r="K192" i="52"/>
  <c r="L192" i="52"/>
  <c r="B194" i="52"/>
  <c r="M193" i="52"/>
  <c r="E193" i="52"/>
  <c r="T192" i="52" l="1"/>
  <c r="U192" i="52"/>
  <c r="K193" i="52"/>
  <c r="L193" i="52"/>
  <c r="B195" i="52"/>
  <c r="M194" i="52"/>
  <c r="E194" i="52"/>
  <c r="U193" i="52" l="1"/>
  <c r="T193" i="52"/>
  <c r="K194" i="52"/>
  <c r="L194" i="52"/>
  <c r="B196" i="52"/>
  <c r="M195" i="52"/>
  <c r="E195" i="52"/>
  <c r="U194" i="52" l="1"/>
  <c r="T194" i="52"/>
  <c r="K195" i="52"/>
  <c r="L195" i="52"/>
  <c r="B197" i="52"/>
  <c r="M196" i="52"/>
  <c r="E196" i="52"/>
  <c r="U195" i="52" l="1"/>
  <c r="T195" i="52"/>
  <c r="K196" i="52"/>
  <c r="L196" i="52"/>
  <c r="B198" i="52"/>
  <c r="M197" i="52"/>
  <c r="E197" i="52"/>
  <c r="U196" i="52" l="1"/>
  <c r="T196" i="52"/>
  <c r="K197" i="52"/>
  <c r="L197" i="52"/>
  <c r="B199" i="52"/>
  <c r="M198" i="52"/>
  <c r="E198" i="52"/>
  <c r="U197" i="52" l="1"/>
  <c r="T197" i="52"/>
  <c r="K198" i="52"/>
  <c r="L198" i="52"/>
  <c r="B200" i="52"/>
  <c r="M199" i="52"/>
  <c r="E199" i="52"/>
  <c r="T198" i="52" l="1"/>
  <c r="U198" i="52"/>
  <c r="K199" i="52"/>
  <c r="L199" i="52"/>
  <c r="B201" i="52"/>
  <c r="M200" i="52"/>
  <c r="E200" i="52"/>
  <c r="U199" i="52" l="1"/>
  <c r="T199" i="52"/>
  <c r="K200" i="52"/>
  <c r="L200" i="52"/>
  <c r="B202" i="52"/>
  <c r="M201" i="52"/>
  <c r="E201" i="52"/>
  <c r="T200" i="52" l="1"/>
  <c r="U200" i="52"/>
  <c r="K201" i="52"/>
  <c r="L201" i="52"/>
  <c r="B203" i="52"/>
  <c r="M202" i="52"/>
  <c r="E202" i="52"/>
  <c r="U201" i="52" l="1"/>
  <c r="T201" i="52"/>
  <c r="K202" i="52"/>
  <c r="L202" i="52"/>
  <c r="B204" i="52"/>
  <c r="M203" i="52"/>
  <c r="E203" i="52"/>
  <c r="T202" i="52" l="1"/>
  <c r="U202" i="52"/>
  <c r="K203" i="52"/>
  <c r="L203" i="52"/>
  <c r="B205" i="52"/>
  <c r="E204" i="52"/>
  <c r="M204" i="52"/>
  <c r="U203" i="52" l="1"/>
  <c r="T203" i="52"/>
  <c r="K204" i="52"/>
  <c r="L204" i="52"/>
  <c r="B206" i="52"/>
  <c r="E205" i="52"/>
  <c r="M205" i="52"/>
  <c r="U204" i="52" l="1"/>
  <c r="T204" i="52"/>
  <c r="K205" i="52"/>
  <c r="L205" i="52"/>
  <c r="B207" i="52"/>
  <c r="E206" i="52"/>
  <c r="M206" i="52"/>
  <c r="U205" i="52" l="1"/>
  <c r="T205" i="52"/>
  <c r="K206" i="52"/>
  <c r="L206" i="52"/>
  <c r="B208" i="52"/>
  <c r="M207" i="52"/>
  <c r="E207" i="52"/>
  <c r="U206" i="52" l="1"/>
  <c r="T206" i="52"/>
  <c r="K207" i="52"/>
  <c r="L207" i="52"/>
  <c r="B209" i="52"/>
  <c r="E208" i="52"/>
  <c r="M208" i="52"/>
  <c r="T207" i="52" l="1"/>
  <c r="U207" i="52"/>
  <c r="K208" i="52"/>
  <c r="L208" i="52"/>
  <c r="B210" i="52"/>
  <c r="M209" i="52"/>
  <c r="E209" i="52"/>
  <c r="U208" i="52" l="1"/>
  <c r="T208" i="52"/>
  <c r="K209" i="52"/>
  <c r="L209" i="52"/>
  <c r="B211" i="52"/>
  <c r="E210" i="52"/>
  <c r="M210" i="52"/>
  <c r="T209" i="52" l="1"/>
  <c r="U209" i="52"/>
  <c r="K210" i="52"/>
  <c r="L210" i="52"/>
  <c r="B212" i="52"/>
  <c r="M211" i="52"/>
  <c r="E211" i="52"/>
  <c r="U210" i="52" l="1"/>
  <c r="T210" i="52"/>
  <c r="K211" i="52"/>
  <c r="L211" i="52"/>
  <c r="B213" i="52"/>
  <c r="E212" i="52"/>
  <c r="M212" i="52"/>
  <c r="T211" i="52" l="1"/>
  <c r="U211" i="52"/>
  <c r="K212" i="52"/>
  <c r="L212" i="52"/>
  <c r="B214" i="52"/>
  <c r="E213" i="52"/>
  <c r="M213" i="52"/>
  <c r="U212" i="52" l="1"/>
  <c r="T212" i="52"/>
  <c r="K213" i="52"/>
  <c r="L213" i="52"/>
  <c r="B215" i="52"/>
  <c r="E214" i="52"/>
  <c r="M214" i="52"/>
  <c r="U213" i="52" l="1"/>
  <c r="T213" i="52"/>
  <c r="K214" i="52"/>
  <c r="L214" i="52"/>
  <c r="B216" i="52"/>
  <c r="M215" i="52"/>
  <c r="E215" i="52"/>
  <c r="U214" i="52" l="1"/>
  <c r="T214" i="52"/>
  <c r="K215" i="52"/>
  <c r="L215" i="52"/>
  <c r="B217" i="52"/>
  <c r="E216" i="52"/>
  <c r="M216" i="52"/>
  <c r="U215" i="52" l="1"/>
  <c r="T215" i="52"/>
  <c r="K216" i="52"/>
  <c r="L216" i="52"/>
  <c r="B218" i="52"/>
  <c r="M217" i="52"/>
  <c r="E217" i="52"/>
  <c r="U216" i="52" l="1"/>
  <c r="T216" i="52"/>
  <c r="K217" i="52"/>
  <c r="L217" i="52"/>
  <c r="B219" i="52"/>
  <c r="E218" i="52"/>
  <c r="M218" i="52"/>
  <c r="U217" i="52" l="1"/>
  <c r="T217" i="52"/>
  <c r="K218" i="52"/>
  <c r="L218" i="52"/>
  <c r="B220" i="52"/>
  <c r="M219" i="52"/>
  <c r="E219" i="52"/>
  <c r="U218" i="52" l="1"/>
  <c r="T218" i="52"/>
  <c r="K219" i="52"/>
  <c r="L219" i="52"/>
  <c r="B221" i="52"/>
  <c r="E220" i="52"/>
  <c r="M220" i="52"/>
  <c r="U219" i="52" l="1"/>
  <c r="T219" i="52"/>
  <c r="K220" i="52"/>
  <c r="L220" i="52"/>
  <c r="B222" i="52"/>
  <c r="E221" i="52"/>
  <c r="M221" i="52"/>
  <c r="U220" i="52" l="1"/>
  <c r="T220" i="52"/>
  <c r="K221" i="52"/>
  <c r="L221" i="52"/>
  <c r="B223" i="52"/>
  <c r="M222" i="52"/>
  <c r="E222" i="52"/>
  <c r="U221" i="52" l="1"/>
  <c r="T221" i="52"/>
  <c r="K222" i="52"/>
  <c r="L222" i="52"/>
  <c r="E223" i="52"/>
  <c r="M223" i="52"/>
  <c r="I8" i="52" l="1"/>
  <c r="H8" i="52"/>
  <c r="I11" i="52"/>
  <c r="I9" i="52"/>
  <c r="I13" i="52"/>
  <c r="I10" i="52"/>
  <c r="I12" i="52"/>
  <c r="I15" i="52"/>
  <c r="I14" i="52"/>
  <c r="I16" i="52"/>
  <c r="I17" i="52"/>
  <c r="I18" i="52"/>
  <c r="I19" i="52"/>
  <c r="I20" i="52"/>
  <c r="I21" i="52"/>
  <c r="I22" i="52"/>
  <c r="I24" i="52"/>
  <c r="I23" i="52"/>
  <c r="I25" i="52"/>
  <c r="U222" i="52"/>
  <c r="T222" i="52"/>
  <c r="K223" i="52"/>
  <c r="L223" i="52"/>
  <c r="U223" i="52" l="1"/>
  <c r="T223" i="52"/>
  <c r="K10" i="45" l="1"/>
  <c r="I11" i="45" l="1"/>
  <c r="K11" i="45" s="1"/>
  <c r="I12" i="45" l="1"/>
  <c r="I13" i="45" s="1"/>
  <c r="I14" i="45" s="1"/>
  <c r="K13" i="45" l="1"/>
  <c r="K12" i="45"/>
  <c r="K14" i="45"/>
  <c r="I15" i="45"/>
  <c r="K15" i="45" l="1"/>
  <c r="I16" i="45"/>
  <c r="K16" i="45" l="1"/>
  <c r="I17" i="45"/>
  <c r="K17" i="45" l="1"/>
  <c r="I18" i="45"/>
  <c r="K18" i="45" l="1"/>
  <c r="I19" i="45"/>
  <c r="K19" i="45" l="1"/>
  <c r="I20" i="45"/>
  <c r="K20" i="45" l="1"/>
  <c r="I21" i="45"/>
  <c r="AA11" i="52" l="1"/>
  <c r="I22" i="45"/>
  <c r="K21" i="45"/>
  <c r="I28" i="52" l="1"/>
  <c r="X16" i="52"/>
  <c r="Z23" i="52"/>
  <c r="AA18" i="52"/>
  <c r="X17" i="52"/>
  <c r="X18" i="52"/>
  <c r="X12" i="52"/>
  <c r="Z12" i="52"/>
  <c r="X8" i="52"/>
  <c r="AA10" i="52"/>
  <c r="Y15" i="52"/>
  <c r="AA12" i="52"/>
  <c r="Y18" i="52"/>
  <c r="X19" i="52"/>
  <c r="AA13" i="52"/>
  <c r="Z16" i="52"/>
  <c r="H14" i="52"/>
  <c r="H24" i="52"/>
  <c r="H11" i="52"/>
  <c r="H16" i="52"/>
  <c r="H15" i="52"/>
  <c r="H21" i="52"/>
  <c r="AA17" i="52"/>
  <c r="H23" i="52"/>
  <c r="H9" i="52"/>
  <c r="Z8" i="52"/>
  <c r="Z21" i="52"/>
  <c r="H25" i="52"/>
  <c r="H17" i="52"/>
  <c r="H20" i="52"/>
  <c r="X15" i="52"/>
  <c r="Z24" i="52"/>
  <c r="Y11" i="52"/>
  <c r="AA23" i="52"/>
  <c r="Y25" i="52"/>
  <c r="H12" i="52"/>
  <c r="H13" i="52"/>
  <c r="H19" i="52"/>
  <c r="X22" i="52"/>
  <c r="X13" i="52"/>
  <c r="Y14" i="52"/>
  <c r="AA25" i="52"/>
  <c r="Y13" i="52"/>
  <c r="Z18" i="52"/>
  <c r="H22" i="52"/>
  <c r="Y10" i="52"/>
  <c r="AA24" i="52"/>
  <c r="Z14" i="52"/>
  <c r="X14" i="52"/>
  <c r="AA14" i="52"/>
  <c r="AA22" i="52"/>
  <c r="AA21" i="52"/>
  <c r="Y22" i="52"/>
  <c r="AA9" i="52"/>
  <c r="Y24" i="52"/>
  <c r="H18" i="52"/>
  <c r="AA20" i="52"/>
  <c r="Z19" i="52"/>
  <c r="AA8" i="52"/>
  <c r="Z10" i="52"/>
  <c r="Z15" i="52"/>
  <c r="Y8" i="52"/>
  <c r="AA16" i="52"/>
  <c r="Y12" i="52"/>
  <c r="X23" i="52"/>
  <c r="Y9" i="52"/>
  <c r="AA19" i="52"/>
  <c r="Y23" i="52"/>
  <c r="Z25" i="52"/>
  <c r="H10" i="52"/>
  <c r="Z20" i="52"/>
  <c r="X10" i="52"/>
  <c r="Y21" i="52"/>
  <c r="Z11" i="52"/>
  <c r="X11" i="52"/>
  <c r="X20" i="52"/>
  <c r="AA15" i="52"/>
  <c r="Y20" i="52"/>
  <c r="Y19" i="52"/>
  <c r="Z9" i="52"/>
  <c r="Y17" i="52"/>
  <c r="X25" i="52"/>
  <c r="X24" i="52"/>
  <c r="X21" i="52"/>
  <c r="X9" i="52"/>
  <c r="Z22" i="52"/>
  <c r="Z13" i="52"/>
  <c r="Y16" i="52"/>
  <c r="Z17" i="52"/>
  <c r="K22" i="45"/>
  <c r="I23" i="45"/>
  <c r="AD21" i="52" l="1"/>
  <c r="X37" i="52"/>
  <c r="AD39" i="52"/>
  <c r="AF39" i="52"/>
  <c r="AG21" i="52"/>
  <c r="AE21" i="52"/>
  <c r="AF21" i="52"/>
  <c r="AE39" i="52"/>
  <c r="AG39" i="52"/>
  <c r="AH39" i="52"/>
  <c r="AJ39" i="52"/>
  <c r="AI39" i="52"/>
  <c r="AJ21" i="52"/>
  <c r="AH21" i="52"/>
  <c r="AI21" i="52"/>
  <c r="AL39" i="52"/>
  <c r="AL21" i="52"/>
  <c r="AM39" i="52"/>
  <c r="AK21" i="52"/>
  <c r="AK39" i="52"/>
  <c r="AN21" i="52"/>
  <c r="AM21" i="52"/>
  <c r="AN39" i="52"/>
  <c r="AO21" i="52"/>
  <c r="AO39" i="52"/>
  <c r="AI14" i="52"/>
  <c r="AE26" i="52"/>
  <c r="AL16" i="52"/>
  <c r="AJ9" i="52"/>
  <c r="AN14" i="52"/>
  <c r="AG34" i="52"/>
  <c r="AG29" i="52"/>
  <c r="AG36" i="52"/>
  <c r="AE9" i="52"/>
  <c r="AO18" i="52"/>
  <c r="AG33" i="52"/>
  <c r="AM31" i="52"/>
  <c r="AO16" i="52"/>
  <c r="AN28" i="52"/>
  <c r="AG12" i="52"/>
  <c r="AI26" i="52"/>
  <c r="AH32" i="52"/>
  <c r="AF19" i="52"/>
  <c r="AO33" i="52"/>
  <c r="AO9" i="52"/>
  <c r="AD38" i="52"/>
  <c r="AI18" i="52"/>
  <c r="AO14" i="52"/>
  <c r="AH26" i="52"/>
  <c r="AG11" i="52"/>
  <c r="AK17" i="52"/>
  <c r="AH19" i="52"/>
  <c r="AN27" i="52"/>
  <c r="AG15" i="52"/>
  <c r="AO13" i="52"/>
  <c r="AK26" i="52"/>
  <c r="AO12" i="52"/>
  <c r="AL14" i="52"/>
  <c r="AM13" i="52"/>
  <c r="AG20" i="52"/>
  <c r="AL10" i="52"/>
  <c r="AD20" i="52"/>
  <c r="AD26" i="52"/>
  <c r="AF11" i="52"/>
  <c r="AK37" i="52"/>
  <c r="AE27" i="52"/>
  <c r="AN17" i="52"/>
  <c r="AK10" i="52"/>
  <c r="AI8" i="52"/>
  <c r="AN38" i="52"/>
  <c r="AK11" i="52"/>
  <c r="AI10" i="52"/>
  <c r="AJ30" i="52"/>
  <c r="AO28" i="52"/>
  <c r="AH33" i="52"/>
  <c r="AG19" i="52"/>
  <c r="AM10" i="52"/>
  <c r="AI16" i="52"/>
  <c r="AF17" i="52"/>
  <c r="AE31" i="52"/>
  <c r="AM36" i="52"/>
  <c r="AE33" i="52"/>
  <c r="AN8" i="52"/>
  <c r="AH12" i="52"/>
  <c r="AI20" i="52"/>
  <c r="AD10" i="52"/>
  <c r="AF20" i="52"/>
  <c r="AL28" i="52"/>
  <c r="AL27" i="52"/>
  <c r="AD36" i="52"/>
  <c r="AE37" i="52"/>
  <c r="AI13" i="52"/>
  <c r="AM38" i="52"/>
  <c r="AF35" i="52"/>
  <c r="AM33" i="52"/>
  <c r="AO34" i="52"/>
  <c r="AI36" i="52"/>
  <c r="AD29" i="52"/>
  <c r="AL20" i="52"/>
  <c r="AI31" i="52"/>
  <c r="AG28" i="52"/>
  <c r="AI34" i="52"/>
  <c r="AI30" i="52"/>
  <c r="AJ16" i="52"/>
  <c r="AM32" i="52"/>
  <c r="AK32" i="52"/>
  <c r="AE20" i="52"/>
  <c r="AM9" i="52"/>
  <c r="AF12" i="52"/>
  <c r="AK8" i="52"/>
  <c r="AI33" i="52"/>
  <c r="AF34" i="52"/>
  <c r="AF32" i="52"/>
  <c r="AF31" i="52"/>
  <c r="AM20" i="52"/>
  <c r="AL31" i="52"/>
  <c r="AJ26" i="52"/>
  <c r="AL8" i="52"/>
  <c r="AJ17" i="52"/>
  <c r="AE28" i="52"/>
  <c r="AE34" i="52"/>
  <c r="AJ15" i="52"/>
  <c r="AI29" i="52"/>
  <c r="AK13" i="52"/>
  <c r="AO26" i="52"/>
  <c r="AE29" i="52"/>
  <c r="AF10" i="52"/>
  <c r="AD17" i="52"/>
  <c r="AM19" i="52"/>
  <c r="AM16" i="52"/>
  <c r="AJ18" i="52"/>
  <c r="AH31" i="52"/>
  <c r="AE36" i="52"/>
  <c r="AK20" i="52"/>
  <c r="AM34" i="52"/>
  <c r="AD11" i="52"/>
  <c r="AE8" i="52"/>
  <c r="AF37" i="52"/>
  <c r="AI35" i="52"/>
  <c r="AF13" i="52"/>
  <c r="AN15" i="52"/>
  <c r="AN11" i="52"/>
  <c r="AN20" i="52"/>
  <c r="AJ34" i="52"/>
  <c r="AN19" i="52"/>
  <c r="AF36" i="52"/>
  <c r="AM12" i="52"/>
  <c r="AF8" i="52"/>
  <c r="AD27" i="52"/>
  <c r="AK31" i="52"/>
  <c r="AE17" i="52"/>
  <c r="AH13" i="52"/>
  <c r="AD12" i="52"/>
  <c r="AD32" i="52"/>
  <c r="AL35" i="52"/>
  <c r="AJ19" i="52"/>
  <c r="AL32" i="52"/>
  <c r="AG31" i="52"/>
  <c r="AN30" i="52"/>
  <c r="AG16" i="52"/>
  <c r="AH38" i="52"/>
  <c r="AL9" i="52"/>
  <c r="AH30" i="52"/>
  <c r="AE10" i="52"/>
  <c r="AJ29" i="52"/>
  <c r="AL19" i="52"/>
  <c r="AL11" i="52"/>
  <c r="AI19" i="52"/>
  <c r="AD19" i="52"/>
  <c r="AH20" i="52"/>
  <c r="AI9" i="52"/>
  <c r="AO30" i="52"/>
  <c r="AL18" i="52"/>
  <c r="AI12" i="52"/>
  <c r="AF28" i="52"/>
  <c r="AL29" i="52"/>
  <c r="AM35" i="52"/>
  <c r="AF26" i="52"/>
  <c r="AG9" i="52"/>
  <c r="AG8" i="52"/>
  <c r="AG13" i="52"/>
  <c r="AK12" i="52"/>
  <c r="AL13" i="52"/>
  <c r="AH9" i="52"/>
  <c r="AH28" i="52"/>
  <c r="AK16" i="52"/>
  <c r="AE32" i="52"/>
  <c r="AI11" i="52"/>
  <c r="AH29" i="52"/>
  <c r="AF30" i="52"/>
  <c r="AM28" i="52"/>
  <c r="AO32" i="52"/>
  <c r="AJ20" i="52"/>
  <c r="AJ13" i="52"/>
  <c r="AL37" i="52"/>
  <c r="AO11" i="52"/>
  <c r="AK33" i="52"/>
  <c r="AI37" i="52"/>
  <c r="AH27" i="52"/>
  <c r="AD31" i="52"/>
  <c r="AI32" i="52"/>
  <c r="AD16" i="52"/>
  <c r="AG14" i="52"/>
  <c r="AF29" i="52"/>
  <c r="AJ28" i="52"/>
  <c r="AG26" i="52"/>
  <c r="AD33" i="52"/>
  <c r="AJ36" i="52"/>
  <c r="AN36" i="52"/>
  <c r="AK30" i="52"/>
  <c r="AF27" i="52"/>
  <c r="AF38" i="52"/>
  <c r="AM11" i="52"/>
  <c r="AM37" i="52"/>
  <c r="AE15" i="52"/>
  <c r="AI17" i="52"/>
  <c r="AN29" i="52"/>
  <c r="AH16" i="52"/>
  <c r="AK35" i="52"/>
  <c r="AE14" i="52"/>
  <c r="AJ27" i="52"/>
  <c r="AJ38" i="52"/>
  <c r="AL33" i="52"/>
  <c r="AH10" i="52"/>
  <c r="AF16" i="52"/>
  <c r="AD13" i="52"/>
  <c r="AK36" i="52"/>
  <c r="AJ35" i="52"/>
  <c r="AO27" i="52"/>
  <c r="AD18" i="52"/>
  <c r="AN26" i="52"/>
  <c r="AM14" i="52"/>
  <c r="AN37" i="52"/>
  <c r="AK28" i="52"/>
  <c r="AM8" i="52"/>
  <c r="AG27" i="52"/>
  <c r="AI28" i="52"/>
  <c r="AI27" i="52"/>
  <c r="AL36" i="52"/>
  <c r="AD28" i="52"/>
  <c r="AK14" i="52"/>
  <c r="AJ11" i="52"/>
  <c r="AH14" i="52"/>
  <c r="AG10" i="52"/>
  <c r="AN33" i="52"/>
  <c r="AN9" i="52"/>
  <c r="AE11" i="52"/>
  <c r="AH37" i="52"/>
  <c r="AO35" i="52"/>
  <c r="AH35" i="52"/>
  <c r="AK34" i="52"/>
  <c r="AN18" i="52"/>
  <c r="AD37" i="52"/>
  <c r="AF18" i="52"/>
  <c r="AJ12" i="52"/>
  <c r="AD30" i="52"/>
  <c r="AK29" i="52"/>
  <c r="AK18" i="52"/>
  <c r="AM15" i="52"/>
  <c r="AN12" i="52"/>
  <c r="AE30" i="52"/>
  <c r="AL26" i="52"/>
  <c r="AO20" i="52"/>
  <c r="AF9" i="52"/>
  <c r="AL15" i="52"/>
  <c r="AH17" i="52"/>
  <c r="AD35" i="52"/>
  <c r="AL38" i="52"/>
  <c r="AL12" i="52"/>
  <c r="AO10" i="52"/>
  <c r="AO19" i="52"/>
  <c r="AO31" i="52"/>
  <c r="AG30" i="52"/>
  <c r="AO37" i="52"/>
  <c r="AM26" i="52"/>
  <c r="AK27" i="52"/>
  <c r="AM17" i="52"/>
  <c r="AD8" i="52"/>
  <c r="AF33" i="52"/>
  <c r="AG37" i="52"/>
  <c r="AJ32" i="52"/>
  <c r="AO29" i="52"/>
  <c r="AO38" i="52"/>
  <c r="AG18" i="52"/>
  <c r="AJ33" i="52"/>
  <c r="AK38" i="52"/>
  <c r="AM18" i="52"/>
  <c r="AF14" i="52"/>
  <c r="AI15" i="52"/>
  <c r="AH15" i="52"/>
  <c r="AO15" i="52"/>
  <c r="AG17" i="52"/>
  <c r="AG35" i="52"/>
  <c r="AO8" i="52"/>
  <c r="AN35" i="52"/>
  <c r="AN13" i="52"/>
  <c r="AO17" i="52"/>
  <c r="AM29" i="52"/>
  <c r="AH18" i="52"/>
  <c r="AN34" i="52"/>
  <c r="AD9" i="52"/>
  <c r="AM27" i="52"/>
  <c r="AE16" i="52"/>
  <c r="AH36" i="52"/>
  <c r="AH8" i="52"/>
  <c r="AF15" i="52"/>
  <c r="AI38" i="52"/>
  <c r="AJ37" i="52"/>
  <c r="AE38" i="52"/>
  <c r="AJ14" i="52"/>
  <c r="AH11" i="52"/>
  <c r="AE35" i="52"/>
  <c r="AH34" i="52"/>
  <c r="AM30" i="52"/>
  <c r="AL17" i="52"/>
  <c r="AD15" i="52"/>
  <c r="AE19" i="52"/>
  <c r="AN10" i="52"/>
  <c r="AD14" i="52"/>
  <c r="AJ8" i="52"/>
  <c r="AK15" i="52"/>
  <c r="AE18" i="52"/>
  <c r="AG32" i="52"/>
  <c r="AN32" i="52"/>
  <c r="AE13" i="52"/>
  <c r="AE12" i="52"/>
  <c r="AJ10" i="52"/>
  <c r="AL34" i="52"/>
  <c r="AG38" i="52"/>
  <c r="AJ31" i="52"/>
  <c r="AK9" i="52"/>
  <c r="AD34" i="52"/>
  <c r="AN16" i="52"/>
  <c r="AO36" i="52"/>
  <c r="AL30" i="52"/>
  <c r="AN31" i="52"/>
  <c r="AK19" i="52"/>
  <c r="H28" i="52"/>
  <c r="Z37" i="52"/>
  <c r="Y37" i="52"/>
  <c r="AA37" i="52"/>
  <c r="K23" i="45"/>
  <c r="I24" i="45"/>
  <c r="K24" i="45" l="1"/>
  <c r="I25" i="45"/>
  <c r="K25" i="45" l="1"/>
  <c r="I26" i="45"/>
  <c r="K35" i="45" l="1"/>
  <c r="K37" i="45"/>
  <c r="K26" i="45"/>
  <c r="I27" i="45"/>
  <c r="K27" i="45" l="1"/>
  <c r="AD41" i="5" l="1"/>
  <c r="AE41" i="5"/>
  <c r="A9" i="42"/>
  <c r="A9" i="41"/>
  <c r="A9" i="40"/>
  <c r="AE10" i="5" l="1"/>
  <c r="O41" i="5" l="1"/>
  <c r="AL13" i="5"/>
  <c r="AD13" i="5"/>
  <c r="A10" i="17" s="1"/>
  <c r="V41" i="5"/>
  <c r="V13" i="5"/>
  <c r="A11" i="17" l="1"/>
  <c r="AR6" i="5"/>
  <c r="AQ6" i="5"/>
  <c r="AJ6" i="5"/>
  <c r="AI6" i="5"/>
  <c r="AB6" i="5"/>
  <c r="AA6" i="5"/>
  <c r="T6" i="5"/>
  <c r="S6" i="5"/>
  <c r="A12" i="17" l="1"/>
  <c r="B9" i="43"/>
  <c r="A46" i="42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28" i="42"/>
  <c r="A10" i="42"/>
  <c r="A46" i="4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28" i="41"/>
  <c r="A10" i="41"/>
  <c r="A13" i="17" l="1"/>
  <c r="A66" i="42"/>
  <c r="A66" i="41"/>
  <c r="B10" i="43"/>
  <c r="A29" i="41"/>
  <c r="A30" i="41" s="1"/>
  <c r="A11" i="42"/>
  <c r="A29" i="42"/>
  <c r="A11" i="41"/>
  <c r="A46" i="40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28" i="40"/>
  <c r="A29" i="40" s="1"/>
  <c r="A10" i="40"/>
  <c r="A14" i="17" l="1"/>
  <c r="A12" i="42"/>
  <c r="A13" i="42" s="1"/>
  <c r="B11" i="43"/>
  <c r="A67" i="42"/>
  <c r="A30" i="42"/>
  <c r="A31" i="41"/>
  <c r="A67" i="41"/>
  <c r="A12" i="41"/>
  <c r="A11" i="40"/>
  <c r="A66" i="40"/>
  <c r="A30" i="40"/>
  <c r="A15" i="17" l="1"/>
  <c r="A14" i="42"/>
  <c r="A15" i="42" s="1"/>
  <c r="A68" i="42"/>
  <c r="B12" i="43"/>
  <c r="A69" i="42"/>
  <c r="A31" i="42"/>
  <c r="A32" i="41"/>
  <c r="A68" i="41"/>
  <c r="A13" i="41"/>
  <c r="A31" i="40"/>
  <c r="A12" i="40"/>
  <c r="A67" i="40"/>
  <c r="A16" i="17" l="1"/>
  <c r="A70" i="42"/>
  <c r="B13" i="43"/>
  <c r="A71" i="42"/>
  <c r="A16" i="42"/>
  <c r="A32" i="42"/>
  <c r="A69" i="41"/>
  <c r="A14" i="41"/>
  <c r="A33" i="41"/>
  <c r="A32" i="40"/>
  <c r="A68" i="40"/>
  <c r="A13" i="40"/>
  <c r="A17" i="17" l="1"/>
  <c r="B14" i="43"/>
  <c r="A33" i="42"/>
  <c r="A72" i="42"/>
  <c r="A17" i="42"/>
  <c r="A34" i="41"/>
  <c r="A15" i="41"/>
  <c r="A70" i="41"/>
  <c r="A33" i="40"/>
  <c r="A69" i="40"/>
  <c r="A14" i="40"/>
  <c r="A18" i="17" l="1"/>
  <c r="B15" i="43"/>
  <c r="A73" i="42"/>
  <c r="A18" i="42"/>
  <c r="A34" i="42"/>
  <c r="A35" i="41"/>
  <c r="A71" i="41"/>
  <c r="A16" i="41"/>
  <c r="A34" i="40"/>
  <c r="A70" i="40"/>
  <c r="A15" i="40"/>
  <c r="B16" i="43" l="1"/>
  <c r="A19" i="17"/>
  <c r="A35" i="42"/>
  <c r="A74" i="42"/>
  <c r="A19" i="42"/>
  <c r="A72" i="41"/>
  <c r="A17" i="41"/>
  <c r="A36" i="41"/>
  <c r="A35" i="40"/>
  <c r="A71" i="40"/>
  <c r="A16" i="40"/>
  <c r="B17" i="43" l="1"/>
  <c r="A20" i="17"/>
  <c r="A20" i="42"/>
  <c r="A75" i="42"/>
  <c r="A36" i="42"/>
  <c r="A73" i="41"/>
  <c r="A18" i="41"/>
  <c r="A37" i="41"/>
  <c r="A36" i="40"/>
  <c r="A17" i="40"/>
  <c r="A72" i="40"/>
  <c r="B18" i="43" l="1"/>
  <c r="A21" i="17"/>
  <c r="A76" i="42"/>
  <c r="A21" i="42"/>
  <c r="A37" i="42"/>
  <c r="A38" i="41"/>
  <c r="A19" i="41"/>
  <c r="A74" i="41"/>
  <c r="A73" i="40"/>
  <c r="A18" i="40"/>
  <c r="A37" i="40"/>
  <c r="B19" i="43" l="1"/>
  <c r="B20" i="43" s="1"/>
  <c r="A38" i="42"/>
  <c r="A77" i="42"/>
  <c r="A75" i="41"/>
  <c r="A20" i="41"/>
  <c r="A39" i="41"/>
  <c r="A38" i="40"/>
  <c r="A19" i="40"/>
  <c r="A74" i="40"/>
  <c r="B21" i="43" l="1"/>
  <c r="A39" i="42"/>
  <c r="A3" i="42"/>
  <c r="A76" i="41"/>
  <c r="A21" i="41"/>
  <c r="A39" i="40"/>
  <c r="A75" i="40"/>
  <c r="A20" i="40"/>
  <c r="B22" i="43" l="1"/>
  <c r="A77" i="41"/>
  <c r="A76" i="40"/>
  <c r="A21" i="40"/>
  <c r="B23" i="43" l="1"/>
  <c r="A3" i="41"/>
  <c r="A77" i="40"/>
  <c r="B24" i="43" l="1"/>
  <c r="B25" i="43" s="1"/>
  <c r="A3" i="40"/>
  <c r="B26" i="43" l="1"/>
  <c r="C41" i="28" l="1"/>
  <c r="E10" i="28" s="1"/>
  <c r="D42" i="28"/>
  <c r="D41" i="28"/>
  <c r="D40" i="28"/>
  <c r="D39" i="28"/>
  <c r="D110" i="28"/>
  <c r="C110" i="28"/>
  <c r="I89" i="28"/>
  <c r="E11" i="28" l="1"/>
  <c r="G10" i="28"/>
  <c r="H10" i="28" s="1"/>
  <c r="B10" i="29"/>
  <c r="B10" i="32"/>
  <c r="C10" i="29" l="1"/>
  <c r="D10" i="29"/>
  <c r="E12" i="28"/>
  <c r="G12" i="28" s="1"/>
  <c r="H12" i="28" s="1"/>
  <c r="G11" i="28"/>
  <c r="H11" i="28" s="1"/>
  <c r="E10" i="32"/>
  <c r="F10" i="32"/>
  <c r="D10" i="32"/>
  <c r="C10" i="32"/>
  <c r="A64" i="17" l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46" i="17"/>
  <c r="A28" i="17"/>
  <c r="A29" i="17" l="1"/>
  <c r="A47" i="17"/>
  <c r="A30" i="17" l="1"/>
  <c r="A31" i="17" s="1"/>
  <c r="A48" i="17"/>
  <c r="A86" i="17" l="1"/>
  <c r="A49" i="17"/>
  <c r="A32" i="17"/>
  <c r="A87" i="17"/>
  <c r="A33" i="17" l="1"/>
  <c r="A88" i="17"/>
  <c r="A50" i="17"/>
  <c r="A51" i="17" l="1"/>
  <c r="A34" i="17"/>
  <c r="A89" i="17"/>
  <c r="A35" i="17" l="1"/>
  <c r="A90" i="17"/>
  <c r="A52" i="17"/>
  <c r="A53" i="17" l="1"/>
  <c r="A36" i="17"/>
  <c r="A91" i="17"/>
  <c r="A37" i="17" l="1"/>
  <c r="A92" i="17"/>
  <c r="A54" i="17"/>
  <c r="A55" i="17" l="1"/>
  <c r="A38" i="17"/>
  <c r="A93" i="17"/>
  <c r="A94" i="17" l="1"/>
  <c r="A39" i="17"/>
  <c r="A56" i="17"/>
  <c r="A57" i="17" l="1"/>
  <c r="A95" i="17"/>
  <c r="A3" i="17" l="1"/>
  <c r="B11" i="32" l="1"/>
  <c r="B12" i="32" l="1"/>
  <c r="F11" i="32"/>
  <c r="E11" i="32"/>
  <c r="D11" i="32"/>
  <c r="C11" i="32"/>
  <c r="B13" i="32" l="1"/>
  <c r="F12" i="32"/>
  <c r="D12" i="32"/>
  <c r="C12" i="32"/>
  <c r="E12" i="32"/>
  <c r="D31" i="28"/>
  <c r="B31" i="28"/>
  <c r="D32" i="28"/>
  <c r="B14" i="32" l="1"/>
  <c r="E13" i="32"/>
  <c r="F13" i="32"/>
  <c r="C13" i="32"/>
  <c r="D13" i="32"/>
  <c r="B11" i="29"/>
  <c r="D11" i="29" l="1"/>
  <c r="C11" i="29"/>
  <c r="B15" i="32"/>
  <c r="F14" i="32"/>
  <c r="C14" i="32"/>
  <c r="D14" i="32"/>
  <c r="E14" i="32"/>
  <c r="B12" i="29"/>
  <c r="D12" i="29" l="1"/>
  <c r="C12" i="29"/>
  <c r="B16" i="32"/>
  <c r="F15" i="32"/>
  <c r="C15" i="32"/>
  <c r="E15" i="32"/>
  <c r="D15" i="32"/>
  <c r="B13" i="29"/>
  <c r="D13" i="29" l="1"/>
  <c r="C13" i="29"/>
  <c r="B17" i="32"/>
  <c r="D16" i="32"/>
  <c r="C16" i="32"/>
  <c r="E16" i="32"/>
  <c r="F16" i="32"/>
  <c r="B14" i="29"/>
  <c r="D14" i="29" l="1"/>
  <c r="C14" i="29"/>
  <c r="B18" i="32"/>
  <c r="C17" i="32"/>
  <c r="E17" i="32"/>
  <c r="D17" i="32"/>
  <c r="F17" i="32"/>
  <c r="B15" i="29"/>
  <c r="D15" i="29" l="1"/>
  <c r="C15" i="29"/>
  <c r="B19" i="32"/>
  <c r="C18" i="32"/>
  <c r="E18" i="32"/>
  <c r="F18" i="32"/>
  <c r="D18" i="32"/>
  <c r="B16" i="29"/>
  <c r="D16" i="29" l="1"/>
  <c r="C16" i="29"/>
  <c r="B20" i="32"/>
  <c r="C19" i="32"/>
  <c r="D19" i="32"/>
  <c r="F19" i="32"/>
  <c r="E19" i="32"/>
  <c r="B17" i="29"/>
  <c r="D17" i="29" l="1"/>
  <c r="C17" i="29"/>
  <c r="B21" i="32"/>
  <c r="C20" i="32"/>
  <c r="D20" i="32"/>
  <c r="E20" i="32"/>
  <c r="F20" i="32"/>
  <c r="B18" i="29"/>
  <c r="D18" i="29" l="1"/>
  <c r="C18" i="29"/>
  <c r="B22" i="32"/>
  <c r="E21" i="32"/>
  <c r="C21" i="32"/>
  <c r="D21" i="32"/>
  <c r="F21" i="32"/>
  <c r="B19" i="29"/>
  <c r="D19" i="29" l="1"/>
  <c r="C19" i="29"/>
  <c r="B23" i="32"/>
  <c r="C22" i="32"/>
  <c r="E22" i="32"/>
  <c r="F22" i="32"/>
  <c r="D22" i="32"/>
  <c r="B20" i="29"/>
  <c r="D20" i="29" l="1"/>
  <c r="C20" i="29"/>
  <c r="B24" i="32"/>
  <c r="D23" i="32"/>
  <c r="C23" i="32"/>
  <c r="F23" i="32"/>
  <c r="E23" i="32"/>
  <c r="B21" i="29"/>
  <c r="D21" i="29" l="1"/>
  <c r="C21" i="29"/>
  <c r="B25" i="32"/>
  <c r="E24" i="32"/>
  <c r="D24" i="32"/>
  <c r="C24" i="32"/>
  <c r="F24" i="32"/>
  <c r="B22" i="29"/>
  <c r="D22" i="29" l="1"/>
  <c r="C22" i="29"/>
  <c r="B26" i="32"/>
  <c r="C25" i="32"/>
  <c r="E25" i="32"/>
  <c r="F25" i="32"/>
  <c r="D25" i="32"/>
  <c r="B23" i="29"/>
  <c r="D23" i="29" l="1"/>
  <c r="C23" i="29"/>
  <c r="B27" i="32"/>
  <c r="E26" i="32"/>
  <c r="C26" i="32"/>
  <c r="D26" i="32"/>
  <c r="F26" i="32"/>
  <c r="B24" i="29"/>
  <c r="D24" i="29" l="1"/>
  <c r="C24" i="29"/>
  <c r="F27" i="32"/>
  <c r="E27" i="32"/>
  <c r="D27" i="32"/>
  <c r="C27" i="32"/>
  <c r="B25" i="29"/>
  <c r="D25" i="29" l="1"/>
  <c r="C25" i="29"/>
  <c r="B26" i="29"/>
  <c r="D26" i="29" l="1"/>
  <c r="C26" i="29"/>
  <c r="B27" i="29"/>
  <c r="D27" i="29" l="1"/>
  <c r="C27" i="29"/>
  <c r="J94" i="28" l="1"/>
  <c r="J93" i="28"/>
  <c r="E105" i="28"/>
  <c r="D77" i="28" l="1"/>
  <c r="D80" i="28" l="1"/>
  <c r="N44" i="5" l="1"/>
  <c r="B45" i="5"/>
  <c r="B14" i="5"/>
  <c r="J88" i="28"/>
  <c r="F93" i="28"/>
  <c r="H93" i="28" s="1"/>
  <c r="F94" i="28"/>
  <c r="J89" i="28"/>
  <c r="C41" i="5"/>
  <c r="C42" i="5" s="1"/>
  <c r="K93" i="28"/>
  <c r="K94" i="28"/>
  <c r="H13" i="5"/>
  <c r="I41" i="5"/>
  <c r="B9" i="28"/>
  <c r="B13" i="28"/>
  <c r="C32" i="28"/>
  <c r="C33" i="28"/>
  <c r="D33" i="28"/>
  <c r="C34" i="28"/>
  <c r="D34" i="28"/>
  <c r="B46" i="28"/>
  <c r="B98" i="28" s="1"/>
  <c r="B47" i="28"/>
  <c r="B54" i="28"/>
  <c r="B58" i="28"/>
  <c r="B99" i="28"/>
  <c r="C77" i="28"/>
  <c r="C78" i="28"/>
  <c r="C79" i="28"/>
  <c r="D79" i="28"/>
  <c r="C80" i="28"/>
  <c r="C81" i="28"/>
  <c r="C82" i="28"/>
  <c r="D82" i="28"/>
  <c r="C93" i="28"/>
  <c r="B32" i="29" s="1"/>
  <c r="C94" i="28"/>
  <c r="B33" i="29" s="1"/>
  <c r="G94" i="28"/>
  <c r="H94" i="28" s="1"/>
  <c r="N146" i="28"/>
  <c r="N147" i="28" s="1"/>
  <c r="N148" i="28" s="1"/>
  <c r="N149" i="28" s="1"/>
  <c r="N150" i="28" s="1"/>
  <c r="N151" i="28" s="1"/>
  <c r="H42" i="5"/>
  <c r="N13" i="5"/>
  <c r="B43" i="5"/>
  <c r="E10" i="5"/>
  <c r="I43" i="5"/>
  <c r="O44" i="5"/>
  <c r="H44" i="5"/>
  <c r="N42" i="5"/>
  <c r="N41" i="5"/>
  <c r="B42" i="5"/>
  <c r="B41" i="5"/>
  <c r="L10" i="5"/>
  <c r="H43" i="5"/>
  <c r="H41" i="5"/>
  <c r="F13" i="28" l="1"/>
  <c r="E13" i="28"/>
  <c r="D13" i="28"/>
  <c r="AL14" i="5"/>
  <c r="AD14" i="5"/>
  <c r="V14" i="5"/>
  <c r="Z13" i="5"/>
  <c r="B15" i="5"/>
  <c r="B14" i="28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N14" i="5"/>
  <c r="B59" i="28"/>
  <c r="B60" i="28" s="1"/>
  <c r="B61" i="28" s="1"/>
  <c r="B62" i="28" s="1"/>
  <c r="B63" i="28" s="1"/>
  <c r="B64" i="28" s="1"/>
  <c r="B65" i="28" s="1"/>
  <c r="H14" i="5"/>
  <c r="G90" i="28"/>
  <c r="I90" i="28" s="1"/>
  <c r="F95" i="28"/>
  <c r="J90" i="28" l="1"/>
  <c r="H88" i="28"/>
  <c r="H89" i="28" s="1"/>
  <c r="H90" i="28" s="1"/>
  <c r="D14" i="28"/>
  <c r="D15" i="28" s="1"/>
  <c r="D16" i="28" s="1"/>
  <c r="D17" i="28" s="1"/>
  <c r="D18" i="28" s="1"/>
  <c r="D19" i="28" s="1"/>
  <c r="E14" i="28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F14" i="28"/>
  <c r="F15" i="28" s="1"/>
  <c r="F16" i="28" s="1"/>
  <c r="F17" i="28" s="1"/>
  <c r="F18" i="28" s="1"/>
  <c r="AD15" i="5"/>
  <c r="V15" i="5"/>
  <c r="AL15" i="5"/>
  <c r="Z14" i="5"/>
  <c r="H95" i="28"/>
  <c r="B16" i="5"/>
  <c r="H15" i="5"/>
  <c r="N15" i="5"/>
  <c r="B66" i="28"/>
  <c r="D115" i="28" l="1"/>
  <c r="G95" i="28"/>
  <c r="I93" i="28"/>
  <c r="C55" i="28"/>
  <c r="D55" i="28" s="1"/>
  <c r="D56" i="28" s="1"/>
  <c r="D57" i="28" s="1"/>
  <c r="D58" i="28" s="1"/>
  <c r="D59" i="28" s="1"/>
  <c r="D60" i="28" s="1"/>
  <c r="D61" i="28" s="1"/>
  <c r="D62" i="28" s="1"/>
  <c r="D63" i="28" s="1"/>
  <c r="D64" i="28" s="1"/>
  <c r="D65" i="28" s="1"/>
  <c r="D66" i="28" s="1"/>
  <c r="E55" i="28"/>
  <c r="F19" i="28"/>
  <c r="G18" i="28"/>
  <c r="H18" i="28" s="1"/>
  <c r="D20" i="28"/>
  <c r="D21" i="28" s="1"/>
  <c r="D22" i="28" s="1"/>
  <c r="D23" i="28" s="1"/>
  <c r="D24" i="28" s="1"/>
  <c r="D25" i="28" s="1"/>
  <c r="D26" i="28" s="1"/>
  <c r="D27" i="28" s="1"/>
  <c r="D28" i="28" s="1"/>
  <c r="D29" i="28" s="1"/>
  <c r="C45" i="5"/>
  <c r="AL16" i="5"/>
  <c r="AD16" i="5"/>
  <c r="V16" i="5"/>
  <c r="E116" i="28"/>
  <c r="Z15" i="5"/>
  <c r="D116" i="28"/>
  <c r="D78" i="28"/>
  <c r="B17" i="5"/>
  <c r="N16" i="5"/>
  <c r="H16" i="5"/>
  <c r="B67" i="28"/>
  <c r="B68" i="28" s="1"/>
  <c r="B69" i="28" s="1"/>
  <c r="F7" i="5"/>
  <c r="K7" i="5" s="1"/>
  <c r="F10" i="5"/>
  <c r="D32" i="29" l="1"/>
  <c r="I94" i="28"/>
  <c r="J95" i="28" s="1"/>
  <c r="D67" i="28"/>
  <c r="D68" i="28" s="1"/>
  <c r="D69" i="28" s="1"/>
  <c r="E56" i="28"/>
  <c r="E57" i="28" s="1"/>
  <c r="E58" i="28" s="1"/>
  <c r="E59" i="28" s="1"/>
  <c r="E60" i="28" s="1"/>
  <c r="E61" i="28" s="1"/>
  <c r="E62" i="28" s="1"/>
  <c r="E63" i="28" s="1"/>
  <c r="E64" i="28" s="1"/>
  <c r="E65" i="28" s="1"/>
  <c r="E66" i="28" s="1"/>
  <c r="E67" i="28" s="1"/>
  <c r="E68" i="28" s="1"/>
  <c r="E69" i="28" s="1"/>
  <c r="F20" i="28"/>
  <c r="F21" i="28" s="1"/>
  <c r="F22" i="28" s="1"/>
  <c r="F23" i="28" s="1"/>
  <c r="F24" i="28" s="1"/>
  <c r="F25" i="28" s="1"/>
  <c r="G19" i="28"/>
  <c r="H19" i="28" s="1"/>
  <c r="O42" i="5"/>
  <c r="P24" i="5"/>
  <c r="V17" i="5"/>
  <c r="AL17" i="5"/>
  <c r="AD17" i="5"/>
  <c r="P10" i="5"/>
  <c r="Z16" i="5"/>
  <c r="H17" i="5"/>
  <c r="B18" i="5"/>
  <c r="N17" i="5"/>
  <c r="B70" i="28"/>
  <c r="K95" i="28" l="1"/>
  <c r="F55" i="28"/>
  <c r="G55" i="28" s="1"/>
  <c r="H55" i="28" s="1"/>
  <c r="D33" i="29"/>
  <c r="I95" i="28"/>
  <c r="D34" i="29" s="1"/>
  <c r="E70" i="28"/>
  <c r="D70" i="28"/>
  <c r="G25" i="28"/>
  <c r="F26" i="28"/>
  <c r="AE24" i="5"/>
  <c r="AM24" i="5"/>
  <c r="W24" i="5"/>
  <c r="AL18" i="5"/>
  <c r="AD18" i="5"/>
  <c r="V18" i="5"/>
  <c r="Z17" i="5"/>
  <c r="H18" i="5"/>
  <c r="B19" i="5"/>
  <c r="N18" i="5"/>
  <c r="B71" i="28"/>
  <c r="I42" i="5" l="1"/>
  <c r="F56" i="28"/>
  <c r="F57" i="28" s="1"/>
  <c r="E10" i="29"/>
  <c r="E14" i="29"/>
  <c r="E18" i="29"/>
  <c r="E22" i="29"/>
  <c r="E26" i="29"/>
  <c r="E11" i="29"/>
  <c r="E15" i="29"/>
  <c r="E19" i="29"/>
  <c r="E23" i="29"/>
  <c r="E27" i="29"/>
  <c r="E12" i="29"/>
  <c r="E16" i="29"/>
  <c r="E20" i="29"/>
  <c r="E24" i="29"/>
  <c r="E13" i="29"/>
  <c r="E17" i="29"/>
  <c r="E21" i="29"/>
  <c r="E25" i="29"/>
  <c r="J26" i="5"/>
  <c r="D81" i="28"/>
  <c r="D71" i="28"/>
  <c r="E71" i="28"/>
  <c r="G26" i="28"/>
  <c r="F27" i="28"/>
  <c r="AD19" i="5"/>
  <c r="V19" i="5"/>
  <c r="AL19" i="5"/>
  <c r="Z18" i="5"/>
  <c r="H19" i="5"/>
  <c r="B20" i="5"/>
  <c r="N19" i="5"/>
  <c r="B72" i="28"/>
  <c r="N117" i="28"/>
  <c r="G56" i="28" l="1"/>
  <c r="H56" i="28" s="1"/>
  <c r="I72" i="28"/>
  <c r="I71" i="28"/>
  <c r="J71" i="28" s="1"/>
  <c r="I70" i="28"/>
  <c r="J70" i="28" s="1"/>
  <c r="I69" i="28"/>
  <c r="J69" i="28" s="1"/>
  <c r="E72" i="28"/>
  <c r="D72" i="28"/>
  <c r="G57" i="28"/>
  <c r="H57" i="28" s="1"/>
  <c r="F58" i="28"/>
  <c r="F59" i="28" s="1"/>
  <c r="F60" i="28" s="1"/>
  <c r="F61" i="28" s="1"/>
  <c r="F62" i="28" s="1"/>
  <c r="F63" i="28" s="1"/>
  <c r="F64" i="28" s="1"/>
  <c r="F65" i="28" s="1"/>
  <c r="F66" i="28" s="1"/>
  <c r="F67" i="28" s="1"/>
  <c r="F68" i="28" s="1"/>
  <c r="F69" i="28" s="1"/>
  <c r="F70" i="28" s="1"/>
  <c r="F71" i="28" s="1"/>
  <c r="F72" i="28" s="1"/>
  <c r="G27" i="28"/>
  <c r="F28" i="28"/>
  <c r="V20" i="5"/>
  <c r="AL20" i="5"/>
  <c r="AD20" i="5"/>
  <c r="Z19" i="5"/>
  <c r="H20" i="5"/>
  <c r="B21" i="5"/>
  <c r="N20" i="5"/>
  <c r="B73" i="28"/>
  <c r="I73" i="28" s="1"/>
  <c r="N118" i="28"/>
  <c r="F73" i="28" l="1"/>
  <c r="E73" i="28"/>
  <c r="D73" i="28"/>
  <c r="G28" i="28"/>
  <c r="F29" i="28"/>
  <c r="V21" i="5"/>
  <c r="AL21" i="5"/>
  <c r="AD21" i="5"/>
  <c r="Z20" i="5"/>
  <c r="H21" i="5"/>
  <c r="B22" i="5"/>
  <c r="N21" i="5"/>
  <c r="B74" i="28"/>
  <c r="I74" i="28" s="1"/>
  <c r="N119" i="28"/>
  <c r="E74" i="28" l="1"/>
  <c r="F74" i="28"/>
  <c r="D74" i="28"/>
  <c r="B23" i="5"/>
  <c r="AL22" i="5"/>
  <c r="AD22" i="5"/>
  <c r="V22" i="5"/>
  <c r="Z21" i="5"/>
  <c r="H22" i="5"/>
  <c r="N22" i="5"/>
  <c r="N120" i="28"/>
  <c r="H23" i="5" l="1"/>
  <c r="B24" i="5"/>
  <c r="N23" i="5"/>
  <c r="Z23" i="5" s="1"/>
  <c r="AD23" i="5"/>
  <c r="V23" i="5"/>
  <c r="AL23" i="5"/>
  <c r="Z22" i="5"/>
  <c r="N121" i="28"/>
  <c r="V24" i="5" l="1"/>
  <c r="N24" i="5"/>
  <c r="B27" i="5"/>
  <c r="N27" i="5" s="1"/>
  <c r="AL24" i="5"/>
  <c r="H24" i="5"/>
  <c r="AD24" i="5"/>
  <c r="B28" i="5" l="1"/>
  <c r="Z24" i="5"/>
  <c r="O43" i="5"/>
  <c r="I44" i="5"/>
  <c r="AD28" i="5"/>
  <c r="V28" i="5"/>
  <c r="AL28" i="5"/>
  <c r="H27" i="5"/>
  <c r="I27" i="5" s="1"/>
  <c r="AL27" i="5"/>
  <c r="AD27" i="5"/>
  <c r="V27" i="5"/>
  <c r="Z27" i="5"/>
  <c r="N28" i="5"/>
  <c r="B29" i="5"/>
  <c r="H28" i="5"/>
  <c r="I28" i="5" s="1"/>
  <c r="V29" i="5" l="1"/>
  <c r="AL29" i="5"/>
  <c r="AD29" i="5"/>
  <c r="Z28" i="5"/>
  <c r="N29" i="5"/>
  <c r="B30" i="5"/>
  <c r="H29" i="5"/>
  <c r="I29" i="5" s="1"/>
  <c r="V30" i="5" l="1"/>
  <c r="AL30" i="5"/>
  <c r="AD30" i="5"/>
  <c r="Z29" i="5"/>
  <c r="B31" i="5"/>
  <c r="H30" i="5"/>
  <c r="I30" i="5" s="1"/>
  <c r="N30" i="5"/>
  <c r="AL31" i="5" l="1"/>
  <c r="AD31" i="5"/>
  <c r="V31" i="5"/>
  <c r="Z30" i="5"/>
  <c r="N31" i="5"/>
  <c r="H31" i="5"/>
  <c r="I31" i="5" s="1"/>
  <c r="B32" i="5"/>
  <c r="AD32" i="5" l="1"/>
  <c r="V32" i="5"/>
  <c r="AL32" i="5"/>
  <c r="Z31" i="5"/>
  <c r="H32" i="5"/>
  <c r="I32" i="5" s="1"/>
  <c r="N32" i="5"/>
  <c r="Z32" i="5" l="1"/>
  <c r="A84" i="17" l="1"/>
  <c r="A85" i="17" l="1"/>
  <c r="G13" i="28" l="1"/>
  <c r="H13" i="28" s="1"/>
  <c r="G58" i="28"/>
  <c r="H58" i="28" s="1"/>
  <c r="G14" i="28" l="1"/>
  <c r="H14" i="28" s="1"/>
  <c r="G59" i="28"/>
  <c r="H59" i="28" s="1"/>
  <c r="G15" i="28" l="1"/>
  <c r="H15" i="28" s="1"/>
  <c r="G60" i="28"/>
  <c r="H60" i="28" s="1"/>
  <c r="G61" i="28" l="1"/>
  <c r="H61" i="28" s="1"/>
  <c r="G16" i="28"/>
  <c r="H16" i="28" s="1"/>
  <c r="G17" i="28" l="1"/>
  <c r="H17" i="28" s="1"/>
  <c r="G62" i="28"/>
  <c r="H62" i="28" s="1"/>
  <c r="G63" i="28" l="1"/>
  <c r="H63" i="28" s="1"/>
  <c r="G64" i="28" l="1"/>
  <c r="H64" i="28" s="1"/>
  <c r="G20" i="28" l="1"/>
  <c r="H20" i="28" s="1"/>
  <c r="G65" i="28"/>
  <c r="H65" i="28" s="1"/>
  <c r="G21" i="28" l="1"/>
  <c r="H21" i="28" s="1"/>
  <c r="G66" i="28"/>
  <c r="H66" i="28" s="1"/>
  <c r="G67" i="28" l="1"/>
  <c r="H67" i="28" s="1"/>
  <c r="G22" i="28"/>
  <c r="H22" i="28" s="1"/>
  <c r="G68" i="28" l="1"/>
  <c r="H68" i="28" s="1"/>
  <c r="G23" i="28"/>
  <c r="H23" i="28" s="1"/>
  <c r="G24" i="28" l="1"/>
  <c r="H24" i="28" s="1"/>
  <c r="G69" i="28"/>
  <c r="H69" i="28" s="1"/>
  <c r="K69" i="28" s="1"/>
  <c r="H25" i="28" l="1"/>
  <c r="G70" i="28"/>
  <c r="H70" i="28" s="1"/>
  <c r="K70" i="28" s="1"/>
  <c r="G71" i="28" l="1"/>
  <c r="H71" i="28" s="1"/>
  <c r="K71" i="28" s="1"/>
  <c r="H26" i="28"/>
  <c r="G72" i="28" l="1"/>
  <c r="H72" i="28" s="1"/>
  <c r="H27" i="28"/>
  <c r="D27" i="5" s="1"/>
  <c r="H28" i="28" l="1"/>
  <c r="D28" i="5" s="1"/>
  <c r="G73" i="28"/>
  <c r="H73" i="28" s="1"/>
  <c r="C27" i="5"/>
  <c r="E27" i="5" l="1"/>
  <c r="F27" i="5" s="1"/>
  <c r="K27" i="5" s="1"/>
  <c r="C28" i="5"/>
  <c r="G74" i="28"/>
  <c r="H74" i="28" s="1"/>
  <c r="G29" i="28"/>
  <c r="H29" i="28" s="1"/>
  <c r="D29" i="5" s="1"/>
  <c r="E28" i="5" l="1"/>
  <c r="F28" i="5" s="1"/>
  <c r="K28" i="5" s="1"/>
  <c r="O27" i="5"/>
  <c r="P27" i="5" s="1"/>
  <c r="AM27" i="5" s="1"/>
  <c r="D30" i="5"/>
  <c r="C29" i="5"/>
  <c r="E29" i="5" l="1"/>
  <c r="F29" i="5" s="1"/>
  <c r="K29" i="5" s="1"/>
  <c r="O28" i="5"/>
  <c r="P28" i="5" s="1"/>
  <c r="AE27" i="5"/>
  <c r="C30" i="5"/>
  <c r="D31" i="5"/>
  <c r="O29" i="5" l="1"/>
  <c r="P29" i="5" s="1"/>
  <c r="AM29" i="5" s="1"/>
  <c r="E30" i="5"/>
  <c r="F30" i="5" s="1"/>
  <c r="K30" i="5" s="1"/>
  <c r="AE28" i="5"/>
  <c r="AM28" i="5"/>
  <c r="D32" i="5"/>
  <c r="C31" i="5"/>
  <c r="O30" i="5" l="1"/>
  <c r="P30" i="5" s="1"/>
  <c r="AE30" i="5" s="1"/>
  <c r="E31" i="5"/>
  <c r="F31" i="5" s="1"/>
  <c r="K31" i="5" s="1"/>
  <c r="AE29" i="5"/>
  <c r="C32" i="5"/>
  <c r="E32" i="5" l="1"/>
  <c r="F32" i="5" s="1"/>
  <c r="K32" i="5" s="1"/>
  <c r="O31" i="5"/>
  <c r="P31" i="5" s="1"/>
  <c r="AE31" i="5" s="1"/>
  <c r="AM30" i="5"/>
  <c r="O32" i="5" l="1"/>
  <c r="P32" i="5" s="1"/>
  <c r="AE32" i="5" s="1"/>
  <c r="AM31" i="5"/>
  <c r="AM32" i="5" l="1"/>
  <c r="J31" i="5" l="1"/>
  <c r="L31" i="5" s="1"/>
  <c r="J32" i="5"/>
  <c r="L32" i="5" s="1"/>
  <c r="J74" i="28"/>
  <c r="K74" i="28" s="1"/>
  <c r="J29" i="5"/>
  <c r="L29" i="5" s="1"/>
  <c r="J72" i="28"/>
  <c r="K72" i="28" s="1"/>
  <c r="J27" i="5"/>
  <c r="L27" i="5" s="1"/>
  <c r="J30" i="5"/>
  <c r="L30" i="5" s="1"/>
  <c r="J73" i="28"/>
  <c r="K73" i="28" s="1"/>
  <c r="J28" i="5"/>
  <c r="L28" i="5" s="1"/>
  <c r="R27" i="5" l="1"/>
  <c r="R28" i="5"/>
  <c r="R32" i="5"/>
  <c r="R30" i="5"/>
  <c r="R29" i="5"/>
  <c r="R31" i="5"/>
  <c r="AG31" i="5" l="1"/>
  <c r="AJ31" i="5" s="1"/>
  <c r="AO31" i="5"/>
  <c r="AR31" i="5" s="1"/>
  <c r="AG30" i="5"/>
  <c r="AJ30" i="5" s="1"/>
  <c r="AO30" i="5"/>
  <c r="AR30" i="5" s="1"/>
  <c r="AG32" i="5"/>
  <c r="AJ32" i="5" s="1"/>
  <c r="AO32" i="5"/>
  <c r="AR32" i="5" s="1"/>
  <c r="AG27" i="5"/>
  <c r="AJ27" i="5" s="1"/>
  <c r="AO27" i="5"/>
  <c r="AR27" i="5" s="1"/>
  <c r="AG29" i="5"/>
  <c r="AJ29" i="5" s="1"/>
  <c r="AO29" i="5"/>
  <c r="AR29" i="5" s="1"/>
  <c r="AG28" i="5"/>
  <c r="AJ28" i="5" s="1"/>
  <c r="AO28" i="5"/>
  <c r="AR28" i="5" s="1"/>
  <c r="Q29" i="5"/>
  <c r="AN29" i="5" s="1"/>
  <c r="AQ29" i="5" s="1"/>
  <c r="Y29" i="5"/>
  <c r="AB29" i="5" s="1"/>
  <c r="Q28" i="5"/>
  <c r="AN28" i="5" s="1"/>
  <c r="AQ28" i="5" s="1"/>
  <c r="Y28" i="5"/>
  <c r="AB28" i="5" s="1"/>
  <c r="Q31" i="5"/>
  <c r="AN31" i="5" s="1"/>
  <c r="AQ31" i="5" s="1"/>
  <c r="Y31" i="5"/>
  <c r="AB31" i="5" s="1"/>
  <c r="Q30" i="5"/>
  <c r="AN30" i="5" s="1"/>
  <c r="AQ30" i="5" s="1"/>
  <c r="Y30" i="5"/>
  <c r="AB30" i="5" s="1"/>
  <c r="E25" i="39" s="1"/>
  <c r="F25" i="39" s="1"/>
  <c r="Q32" i="5"/>
  <c r="AN32" i="5" s="1"/>
  <c r="AQ32" i="5" s="1"/>
  <c r="Y32" i="5"/>
  <c r="AB32" i="5" s="1"/>
  <c r="E27" i="39" s="1"/>
  <c r="F27" i="39" s="1"/>
  <c r="Q27" i="5"/>
  <c r="Y27" i="5"/>
  <c r="AB27" i="5" s="1"/>
  <c r="T29" i="5"/>
  <c r="T27" i="5"/>
  <c r="T31" i="5"/>
  <c r="T30" i="5"/>
  <c r="T32" i="5"/>
  <c r="T28" i="5"/>
  <c r="AN27" i="5" l="1"/>
  <c r="AQ27" i="5" s="1"/>
  <c r="S27" i="5"/>
  <c r="E27" i="36"/>
  <c r="F27" i="36" s="1"/>
  <c r="E24" i="36"/>
  <c r="F24" i="36" s="1"/>
  <c r="E23" i="39"/>
  <c r="F23" i="39" s="1"/>
  <c r="E24" i="39"/>
  <c r="F24" i="39" s="1"/>
  <c r="E26" i="39"/>
  <c r="F26" i="39" s="1"/>
  <c r="E26" i="36"/>
  <c r="F26" i="36" s="1"/>
  <c r="E25" i="36"/>
  <c r="F25" i="36" s="1"/>
  <c r="E23" i="36"/>
  <c r="F23" i="36" s="1"/>
  <c r="X27" i="5"/>
  <c r="AF27" i="5"/>
  <c r="AI27" i="5" s="1"/>
  <c r="X30" i="5"/>
  <c r="AF30" i="5"/>
  <c r="AI30" i="5" s="1"/>
  <c r="S30" i="5"/>
  <c r="X32" i="5"/>
  <c r="AF32" i="5"/>
  <c r="AI32" i="5" s="1"/>
  <c r="C27" i="44" s="1"/>
  <c r="L27" i="44" s="1"/>
  <c r="S32" i="5"/>
  <c r="X31" i="5"/>
  <c r="AF31" i="5"/>
  <c r="AI31" i="5" s="1"/>
  <c r="S31" i="5"/>
  <c r="C26" i="36" s="1"/>
  <c r="X28" i="5"/>
  <c r="AF28" i="5"/>
  <c r="AI28" i="5" s="1"/>
  <c r="C23" i="44" s="1"/>
  <c r="L23" i="44" s="1"/>
  <c r="S28" i="5"/>
  <c r="X29" i="5"/>
  <c r="AF29" i="5"/>
  <c r="AI29" i="5" s="1"/>
  <c r="C24" i="44" s="1"/>
  <c r="L24" i="44" s="1"/>
  <c r="S29" i="5"/>
  <c r="C24" i="36" s="1"/>
  <c r="E23" i="45"/>
  <c r="R23" i="45" s="1"/>
  <c r="C23" i="45"/>
  <c r="L23" i="45" s="1"/>
  <c r="E24" i="44"/>
  <c r="R24" i="44" s="1"/>
  <c r="E25" i="44"/>
  <c r="R25" i="44" s="1"/>
  <c r="E23" i="44"/>
  <c r="R23" i="44" s="1"/>
  <c r="E26" i="45"/>
  <c r="R26" i="45" s="1"/>
  <c r="C26" i="45"/>
  <c r="L26" i="45" s="1"/>
  <c r="E24" i="45"/>
  <c r="R24" i="45" s="1"/>
  <c r="C24" i="45"/>
  <c r="L24" i="45" s="1"/>
  <c r="E27" i="45"/>
  <c r="R27" i="45" s="1"/>
  <c r="C27" i="45"/>
  <c r="L27" i="45" s="1"/>
  <c r="E26" i="44"/>
  <c r="R26" i="44" s="1"/>
  <c r="E27" i="44"/>
  <c r="R27" i="44" s="1"/>
  <c r="E25" i="45"/>
  <c r="R25" i="45" s="1"/>
  <c r="C25" i="45"/>
  <c r="L25" i="45" s="1"/>
  <c r="C23" i="36" l="1"/>
  <c r="D23" i="36" s="1"/>
  <c r="C26" i="44"/>
  <c r="L26" i="44" s="1"/>
  <c r="C25" i="36"/>
  <c r="D25" i="36" s="1"/>
  <c r="D26" i="36"/>
  <c r="C27" i="36"/>
  <c r="D27" i="36" s="1"/>
  <c r="C29" i="13" s="1"/>
  <c r="C25" i="44"/>
  <c r="D24" i="36"/>
  <c r="F25" i="45"/>
  <c r="U25" i="45" s="1"/>
  <c r="F26" i="45"/>
  <c r="U26" i="45" s="1"/>
  <c r="F27" i="45"/>
  <c r="U27" i="45" s="1"/>
  <c r="F24" i="45"/>
  <c r="U24" i="45" s="1"/>
  <c r="F23" i="45"/>
  <c r="U23" i="45" s="1"/>
  <c r="F27" i="44"/>
  <c r="U27" i="44" s="1"/>
  <c r="F23" i="44"/>
  <c r="U23" i="44" s="1"/>
  <c r="F25" i="44"/>
  <c r="U25" i="44" s="1"/>
  <c r="F26" i="44"/>
  <c r="U26" i="44" s="1"/>
  <c r="F24" i="44"/>
  <c r="U24" i="44" s="1"/>
  <c r="D24" i="45"/>
  <c r="D23" i="45"/>
  <c r="D25" i="45"/>
  <c r="L27" i="13" s="1"/>
  <c r="D27" i="45"/>
  <c r="D26" i="45"/>
  <c r="L29" i="13" l="1"/>
  <c r="L25" i="13"/>
  <c r="L28" i="13"/>
  <c r="N28" i="13" s="1"/>
  <c r="L26" i="13"/>
  <c r="N26" i="13" s="1"/>
  <c r="O26" i="45"/>
  <c r="O25" i="45"/>
  <c r="O27" i="45"/>
  <c r="O23" i="45"/>
  <c r="O24" i="45"/>
  <c r="D25" i="44"/>
  <c r="O25" i="44" s="1"/>
  <c r="L25" i="44"/>
  <c r="C27" i="13"/>
  <c r="E27" i="13" s="1"/>
  <c r="C26" i="13"/>
  <c r="E29" i="13"/>
  <c r="C28" i="13"/>
  <c r="E28" i="13" s="1"/>
  <c r="C25" i="13"/>
  <c r="E25" i="13" s="1"/>
  <c r="D24" i="44"/>
  <c r="O24" i="44" s="1"/>
  <c r="D23" i="44"/>
  <c r="O23" i="44" s="1"/>
  <c r="D27" i="44"/>
  <c r="O27" i="44" s="1"/>
  <c r="D26" i="44"/>
  <c r="O26" i="44" s="1"/>
  <c r="I28" i="13" l="1"/>
  <c r="K28" i="13" s="1"/>
  <c r="N27" i="13"/>
  <c r="I26" i="13"/>
  <c r="I25" i="13"/>
  <c r="K25" i="13" s="1"/>
  <c r="I29" i="13"/>
  <c r="K29" i="13" s="1"/>
  <c r="I27" i="13"/>
  <c r="E26" i="13"/>
  <c r="N29" i="13"/>
  <c r="N25" i="13"/>
  <c r="K27" i="13" l="1"/>
  <c r="K26" i="13"/>
  <c r="W10" i="5" l="1"/>
  <c r="W41" i="5"/>
  <c r="W31" i="5"/>
  <c r="W29" i="5"/>
  <c r="W30" i="5"/>
  <c r="W28" i="5"/>
  <c r="W32" i="5"/>
  <c r="W27" i="5"/>
  <c r="AA31" i="5" l="1"/>
  <c r="AA27" i="5"/>
  <c r="AA32" i="5"/>
  <c r="AA28" i="5"/>
  <c r="C23" i="39" s="1"/>
  <c r="D23" i="39" s="1"/>
  <c r="AA30" i="5"/>
  <c r="AA29" i="5"/>
  <c r="C24" i="39" l="1"/>
  <c r="D24" i="39" s="1"/>
  <c r="F26" i="13" s="1"/>
  <c r="H26" i="13" s="1"/>
  <c r="C25" i="39"/>
  <c r="D25" i="39" s="1"/>
  <c r="C26" i="39"/>
  <c r="D26" i="39" s="1"/>
  <c r="C27" i="39"/>
  <c r="D27" i="39" s="1"/>
  <c r="F29" i="13" l="1"/>
  <c r="H29" i="13" s="1"/>
  <c r="F28" i="13"/>
  <c r="H28" i="13" s="1"/>
  <c r="F27" i="13"/>
  <c r="H27" i="13" s="1"/>
  <c r="O23" i="5" l="1"/>
  <c r="P23" i="5" s="1"/>
  <c r="AM23" i="5" l="1"/>
  <c r="W23" i="5"/>
  <c r="AE23" i="5"/>
  <c r="O13" i="5" l="1"/>
  <c r="P13" i="5" s="1"/>
  <c r="AE13" i="5" l="1"/>
  <c r="AM13" i="5"/>
  <c r="W13" i="5"/>
  <c r="O14" i="5" l="1"/>
  <c r="P14" i="5" s="1"/>
  <c r="W14" i="5" l="1"/>
  <c r="AM14" i="5"/>
  <c r="AE14" i="5"/>
  <c r="O15" i="5" l="1"/>
  <c r="P15" i="5" s="1"/>
  <c r="AM15" i="5" l="1"/>
  <c r="W15" i="5"/>
  <c r="AE15" i="5"/>
  <c r="O16" i="5" l="1"/>
  <c r="P16" i="5" s="1"/>
  <c r="W16" i="5" l="1"/>
  <c r="AE16" i="5"/>
  <c r="AM16" i="5"/>
  <c r="O17" i="5" l="1"/>
  <c r="P17" i="5" s="1"/>
  <c r="AM17" i="5" l="1"/>
  <c r="W17" i="5"/>
  <c r="AE17" i="5"/>
  <c r="O18" i="5" l="1"/>
  <c r="P18" i="5" s="1"/>
  <c r="AM18" i="5" l="1"/>
  <c r="W18" i="5"/>
  <c r="AE18" i="5"/>
  <c r="O19" i="5" l="1"/>
  <c r="P19" i="5" s="1"/>
  <c r="AM19" i="5" l="1"/>
  <c r="AE19" i="5"/>
  <c r="W19" i="5"/>
  <c r="O20" i="5" l="1"/>
  <c r="P20" i="5" s="1"/>
  <c r="AM20" i="5" l="1"/>
  <c r="AE20" i="5"/>
  <c r="W20" i="5"/>
  <c r="O21" i="5" l="1"/>
  <c r="P21" i="5" s="1"/>
  <c r="AM21" i="5" l="1"/>
  <c r="AE21" i="5"/>
  <c r="W21" i="5"/>
  <c r="O22" i="5" l="1"/>
  <c r="P22" i="5" s="1"/>
  <c r="AM22" i="5" l="1"/>
  <c r="W22" i="5"/>
  <c r="AE22" i="5"/>
  <c r="C22" i="44" l="1"/>
  <c r="C22" i="36"/>
  <c r="D22" i="36" s="1"/>
  <c r="C22" i="45"/>
  <c r="L22" i="45" s="1"/>
  <c r="C22" i="39"/>
  <c r="D22" i="39" s="1"/>
  <c r="F25" i="13" s="1"/>
  <c r="H25" i="13" s="1"/>
  <c r="D22" i="45" l="1"/>
  <c r="L22" i="44"/>
  <c r="D22" i="44"/>
  <c r="O22" i="44" s="1"/>
  <c r="E22" i="39"/>
  <c r="F22" i="39" s="1"/>
  <c r="F24" i="13" s="1"/>
  <c r="H24" i="13" s="1"/>
  <c r="E22" i="45"/>
  <c r="R22" i="45" s="1"/>
  <c r="E22" i="36"/>
  <c r="F22" i="36" s="1"/>
  <c r="C24" i="13" s="1"/>
  <c r="E24" i="13" s="1"/>
  <c r="E22" i="44"/>
  <c r="O22" i="45" l="1"/>
  <c r="R22" i="44"/>
  <c r="F22" i="44"/>
  <c r="F22" i="45"/>
  <c r="L24" i="13" s="1"/>
  <c r="N24" i="13" l="1"/>
  <c r="U22" i="45"/>
  <c r="U22" i="44"/>
  <c r="I24" i="13"/>
  <c r="K24" i="13" s="1"/>
  <c r="M39" i="17" l="1"/>
  <c r="M57" i="17"/>
  <c r="C38" i="17"/>
  <c r="C56" i="17"/>
  <c r="E56" i="17"/>
  <c r="E38" i="17"/>
  <c r="M56" i="17"/>
  <c r="M38" i="17"/>
  <c r="G57" i="17"/>
  <c r="G39" i="17"/>
  <c r="I57" i="17"/>
  <c r="I39" i="17"/>
  <c r="D38" i="17"/>
  <c r="D56" i="17"/>
  <c r="D39" i="17"/>
  <c r="D57" i="17"/>
  <c r="L57" i="17"/>
  <c r="L39" i="17"/>
  <c r="G38" i="17"/>
  <c r="G56" i="17"/>
  <c r="F39" i="17"/>
  <c r="F57" i="17"/>
  <c r="I38" i="17"/>
  <c r="I56" i="17"/>
  <c r="F38" i="17"/>
  <c r="F56" i="17"/>
  <c r="K56" i="17"/>
  <c r="K38" i="17"/>
  <c r="H57" i="17"/>
  <c r="H39" i="17"/>
  <c r="C39" i="17"/>
  <c r="C57" i="17"/>
  <c r="E39" i="17"/>
  <c r="E57" i="17"/>
  <c r="L38" i="17"/>
  <c r="L56" i="17"/>
  <c r="J57" i="17"/>
  <c r="J39" i="17"/>
  <c r="K39" i="17"/>
  <c r="K57" i="17"/>
  <c r="H38" i="17"/>
  <c r="H56" i="17"/>
  <c r="J38" i="17"/>
  <c r="J56" i="17"/>
  <c r="J38" i="42" l="1"/>
  <c r="J38" i="41"/>
  <c r="K39" i="42"/>
  <c r="K39" i="41"/>
  <c r="L38" i="42"/>
  <c r="L38" i="41"/>
  <c r="C39" i="42"/>
  <c r="C39" i="41"/>
  <c r="K20" i="41"/>
  <c r="K20" i="42"/>
  <c r="I38" i="42"/>
  <c r="I38" i="41"/>
  <c r="G38" i="42"/>
  <c r="G38" i="41"/>
  <c r="D39" i="42"/>
  <c r="D39" i="41"/>
  <c r="I21" i="41"/>
  <c r="I21" i="42"/>
  <c r="M20" i="42"/>
  <c r="M20" i="41"/>
  <c r="C38" i="42"/>
  <c r="C38" i="41"/>
  <c r="J20" i="41"/>
  <c r="J20" i="42"/>
  <c r="K21" i="41"/>
  <c r="K21" i="42"/>
  <c r="L20" i="42"/>
  <c r="L20" i="41"/>
  <c r="C21" i="41"/>
  <c r="C21" i="42"/>
  <c r="K38" i="42"/>
  <c r="K38" i="41"/>
  <c r="I20" i="41"/>
  <c r="I20" i="42"/>
  <c r="G20" i="41"/>
  <c r="G20" i="42"/>
  <c r="D21" i="42"/>
  <c r="D21" i="41"/>
  <c r="I39" i="42"/>
  <c r="I39" i="41"/>
  <c r="M38" i="42"/>
  <c r="M38" i="41"/>
  <c r="C20" i="41"/>
  <c r="C20" i="42"/>
  <c r="H38" i="42"/>
  <c r="H38" i="41"/>
  <c r="J21" i="42"/>
  <c r="J21" i="41"/>
  <c r="E39" i="42"/>
  <c r="E39" i="41"/>
  <c r="H21" i="42"/>
  <c r="H21" i="41"/>
  <c r="F38" i="42"/>
  <c r="F38" i="41"/>
  <c r="F39" i="42"/>
  <c r="F39" i="41"/>
  <c r="L21" i="42"/>
  <c r="L21" i="41"/>
  <c r="D38" i="42"/>
  <c r="D38" i="41"/>
  <c r="G21" i="41"/>
  <c r="G21" i="42"/>
  <c r="E20" i="42"/>
  <c r="E20" i="41"/>
  <c r="M39" i="42"/>
  <c r="M39" i="41"/>
  <c r="H20" i="42"/>
  <c r="H20" i="41"/>
  <c r="J39" i="42"/>
  <c r="J39" i="41"/>
  <c r="E21" i="41"/>
  <c r="E21" i="42"/>
  <c r="H39" i="42"/>
  <c r="H39" i="41"/>
  <c r="F20" i="41"/>
  <c r="F20" i="42"/>
  <c r="F21" i="42"/>
  <c r="F21" i="41"/>
  <c r="L39" i="42"/>
  <c r="L39" i="41"/>
  <c r="D20" i="42"/>
  <c r="D20" i="41"/>
  <c r="G39" i="42"/>
  <c r="G39" i="41"/>
  <c r="E38" i="42"/>
  <c r="E38" i="41"/>
  <c r="M21" i="41"/>
  <c r="M21" i="42"/>
  <c r="J38" i="40"/>
  <c r="K39" i="40"/>
  <c r="L38" i="40"/>
  <c r="C39" i="40"/>
  <c r="K74" i="17"/>
  <c r="K20" i="40"/>
  <c r="I38" i="40"/>
  <c r="G38" i="40"/>
  <c r="H94" i="17"/>
  <c r="F20" i="36" s="1"/>
  <c r="D39" i="40"/>
  <c r="I21" i="40"/>
  <c r="I75" i="17"/>
  <c r="M20" i="40"/>
  <c r="M74" i="17"/>
  <c r="C38" i="40"/>
  <c r="J74" i="17"/>
  <c r="J20" i="40"/>
  <c r="K21" i="40"/>
  <c r="K57" i="40" s="1"/>
  <c r="K75" i="17"/>
  <c r="L74" i="17"/>
  <c r="L20" i="40"/>
  <c r="C21" i="40"/>
  <c r="C75" i="17"/>
  <c r="K38" i="40"/>
  <c r="I74" i="17"/>
  <c r="I20" i="40"/>
  <c r="G74" i="17"/>
  <c r="G94" i="17"/>
  <c r="D20" i="36" s="1"/>
  <c r="G20" i="40"/>
  <c r="D21" i="40"/>
  <c r="D57" i="40" s="1"/>
  <c r="D75" i="17"/>
  <c r="I39" i="40"/>
  <c r="M38" i="40"/>
  <c r="C74" i="17"/>
  <c r="C20" i="40"/>
  <c r="H38" i="40"/>
  <c r="J21" i="40"/>
  <c r="J75" i="17"/>
  <c r="E39" i="40"/>
  <c r="H21" i="40"/>
  <c r="H75" i="17"/>
  <c r="F38" i="40"/>
  <c r="F39" i="40"/>
  <c r="L75" i="17"/>
  <c r="L21" i="40"/>
  <c r="D38" i="40"/>
  <c r="G95" i="17"/>
  <c r="D21" i="36" s="1"/>
  <c r="G21" i="40"/>
  <c r="G75" i="17"/>
  <c r="E74" i="17"/>
  <c r="E20" i="40"/>
  <c r="M39" i="40"/>
  <c r="H20" i="40"/>
  <c r="H74" i="17"/>
  <c r="J39" i="40"/>
  <c r="E21" i="40"/>
  <c r="E75" i="17"/>
  <c r="H39" i="40"/>
  <c r="F20" i="40"/>
  <c r="F74" i="17"/>
  <c r="F75" i="17"/>
  <c r="F21" i="40"/>
  <c r="L39" i="40"/>
  <c r="D74" i="17"/>
  <c r="D20" i="40"/>
  <c r="H95" i="17"/>
  <c r="F21" i="36" s="1"/>
  <c r="G39" i="40"/>
  <c r="E38" i="40"/>
  <c r="M21" i="40"/>
  <c r="M75" i="17"/>
  <c r="D57" i="41" l="1"/>
  <c r="D56" i="42"/>
  <c r="C56" i="42"/>
  <c r="J56" i="42"/>
  <c r="K57" i="41"/>
  <c r="D57" i="42"/>
  <c r="H56" i="40"/>
  <c r="I56" i="42"/>
  <c r="J56" i="41"/>
  <c r="D56" i="41"/>
  <c r="E57" i="40"/>
  <c r="F57" i="40"/>
  <c r="C57" i="40"/>
  <c r="I56" i="41"/>
  <c r="L56" i="42"/>
  <c r="K57" i="42"/>
  <c r="M57" i="42"/>
  <c r="F57" i="42"/>
  <c r="C56" i="40"/>
  <c r="F56" i="42"/>
  <c r="E57" i="42"/>
  <c r="H56" i="41"/>
  <c r="F57" i="41"/>
  <c r="I56" i="40"/>
  <c r="C57" i="42"/>
  <c r="L56" i="40"/>
  <c r="J56" i="40"/>
  <c r="M57" i="41"/>
  <c r="H77" i="40"/>
  <c r="F21" i="39" s="1"/>
  <c r="F56" i="41"/>
  <c r="E57" i="41"/>
  <c r="M57" i="40"/>
  <c r="D56" i="40"/>
  <c r="H56" i="42"/>
  <c r="E56" i="42"/>
  <c r="I95" i="17"/>
  <c r="C57" i="41"/>
  <c r="F56" i="40"/>
  <c r="C56" i="41"/>
  <c r="L56" i="41"/>
  <c r="H77" i="42"/>
  <c r="F21" i="45" s="1"/>
  <c r="U21" i="45" s="1"/>
  <c r="G57" i="42"/>
  <c r="G77" i="42"/>
  <c r="D21" i="45" s="1"/>
  <c r="J57" i="42"/>
  <c r="G76" i="40"/>
  <c r="D20" i="39" s="1"/>
  <c r="G56" i="40"/>
  <c r="M56" i="41"/>
  <c r="I57" i="42"/>
  <c r="H76" i="42"/>
  <c r="F20" i="45" s="1"/>
  <c r="K56" i="40"/>
  <c r="L57" i="42"/>
  <c r="H57" i="41"/>
  <c r="J57" i="40"/>
  <c r="M56" i="40"/>
  <c r="I57" i="41"/>
  <c r="E56" i="40"/>
  <c r="G57" i="40"/>
  <c r="G77" i="40"/>
  <c r="D21" i="39" s="1"/>
  <c r="L57" i="40"/>
  <c r="H57" i="40"/>
  <c r="J57" i="41"/>
  <c r="I94" i="17"/>
  <c r="H76" i="41"/>
  <c r="F20" i="44" s="1"/>
  <c r="K56" i="41"/>
  <c r="H77" i="41"/>
  <c r="F21" i="44" s="1"/>
  <c r="U21" i="44" s="1"/>
  <c r="E56" i="41"/>
  <c r="G57" i="41"/>
  <c r="G77" i="41"/>
  <c r="D21" i="44" s="1"/>
  <c r="L57" i="41"/>
  <c r="H57" i="42"/>
  <c r="G76" i="42"/>
  <c r="D20" i="45" s="1"/>
  <c r="G56" i="42"/>
  <c r="G76" i="41"/>
  <c r="D20" i="44" s="1"/>
  <c r="G56" i="41"/>
  <c r="M56" i="42"/>
  <c r="I57" i="40"/>
  <c r="H76" i="40"/>
  <c r="F20" i="39" s="1"/>
  <c r="K56" i="42"/>
  <c r="I76" i="41" l="1"/>
  <c r="I76" i="40"/>
  <c r="I76" i="42"/>
  <c r="I77" i="41"/>
  <c r="B56" i="17"/>
  <c r="B38" i="17"/>
  <c r="O21" i="44"/>
  <c r="O20" i="45"/>
  <c r="O21" i="45"/>
  <c r="B57" i="17"/>
  <c r="B39" i="17"/>
  <c r="U20" i="44"/>
  <c r="I77" i="42"/>
  <c r="O20" i="44"/>
  <c r="I77" i="40"/>
  <c r="U20" i="45"/>
  <c r="B21" i="42" l="1"/>
  <c r="B21" i="41"/>
  <c r="B38" i="42"/>
  <c r="B38" i="41"/>
  <c r="B39" i="42"/>
  <c r="B39" i="41"/>
  <c r="B20" i="41"/>
  <c r="B20" i="42"/>
  <c r="B21" i="40"/>
  <c r="K95" i="17"/>
  <c r="Q24" i="5" s="1"/>
  <c r="B75" i="17"/>
  <c r="C95" i="17"/>
  <c r="C21" i="36" s="1"/>
  <c r="B39" i="40"/>
  <c r="D95" i="17"/>
  <c r="E21" i="36" s="1"/>
  <c r="L95" i="17"/>
  <c r="L24" i="5" s="1"/>
  <c r="R24" i="5" s="1"/>
  <c r="B20" i="40"/>
  <c r="K94" i="17"/>
  <c r="Q23" i="5" s="1"/>
  <c r="C94" i="17"/>
  <c r="C20" i="36" s="1"/>
  <c r="B74" i="17"/>
  <c r="B38" i="40"/>
  <c r="L94" i="17"/>
  <c r="L23" i="5" s="1"/>
  <c r="R23" i="5" s="1"/>
  <c r="D94" i="17"/>
  <c r="E20" i="36" s="1"/>
  <c r="C23" i="13" l="1"/>
  <c r="E23" i="13" s="1"/>
  <c r="C76" i="42"/>
  <c r="C20" i="45" s="1"/>
  <c r="B56" i="42"/>
  <c r="K76" i="42"/>
  <c r="D76" i="42"/>
  <c r="E20" i="45" s="1"/>
  <c r="L76" i="42"/>
  <c r="AF23" i="5"/>
  <c r="AI23" i="5" s="1"/>
  <c r="S23" i="5"/>
  <c r="AN23" i="5"/>
  <c r="AQ23" i="5" s="1"/>
  <c r="X23" i="5"/>
  <c r="AA23" i="5" s="1"/>
  <c r="L77" i="42"/>
  <c r="D77" i="42"/>
  <c r="E21" i="45" s="1"/>
  <c r="R21" i="45" s="1"/>
  <c r="B57" i="42"/>
  <c r="K77" i="42"/>
  <c r="C77" i="42"/>
  <c r="C21" i="45" s="1"/>
  <c r="S24" i="5"/>
  <c r="AF24" i="5"/>
  <c r="AI24" i="5" s="1"/>
  <c r="X24" i="5"/>
  <c r="AA24" i="5" s="1"/>
  <c r="AN24" i="5"/>
  <c r="AQ24" i="5" s="1"/>
  <c r="D76" i="41"/>
  <c r="E20" i="44" s="1"/>
  <c r="L76" i="41"/>
  <c r="B56" i="40"/>
  <c r="K76" i="40"/>
  <c r="C76" i="40"/>
  <c r="C20" i="39" s="1"/>
  <c r="D77" i="41"/>
  <c r="E21" i="44" s="1"/>
  <c r="R21" i="44" s="1"/>
  <c r="L77" i="41"/>
  <c r="C77" i="40"/>
  <c r="C21" i="39" s="1"/>
  <c r="B57" i="40"/>
  <c r="K77" i="40"/>
  <c r="D76" i="40"/>
  <c r="E20" i="39" s="1"/>
  <c r="L76" i="40"/>
  <c r="M94" i="17"/>
  <c r="E94" i="17"/>
  <c r="B56" i="41"/>
  <c r="K76" i="41"/>
  <c r="C76" i="41"/>
  <c r="C20" i="44" s="1"/>
  <c r="K77" i="41"/>
  <c r="C77" i="41"/>
  <c r="C21" i="44" s="1"/>
  <c r="B57" i="41"/>
  <c r="AG23" i="5"/>
  <c r="AJ23" i="5" s="1"/>
  <c r="Y23" i="5"/>
  <c r="AB23" i="5" s="1"/>
  <c r="T23" i="5"/>
  <c r="AO23" i="5"/>
  <c r="AR23" i="5" s="1"/>
  <c r="C22" i="13"/>
  <c r="T24" i="5"/>
  <c r="Y24" i="5"/>
  <c r="AB24" i="5" s="1"/>
  <c r="AG24" i="5"/>
  <c r="AJ24" i="5" s="1"/>
  <c r="AO24" i="5"/>
  <c r="AR24" i="5" s="1"/>
  <c r="D77" i="40"/>
  <c r="E21" i="39" s="1"/>
  <c r="L77" i="40"/>
  <c r="M95" i="17"/>
  <c r="E95" i="17"/>
  <c r="L22" i="13" l="1"/>
  <c r="L23" i="13"/>
  <c r="N23" i="13" s="1"/>
  <c r="F23" i="13"/>
  <c r="H23" i="13" s="1"/>
  <c r="R20" i="45"/>
  <c r="M77" i="41"/>
  <c r="E77" i="41"/>
  <c r="L21" i="44"/>
  <c r="I23" i="13"/>
  <c r="K23" i="13" s="1"/>
  <c r="M76" i="41"/>
  <c r="E76" i="41"/>
  <c r="M76" i="40"/>
  <c r="E76" i="40"/>
  <c r="M77" i="42"/>
  <c r="E77" i="42"/>
  <c r="E22" i="13"/>
  <c r="E76" i="42"/>
  <c r="M76" i="42"/>
  <c r="L20" i="44"/>
  <c r="I22" i="13"/>
  <c r="M77" i="40"/>
  <c r="E77" i="40"/>
  <c r="F22" i="13"/>
  <c r="R20" i="44"/>
  <c r="L21" i="45"/>
  <c r="L20" i="45"/>
  <c r="H22" i="13" l="1"/>
  <c r="K22" i="13"/>
  <c r="N22" i="13"/>
  <c r="K51" i="17" l="1"/>
  <c r="K33" i="17"/>
  <c r="G34" i="17"/>
  <c r="G52" i="17"/>
  <c r="I50" i="17"/>
  <c r="I32" i="17"/>
  <c r="G29" i="17"/>
  <c r="G47" i="17"/>
  <c r="L50" i="17"/>
  <c r="L32" i="17"/>
  <c r="E52" i="17"/>
  <c r="E34" i="17"/>
  <c r="K32" i="17"/>
  <c r="K50" i="17"/>
  <c r="D48" i="17"/>
  <c r="D30" i="17"/>
  <c r="M29" i="17"/>
  <c r="M47" i="17"/>
  <c r="F37" i="17"/>
  <c r="F55" i="17"/>
  <c r="H29" i="17"/>
  <c r="H47" i="17"/>
  <c r="L33" i="17"/>
  <c r="L51" i="17"/>
  <c r="L33" i="42" l="1"/>
  <c r="L33" i="41"/>
  <c r="F37" i="42"/>
  <c r="F37" i="41"/>
  <c r="D12" i="42"/>
  <c r="D12" i="41"/>
  <c r="E16" i="42"/>
  <c r="E16" i="41"/>
  <c r="G29" i="42"/>
  <c r="G29" i="41"/>
  <c r="G34" i="41"/>
  <c r="G34" i="42"/>
  <c r="L15" i="42"/>
  <c r="L15" i="41"/>
  <c r="F19" i="42"/>
  <c r="F55" i="42" s="1"/>
  <c r="F19" i="41"/>
  <c r="D30" i="42"/>
  <c r="D30" i="41"/>
  <c r="E34" i="42"/>
  <c r="E34" i="41"/>
  <c r="G11" i="41"/>
  <c r="G11" i="42"/>
  <c r="G16" i="41"/>
  <c r="G16" i="42"/>
  <c r="H29" i="42"/>
  <c r="H29" i="41"/>
  <c r="M29" i="42"/>
  <c r="M29" i="41"/>
  <c r="K32" i="42"/>
  <c r="K32" i="41"/>
  <c r="L14" i="42"/>
  <c r="L14" i="41"/>
  <c r="I14" i="42"/>
  <c r="I14" i="41"/>
  <c r="K15" i="41"/>
  <c r="K15" i="42"/>
  <c r="H11" i="42"/>
  <c r="H11" i="41"/>
  <c r="M11" i="41"/>
  <c r="M11" i="42"/>
  <c r="K14" i="42"/>
  <c r="K50" i="42" s="1"/>
  <c r="K14" i="41"/>
  <c r="L32" i="42"/>
  <c r="L32" i="41"/>
  <c r="I32" i="42"/>
  <c r="I32" i="41"/>
  <c r="K33" i="42"/>
  <c r="K33" i="41"/>
  <c r="H46" i="17"/>
  <c r="H28" i="17"/>
  <c r="G32" i="17"/>
  <c r="G50" i="17"/>
  <c r="J53" i="17"/>
  <c r="J35" i="17"/>
  <c r="F29" i="17"/>
  <c r="F47" i="17"/>
  <c r="B50" i="17"/>
  <c r="B32" i="17"/>
  <c r="M34" i="17"/>
  <c r="M52" i="17"/>
  <c r="F32" i="17"/>
  <c r="F50" i="17"/>
  <c r="I35" i="17"/>
  <c r="I53" i="17"/>
  <c r="L33" i="40"/>
  <c r="F37" i="40"/>
  <c r="D12" i="40"/>
  <c r="D66" i="17"/>
  <c r="E16" i="40"/>
  <c r="E70" i="17"/>
  <c r="G29" i="40"/>
  <c r="G34" i="40"/>
  <c r="C36" i="17"/>
  <c r="C54" i="17"/>
  <c r="L28" i="17"/>
  <c r="L46" i="17"/>
  <c r="B48" i="17"/>
  <c r="B30" i="17"/>
  <c r="G49" i="17"/>
  <c r="G31" i="17"/>
  <c r="B55" i="17"/>
  <c r="B37" i="17"/>
  <c r="D35" i="17"/>
  <c r="D53" i="17"/>
  <c r="E33" i="17"/>
  <c r="E51" i="17"/>
  <c r="J33" i="17"/>
  <c r="J51" i="17"/>
  <c r="L15" i="40"/>
  <c r="L51" i="40" s="1"/>
  <c r="L69" i="17"/>
  <c r="F73" i="17"/>
  <c r="F19" i="40"/>
  <c r="D30" i="40"/>
  <c r="E34" i="40"/>
  <c r="G11" i="40"/>
  <c r="G65" i="17"/>
  <c r="G70" i="17"/>
  <c r="G16" i="40"/>
  <c r="G35" i="17"/>
  <c r="G53" i="17"/>
  <c r="H33" i="17"/>
  <c r="H51" i="17"/>
  <c r="M55" i="17"/>
  <c r="M37" i="17"/>
  <c r="K30" i="17"/>
  <c r="K48" i="17"/>
  <c r="I47" i="17"/>
  <c r="I29" i="17"/>
  <c r="I28" i="17"/>
  <c r="I46" i="17"/>
  <c r="B33" i="17"/>
  <c r="B51" i="17"/>
  <c r="C30" i="17"/>
  <c r="C48" i="17"/>
  <c r="K34" i="17"/>
  <c r="K52" i="17"/>
  <c r="H29" i="40"/>
  <c r="M29" i="40"/>
  <c r="K32" i="40"/>
  <c r="L14" i="40"/>
  <c r="L68" i="17"/>
  <c r="I68" i="17"/>
  <c r="I14" i="40"/>
  <c r="K15" i="40"/>
  <c r="K69" i="17"/>
  <c r="L34" i="17"/>
  <c r="L52" i="17"/>
  <c r="E31" i="17"/>
  <c r="E49" i="17"/>
  <c r="J54" i="17"/>
  <c r="J36" i="17"/>
  <c r="B52" i="17"/>
  <c r="B34" i="17"/>
  <c r="E29" i="17"/>
  <c r="E47" i="17"/>
  <c r="J28" i="17"/>
  <c r="J46" i="17"/>
  <c r="L36" i="17"/>
  <c r="L54" i="17"/>
  <c r="D34" i="17"/>
  <c r="D52" i="17"/>
  <c r="F51" i="17"/>
  <c r="F33" i="17"/>
  <c r="H11" i="40"/>
  <c r="H65" i="17"/>
  <c r="M11" i="40"/>
  <c r="M47" i="40" s="1"/>
  <c r="M65" i="17"/>
  <c r="K68" i="17"/>
  <c r="K14" i="40"/>
  <c r="L32" i="40"/>
  <c r="I32" i="40"/>
  <c r="K33" i="40"/>
  <c r="M47" i="42" l="1"/>
  <c r="M47" i="41"/>
  <c r="F15" i="42"/>
  <c r="F15" i="41"/>
  <c r="L36" i="42"/>
  <c r="L36" i="41"/>
  <c r="E29" i="41"/>
  <c r="E29" i="42"/>
  <c r="J18" i="42"/>
  <c r="J18" i="41"/>
  <c r="L34" i="42"/>
  <c r="L34" i="41"/>
  <c r="K16" i="42"/>
  <c r="K16" i="41"/>
  <c r="B15" i="42"/>
  <c r="B15" i="41"/>
  <c r="I29" i="42"/>
  <c r="I29" i="41"/>
  <c r="M37" i="42"/>
  <c r="M37" i="41"/>
  <c r="G17" i="41"/>
  <c r="G17" i="42"/>
  <c r="J33" i="42"/>
  <c r="J33" i="41"/>
  <c r="D35" i="42"/>
  <c r="D35" i="41"/>
  <c r="G13" i="41"/>
  <c r="G13" i="42"/>
  <c r="L28" i="42"/>
  <c r="L28" i="41"/>
  <c r="I35" i="42"/>
  <c r="I35" i="41"/>
  <c r="M34" i="42"/>
  <c r="M34" i="41"/>
  <c r="F29" i="42"/>
  <c r="F29" i="41"/>
  <c r="G32" i="42"/>
  <c r="G32" i="41"/>
  <c r="F33" i="42"/>
  <c r="F33" i="41"/>
  <c r="L18" i="42"/>
  <c r="L18" i="41"/>
  <c r="E11" i="41"/>
  <c r="E11" i="42"/>
  <c r="J36" i="42"/>
  <c r="J36" i="41"/>
  <c r="L16" i="42"/>
  <c r="L16" i="41"/>
  <c r="L52" i="41" s="1"/>
  <c r="C30" i="42"/>
  <c r="C30" i="41"/>
  <c r="I28" i="41"/>
  <c r="I28" i="42"/>
  <c r="K30" i="42"/>
  <c r="K30" i="41"/>
  <c r="H33" i="42"/>
  <c r="H33" i="41"/>
  <c r="J15" i="42"/>
  <c r="J15" i="41"/>
  <c r="D17" i="42"/>
  <c r="D17" i="41"/>
  <c r="G31" i="42"/>
  <c r="G31" i="41"/>
  <c r="L10" i="42"/>
  <c r="L10" i="41"/>
  <c r="I17" i="41"/>
  <c r="I17" i="42"/>
  <c r="M16" i="42"/>
  <c r="M16" i="41"/>
  <c r="F11" i="42"/>
  <c r="F11" i="41"/>
  <c r="G14" i="41"/>
  <c r="G14" i="42"/>
  <c r="D34" i="42"/>
  <c r="D34" i="41"/>
  <c r="J28" i="42"/>
  <c r="J28" i="41"/>
  <c r="B16" i="41"/>
  <c r="B16" i="42"/>
  <c r="E31" i="42"/>
  <c r="E31" i="41"/>
  <c r="C12" i="41"/>
  <c r="C12" i="42"/>
  <c r="I10" i="41"/>
  <c r="I10" i="42"/>
  <c r="K12" i="41"/>
  <c r="K12" i="42"/>
  <c r="H15" i="42"/>
  <c r="H15" i="41"/>
  <c r="E33" i="42"/>
  <c r="E33" i="41"/>
  <c r="B19" i="42"/>
  <c r="B19" i="41"/>
  <c r="B12" i="41"/>
  <c r="B12" i="42"/>
  <c r="C36" i="42"/>
  <c r="C36" i="41"/>
  <c r="F32" i="42"/>
  <c r="F32" i="41"/>
  <c r="B14" i="42"/>
  <c r="B14" i="41"/>
  <c r="J17" i="42"/>
  <c r="J17" i="41"/>
  <c r="H10" i="42"/>
  <c r="H10" i="41"/>
  <c r="D16" i="42"/>
  <c r="D16" i="41"/>
  <c r="J10" i="42"/>
  <c r="J10" i="41"/>
  <c r="B34" i="42"/>
  <c r="B34" i="41"/>
  <c r="E13" i="41"/>
  <c r="E13" i="42"/>
  <c r="K34" i="42"/>
  <c r="K34" i="41"/>
  <c r="B33" i="42"/>
  <c r="B33" i="41"/>
  <c r="I11" i="41"/>
  <c r="I11" i="42"/>
  <c r="M19" i="41"/>
  <c r="M19" i="42"/>
  <c r="G35" i="42"/>
  <c r="G35" i="41"/>
  <c r="E15" i="41"/>
  <c r="E15" i="42"/>
  <c r="B37" i="42"/>
  <c r="B37" i="41"/>
  <c r="B30" i="42"/>
  <c r="B30" i="41"/>
  <c r="C18" i="42"/>
  <c r="C18" i="41"/>
  <c r="F14" i="42"/>
  <c r="F14" i="41"/>
  <c r="B32" i="42"/>
  <c r="B32" i="41"/>
  <c r="J35" i="42"/>
  <c r="J35" i="41"/>
  <c r="H28" i="42"/>
  <c r="H28" i="41"/>
  <c r="H47" i="42"/>
  <c r="H47" i="41"/>
  <c r="L51" i="41"/>
  <c r="F55" i="40"/>
  <c r="K50" i="41"/>
  <c r="F55" i="41"/>
  <c r="L51" i="42"/>
  <c r="K50" i="40"/>
  <c r="H47" i="40"/>
  <c r="I36" i="17"/>
  <c r="I54" i="17"/>
  <c r="L37" i="17"/>
  <c r="L55" i="17"/>
  <c r="G30" i="17"/>
  <c r="G48" i="17"/>
  <c r="D54" i="17"/>
  <c r="D36" i="17"/>
  <c r="H35" i="17"/>
  <c r="H53" i="17"/>
  <c r="C34" i="17"/>
  <c r="C52" i="17"/>
  <c r="D55" i="17"/>
  <c r="D37" i="17"/>
  <c r="E54" i="17"/>
  <c r="E36" i="17"/>
  <c r="E50" i="17"/>
  <c r="E32" i="17"/>
  <c r="M46" i="17"/>
  <c r="M28" i="17"/>
  <c r="K54" i="17"/>
  <c r="K36" i="17"/>
  <c r="I37" i="17"/>
  <c r="I55" i="17"/>
  <c r="G51" i="17"/>
  <c r="G33" i="17"/>
  <c r="C33" i="17"/>
  <c r="C51" i="17"/>
  <c r="D16" i="40"/>
  <c r="D70" i="17"/>
  <c r="J10" i="40"/>
  <c r="J64" i="17"/>
  <c r="B34" i="40"/>
  <c r="E67" i="17"/>
  <c r="E13" i="40"/>
  <c r="K51" i="40"/>
  <c r="I50" i="40"/>
  <c r="K34" i="40"/>
  <c r="B33" i="40"/>
  <c r="I65" i="17"/>
  <c r="I11" i="40"/>
  <c r="M19" i="40"/>
  <c r="M73" i="17"/>
  <c r="G35" i="40"/>
  <c r="G52" i="41"/>
  <c r="E33" i="40"/>
  <c r="B73" i="17"/>
  <c r="B19" i="40"/>
  <c r="B12" i="40"/>
  <c r="B66" i="17"/>
  <c r="C36" i="40"/>
  <c r="E52" i="40"/>
  <c r="I35" i="40"/>
  <c r="M34" i="40"/>
  <c r="F29" i="40"/>
  <c r="G32" i="40"/>
  <c r="J37" i="17"/>
  <c r="J55" i="17"/>
  <c r="I31" i="17"/>
  <c r="I49" i="17"/>
  <c r="L48" i="17"/>
  <c r="L30" i="17"/>
  <c r="I48" i="17"/>
  <c r="I30" i="17"/>
  <c r="I34" i="17"/>
  <c r="I52" i="17"/>
  <c r="L47" i="17"/>
  <c r="L29" i="17"/>
  <c r="H54" i="17"/>
  <c r="H36" i="17"/>
  <c r="C29" i="17"/>
  <c r="C47" i="17"/>
  <c r="G54" i="17"/>
  <c r="G36" i="17"/>
  <c r="M54" i="17"/>
  <c r="M36" i="17"/>
  <c r="H37" i="17"/>
  <c r="H55" i="17"/>
  <c r="I51" i="17"/>
  <c r="I33" i="17"/>
  <c r="J31" i="17"/>
  <c r="J49" i="17"/>
  <c r="E37" i="17"/>
  <c r="E55" i="17"/>
  <c r="D32" i="17"/>
  <c r="D50" i="17"/>
  <c r="M33" i="17"/>
  <c r="M51" i="17"/>
  <c r="K55" i="17"/>
  <c r="K37" i="17"/>
  <c r="G28" i="17"/>
  <c r="G46" i="17"/>
  <c r="B36" i="17"/>
  <c r="B54" i="17"/>
  <c r="K31" i="17"/>
  <c r="K49" i="17"/>
  <c r="M35" i="17"/>
  <c r="M53" i="17"/>
  <c r="F15" i="40"/>
  <c r="F69" i="17"/>
  <c r="L36" i="40"/>
  <c r="E29" i="40"/>
  <c r="J18" i="40"/>
  <c r="J72" i="17"/>
  <c r="L34" i="40"/>
  <c r="K51" i="42"/>
  <c r="L50" i="41"/>
  <c r="K70" i="17"/>
  <c r="K16" i="40"/>
  <c r="B69" i="17"/>
  <c r="B15" i="40"/>
  <c r="I29" i="40"/>
  <c r="M37" i="40"/>
  <c r="G71" i="17"/>
  <c r="G17" i="40"/>
  <c r="G47" i="42"/>
  <c r="E69" i="17"/>
  <c r="E15" i="40"/>
  <c r="B37" i="40"/>
  <c r="B30" i="40"/>
  <c r="C18" i="40"/>
  <c r="C72" i="17"/>
  <c r="E52" i="42"/>
  <c r="D48" i="40"/>
  <c r="I17" i="40"/>
  <c r="I71" i="17"/>
  <c r="M16" i="40"/>
  <c r="M70" i="17"/>
  <c r="F11" i="40"/>
  <c r="F65" i="17"/>
  <c r="G68" i="17"/>
  <c r="G14" i="40"/>
  <c r="F34" i="17"/>
  <c r="F52" i="17"/>
  <c r="K53" i="17"/>
  <c r="K35" i="17"/>
  <c r="J47" i="17"/>
  <c r="J29" i="17"/>
  <c r="K28" i="17"/>
  <c r="K46" i="17"/>
  <c r="F46" i="17"/>
  <c r="F28" i="17"/>
  <c r="G37" i="17"/>
  <c r="G55" i="17"/>
  <c r="L53" i="17"/>
  <c r="L35" i="17"/>
  <c r="L49" i="17"/>
  <c r="L31" i="17"/>
  <c r="M32" i="17"/>
  <c r="M50" i="17"/>
  <c r="F31" i="17"/>
  <c r="F49" i="17"/>
  <c r="D29" i="17"/>
  <c r="D47" i="17"/>
  <c r="J48" i="17"/>
  <c r="J30" i="17"/>
  <c r="E35" i="17"/>
  <c r="E53" i="17"/>
  <c r="K29" i="17"/>
  <c r="K47" i="17"/>
  <c r="C32" i="17"/>
  <c r="C50" i="17"/>
  <c r="H50" i="17"/>
  <c r="H32" i="17"/>
  <c r="F48" i="17"/>
  <c r="F30" i="17"/>
  <c r="C49" i="17"/>
  <c r="C31" i="17"/>
  <c r="D33" i="17"/>
  <c r="D51" i="17"/>
  <c r="H30" i="17"/>
  <c r="H48" i="17"/>
  <c r="D49" i="17"/>
  <c r="D31" i="17"/>
  <c r="F33" i="40"/>
  <c r="L18" i="40"/>
  <c r="L72" i="17"/>
  <c r="E65" i="17"/>
  <c r="E11" i="40"/>
  <c r="E47" i="40" s="1"/>
  <c r="J36" i="40"/>
  <c r="L70" i="17"/>
  <c r="L16" i="40"/>
  <c r="K51" i="41"/>
  <c r="I50" i="41"/>
  <c r="L50" i="40"/>
  <c r="C30" i="40"/>
  <c r="I28" i="40"/>
  <c r="K30" i="40"/>
  <c r="H33" i="40"/>
  <c r="G52" i="42"/>
  <c r="G47" i="41"/>
  <c r="J33" i="40"/>
  <c r="D35" i="40"/>
  <c r="G67" i="17"/>
  <c r="G13" i="40"/>
  <c r="L28" i="40"/>
  <c r="E52" i="41"/>
  <c r="D48" i="42"/>
  <c r="F32" i="40"/>
  <c r="B14" i="40"/>
  <c r="B68" i="17"/>
  <c r="J17" i="40"/>
  <c r="J71" i="17"/>
  <c r="H10" i="40"/>
  <c r="H64" i="17"/>
  <c r="M31" i="17"/>
  <c r="M49" i="17"/>
  <c r="C37" i="17"/>
  <c r="C55" i="17"/>
  <c r="M48" i="17"/>
  <c r="M30" i="17"/>
  <c r="B47" i="17"/>
  <c r="B29" i="17"/>
  <c r="J52" i="17"/>
  <c r="J34" i="17"/>
  <c r="B31" i="17"/>
  <c r="B49" i="17"/>
  <c r="C53" i="17"/>
  <c r="C35" i="17"/>
  <c r="F53" i="17"/>
  <c r="F35" i="17"/>
  <c r="F36" i="17"/>
  <c r="F54" i="17"/>
  <c r="J32" i="17"/>
  <c r="J50" i="17"/>
  <c r="E48" i="17"/>
  <c r="E30" i="17"/>
  <c r="B53" i="17"/>
  <c r="B35" i="17"/>
  <c r="H31" i="17"/>
  <c r="H49" i="17"/>
  <c r="H34" i="17"/>
  <c r="H52" i="17"/>
  <c r="D34" i="40"/>
  <c r="J28" i="40"/>
  <c r="B16" i="40"/>
  <c r="B70" i="17"/>
  <c r="E31" i="40"/>
  <c r="I50" i="42"/>
  <c r="L50" i="42"/>
  <c r="C66" i="17"/>
  <c r="C12" i="40"/>
  <c r="I10" i="40"/>
  <c r="I64" i="17"/>
  <c r="K12" i="40"/>
  <c r="K66" i="17"/>
  <c r="H15" i="40"/>
  <c r="H69" i="17"/>
  <c r="G52" i="40"/>
  <c r="G47" i="40"/>
  <c r="J69" i="17"/>
  <c r="J15" i="40"/>
  <c r="D71" i="17"/>
  <c r="D17" i="40"/>
  <c r="G31" i="40"/>
  <c r="L64" i="17"/>
  <c r="L10" i="40"/>
  <c r="D48" i="41"/>
  <c r="F68" i="17"/>
  <c r="F14" i="40"/>
  <c r="B32" i="40"/>
  <c r="J35" i="40"/>
  <c r="H28" i="40"/>
  <c r="F47" i="41" l="1"/>
  <c r="F47" i="40"/>
  <c r="I53" i="41"/>
  <c r="L54" i="40"/>
  <c r="H31" i="42"/>
  <c r="H31" i="41"/>
  <c r="E12" i="42"/>
  <c r="E12" i="41"/>
  <c r="F36" i="42"/>
  <c r="F36" i="41"/>
  <c r="C17" i="41"/>
  <c r="C17" i="42"/>
  <c r="J16" i="41"/>
  <c r="J16" i="42"/>
  <c r="M12" i="42"/>
  <c r="M12" i="41"/>
  <c r="M31" i="42"/>
  <c r="M31" i="41"/>
  <c r="H30" i="42"/>
  <c r="H30" i="41"/>
  <c r="C13" i="41"/>
  <c r="C13" i="42"/>
  <c r="H14" i="42"/>
  <c r="H14" i="41"/>
  <c r="K29" i="42"/>
  <c r="K29" i="41"/>
  <c r="J12" i="41"/>
  <c r="J12" i="42"/>
  <c r="F31" i="42"/>
  <c r="F31" i="41"/>
  <c r="L13" i="42"/>
  <c r="L13" i="41"/>
  <c r="G37" i="42"/>
  <c r="G37" i="41"/>
  <c r="K28" i="42"/>
  <c r="K28" i="41"/>
  <c r="K17" i="41"/>
  <c r="K17" i="42"/>
  <c r="K13" i="41"/>
  <c r="K13" i="42"/>
  <c r="G10" i="41"/>
  <c r="G10" i="42"/>
  <c r="M15" i="41"/>
  <c r="M15" i="42"/>
  <c r="E19" i="41"/>
  <c r="E19" i="42"/>
  <c r="I33" i="42"/>
  <c r="I33" i="41"/>
  <c r="M36" i="42"/>
  <c r="M36" i="41"/>
  <c r="C11" i="41"/>
  <c r="C11" i="42"/>
  <c r="L29" i="42"/>
  <c r="L29" i="41"/>
  <c r="I30" i="42"/>
  <c r="I30" i="41"/>
  <c r="I13" i="41"/>
  <c r="I13" i="42"/>
  <c r="C15" i="41"/>
  <c r="C15" i="42"/>
  <c r="I19" i="41"/>
  <c r="I19" i="42"/>
  <c r="M28" i="42"/>
  <c r="M28" i="41"/>
  <c r="E36" i="42"/>
  <c r="E36" i="41"/>
  <c r="C16" i="42"/>
  <c r="C16" i="41"/>
  <c r="D36" i="42"/>
  <c r="D36" i="41"/>
  <c r="L19" i="42"/>
  <c r="L19" i="41"/>
  <c r="H13" i="42"/>
  <c r="H13" i="41"/>
  <c r="E30" i="42"/>
  <c r="E30" i="41"/>
  <c r="F18" i="42"/>
  <c r="F54" i="42" s="1"/>
  <c r="F18" i="41"/>
  <c r="C35" i="42"/>
  <c r="C35" i="41"/>
  <c r="J34" i="42"/>
  <c r="J34" i="41"/>
  <c r="M30" i="42"/>
  <c r="M30" i="41"/>
  <c r="M13" i="41"/>
  <c r="M13" i="42"/>
  <c r="L52" i="40"/>
  <c r="H12" i="42"/>
  <c r="H12" i="41"/>
  <c r="C31" i="42"/>
  <c r="C31" i="41"/>
  <c r="H32" i="42"/>
  <c r="H32" i="41"/>
  <c r="K11" i="41"/>
  <c r="K11" i="42"/>
  <c r="J30" i="42"/>
  <c r="J30" i="41"/>
  <c r="F13" i="42"/>
  <c r="F13" i="41"/>
  <c r="L31" i="42"/>
  <c r="L31" i="41"/>
  <c r="G19" i="41"/>
  <c r="G19" i="42"/>
  <c r="K10" i="42"/>
  <c r="K10" i="41"/>
  <c r="K35" i="42"/>
  <c r="K35" i="41"/>
  <c r="M35" i="42"/>
  <c r="M35" i="41"/>
  <c r="B36" i="42"/>
  <c r="B36" i="41"/>
  <c r="K19" i="41"/>
  <c r="K19" i="42"/>
  <c r="D32" i="42"/>
  <c r="D32" i="41"/>
  <c r="J31" i="42"/>
  <c r="J31" i="41"/>
  <c r="H37" i="42"/>
  <c r="H37" i="41"/>
  <c r="G18" i="41"/>
  <c r="G18" i="42"/>
  <c r="H18" i="42"/>
  <c r="H18" i="41"/>
  <c r="I34" i="42"/>
  <c r="I34" i="41"/>
  <c r="L12" i="42"/>
  <c r="L12" i="41"/>
  <c r="J37" i="42"/>
  <c r="J37" i="41"/>
  <c r="G15" i="41"/>
  <c r="G15" i="42"/>
  <c r="K18" i="42"/>
  <c r="K18" i="41"/>
  <c r="E14" i="42"/>
  <c r="E14" i="41"/>
  <c r="D19" i="42"/>
  <c r="D19" i="41"/>
  <c r="H91" i="17"/>
  <c r="F17" i="36" s="1"/>
  <c r="H35" i="42"/>
  <c r="H35" i="41"/>
  <c r="H73" i="41" s="1"/>
  <c r="F17" i="44" s="1"/>
  <c r="U17" i="44" s="1"/>
  <c r="G30" i="41"/>
  <c r="G30" i="42"/>
  <c r="I36" i="42"/>
  <c r="I36" i="41"/>
  <c r="H34" i="42"/>
  <c r="H34" i="41"/>
  <c r="B17" i="42"/>
  <c r="B17" i="41"/>
  <c r="J32" i="42"/>
  <c r="J32" i="41"/>
  <c r="F17" i="42"/>
  <c r="F17" i="41"/>
  <c r="B31" i="42"/>
  <c r="B31" i="41"/>
  <c r="B11" i="42"/>
  <c r="B11" i="41"/>
  <c r="C37" i="42"/>
  <c r="C37" i="41"/>
  <c r="D13" i="42"/>
  <c r="D13" i="41"/>
  <c r="D33" i="42"/>
  <c r="D33" i="41"/>
  <c r="F12" i="41"/>
  <c r="F12" i="42"/>
  <c r="C32" i="42"/>
  <c r="C32" i="41"/>
  <c r="E35" i="42"/>
  <c r="E35" i="41"/>
  <c r="D29" i="42"/>
  <c r="D29" i="41"/>
  <c r="M32" i="42"/>
  <c r="M32" i="41"/>
  <c r="L17" i="42"/>
  <c r="L17" i="41"/>
  <c r="F10" i="42"/>
  <c r="F10" i="41"/>
  <c r="G85" i="17"/>
  <c r="D11" i="36" s="1"/>
  <c r="J11" i="42"/>
  <c r="J11" i="41"/>
  <c r="F34" i="42"/>
  <c r="F34" i="41"/>
  <c r="M17" i="41"/>
  <c r="M17" i="42"/>
  <c r="B18" i="42"/>
  <c r="B18" i="41"/>
  <c r="K37" i="42"/>
  <c r="K37" i="41"/>
  <c r="D14" i="42"/>
  <c r="D14" i="41"/>
  <c r="J13" i="42"/>
  <c r="J13" i="41"/>
  <c r="H19" i="42"/>
  <c r="H19" i="41"/>
  <c r="G36" i="42"/>
  <c r="G36" i="41"/>
  <c r="H36" i="42"/>
  <c r="H36" i="41"/>
  <c r="I16" i="41"/>
  <c r="I16" i="42"/>
  <c r="L30" i="42"/>
  <c r="L30" i="41"/>
  <c r="J19" i="42"/>
  <c r="J19" i="41"/>
  <c r="G33" i="42"/>
  <c r="G33" i="41"/>
  <c r="K36" i="42"/>
  <c r="K36" i="41"/>
  <c r="E32" i="42"/>
  <c r="E32" i="41"/>
  <c r="D37" i="42"/>
  <c r="D37" i="41"/>
  <c r="H17" i="42"/>
  <c r="H17" i="41"/>
  <c r="G12" i="41"/>
  <c r="G12" i="42"/>
  <c r="I18" i="41"/>
  <c r="I18" i="42"/>
  <c r="H16" i="42"/>
  <c r="H16" i="41"/>
  <c r="B35" i="42"/>
  <c r="B35" i="41"/>
  <c r="J14" i="42"/>
  <c r="J14" i="41"/>
  <c r="F35" i="42"/>
  <c r="F35" i="41"/>
  <c r="B13" i="42"/>
  <c r="B13" i="41"/>
  <c r="B29" i="42"/>
  <c r="B29" i="41"/>
  <c r="C19" i="41"/>
  <c r="C19" i="42"/>
  <c r="D31" i="42"/>
  <c r="D31" i="41"/>
  <c r="D15" i="42"/>
  <c r="D15" i="41"/>
  <c r="F30" i="42"/>
  <c r="F30" i="41"/>
  <c r="C14" i="42"/>
  <c r="C14" i="41"/>
  <c r="E17" i="41"/>
  <c r="E17" i="42"/>
  <c r="D11" i="42"/>
  <c r="D11" i="41"/>
  <c r="M14" i="42"/>
  <c r="M14" i="41"/>
  <c r="L35" i="42"/>
  <c r="L35" i="41"/>
  <c r="F28" i="42"/>
  <c r="F28" i="41"/>
  <c r="H85" i="17"/>
  <c r="F11" i="36" s="1"/>
  <c r="J29" i="42"/>
  <c r="H67" i="42" s="1"/>
  <c r="F11" i="45" s="1"/>
  <c r="J29" i="41"/>
  <c r="H67" i="41" s="1"/>
  <c r="F11" i="44" s="1"/>
  <c r="F16" i="41"/>
  <c r="F16" i="42"/>
  <c r="G91" i="17"/>
  <c r="D17" i="36" s="1"/>
  <c r="K31" i="41"/>
  <c r="K31" i="42"/>
  <c r="G28" i="41"/>
  <c r="G28" i="42"/>
  <c r="H66" i="42" s="1"/>
  <c r="F10" i="45" s="1"/>
  <c r="U10" i="45" s="1"/>
  <c r="M33" i="42"/>
  <c r="M33" i="41"/>
  <c r="E37" i="42"/>
  <c r="E37" i="41"/>
  <c r="I15" i="41"/>
  <c r="I15" i="42"/>
  <c r="M18" i="42"/>
  <c r="M18" i="41"/>
  <c r="C29" i="41"/>
  <c r="C29" i="42"/>
  <c r="L11" i="42"/>
  <c r="L11" i="41"/>
  <c r="I12" i="41"/>
  <c r="I12" i="42"/>
  <c r="I31" i="42"/>
  <c r="I31" i="41"/>
  <c r="C33" i="41"/>
  <c r="C33" i="42"/>
  <c r="I37" i="42"/>
  <c r="I37" i="41"/>
  <c r="M10" i="42"/>
  <c r="M10" i="41"/>
  <c r="E18" i="42"/>
  <c r="E18" i="41"/>
  <c r="C34" i="42"/>
  <c r="C34" i="41"/>
  <c r="D18" i="42"/>
  <c r="D18" i="41"/>
  <c r="L37" i="42"/>
  <c r="L37" i="41"/>
  <c r="G53" i="42"/>
  <c r="H87" i="17"/>
  <c r="F13" i="36" s="1"/>
  <c r="I46" i="40"/>
  <c r="G53" i="40"/>
  <c r="D53" i="42"/>
  <c r="H51" i="40"/>
  <c r="C48" i="42"/>
  <c r="C54" i="40"/>
  <c r="M52" i="41"/>
  <c r="I53" i="40"/>
  <c r="E51" i="41"/>
  <c r="K90" i="17"/>
  <c r="Q19" i="5" s="1"/>
  <c r="AN19" i="5" s="1"/>
  <c r="AQ19" i="5" s="1"/>
  <c r="L46" i="42"/>
  <c r="F50" i="42"/>
  <c r="L46" i="41"/>
  <c r="H51" i="42"/>
  <c r="D53" i="41"/>
  <c r="K48" i="40"/>
  <c r="I46" i="42"/>
  <c r="K52" i="41"/>
  <c r="J51" i="40"/>
  <c r="L88" i="17"/>
  <c r="L17" i="5" s="1"/>
  <c r="R17" i="5" s="1"/>
  <c r="Y17" i="5" s="1"/>
  <c r="AB17" i="5" s="1"/>
  <c r="L46" i="40"/>
  <c r="I53" i="42"/>
  <c r="D88" i="17"/>
  <c r="E14" i="36" s="1"/>
  <c r="F50" i="40"/>
  <c r="K48" i="41"/>
  <c r="E51" i="40"/>
  <c r="K52" i="40"/>
  <c r="C88" i="17"/>
  <c r="C14" i="36" s="1"/>
  <c r="D53" i="40"/>
  <c r="J51" i="41"/>
  <c r="H51" i="41"/>
  <c r="C48" i="41"/>
  <c r="K88" i="17"/>
  <c r="Q17" i="5" s="1"/>
  <c r="AF17" i="5" s="1"/>
  <c r="AI17" i="5" s="1"/>
  <c r="C93" i="17"/>
  <c r="C19" i="36" s="1"/>
  <c r="L52" i="42"/>
  <c r="E47" i="42"/>
  <c r="C54" i="42"/>
  <c r="C90" i="17"/>
  <c r="C16" i="36" s="1"/>
  <c r="F50" i="41"/>
  <c r="L54" i="42"/>
  <c r="J51" i="42"/>
  <c r="I46" i="41"/>
  <c r="C48" i="40"/>
  <c r="E47" i="41"/>
  <c r="L90" i="17"/>
  <c r="L19" i="5" s="1"/>
  <c r="R19" i="5" s="1"/>
  <c r="Y19" i="5" s="1"/>
  <c r="AB19" i="5" s="1"/>
  <c r="M52" i="42"/>
  <c r="K48" i="42"/>
  <c r="L93" i="17"/>
  <c r="L22" i="5" s="1"/>
  <c r="R22" i="5" s="1"/>
  <c r="T22" i="5" s="1"/>
  <c r="L54" i="41"/>
  <c r="F47" i="42"/>
  <c r="M52" i="40"/>
  <c r="C54" i="41"/>
  <c r="E51" i="42"/>
  <c r="K52" i="42"/>
  <c r="B52" i="42"/>
  <c r="H31" i="40"/>
  <c r="E66" i="17"/>
  <c r="E12" i="40"/>
  <c r="F36" i="40"/>
  <c r="C71" i="17"/>
  <c r="C17" i="40"/>
  <c r="J70" i="17"/>
  <c r="J16" i="40"/>
  <c r="M12" i="40"/>
  <c r="M66" i="17"/>
  <c r="M31" i="40"/>
  <c r="H46" i="41"/>
  <c r="J53" i="40"/>
  <c r="B50" i="42"/>
  <c r="H12" i="40"/>
  <c r="H66" i="17"/>
  <c r="C31" i="40"/>
  <c r="H32" i="40"/>
  <c r="K65" i="17"/>
  <c r="K11" i="40"/>
  <c r="J30" i="40"/>
  <c r="F13" i="40"/>
  <c r="F67" i="17"/>
  <c r="L31" i="40"/>
  <c r="G73" i="17"/>
  <c r="G19" i="40"/>
  <c r="G93" i="17"/>
  <c r="D19" i="36" s="1"/>
  <c r="K64" i="17"/>
  <c r="K10" i="40"/>
  <c r="K35" i="40"/>
  <c r="G50" i="41"/>
  <c r="B51" i="40"/>
  <c r="J54" i="42"/>
  <c r="F51" i="42"/>
  <c r="K31" i="40"/>
  <c r="G28" i="40"/>
  <c r="H66" i="40" s="1"/>
  <c r="F10" i="39" s="1"/>
  <c r="H84" i="17"/>
  <c r="F10" i="36" s="1"/>
  <c r="H66" i="41"/>
  <c r="F10" i="44" s="1"/>
  <c r="U10" i="44" s="1"/>
  <c r="M33" i="40"/>
  <c r="E37" i="40"/>
  <c r="I15" i="40"/>
  <c r="I69" i="17"/>
  <c r="M72" i="17"/>
  <c r="M18" i="40"/>
  <c r="C29" i="40"/>
  <c r="L65" i="17"/>
  <c r="L11" i="40"/>
  <c r="I66" i="17"/>
  <c r="I12" i="40"/>
  <c r="I31" i="40"/>
  <c r="H88" i="17"/>
  <c r="F14" i="36" s="1"/>
  <c r="B48" i="42"/>
  <c r="B55" i="42"/>
  <c r="M55" i="40"/>
  <c r="I47" i="41"/>
  <c r="J46" i="41"/>
  <c r="C33" i="40"/>
  <c r="I37" i="40"/>
  <c r="M10" i="40"/>
  <c r="M64" i="17"/>
  <c r="E18" i="40"/>
  <c r="E72" i="17"/>
  <c r="C34" i="40"/>
  <c r="D18" i="40"/>
  <c r="D72" i="17"/>
  <c r="L37" i="40"/>
  <c r="B52" i="41"/>
  <c r="H13" i="40"/>
  <c r="H67" i="17"/>
  <c r="E30" i="40"/>
  <c r="F18" i="40"/>
  <c r="F72" i="17"/>
  <c r="C35" i="40"/>
  <c r="J34" i="40"/>
  <c r="M30" i="40"/>
  <c r="M13" i="40"/>
  <c r="M67" i="17"/>
  <c r="H46" i="42"/>
  <c r="J53" i="41"/>
  <c r="G87" i="17"/>
  <c r="D13" i="36" s="1"/>
  <c r="G49" i="42"/>
  <c r="D13" i="40"/>
  <c r="D67" i="17"/>
  <c r="D33" i="40"/>
  <c r="C86" i="17"/>
  <c r="C12" i="36" s="1"/>
  <c r="F12" i="40"/>
  <c r="F66" i="17"/>
  <c r="C32" i="40"/>
  <c r="E35" i="40"/>
  <c r="D29" i="40"/>
  <c r="M32" i="40"/>
  <c r="L71" i="17"/>
  <c r="L17" i="40"/>
  <c r="F10" i="40"/>
  <c r="K84" i="17"/>
  <c r="Q13" i="5" s="1"/>
  <c r="F64" i="17"/>
  <c r="C84" i="17"/>
  <c r="C10" i="36" s="1"/>
  <c r="J65" i="17"/>
  <c r="I85" i="17" s="1"/>
  <c r="J11" i="40"/>
  <c r="F34" i="40"/>
  <c r="G50" i="40"/>
  <c r="L86" i="17"/>
  <c r="L15" i="5" s="1"/>
  <c r="R15" i="5" s="1"/>
  <c r="F51" i="40"/>
  <c r="K67" i="17"/>
  <c r="K13" i="40"/>
  <c r="G64" i="17"/>
  <c r="I84" i="17" s="1"/>
  <c r="G10" i="40"/>
  <c r="G84" i="17"/>
  <c r="D10" i="36" s="1"/>
  <c r="M15" i="40"/>
  <c r="M69" i="17"/>
  <c r="E73" i="17"/>
  <c r="E19" i="40"/>
  <c r="I33" i="40"/>
  <c r="M36" i="40"/>
  <c r="C65" i="17"/>
  <c r="C11" i="40"/>
  <c r="L29" i="40"/>
  <c r="I30" i="40"/>
  <c r="I67" i="17"/>
  <c r="I13" i="40"/>
  <c r="K86" i="17"/>
  <c r="Q15" i="5" s="1"/>
  <c r="B48" i="41"/>
  <c r="B55" i="40"/>
  <c r="M55" i="41"/>
  <c r="I47" i="40"/>
  <c r="L89" i="17"/>
  <c r="L18" i="5" s="1"/>
  <c r="R18" i="5" s="1"/>
  <c r="E49" i="41"/>
  <c r="D52" i="42"/>
  <c r="C69" i="17"/>
  <c r="C15" i="40"/>
  <c r="I73" i="17"/>
  <c r="I19" i="40"/>
  <c r="M28" i="40"/>
  <c r="E36" i="40"/>
  <c r="C16" i="40"/>
  <c r="C70" i="17"/>
  <c r="D36" i="40"/>
  <c r="L19" i="40"/>
  <c r="L73" i="17"/>
  <c r="H34" i="40"/>
  <c r="H90" i="17"/>
  <c r="F16" i="36" s="1"/>
  <c r="B71" i="17"/>
  <c r="K91" i="17"/>
  <c r="Q20" i="5" s="1"/>
  <c r="B17" i="40"/>
  <c r="C91" i="17"/>
  <c r="C17" i="36" s="1"/>
  <c r="J32" i="40"/>
  <c r="F17" i="40"/>
  <c r="F71" i="17"/>
  <c r="D87" i="17"/>
  <c r="E13" i="36" s="1"/>
  <c r="B31" i="40"/>
  <c r="L87" i="17"/>
  <c r="L16" i="5" s="1"/>
  <c r="R16" i="5" s="1"/>
  <c r="C85" i="17"/>
  <c r="C11" i="36" s="1"/>
  <c r="B65" i="17"/>
  <c r="B11" i="40"/>
  <c r="K85" i="17"/>
  <c r="Q14" i="5" s="1"/>
  <c r="C37" i="40"/>
  <c r="B50" i="40"/>
  <c r="G49" i="41"/>
  <c r="D31" i="40"/>
  <c r="K89" i="17"/>
  <c r="Q18" i="5" s="1"/>
  <c r="D69" i="17"/>
  <c r="D15" i="40"/>
  <c r="F30" i="40"/>
  <c r="C68" i="17"/>
  <c r="C14" i="40"/>
  <c r="E71" i="17"/>
  <c r="E17" i="40"/>
  <c r="D11" i="40"/>
  <c r="D65" i="17"/>
  <c r="M14" i="40"/>
  <c r="M68" i="17"/>
  <c r="L35" i="40"/>
  <c r="L84" i="17"/>
  <c r="L13" i="5" s="1"/>
  <c r="R13" i="5" s="1"/>
  <c r="F28" i="40"/>
  <c r="D84" i="17"/>
  <c r="E10" i="36" s="1"/>
  <c r="J29" i="40"/>
  <c r="H67" i="40" s="1"/>
  <c r="F11" i="39" s="1"/>
  <c r="F70" i="17"/>
  <c r="F16" i="40"/>
  <c r="D93" i="17"/>
  <c r="E19" i="36" s="1"/>
  <c r="C89" i="17"/>
  <c r="C15" i="36" s="1"/>
  <c r="B51" i="42"/>
  <c r="J54" i="41"/>
  <c r="M35" i="40"/>
  <c r="L92" i="17"/>
  <c r="L21" i="5" s="1"/>
  <c r="R21" i="5" s="1"/>
  <c r="B36" i="40"/>
  <c r="D92" i="17"/>
  <c r="E18" i="36" s="1"/>
  <c r="K73" i="17"/>
  <c r="K19" i="40"/>
  <c r="D32" i="40"/>
  <c r="J31" i="40"/>
  <c r="H37" i="40"/>
  <c r="G92" i="17"/>
  <c r="D18" i="36" s="1"/>
  <c r="G18" i="40"/>
  <c r="G72" i="17"/>
  <c r="H72" i="17"/>
  <c r="H18" i="40"/>
  <c r="I34" i="40"/>
  <c r="L12" i="40"/>
  <c r="L66" i="17"/>
  <c r="J37" i="40"/>
  <c r="B55" i="41"/>
  <c r="D89" i="17"/>
  <c r="E15" i="36" s="1"/>
  <c r="E49" i="42"/>
  <c r="J46" i="40"/>
  <c r="D52" i="40"/>
  <c r="G69" i="17"/>
  <c r="G89" i="17"/>
  <c r="D15" i="36" s="1"/>
  <c r="G15" i="40"/>
  <c r="K72" i="17"/>
  <c r="K18" i="40"/>
  <c r="E68" i="17"/>
  <c r="E14" i="40"/>
  <c r="D73" i="17"/>
  <c r="D19" i="40"/>
  <c r="H35" i="40"/>
  <c r="H73" i="40" s="1"/>
  <c r="F17" i="39" s="1"/>
  <c r="H73" i="42"/>
  <c r="F17" i="45" s="1"/>
  <c r="U17" i="45" s="1"/>
  <c r="G30" i="40"/>
  <c r="H86" i="17"/>
  <c r="F12" i="36" s="1"/>
  <c r="I36" i="40"/>
  <c r="B52" i="40"/>
  <c r="H16" i="40"/>
  <c r="H70" i="17"/>
  <c r="G90" i="17"/>
  <c r="D16" i="36" s="1"/>
  <c r="L91" i="17"/>
  <c r="L20" i="5" s="1"/>
  <c r="R20" i="5" s="1"/>
  <c r="B35" i="40"/>
  <c r="D91" i="17"/>
  <c r="E17" i="36" s="1"/>
  <c r="J68" i="17"/>
  <c r="J14" i="40"/>
  <c r="F35" i="40"/>
  <c r="B13" i="40"/>
  <c r="C87" i="17"/>
  <c r="C13" i="36" s="1"/>
  <c r="B67" i="17"/>
  <c r="K87" i="17"/>
  <c r="Q16" i="5" s="1"/>
  <c r="B29" i="40"/>
  <c r="D85" i="17"/>
  <c r="E11" i="36" s="1"/>
  <c r="L85" i="17"/>
  <c r="L14" i="5" s="1"/>
  <c r="R14" i="5" s="1"/>
  <c r="C19" i="40"/>
  <c r="C73" i="17"/>
  <c r="H46" i="40"/>
  <c r="J53" i="42"/>
  <c r="B50" i="41"/>
  <c r="G49" i="40"/>
  <c r="H30" i="40"/>
  <c r="C67" i="17"/>
  <c r="C13" i="40"/>
  <c r="H68" i="17"/>
  <c r="H14" i="40"/>
  <c r="K29" i="40"/>
  <c r="J12" i="40"/>
  <c r="J66" i="17"/>
  <c r="F31" i="40"/>
  <c r="L67" i="17"/>
  <c r="L13" i="40"/>
  <c r="G37" i="40"/>
  <c r="H93" i="17"/>
  <c r="F19" i="36" s="1"/>
  <c r="K28" i="40"/>
  <c r="K71" i="17"/>
  <c r="K17" i="40"/>
  <c r="G88" i="17"/>
  <c r="D14" i="36" s="1"/>
  <c r="G50" i="42"/>
  <c r="D86" i="17"/>
  <c r="E12" i="36" s="1"/>
  <c r="G53" i="41"/>
  <c r="B51" i="41"/>
  <c r="J54" i="40"/>
  <c r="F51" i="41"/>
  <c r="M71" i="17"/>
  <c r="M17" i="40"/>
  <c r="C92" i="17"/>
  <c r="C18" i="36" s="1"/>
  <c r="B72" i="17"/>
  <c r="K92" i="17"/>
  <c r="Q21" i="5" s="1"/>
  <c r="B18" i="40"/>
  <c r="K37" i="40"/>
  <c r="D68" i="17"/>
  <c r="D14" i="40"/>
  <c r="J67" i="17"/>
  <c r="J13" i="40"/>
  <c r="H73" i="17"/>
  <c r="H19" i="40"/>
  <c r="H92" i="17"/>
  <c r="F18" i="36" s="1"/>
  <c r="G36" i="40"/>
  <c r="H36" i="40"/>
  <c r="I16" i="40"/>
  <c r="I70" i="17"/>
  <c r="L30" i="40"/>
  <c r="J19" i="40"/>
  <c r="J73" i="17"/>
  <c r="B48" i="40"/>
  <c r="K93" i="17"/>
  <c r="Q22" i="5" s="1"/>
  <c r="M55" i="42"/>
  <c r="I47" i="42"/>
  <c r="E49" i="40"/>
  <c r="D90" i="17"/>
  <c r="E16" i="36" s="1"/>
  <c r="J46" i="42"/>
  <c r="D52" i="41"/>
  <c r="G33" i="40"/>
  <c r="H89" i="17"/>
  <c r="F15" i="36" s="1"/>
  <c r="K36" i="40"/>
  <c r="E32" i="40"/>
  <c r="D37" i="40"/>
  <c r="H71" i="17"/>
  <c r="I91" i="17" s="1"/>
  <c r="H17" i="40"/>
  <c r="G12" i="40"/>
  <c r="G66" i="17"/>
  <c r="G86" i="17"/>
  <c r="D12" i="36" s="1"/>
  <c r="I72" i="17"/>
  <c r="I18" i="40"/>
  <c r="J55" i="42" l="1"/>
  <c r="D51" i="42"/>
  <c r="M51" i="41"/>
  <c r="M53" i="42"/>
  <c r="C50" i="40"/>
  <c r="H70" i="42"/>
  <c r="F14" i="45" s="1"/>
  <c r="U14" i="45" s="1"/>
  <c r="K53" i="41"/>
  <c r="I49" i="40"/>
  <c r="H49" i="42"/>
  <c r="L55" i="40"/>
  <c r="H74" i="41"/>
  <c r="F18" i="44" s="1"/>
  <c r="U18" i="44" s="1"/>
  <c r="D50" i="40"/>
  <c r="E53" i="41"/>
  <c r="J48" i="42"/>
  <c r="C49" i="40"/>
  <c r="H71" i="40"/>
  <c r="F15" i="39" s="1"/>
  <c r="I52" i="40"/>
  <c r="H55" i="41"/>
  <c r="M53" i="40"/>
  <c r="AO17" i="5"/>
  <c r="AR17" i="5" s="1"/>
  <c r="I54" i="40"/>
  <c r="I54" i="42"/>
  <c r="F52" i="42"/>
  <c r="F54" i="41"/>
  <c r="J50" i="40"/>
  <c r="E93" i="17"/>
  <c r="T19" i="5"/>
  <c r="D47" i="41"/>
  <c r="E53" i="42"/>
  <c r="AO19" i="5"/>
  <c r="AR19" i="5" s="1"/>
  <c r="AF19" i="5"/>
  <c r="AI19" i="5" s="1"/>
  <c r="S17" i="5"/>
  <c r="I88" i="17"/>
  <c r="X17" i="5"/>
  <c r="AA17" i="5" s="1"/>
  <c r="H71" i="41"/>
  <c r="F15" i="44" s="1"/>
  <c r="U15" i="44" s="1"/>
  <c r="S19" i="5"/>
  <c r="H69" i="42"/>
  <c r="F13" i="45" s="1"/>
  <c r="U13" i="45" s="1"/>
  <c r="L55" i="41"/>
  <c r="C51" i="40"/>
  <c r="I54" i="41"/>
  <c r="I52" i="42"/>
  <c r="X19" i="5"/>
  <c r="AA19" i="5" s="1"/>
  <c r="K49" i="42"/>
  <c r="M49" i="40"/>
  <c r="AG19" i="5"/>
  <c r="AJ19" i="5" s="1"/>
  <c r="AN17" i="5"/>
  <c r="AQ17" i="5" s="1"/>
  <c r="L49" i="41"/>
  <c r="E55" i="41"/>
  <c r="D71" i="40"/>
  <c r="E15" i="39" s="1"/>
  <c r="H53" i="41"/>
  <c r="I73" i="41" s="1"/>
  <c r="L49" i="40"/>
  <c r="J48" i="41"/>
  <c r="H50" i="40"/>
  <c r="I70" i="40" s="1"/>
  <c r="C49" i="42"/>
  <c r="C55" i="41"/>
  <c r="J50" i="41"/>
  <c r="I55" i="42"/>
  <c r="C47" i="42"/>
  <c r="D71" i="42"/>
  <c r="E15" i="45" s="1"/>
  <c r="R15" i="45" s="1"/>
  <c r="L49" i="42"/>
  <c r="J55" i="41"/>
  <c r="I52" i="41"/>
  <c r="H55" i="42"/>
  <c r="K71" i="41"/>
  <c r="C50" i="41"/>
  <c r="C52" i="41"/>
  <c r="M51" i="42"/>
  <c r="D72" i="41"/>
  <c r="E16" i="44" s="1"/>
  <c r="R16" i="44" s="1"/>
  <c r="AG17" i="5"/>
  <c r="AJ17" i="5" s="1"/>
  <c r="L70" i="41"/>
  <c r="K53" i="42"/>
  <c r="C55" i="40"/>
  <c r="I89" i="17"/>
  <c r="D51" i="41"/>
  <c r="D54" i="42"/>
  <c r="C51" i="41"/>
  <c r="E55" i="40"/>
  <c r="T17" i="5"/>
  <c r="AG22" i="5"/>
  <c r="AJ22" i="5" s="1"/>
  <c r="J48" i="40"/>
  <c r="H50" i="41"/>
  <c r="M50" i="40"/>
  <c r="H70" i="41"/>
  <c r="F14" i="44" s="1"/>
  <c r="U14" i="44" s="1"/>
  <c r="C47" i="41"/>
  <c r="M49" i="41"/>
  <c r="D72" i="40"/>
  <c r="E16" i="39" s="1"/>
  <c r="J49" i="42"/>
  <c r="M53" i="41"/>
  <c r="K53" i="40"/>
  <c r="C49" i="41"/>
  <c r="C55" i="42"/>
  <c r="M50" i="41"/>
  <c r="C52" i="40"/>
  <c r="M46" i="40"/>
  <c r="I55" i="40"/>
  <c r="D50" i="42"/>
  <c r="C71" i="41"/>
  <c r="C15" i="44" s="1"/>
  <c r="L15" i="44" s="1"/>
  <c r="I49" i="42"/>
  <c r="C47" i="40"/>
  <c r="K49" i="40"/>
  <c r="C68" i="40"/>
  <c r="C12" i="39" s="1"/>
  <c r="L72" i="42"/>
  <c r="H75" i="40"/>
  <c r="F19" i="39" s="1"/>
  <c r="C19" i="13"/>
  <c r="E19" i="13" s="1"/>
  <c r="E53" i="40"/>
  <c r="J55" i="40"/>
  <c r="G69" i="40"/>
  <c r="D13" i="39" s="1"/>
  <c r="E86" i="17"/>
  <c r="F52" i="40"/>
  <c r="D47" i="40"/>
  <c r="H70" i="40"/>
  <c r="F14" i="39" s="1"/>
  <c r="C51" i="42"/>
  <c r="H49" i="41"/>
  <c r="H71" i="42"/>
  <c r="F15" i="45" s="1"/>
  <c r="U15" i="45" s="1"/>
  <c r="C16" i="13"/>
  <c r="E16" i="13" s="1"/>
  <c r="H75" i="41"/>
  <c r="F19" i="44" s="1"/>
  <c r="U19" i="44" s="1"/>
  <c r="H50" i="42"/>
  <c r="J50" i="42"/>
  <c r="C71" i="42"/>
  <c r="C15" i="45" s="1"/>
  <c r="L15" i="45" s="1"/>
  <c r="M50" i="42"/>
  <c r="C52" i="42"/>
  <c r="E55" i="42"/>
  <c r="M51" i="40"/>
  <c r="Y22" i="5"/>
  <c r="AB22" i="5" s="1"/>
  <c r="D75" i="40"/>
  <c r="E19" i="39" s="1"/>
  <c r="C14" i="13"/>
  <c r="J49" i="41"/>
  <c r="C72" i="40"/>
  <c r="C16" i="39" s="1"/>
  <c r="D72" i="42"/>
  <c r="E16" i="45" s="1"/>
  <c r="R16" i="45" s="1"/>
  <c r="D47" i="42"/>
  <c r="C50" i="42"/>
  <c r="L55" i="42"/>
  <c r="I49" i="41"/>
  <c r="M49" i="42"/>
  <c r="F54" i="40"/>
  <c r="H49" i="40"/>
  <c r="AO22" i="5"/>
  <c r="AR22" i="5" s="1"/>
  <c r="D68" i="41"/>
  <c r="E12" i="44" s="1"/>
  <c r="R12" i="44" s="1"/>
  <c r="I86" i="17"/>
  <c r="D68" i="42"/>
  <c r="E12" i="45" s="1"/>
  <c r="R12" i="45" s="1"/>
  <c r="H74" i="40"/>
  <c r="F18" i="39" s="1"/>
  <c r="C70" i="41"/>
  <c r="C14" i="44" s="1"/>
  <c r="L14" i="44" s="1"/>
  <c r="H75" i="42"/>
  <c r="F19" i="45" s="1"/>
  <c r="U19" i="45" s="1"/>
  <c r="F52" i="41"/>
  <c r="D51" i="40"/>
  <c r="I55" i="41"/>
  <c r="K49" i="41"/>
  <c r="H68" i="41"/>
  <c r="F12" i="44" s="1"/>
  <c r="U12" i="44" s="1"/>
  <c r="M90" i="17"/>
  <c r="L75" i="41"/>
  <c r="L72" i="41"/>
  <c r="L70" i="40"/>
  <c r="M88" i="17"/>
  <c r="L75" i="42"/>
  <c r="H69" i="41"/>
  <c r="F13" i="44" s="1"/>
  <c r="U13" i="44" s="1"/>
  <c r="F36" i="36"/>
  <c r="C13" i="13"/>
  <c r="E13" i="13" s="1"/>
  <c r="E89" i="17"/>
  <c r="D70" i="42"/>
  <c r="E14" i="45" s="1"/>
  <c r="R14" i="45" s="1"/>
  <c r="D68" i="40"/>
  <c r="E12" i="39" s="1"/>
  <c r="I87" i="17"/>
  <c r="M93" i="17"/>
  <c r="L68" i="42"/>
  <c r="C68" i="42"/>
  <c r="C12" i="45" s="1"/>
  <c r="L12" i="45" s="1"/>
  <c r="L71" i="41"/>
  <c r="L71" i="40"/>
  <c r="AN21" i="5"/>
  <c r="AQ21" i="5" s="1"/>
  <c r="AF21" i="5"/>
  <c r="AI21" i="5" s="1"/>
  <c r="S21" i="5"/>
  <c r="X21" i="5"/>
  <c r="AA21" i="5" s="1"/>
  <c r="G73" i="42"/>
  <c r="D17" i="45" s="1"/>
  <c r="H53" i="42"/>
  <c r="I73" i="42" s="1"/>
  <c r="X22" i="5"/>
  <c r="AA22" i="5" s="1"/>
  <c r="AF22" i="5"/>
  <c r="AI22" i="5" s="1"/>
  <c r="S22" i="5"/>
  <c r="AN22" i="5"/>
  <c r="AQ22" i="5" s="1"/>
  <c r="B54" i="42"/>
  <c r="C74" i="42"/>
  <c r="C18" i="45" s="1"/>
  <c r="L18" i="45" s="1"/>
  <c r="K74" i="42"/>
  <c r="L75" i="40"/>
  <c r="K70" i="41"/>
  <c r="D67" i="41"/>
  <c r="E11" i="44" s="1"/>
  <c r="L67" i="41"/>
  <c r="L67" i="40"/>
  <c r="D67" i="40"/>
  <c r="E11" i="39" s="1"/>
  <c r="B49" i="41"/>
  <c r="K69" i="41"/>
  <c r="C69" i="41"/>
  <c r="C13" i="44" s="1"/>
  <c r="L13" i="44" s="1"/>
  <c r="D73" i="40"/>
  <c r="E17" i="39" s="1"/>
  <c r="L73" i="40"/>
  <c r="H52" i="41"/>
  <c r="G72" i="41"/>
  <c r="D16" i="44" s="1"/>
  <c r="D70" i="41"/>
  <c r="E14" i="44" s="1"/>
  <c r="R14" i="44" s="1"/>
  <c r="H68" i="40"/>
  <c r="F12" i="39" s="1"/>
  <c r="D55" i="41"/>
  <c r="E50" i="42"/>
  <c r="K54" i="41"/>
  <c r="G51" i="40"/>
  <c r="G71" i="40"/>
  <c r="D15" i="39" s="1"/>
  <c r="G71" i="42"/>
  <c r="D15" i="45" s="1"/>
  <c r="G51" i="42"/>
  <c r="K75" i="41"/>
  <c r="L48" i="41"/>
  <c r="G54" i="42"/>
  <c r="G74" i="42"/>
  <c r="D18" i="45" s="1"/>
  <c r="J49" i="40"/>
  <c r="D70" i="40"/>
  <c r="E14" i="39" s="1"/>
  <c r="K55" i="42"/>
  <c r="T21" i="5"/>
  <c r="Y21" i="5"/>
  <c r="AB21" i="5" s="1"/>
  <c r="AO21" i="5"/>
  <c r="AR21" i="5" s="1"/>
  <c r="AG21" i="5"/>
  <c r="AJ21" i="5" s="1"/>
  <c r="L66" i="41"/>
  <c r="D66" i="41"/>
  <c r="E10" i="44" s="1"/>
  <c r="R10" i="44" s="1"/>
  <c r="AF14" i="5"/>
  <c r="AI14" i="5" s="1"/>
  <c r="X14" i="5"/>
  <c r="AA14" i="5" s="1"/>
  <c r="S14" i="5"/>
  <c r="AN14" i="5"/>
  <c r="AQ14" i="5" s="1"/>
  <c r="K67" i="42"/>
  <c r="C67" i="42"/>
  <c r="C11" i="45" s="1"/>
  <c r="B47" i="42"/>
  <c r="F53" i="42"/>
  <c r="AN20" i="5"/>
  <c r="AQ20" i="5" s="1"/>
  <c r="S20" i="5"/>
  <c r="X20" i="5"/>
  <c r="AA20" i="5" s="1"/>
  <c r="AF20" i="5"/>
  <c r="AI20" i="5" s="1"/>
  <c r="L72" i="40"/>
  <c r="H72" i="40"/>
  <c r="F16" i="39" s="1"/>
  <c r="D36" i="36"/>
  <c r="AG18" i="5"/>
  <c r="AJ18" i="5" s="1"/>
  <c r="T18" i="5"/>
  <c r="AO18" i="5"/>
  <c r="AR18" i="5" s="1"/>
  <c r="Y18" i="5"/>
  <c r="AB18" i="5" s="1"/>
  <c r="C75" i="40"/>
  <c r="C19" i="39" s="1"/>
  <c r="G46" i="40"/>
  <c r="I66" i="40" s="1"/>
  <c r="G66" i="40"/>
  <c r="D10" i="39" s="1"/>
  <c r="D75" i="41"/>
  <c r="E19" i="44" s="1"/>
  <c r="R19" i="44" s="1"/>
  <c r="E84" i="17"/>
  <c r="M84" i="17"/>
  <c r="K66" i="41"/>
  <c r="F46" i="41"/>
  <c r="C66" i="41"/>
  <c r="C10" i="44" s="1"/>
  <c r="L10" i="44" s="1"/>
  <c r="L53" i="41"/>
  <c r="F48" i="41"/>
  <c r="D49" i="40"/>
  <c r="C72" i="41"/>
  <c r="C16" i="44" s="1"/>
  <c r="L16" i="44" s="1"/>
  <c r="E54" i="40"/>
  <c r="M46" i="41"/>
  <c r="K68" i="42"/>
  <c r="H69" i="40"/>
  <c r="F13" i="39" s="1"/>
  <c r="I48" i="41"/>
  <c r="L47" i="40"/>
  <c r="I51" i="40"/>
  <c r="D75" i="42"/>
  <c r="E19" i="45" s="1"/>
  <c r="R19" i="45" s="1"/>
  <c r="G70" i="41"/>
  <c r="D14" i="44" s="1"/>
  <c r="K46" i="41"/>
  <c r="G55" i="42"/>
  <c r="G75" i="42"/>
  <c r="D19" i="45" s="1"/>
  <c r="F49" i="40"/>
  <c r="K47" i="41"/>
  <c r="K70" i="42"/>
  <c r="M48" i="42"/>
  <c r="J52" i="40"/>
  <c r="C53" i="40"/>
  <c r="G48" i="42"/>
  <c r="G68" i="42"/>
  <c r="D12" i="45" s="1"/>
  <c r="G48" i="41"/>
  <c r="G68" i="41"/>
  <c r="D12" i="44" s="1"/>
  <c r="E92" i="17"/>
  <c r="M92" i="17"/>
  <c r="G73" i="41"/>
  <c r="D17" i="44" s="1"/>
  <c r="D67" i="42"/>
  <c r="E11" i="45" s="1"/>
  <c r="L67" i="42"/>
  <c r="AF16" i="5"/>
  <c r="AI16" i="5" s="1"/>
  <c r="X16" i="5"/>
  <c r="AA16" i="5" s="1"/>
  <c r="S16" i="5"/>
  <c r="AN16" i="5"/>
  <c r="AQ16" i="5" s="1"/>
  <c r="AG20" i="5"/>
  <c r="AJ20" i="5" s="1"/>
  <c r="Y20" i="5"/>
  <c r="AB20" i="5" s="1"/>
  <c r="AO20" i="5"/>
  <c r="AR20" i="5" s="1"/>
  <c r="T20" i="5"/>
  <c r="I90" i="17"/>
  <c r="K72" i="40"/>
  <c r="D55" i="40"/>
  <c r="E50" i="40"/>
  <c r="K54" i="40"/>
  <c r="G51" i="41"/>
  <c r="G71" i="41"/>
  <c r="D15" i="44" s="1"/>
  <c r="H54" i="41"/>
  <c r="I92" i="17"/>
  <c r="K55" i="40"/>
  <c r="D74" i="41"/>
  <c r="E18" i="44" s="1"/>
  <c r="R18" i="44" s="1"/>
  <c r="L74" i="41"/>
  <c r="L74" i="42"/>
  <c r="D74" i="42"/>
  <c r="E18" i="45" s="1"/>
  <c r="R18" i="45" s="1"/>
  <c r="L66" i="42"/>
  <c r="D66" i="42"/>
  <c r="E10" i="45" s="1"/>
  <c r="R10" i="45" s="1"/>
  <c r="K70" i="40"/>
  <c r="B47" i="40"/>
  <c r="K67" i="40"/>
  <c r="C67" i="40"/>
  <c r="C11" i="39" s="1"/>
  <c r="D69" i="42"/>
  <c r="E13" i="45" s="1"/>
  <c r="R13" i="45" s="1"/>
  <c r="L69" i="42"/>
  <c r="D69" i="41"/>
  <c r="E13" i="44" s="1"/>
  <c r="R13" i="44" s="1"/>
  <c r="L69" i="41"/>
  <c r="F53" i="40"/>
  <c r="C73" i="42"/>
  <c r="C17" i="45" s="1"/>
  <c r="L17" i="45" s="1"/>
  <c r="K73" i="42"/>
  <c r="B53" i="42"/>
  <c r="K73" i="41"/>
  <c r="C73" i="41"/>
  <c r="C17" i="44" s="1"/>
  <c r="L17" i="44" s="1"/>
  <c r="B53" i="41"/>
  <c r="H72" i="41"/>
  <c r="F16" i="44" s="1"/>
  <c r="U16" i="44" s="1"/>
  <c r="E90" i="17"/>
  <c r="X15" i="5"/>
  <c r="AA15" i="5" s="1"/>
  <c r="AN15" i="5"/>
  <c r="AQ15" i="5" s="1"/>
  <c r="AF15" i="5"/>
  <c r="AI15" i="5" s="1"/>
  <c r="S15" i="5"/>
  <c r="G46" i="41"/>
  <c r="I66" i="41" s="1"/>
  <c r="G66" i="41"/>
  <c r="D10" i="44" s="1"/>
  <c r="M89" i="17"/>
  <c r="AO15" i="5"/>
  <c r="AR15" i="5" s="1"/>
  <c r="T15" i="5"/>
  <c r="Y15" i="5"/>
  <c r="AB15" i="5" s="1"/>
  <c r="AG15" i="5"/>
  <c r="AJ15" i="5" s="1"/>
  <c r="J47" i="42"/>
  <c r="I67" i="42" s="1"/>
  <c r="G67" i="42"/>
  <c r="D11" i="45" s="1"/>
  <c r="AF13" i="5"/>
  <c r="AI13" i="5" s="1"/>
  <c r="AN13" i="5"/>
  <c r="AQ13" i="5" s="1"/>
  <c r="X13" i="5"/>
  <c r="AA13" i="5" s="1"/>
  <c r="S13" i="5"/>
  <c r="L53" i="42"/>
  <c r="G69" i="42"/>
  <c r="D13" i="45" s="1"/>
  <c r="K72" i="41"/>
  <c r="E54" i="42"/>
  <c r="M46" i="42"/>
  <c r="C75" i="42"/>
  <c r="C19" i="45" s="1"/>
  <c r="L19" i="45" s="1"/>
  <c r="I48" i="40"/>
  <c r="M54" i="41"/>
  <c r="I51" i="42"/>
  <c r="D71" i="41"/>
  <c r="E15" i="44" s="1"/>
  <c r="R15" i="44" s="1"/>
  <c r="C71" i="40"/>
  <c r="C15" i="39" s="1"/>
  <c r="K46" i="40"/>
  <c r="C21" i="13"/>
  <c r="E21" i="13" s="1"/>
  <c r="G55" i="41"/>
  <c r="G75" i="41"/>
  <c r="D19" i="44" s="1"/>
  <c r="F49" i="42"/>
  <c r="K47" i="42"/>
  <c r="H48" i="40"/>
  <c r="J52" i="42"/>
  <c r="E48" i="42"/>
  <c r="C72" i="42"/>
  <c r="C16" i="45" s="1"/>
  <c r="L16" i="45" s="1"/>
  <c r="G73" i="40"/>
  <c r="D17" i="39" s="1"/>
  <c r="H53" i="40"/>
  <c r="I73" i="40" s="1"/>
  <c r="G68" i="40"/>
  <c r="D12" i="39" s="1"/>
  <c r="G48" i="40"/>
  <c r="K68" i="40"/>
  <c r="H74" i="42"/>
  <c r="F18" i="45" s="1"/>
  <c r="U18" i="45" s="1"/>
  <c r="K74" i="40"/>
  <c r="C74" i="40"/>
  <c r="C18" i="39" s="1"/>
  <c r="B54" i="40"/>
  <c r="B54" i="41"/>
  <c r="K74" i="41"/>
  <c r="C74" i="41"/>
  <c r="C18" i="44" s="1"/>
  <c r="L18" i="44" s="1"/>
  <c r="G70" i="42"/>
  <c r="D14" i="45" s="1"/>
  <c r="AG14" i="5"/>
  <c r="AJ14" i="5" s="1"/>
  <c r="T14" i="5"/>
  <c r="AO14" i="5"/>
  <c r="AR14" i="5" s="1"/>
  <c r="Y14" i="5"/>
  <c r="AB14" i="5" s="1"/>
  <c r="C69" i="42"/>
  <c r="C13" i="45" s="1"/>
  <c r="L13" i="45" s="1"/>
  <c r="B49" i="42"/>
  <c r="K69" i="42"/>
  <c r="C69" i="40"/>
  <c r="C13" i="39" s="1"/>
  <c r="K69" i="40"/>
  <c r="B49" i="40"/>
  <c r="D73" i="41"/>
  <c r="E17" i="44" s="1"/>
  <c r="R17" i="44" s="1"/>
  <c r="L73" i="41"/>
  <c r="H52" i="40"/>
  <c r="G72" i="40"/>
  <c r="D16" i="39" s="1"/>
  <c r="H68" i="42"/>
  <c r="F12" i="45" s="1"/>
  <c r="U12" i="45" s="1"/>
  <c r="E50" i="41"/>
  <c r="K54" i="42"/>
  <c r="C17" i="13"/>
  <c r="E17" i="13" s="1"/>
  <c r="L48" i="42"/>
  <c r="H54" i="42"/>
  <c r="G74" i="40"/>
  <c r="D18" i="39" s="1"/>
  <c r="G54" i="40"/>
  <c r="H55" i="40"/>
  <c r="D50" i="41"/>
  <c r="K55" i="41"/>
  <c r="K71" i="42"/>
  <c r="U11" i="45"/>
  <c r="D66" i="40"/>
  <c r="E10" i="39" s="1"/>
  <c r="L66" i="40"/>
  <c r="C70" i="40"/>
  <c r="C14" i="39" s="1"/>
  <c r="E85" i="17"/>
  <c r="M85" i="17"/>
  <c r="AO16" i="5"/>
  <c r="AR16" i="5" s="1"/>
  <c r="T16" i="5"/>
  <c r="AG16" i="5"/>
  <c r="AJ16" i="5" s="1"/>
  <c r="Y16" i="5"/>
  <c r="AB16" i="5" s="1"/>
  <c r="F53" i="41"/>
  <c r="M91" i="17"/>
  <c r="E91" i="17"/>
  <c r="H72" i="42"/>
  <c r="F16" i="45" s="1"/>
  <c r="U16" i="45" s="1"/>
  <c r="L71" i="42"/>
  <c r="C68" i="41"/>
  <c r="C12" i="44" s="1"/>
  <c r="L12" i="44" s="1"/>
  <c r="G66" i="42"/>
  <c r="D10" i="45" s="1"/>
  <c r="G46" i="42"/>
  <c r="I66" i="42" s="1"/>
  <c r="G70" i="40"/>
  <c r="D14" i="39" s="1"/>
  <c r="J47" i="41"/>
  <c r="I67" i="41" s="1"/>
  <c r="G67" i="41"/>
  <c r="D11" i="44" s="1"/>
  <c r="C66" i="42"/>
  <c r="C10" i="45" s="1"/>
  <c r="L10" i="45" s="1"/>
  <c r="F46" i="42"/>
  <c r="K66" i="42"/>
  <c r="L53" i="40"/>
  <c r="F48" i="40"/>
  <c r="D49" i="41"/>
  <c r="D54" i="40"/>
  <c r="E54" i="41"/>
  <c r="K75" i="42"/>
  <c r="L47" i="41"/>
  <c r="M54" i="42"/>
  <c r="I51" i="41"/>
  <c r="K71" i="40"/>
  <c r="L68" i="40"/>
  <c r="K46" i="42"/>
  <c r="G75" i="40"/>
  <c r="D19" i="39" s="1"/>
  <c r="G55" i="40"/>
  <c r="F49" i="41"/>
  <c r="K47" i="40"/>
  <c r="H48" i="42"/>
  <c r="M48" i="40"/>
  <c r="C53" i="41"/>
  <c r="E48" i="41"/>
  <c r="K72" i="42"/>
  <c r="L70" i="42"/>
  <c r="E36" i="36"/>
  <c r="E87" i="17"/>
  <c r="M87" i="17"/>
  <c r="L73" i="42"/>
  <c r="D73" i="42"/>
  <c r="E17" i="45" s="1"/>
  <c r="R17" i="45" s="1"/>
  <c r="C18" i="13"/>
  <c r="E18" i="13" s="1"/>
  <c r="H52" i="42"/>
  <c r="G72" i="42"/>
  <c r="D16" i="45" s="1"/>
  <c r="D55" i="42"/>
  <c r="E88" i="17"/>
  <c r="C75" i="41"/>
  <c r="C19" i="44" s="1"/>
  <c r="L19" i="44" s="1"/>
  <c r="M86" i="17"/>
  <c r="L48" i="40"/>
  <c r="H54" i="40"/>
  <c r="G74" i="41"/>
  <c r="D18" i="44" s="1"/>
  <c r="G54" i="41"/>
  <c r="C20" i="13"/>
  <c r="E20" i="13" s="1"/>
  <c r="D74" i="40"/>
  <c r="E18" i="39" s="1"/>
  <c r="L74" i="40"/>
  <c r="L68" i="41"/>
  <c r="U11" i="44"/>
  <c r="AG13" i="5"/>
  <c r="AJ13" i="5" s="1"/>
  <c r="T13" i="5"/>
  <c r="Y13" i="5"/>
  <c r="AB13" i="5" s="1"/>
  <c r="AO13" i="5"/>
  <c r="AR13" i="5" s="1"/>
  <c r="AN18" i="5"/>
  <c r="AQ18" i="5" s="1"/>
  <c r="AF18" i="5"/>
  <c r="AI18" i="5" s="1"/>
  <c r="X18" i="5"/>
  <c r="AA18" i="5" s="1"/>
  <c r="S18" i="5"/>
  <c r="G69" i="41"/>
  <c r="D13" i="44" s="1"/>
  <c r="C67" i="41"/>
  <c r="C11" i="44" s="1"/>
  <c r="K67" i="41"/>
  <c r="B47" i="41"/>
  <c r="C36" i="36"/>
  <c r="L69" i="40"/>
  <c r="D69" i="40"/>
  <c r="E13" i="39" s="1"/>
  <c r="K73" i="40"/>
  <c r="B53" i="40"/>
  <c r="C73" i="40"/>
  <c r="C17" i="39" s="1"/>
  <c r="K75" i="40"/>
  <c r="K68" i="41"/>
  <c r="C12" i="13"/>
  <c r="E12" i="13" s="1"/>
  <c r="J47" i="40"/>
  <c r="I67" i="40" s="1"/>
  <c r="G67" i="40"/>
  <c r="D11" i="39" s="1"/>
  <c r="K66" i="40"/>
  <c r="F46" i="40"/>
  <c r="C66" i="40"/>
  <c r="C10" i="39" s="1"/>
  <c r="F48" i="42"/>
  <c r="D49" i="42"/>
  <c r="C15" i="13"/>
  <c r="E15" i="13" s="1"/>
  <c r="D54" i="41"/>
  <c r="I48" i="42"/>
  <c r="L47" i="42"/>
  <c r="M54" i="40"/>
  <c r="I93" i="17"/>
  <c r="H48" i="41"/>
  <c r="C70" i="42"/>
  <c r="C14" i="45" s="1"/>
  <c r="L14" i="45" s="1"/>
  <c r="M48" i="41"/>
  <c r="J52" i="41"/>
  <c r="C53" i="42"/>
  <c r="E48" i="40"/>
  <c r="L16" i="13" l="1"/>
  <c r="N16" i="13" s="1"/>
  <c r="L15" i="13"/>
  <c r="L17" i="13"/>
  <c r="N17" i="13" s="1"/>
  <c r="L18" i="13"/>
  <c r="N18" i="13" s="1"/>
  <c r="L20" i="13"/>
  <c r="N20" i="13" s="1"/>
  <c r="E42" i="13"/>
  <c r="E14" i="13"/>
  <c r="E39" i="13" s="1"/>
  <c r="C42" i="13"/>
  <c r="L12" i="13"/>
  <c r="N12" i="13" s="1"/>
  <c r="L13" i="13"/>
  <c r="L19" i="13"/>
  <c r="N19" i="13" s="1"/>
  <c r="L14" i="13"/>
  <c r="L21" i="13"/>
  <c r="N21" i="13" s="1"/>
  <c r="I70" i="41"/>
  <c r="E72" i="41"/>
  <c r="F18" i="13"/>
  <c r="H18" i="13" s="1"/>
  <c r="E71" i="42"/>
  <c r="I69" i="42"/>
  <c r="E71" i="41"/>
  <c r="E71" i="40"/>
  <c r="F36" i="39"/>
  <c r="I69" i="41"/>
  <c r="M72" i="41"/>
  <c r="I72" i="40"/>
  <c r="M70" i="42"/>
  <c r="E75" i="40"/>
  <c r="M70" i="40"/>
  <c r="I75" i="42"/>
  <c r="I69" i="40"/>
  <c r="I70" i="42"/>
  <c r="F21" i="13"/>
  <c r="H21" i="13" s="1"/>
  <c r="E70" i="41"/>
  <c r="E75" i="41"/>
  <c r="F36" i="44"/>
  <c r="E70" i="40"/>
  <c r="I74" i="41"/>
  <c r="F14" i="13"/>
  <c r="M72" i="42"/>
  <c r="E72" i="40"/>
  <c r="E72" i="42"/>
  <c r="I75" i="41"/>
  <c r="M75" i="42"/>
  <c r="E70" i="42"/>
  <c r="M71" i="40"/>
  <c r="M70" i="41"/>
  <c r="I72" i="42"/>
  <c r="M72" i="40"/>
  <c r="I75" i="40"/>
  <c r="M71" i="42"/>
  <c r="E68" i="40"/>
  <c r="E75" i="42"/>
  <c r="M68" i="42"/>
  <c r="E68" i="41"/>
  <c r="F15" i="13"/>
  <c r="H15" i="13" s="1"/>
  <c r="F16" i="13"/>
  <c r="H16" i="13" s="1"/>
  <c r="M66" i="40"/>
  <c r="E66" i="40"/>
  <c r="F13" i="13"/>
  <c r="D36" i="39"/>
  <c r="E73" i="40"/>
  <c r="M73" i="40"/>
  <c r="O16" i="45"/>
  <c r="M75" i="40"/>
  <c r="E68" i="42"/>
  <c r="O11" i="44"/>
  <c r="I13" i="13"/>
  <c r="D36" i="44"/>
  <c r="O10" i="45"/>
  <c r="F36" i="45"/>
  <c r="E69" i="40"/>
  <c r="M69" i="40"/>
  <c r="E69" i="42"/>
  <c r="M69" i="42"/>
  <c r="I68" i="40"/>
  <c r="I21" i="13"/>
  <c r="K21" i="13" s="1"/>
  <c r="O19" i="44"/>
  <c r="O11" i="45"/>
  <c r="D36" i="45"/>
  <c r="M73" i="41"/>
  <c r="E73" i="41"/>
  <c r="O12" i="44"/>
  <c r="I14" i="13"/>
  <c r="E66" i="41"/>
  <c r="M66" i="41"/>
  <c r="M68" i="41"/>
  <c r="I71" i="40"/>
  <c r="M69" i="41"/>
  <c r="E69" i="41"/>
  <c r="R11" i="44"/>
  <c r="E36" i="44"/>
  <c r="M67" i="41"/>
  <c r="E67" i="41"/>
  <c r="O13" i="44"/>
  <c r="I15" i="13"/>
  <c r="K15" i="13" s="1"/>
  <c r="O18" i="44"/>
  <c r="I20" i="13"/>
  <c r="K20" i="13" s="1"/>
  <c r="U35" i="45"/>
  <c r="U37" i="45"/>
  <c r="V37" i="45" s="1"/>
  <c r="M67" i="40"/>
  <c r="E67" i="40"/>
  <c r="M75" i="41"/>
  <c r="O17" i="44"/>
  <c r="I19" i="13"/>
  <c r="K19" i="13" s="1"/>
  <c r="I68" i="41"/>
  <c r="O14" i="44"/>
  <c r="I16" i="13"/>
  <c r="K16" i="13" s="1"/>
  <c r="F12" i="13"/>
  <c r="H12" i="13" s="1"/>
  <c r="O18" i="45"/>
  <c r="I71" i="42"/>
  <c r="E36" i="39"/>
  <c r="C39" i="13"/>
  <c r="E66" i="42"/>
  <c r="M66" i="42"/>
  <c r="I74" i="40"/>
  <c r="E74" i="41"/>
  <c r="M74" i="41"/>
  <c r="O13" i="45"/>
  <c r="N15" i="13"/>
  <c r="I17" i="13"/>
  <c r="K17" i="13" s="1"/>
  <c r="O15" i="44"/>
  <c r="R11" i="45"/>
  <c r="E36" i="45"/>
  <c r="O12" i="45"/>
  <c r="O19" i="45"/>
  <c r="E67" i="42"/>
  <c r="M67" i="42"/>
  <c r="I74" i="42"/>
  <c r="O15" i="45"/>
  <c r="I18" i="13"/>
  <c r="K18" i="13" s="1"/>
  <c r="O16" i="44"/>
  <c r="O17" i="45"/>
  <c r="L11" i="44"/>
  <c r="C36" i="44"/>
  <c r="U37" i="44"/>
  <c r="V37" i="44" s="1"/>
  <c r="F41" i="44" s="1"/>
  <c r="U35" i="44"/>
  <c r="M68" i="40"/>
  <c r="F20" i="13"/>
  <c r="H20" i="13" s="1"/>
  <c r="O14" i="45"/>
  <c r="E74" i="40"/>
  <c r="M74" i="40"/>
  <c r="F19" i="13"/>
  <c r="H19" i="13" s="1"/>
  <c r="I12" i="13"/>
  <c r="K12" i="13" s="1"/>
  <c r="O10" i="44"/>
  <c r="E73" i="42"/>
  <c r="M73" i="42"/>
  <c r="C36" i="39"/>
  <c r="I71" i="41"/>
  <c r="I68" i="42"/>
  <c r="L11" i="45"/>
  <c r="C36" i="45"/>
  <c r="F17" i="13"/>
  <c r="H17" i="13" s="1"/>
  <c r="I72" i="41"/>
  <c r="M71" i="41"/>
  <c r="E74" i="42"/>
  <c r="M74" i="42"/>
  <c r="K42" i="13" l="1"/>
  <c r="H42" i="13"/>
  <c r="N42" i="13"/>
  <c r="H14" i="13"/>
  <c r="F42" i="13"/>
  <c r="K14" i="13"/>
  <c r="I42" i="13"/>
  <c r="N14" i="13"/>
  <c r="L42" i="13"/>
  <c r="N13" i="13"/>
  <c r="L39" i="13"/>
  <c r="K13" i="13"/>
  <c r="I39" i="13"/>
  <c r="L35" i="45"/>
  <c r="L37" i="45"/>
  <c r="M37" i="45" s="1"/>
  <c r="O37" i="44"/>
  <c r="P37" i="44" s="1"/>
  <c r="D41" i="44" s="1"/>
  <c r="O35" i="44"/>
  <c r="H13" i="13"/>
  <c r="F39" i="13"/>
  <c r="L37" i="44"/>
  <c r="M37" i="44" s="1"/>
  <c r="C41" i="44" s="1"/>
  <c r="L35" i="44"/>
  <c r="R35" i="45"/>
  <c r="R37" i="45"/>
  <c r="S37" i="45" s="1"/>
  <c r="V15" i="45"/>
  <c r="V27" i="45"/>
  <c r="V18" i="45"/>
  <c r="V16" i="45"/>
  <c r="V20" i="45"/>
  <c r="V24" i="45"/>
  <c r="F41" i="45"/>
  <c r="V19" i="45"/>
  <c r="V26" i="45"/>
  <c r="V17" i="45"/>
  <c r="V14" i="45"/>
  <c r="V21" i="45"/>
  <c r="V13" i="45"/>
  <c r="V11" i="45"/>
  <c r="V23" i="45"/>
  <c r="V25" i="45"/>
  <c r="V12" i="45"/>
  <c r="V10" i="45"/>
  <c r="V22" i="45"/>
  <c r="R37" i="44"/>
  <c r="S37" i="44" s="1"/>
  <c r="E41" i="44" s="1"/>
  <c r="R35" i="44"/>
  <c r="O35" i="45"/>
  <c r="O37" i="45"/>
  <c r="P37" i="45" s="1"/>
  <c r="K39" i="13" l="1"/>
  <c r="H39" i="13"/>
  <c r="N39" i="13"/>
  <c r="V35" i="45"/>
  <c r="S23" i="45"/>
  <c r="S15" i="45"/>
  <c r="E41" i="45"/>
  <c r="S27" i="45"/>
  <c r="S16" i="45"/>
  <c r="S26" i="45"/>
  <c r="S14" i="45"/>
  <c r="S25" i="45"/>
  <c r="S21" i="45"/>
  <c r="S20" i="45"/>
  <c r="S18" i="45"/>
  <c r="S10" i="45"/>
  <c r="S13" i="45"/>
  <c r="S11" i="45"/>
  <c r="S12" i="45"/>
  <c r="S22" i="45"/>
  <c r="S17" i="45"/>
  <c r="S19" i="45"/>
  <c r="S24" i="45"/>
  <c r="M15" i="45"/>
  <c r="M25" i="45"/>
  <c r="M24" i="45"/>
  <c r="M12" i="45"/>
  <c r="M13" i="45"/>
  <c r="M17" i="45"/>
  <c r="M10" i="45"/>
  <c r="M14" i="45"/>
  <c r="M22" i="45"/>
  <c r="M11" i="45"/>
  <c r="M23" i="45"/>
  <c r="M19" i="45"/>
  <c r="M27" i="45"/>
  <c r="M20" i="45"/>
  <c r="M26" i="45"/>
  <c r="C41" i="45"/>
  <c r="M16" i="45"/>
  <c r="M21" i="45"/>
  <c r="M18" i="45"/>
  <c r="P13" i="45"/>
  <c r="P25" i="45"/>
  <c r="P16" i="45"/>
  <c r="P17" i="45"/>
  <c r="P27" i="45"/>
  <c r="P12" i="45"/>
  <c r="P21" i="45"/>
  <c r="P23" i="45"/>
  <c r="P10" i="45"/>
  <c r="P24" i="45"/>
  <c r="P11" i="45"/>
  <c r="P26" i="45"/>
  <c r="P14" i="45"/>
  <c r="D41" i="45"/>
  <c r="P15" i="45"/>
  <c r="P22" i="45"/>
  <c r="P19" i="45"/>
  <c r="P18" i="45"/>
  <c r="P20" i="45"/>
  <c r="S35" i="45" l="1"/>
  <c r="P35" i="45"/>
  <c r="M35" i="45"/>
</calcChain>
</file>

<file path=xl/sharedStrings.xml><?xml version="1.0" encoding="utf-8"?>
<sst xmlns="http://schemas.openxmlformats.org/spreadsheetml/2006/main" count="878" uniqueCount="320">
  <si>
    <t>On-Peak Hours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</si>
  <si>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</si>
  <si>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</si>
  <si>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</si>
  <si>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</si>
  <si>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</si>
  <si>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</si>
  <si>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</si>
  <si>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</si>
  <si>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</si>
  <si>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Combined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</si>
  <si>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</si>
  <si>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</si>
  <si>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</si>
  <si>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</si>
  <si>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</si>
  <si>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</si>
  <si>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</si>
  <si>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</si>
  <si>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</si>
  <si>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</si>
  <si>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</si>
  <si>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</si>
  <si>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</si>
  <si>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</si>
  <si>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</si>
  <si>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</si>
  <si>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</si>
  <si>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</si>
  <si>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(f)</t>
  </si>
  <si>
    <t>Fuel Cost</t>
  </si>
  <si>
    <t>Table 3</t>
  </si>
  <si>
    <t>Table 4</t>
  </si>
  <si>
    <t>Table 7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</si>
  <si>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</si>
  <si>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</si>
  <si>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</si>
  <si>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</si>
  <si>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</si>
  <si>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</si>
  <si>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</si>
  <si>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</si>
  <si>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</si>
  <si>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</si>
  <si>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</si>
  <si>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</si>
  <si>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</si>
  <si>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</si>
  <si>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</si>
  <si>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</si>
  <si>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</si>
  <si>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</si>
  <si>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</si>
  <si>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</si>
  <si>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</si>
  <si>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</si>
  <si>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</si>
  <si>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</si>
  <si>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Winter</t>
  </si>
  <si>
    <t>Summer</t>
  </si>
  <si>
    <t>Source: (a)(c)(d)</t>
  </si>
  <si>
    <t>aMW</t>
  </si>
  <si>
    <t>Avoided Resource</t>
  </si>
  <si>
    <t>Avoided Costs</t>
  </si>
  <si>
    <t>Comparison between Proposed and Current Avoided Costs</t>
  </si>
  <si>
    <t>Annual Seasonal Average</t>
  </si>
  <si>
    <t>Annual Average</t>
  </si>
  <si>
    <t>Cap Cost</t>
  </si>
  <si>
    <t>Fixed</t>
  </si>
  <si>
    <t>Heat Rate</t>
  </si>
  <si>
    <t>MW</t>
  </si>
  <si>
    <t>Table 1</t>
  </si>
  <si>
    <t>Percent</t>
  </si>
  <si>
    <t>CCCT Statistics</t>
  </si>
  <si>
    <t>Capacity Weighted</t>
  </si>
  <si>
    <t>CF</t>
  </si>
  <si>
    <t>Energy Weighted</t>
  </si>
  <si>
    <t>Fixed Cost</t>
  </si>
  <si>
    <t>Peak</t>
  </si>
  <si>
    <t>Source:</t>
  </si>
  <si>
    <t>Blended Resource</t>
  </si>
  <si>
    <t>Table 8</t>
  </si>
  <si>
    <t>Total Cost of Displaceable Resources</t>
  </si>
  <si>
    <t>Page 1 of 3</t>
  </si>
  <si>
    <t xml:space="preserve">  MW Plant capacity</t>
  </si>
  <si>
    <t xml:space="preserve">  Plant capacity cost - in $/kW</t>
  </si>
  <si>
    <t xml:space="preserve">  Payment Factor</t>
  </si>
  <si>
    <t xml:space="preserve">  Capacity Factor</t>
  </si>
  <si>
    <t>Page 2 of 3</t>
  </si>
  <si>
    <t>Page 3 of 3</t>
  </si>
  <si>
    <t>Sources, Inputs and Assumptions</t>
  </si>
  <si>
    <t>Variable</t>
  </si>
  <si>
    <t>Rounded</t>
  </si>
  <si>
    <t>Table 9</t>
  </si>
  <si>
    <t>Source</t>
  </si>
  <si>
    <t>Gas Fuel Costs</t>
  </si>
  <si>
    <t>Delivered</t>
  </si>
  <si>
    <t xml:space="preserve">Combined </t>
  </si>
  <si>
    <t>Natural Gas Price - Delivered to Plant</t>
  </si>
  <si>
    <t>($/MWH)</t>
  </si>
  <si>
    <t>Prices on this tab are formated to be cut and pasted directly into the tariff page</t>
  </si>
  <si>
    <t>Table 10</t>
  </si>
  <si>
    <t>Market Price $/MWH</t>
  </si>
  <si>
    <t>HLH</t>
  </si>
  <si>
    <t>LLH</t>
  </si>
  <si>
    <t>Mid-Columbia</t>
  </si>
  <si>
    <t>Palo Verde</t>
  </si>
  <si>
    <t>Electricity Market Prices</t>
  </si>
  <si>
    <t>Company Official Inflation Forecast  - Dated March 2010</t>
  </si>
  <si>
    <t xml:space="preserve">  Plant capacity cost</t>
  </si>
  <si>
    <t xml:space="preserve">  Heat Rate in btu/kWh</t>
  </si>
  <si>
    <t xml:space="preserve">  Energy Weighted Capacity Factor</t>
  </si>
  <si>
    <t>Month</t>
  </si>
  <si>
    <t xml:space="preserve">  Fixed Pipeline</t>
  </si>
  <si>
    <t>Total Resource Energy Cost</t>
  </si>
  <si>
    <t>Total Resource Costs</t>
  </si>
  <si>
    <t>$/MWh</t>
  </si>
  <si>
    <t>(g)</t>
  </si>
  <si>
    <t>(h)</t>
  </si>
  <si>
    <t>(i)</t>
  </si>
  <si>
    <t>Calendar Year</t>
  </si>
  <si>
    <t>Off-Peak Energy Prices (¢/kWh)</t>
  </si>
  <si>
    <t xml:space="preserve">Deliveries During </t>
  </si>
  <si>
    <t>IRP Preferred Portfolio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</si>
  <si>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</si>
  <si>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</si>
  <si>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</si>
  <si>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Capitalized energy split 50% as ordered in Docket No. 03-035-14</t>
  </si>
  <si>
    <t>Capacity Contribution</t>
  </si>
  <si>
    <t>Wind</t>
  </si>
  <si>
    <t>Avoided Costs for Base Load QF</t>
  </si>
  <si>
    <t>Avoided Costs for Wind QF</t>
  </si>
  <si>
    <t>Inter-hour Wind Integration Costs</t>
  </si>
  <si>
    <t>Integration Costs</t>
  </si>
  <si>
    <t>Total Wind Integration Costs</t>
  </si>
  <si>
    <t>(c) = (a) +(b)</t>
  </si>
  <si>
    <t>Base Load QF</t>
  </si>
  <si>
    <t>Wind QF</t>
  </si>
  <si>
    <t>Solar-Fixed QF</t>
  </si>
  <si>
    <t>Solar-Tracking QF</t>
  </si>
  <si>
    <t>On-Peak Price</t>
  </si>
  <si>
    <t>Off-Peak Price</t>
  </si>
  <si>
    <t>Cost</t>
  </si>
  <si>
    <t xml:space="preserve"> Integration</t>
  </si>
  <si>
    <t>Solar</t>
  </si>
  <si>
    <t>Avoided Cost Prices for Wind QF</t>
  </si>
  <si>
    <t>Avoided Cost Prices for Base Load QF</t>
  </si>
  <si>
    <t>Off-Peak Energy Prices (¢/kWh) (2)</t>
  </si>
  <si>
    <t>Table 2A</t>
  </si>
  <si>
    <t>Table 2B</t>
  </si>
  <si>
    <t>Table 2C</t>
  </si>
  <si>
    <t>Table 2D</t>
  </si>
  <si>
    <t>Base Load - On- &amp; Off- Peak Energy Prices</t>
  </si>
  <si>
    <t>Wind - On- &amp; Off- Peak Energy Prices</t>
  </si>
  <si>
    <t>Solar Fixed - On- &amp; Off- Peak Energy Prices</t>
  </si>
  <si>
    <t>Solar Tracking - On- &amp; Off- Peak Energy Prices</t>
  </si>
  <si>
    <t>Capacity (MW)</t>
  </si>
  <si>
    <t>Resource</t>
  </si>
  <si>
    <t>East</t>
  </si>
  <si>
    <t>Existing Plant Retirements/Conversions</t>
  </si>
  <si>
    <t>Coal Ret_WY - Gas RePower</t>
  </si>
  <si>
    <t>Expansion Resources</t>
  </si>
  <si>
    <t>DSM, Class 1 Total</t>
  </si>
  <si>
    <t>DSM, Class 2 Total</t>
  </si>
  <si>
    <t>FOT Mona Q3</t>
  </si>
  <si>
    <t>West</t>
  </si>
  <si>
    <t>DSM, Class 1  Total</t>
  </si>
  <si>
    <t>DSM, Class 2  Total</t>
  </si>
  <si>
    <t>FOT COB Q3</t>
  </si>
  <si>
    <t>FOT NOB Q3</t>
  </si>
  <si>
    <t>FOT MidColumbia Q3</t>
  </si>
  <si>
    <t>FOT MidColumbia Q3 - 2</t>
  </si>
  <si>
    <t>Annual Additions, Long Term Resources</t>
  </si>
  <si>
    <t>Annual Additions, Short Term Resources</t>
  </si>
  <si>
    <t>Total Annual Additions</t>
  </si>
  <si>
    <t>Resource Totals 1/</t>
  </si>
  <si>
    <t>10-year</t>
  </si>
  <si>
    <t>20-year</t>
  </si>
  <si>
    <t>Avoided Costs for Fixed Solar QF</t>
  </si>
  <si>
    <t>Avoided Costs for Tracking Solar QF</t>
  </si>
  <si>
    <t>Intra-hour Wind Integration Costs</t>
  </si>
  <si>
    <t>(2): On- and off- peak prices are reduced by integration charges.</t>
  </si>
  <si>
    <t>Avoided Cost Prices for Fixed Solar QF</t>
  </si>
  <si>
    <t>(2): On and off peak prices are reduced by integration charges.</t>
  </si>
  <si>
    <t>Avoided Cost Prices for Tracking Solar QF</t>
  </si>
  <si>
    <t>on-peak Summer</t>
  </si>
  <si>
    <t>on-peak Winter</t>
  </si>
  <si>
    <t>off-peak Summer</t>
  </si>
  <si>
    <t>off-peak Winter</t>
  </si>
  <si>
    <t>$ With degradation</t>
  </si>
  <si>
    <t>MWh With degradation</t>
  </si>
  <si>
    <t>Chck $</t>
  </si>
  <si>
    <t>NPV</t>
  </si>
  <si>
    <t>(3): Assuming  annual degradation of 0.7%.</t>
  </si>
  <si>
    <t>Peak Winter</t>
  </si>
  <si>
    <t>Peak Summer</t>
  </si>
  <si>
    <t>Off Peak  Winter</t>
  </si>
  <si>
    <t>Off Peak  Summer</t>
  </si>
  <si>
    <t>0.7 % Degradation</t>
  </si>
  <si>
    <t>hours</t>
  </si>
  <si>
    <t>Generation Profile_Baseload</t>
  </si>
  <si>
    <t>Generation Profile_Wind*</t>
  </si>
  <si>
    <t>Natural Gas Price Delivered to Plant  ($/MMBtu)</t>
  </si>
  <si>
    <t>Market Prices in $/MWH</t>
  </si>
  <si>
    <t>FORWARD PRICE CURVE SUMMARY</t>
  </si>
  <si>
    <t>Quotes Dated:</t>
  </si>
  <si>
    <t>Sample of source data</t>
  </si>
  <si>
    <t>Date</t>
  </si>
  <si>
    <t>Mid C</t>
  </si>
  <si>
    <t>PV</t>
  </si>
  <si>
    <t>Chk Ttl</t>
  </si>
  <si>
    <t>Check Totals</t>
  </si>
  <si>
    <t>PV HLH/Flat Ratio</t>
  </si>
  <si>
    <t>PV Flat</t>
  </si>
  <si>
    <t>PV LLH/Flat Ratio</t>
  </si>
  <si>
    <t>HLH Ratio</t>
  </si>
  <si>
    <t>LLH Ratio</t>
  </si>
  <si>
    <t>On-Peak (1)</t>
  </si>
  <si>
    <t>Off-Peak (2)</t>
  </si>
  <si>
    <t>Combined ( 56% On-Peak 44% Off-Peak) (3)</t>
  </si>
  <si>
    <t>Off-Peak (Average Energy Costs less Integration Costs)(2)</t>
  </si>
  <si>
    <t xml:space="preserve"> </t>
  </si>
  <si>
    <t>On Peak Energy Prices (¢/kWh)</t>
  </si>
  <si>
    <t>On Peak Energy Prices (¢/kWh) (1,2)</t>
  </si>
  <si>
    <t>Avoided Energy Costs (GRID Production Cost Model Study)</t>
  </si>
  <si>
    <t>On-Peak Energy Cost</t>
  </si>
  <si>
    <t>Off-Peak Energy Cost</t>
  </si>
  <si>
    <t>BASE LOAD</t>
  </si>
  <si>
    <t>WIND</t>
  </si>
  <si>
    <t>SOLAR FIXED</t>
  </si>
  <si>
    <t>SOLAR TRACKING</t>
  </si>
  <si>
    <t>Hayden 1</t>
  </si>
  <si>
    <t>Hayden 2</t>
  </si>
  <si>
    <t>Hunter 2  (Coal Early Retirement/Conversions)</t>
  </si>
  <si>
    <t>Huntington 2  (Coal Early Retirement/Conversions)</t>
  </si>
  <si>
    <t>Carbon 1  (Coal Early Retirement/Conversions)</t>
  </si>
  <si>
    <t>Carbon 2  (Coal Early Retirement/Conversions)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</si>
  <si>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</si>
  <si>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</si>
  <si>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</si>
  <si>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</si>
  <si>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</si>
  <si>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</si>
  <si>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</si>
  <si>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</si>
  <si>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</si>
  <si>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Total CCCT</t>
  </si>
  <si>
    <t>DSM, Class 1, UT-DLC-RES</t>
  </si>
  <si>
    <t>DSM, Class 2, ID</t>
  </si>
  <si>
    <t>DSM, Class 2, UT</t>
  </si>
  <si>
    <t>DSM, Class 2, WY</t>
  </si>
  <si>
    <t>DSM, Class 1, OR-Curtail</t>
  </si>
  <si>
    <t>DSM, Class 1, OR-Irrigate</t>
  </si>
  <si>
    <t>DSM, Class 2, CA</t>
  </si>
  <si>
    <t>DSM, Class 2, OR</t>
  </si>
  <si>
    <t>DSM, Class 2, WA</t>
  </si>
  <si>
    <t>SCCT Frame "F" x1 - East Side Resource (5,550')</t>
  </si>
  <si>
    <t>Generation Profile_Solar Fixed</t>
  </si>
  <si>
    <t>Generation Profile_Solar Tracking</t>
  </si>
  <si>
    <t>Plant Costs  - 2015 IRP - Table 6.2</t>
  </si>
  <si>
    <t>Discount Rate - 2015 IRP Page 141</t>
  </si>
  <si>
    <t>Table 5a</t>
  </si>
  <si>
    <t>Table 5b</t>
  </si>
  <si>
    <t>Table 5c</t>
  </si>
  <si>
    <t>Table 5d</t>
  </si>
  <si>
    <t>Table 6</t>
  </si>
  <si>
    <t>CCCT - DJohns - F 2x1</t>
  </si>
  <si>
    <t>CCCT - Utah-N - J 1x1</t>
  </si>
  <si>
    <t>CCCT - Utah-S - F 2x1</t>
  </si>
  <si>
    <t>DSM, Class 1, ID-Curtail</t>
  </si>
  <si>
    <t>DSM, Class 1, ID-Irrigate</t>
  </si>
  <si>
    <t>DSM, Class 1, UT-Curtail</t>
  </si>
  <si>
    <t>DSM, Class 1, UT-Irrigate</t>
  </si>
  <si>
    <t>DSM, Class 1, WY-Curtail</t>
  </si>
  <si>
    <t>DSM, Class 1, WY-Irrigate</t>
  </si>
  <si>
    <t>CCCT - SOregonCal - J 1x1</t>
  </si>
  <si>
    <t>CCCT - WillamValcc - J 1x1</t>
  </si>
  <si>
    <t>DSM, Class 1, CA-Irrigate</t>
  </si>
  <si>
    <t>DSM, Class 1, WA-Curtail</t>
  </si>
  <si>
    <t>DSM, Class 1, WA-Irrigate</t>
  </si>
  <si>
    <t>Excerpt from 2015 IRP Update Table 5.3</t>
  </si>
  <si>
    <t>2014 $</t>
  </si>
  <si>
    <t>15-year (2017-2031) Nominal Levelized</t>
  </si>
  <si>
    <t>15 year Levelized</t>
  </si>
  <si>
    <t>15-year (2017-2031) Nominal Levelized with degradation (3)</t>
  </si>
  <si>
    <t xml:space="preserve">                           / [Monthly Palo Verde Market Price]</t>
  </si>
  <si>
    <t xml:space="preserve">(1):  On-peak prices have been shaped by the relationship of Palo Verde  On-peak market price to Palo Verde market price. </t>
  </si>
  <si>
    <t xml:space="preserve">       On-Peak Price = [GRID Production Cost Model Avoided Cost Price] x [Monthly On-Peak Palo Verde Market Price] / </t>
  </si>
  <si>
    <t xml:space="preserve">(2):  Off-peak Prices have been shaped by the relationship of Palo Verde  Off-peak market price to Palo Verde market price. </t>
  </si>
  <si>
    <t xml:space="preserve">       Off-Peak Price = [GRID Production Cost Model Avoided Cost Price] x [Monthly Off-Peak Palo Verde Market Price] /</t>
  </si>
  <si>
    <t>(3):  Combined = On-Peak x 56%  + Off-Peak x 44%</t>
  </si>
  <si>
    <t>Solar Integration</t>
  </si>
  <si>
    <t>Wind Integration</t>
  </si>
  <si>
    <t xml:space="preserve">(1):  On-peak prices have been shaped by the relationship of Palo Verde  On-peak market price to Palo Verde market price, </t>
  </si>
  <si>
    <t xml:space="preserve">       and reduced by integration costs. </t>
  </si>
  <si>
    <t xml:space="preserve">                           / [Monthly Palo Verde Market Price] - Solar Integration</t>
  </si>
  <si>
    <t xml:space="preserve">                           / [Monthly Palo Verde Market Price] - Wind Integration</t>
  </si>
  <si>
    <t xml:space="preserve"> Capitalized energy is zero if (a) is greater than (b)</t>
  </si>
  <si>
    <t xml:space="preserve">West side, CCCT Dry "J", Adv 1x1 </t>
  </si>
  <si>
    <t>East Side,  CCCT - DJohns Dry "F", 2x1</t>
  </si>
  <si>
    <t>Blended 635 MW East Side - 477 MW West Side - CCCT</t>
  </si>
  <si>
    <t>IRP - Wyo NE</t>
  </si>
  <si>
    <t>Burnertip Annual Average Price</t>
  </si>
  <si>
    <t>Blended</t>
  </si>
  <si>
    <t>(1): On Peak Prices reflect 34.1% capacity contribution of Fixed Solar QF.</t>
  </si>
  <si>
    <t>(1): On Peak Prices reflect 39.1% capacity contribution of Tracking Solar QF.</t>
  </si>
  <si>
    <t>(1): On Peak Prices reflect 14.5% capacity contribution of wind QF.</t>
  </si>
  <si>
    <t xml:space="preserve"> The 2015 IRP update was prepared using a 13% planning reserve margin.  See 2015 IRP Update, page 39.</t>
  </si>
  <si>
    <t>Pacific NW</t>
  </si>
  <si>
    <t>2016 Flexible Reserve Study Results from 2017 IRP</t>
  </si>
  <si>
    <t>Incremental Flex Capacity Costs (2016 $/MWh) *</t>
  </si>
  <si>
    <t>Regulation Reserve</t>
  </si>
  <si>
    <t>System Balancing</t>
  </si>
  <si>
    <t>Total Solar Integration Costs</t>
  </si>
  <si>
    <t>* Costs per MWh of wind/solar generation</t>
  </si>
  <si>
    <t>2017 IRP: Appendix F</t>
  </si>
  <si>
    <t>+Integration</t>
  </si>
  <si>
    <t>+CapContrib</t>
  </si>
  <si>
    <t>Company Official Inflation - Official Forward Price Curve dated   March 31 2016</t>
  </si>
  <si>
    <t>(d) = (solar) +(b)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</si>
</sst>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_);_(* \(#,##0.0\);_(* &quot;-&quot;??_);_(@_)"/>
    <numFmt numFmtId="171" formatCode="&quot;$&quot;###0;[Red]\(&quot;$&quot;###0\)"/>
    <numFmt numFmtId="172" formatCode="_(&quot;$&quot;* #,##0_);_(&quot;$&quot;* \(#,##0\);_(&quot;$&quot;* &quot;-&quot;??_);_(@_)"/>
    <numFmt numFmtId="173" formatCode="_(* #,##0.000_);_(* \(#,##0.000\);_(* &quot;-&quot;_);_(@_)"/>
    <numFmt numFmtId="174" formatCode="&quot;$&quot;#,##0.000_);[Red]\(&quot;$&quot;#,##0.000\)"/>
    <numFmt numFmtId="175" formatCode="_(* #,##0_);[Red]_(* \(#,##0\);_(* &quot;-&quot;_);_(@_)"/>
    <numFmt numFmtId="176" formatCode="0.000"/>
    <numFmt numFmtId="177" formatCode="0.000%"/>
    <numFmt numFmtId="178" formatCode="#,##0.000_);\(#,##0.000\)"/>
    <numFmt numFmtId="179" formatCode="_(* #,##0.000_);[Red]_(* \(#,##0.000\);_(* &quot;-&quot;_);_(@_)"/>
    <numFmt numFmtId="180" formatCode="_(* #,##0.00_);[Red]_(* \(#,##0.00\);_(* &quot;-&quot;_);_(@_)"/>
    <numFmt numFmtId="181" formatCode="_(* #,##0.000_);_(* \(#,##0.000\);_(* &quot;-&quot;??_);_(@_)"/>
    <numFmt numFmtId="182" formatCode="_(* #,##0.0000_);_(* \(#,##0.0000\);_(* &quot;-&quot;??_);_(@_)"/>
    <numFmt numFmtId="183" formatCode="[$-409]mmmm\ d\,\ yyyy;@"/>
  </numFmts>
  <fonts count="4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indexed="10"/>
      <name val="Times New Roman"/>
      <family val="1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175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5" fillId="0" borderId="0" applyFont="0" applyFill="0" applyBorder="0" applyProtection="0">
      <alignment horizontal="right"/>
    </xf>
    <xf numFmtId="0" fontId="14" fillId="0" borderId="0" applyNumberFormat="0" applyFill="0" applyBorder="0" applyAlignment="0">
      <protection locked="0"/>
    </xf>
    <xf numFmtId="165" fontId="16" fillId="0" borderId="0" applyNumberFormat="0" applyFill="0" applyBorder="0" applyAlignment="0" applyProtection="0"/>
    <xf numFmtId="0" fontId="17" fillId="0" borderId="1" applyNumberFormat="0" applyBorder="0" applyAlignment="0"/>
    <xf numFmtId="41" fontId="5" fillId="0" borderId="0"/>
    <xf numFmtId="0" fontId="5" fillId="0" borderId="0"/>
    <xf numFmtId="175" fontId="5" fillId="0" borderId="0"/>
    <xf numFmtId="0" fontId="3" fillId="0" borderId="0"/>
    <xf numFmtId="175" fontId="3" fillId="0" borderId="0"/>
    <xf numFmtId="12" fontId="13" fillId="2" borderId="2">
      <alignment horizontal="left"/>
    </xf>
    <xf numFmtId="9" fontId="3" fillId="0" borderId="0" applyFont="0" applyFill="0" applyBorder="0" applyAlignment="0" applyProtection="0"/>
    <xf numFmtId="37" fontId="17" fillId="3" borderId="0" applyNumberFormat="0" applyBorder="0" applyAlignment="0" applyProtection="0"/>
    <xf numFmtId="37" fontId="18" fillId="0" borderId="0"/>
    <xf numFmtId="3" fontId="19" fillId="4" borderId="3" applyProtection="0"/>
    <xf numFmtId="175" fontId="3" fillId="0" borderId="0"/>
    <xf numFmtId="175" fontId="5" fillId="0" borderId="0"/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</cellStyleXfs>
  <cellXfs count="501">
    <xf numFmtId="175" fontId="0" fillId="0" borderId="0" xfId="0"/>
    <xf numFmtId="175" fontId="6" fillId="0" borderId="0" xfId="0" applyFont="1" applyFill="1" applyAlignment="1">
      <alignment horizontal="centerContinuous"/>
    </xf>
    <xf numFmtId="175" fontId="12" fillId="0" borderId="0" xfId="0" applyFont="1" applyFill="1" applyAlignment="1">
      <alignment horizontal="centerContinuous"/>
    </xf>
    <xf numFmtId="175" fontId="7" fillId="0" borderId="0" xfId="0" applyFont="1" applyFill="1" applyAlignment="1">
      <alignment horizontal="centerContinuous"/>
    </xf>
    <xf numFmtId="8" fontId="9" fillId="0" borderId="0" xfId="0" applyNumberFormat="1" applyFont="1" applyFill="1" applyAlignment="1">
      <alignment horizontal="center"/>
    </xf>
    <xf numFmtId="175" fontId="10" fillId="0" borderId="0" xfId="0" applyFont="1" applyFill="1"/>
    <xf numFmtId="175" fontId="10" fillId="0" borderId="0" xfId="0" applyFont="1" applyFill="1" applyAlignment="1">
      <alignment horizontal="centerContinuous"/>
    </xf>
    <xf numFmtId="175" fontId="11" fillId="0" borderId="0" xfId="0" applyFont="1" applyFill="1"/>
    <xf numFmtId="175" fontId="6" fillId="0" borderId="0" xfId="0" applyFont="1" applyFill="1" applyBorder="1" applyAlignment="1">
      <alignment horizontal="center"/>
    </xf>
    <xf numFmtId="175" fontId="7" fillId="0" borderId="0" xfId="0" applyFont="1" applyFill="1" applyBorder="1" applyAlignment="1">
      <alignment horizontal="center"/>
    </xf>
    <xf numFmtId="8" fontId="9" fillId="0" borderId="0" xfId="0" applyNumberFormat="1" applyFont="1" applyFill="1" applyAlignment="1">
      <alignment horizontal="centerContinuous"/>
    </xf>
    <xf numFmtId="175" fontId="9" fillId="0" borderId="0" xfId="0" quotePrefix="1" applyFont="1" applyFill="1" applyAlignment="1">
      <alignment horizontal="center"/>
    </xf>
    <xf numFmtId="175" fontId="4" fillId="0" borderId="0" xfId="0" applyFont="1" applyFill="1" applyBorder="1" applyAlignment="1">
      <alignment horizontal="left"/>
    </xf>
    <xf numFmtId="175" fontId="11" fillId="0" borderId="0" xfId="0" applyFont="1" applyFill="1" applyAlignment="1">
      <alignment horizontal="centerContinuous"/>
    </xf>
    <xf numFmtId="175" fontId="6" fillId="0" borderId="0" xfId="0" applyFont="1" applyFill="1" applyBorder="1" applyAlignment="1">
      <alignment horizontal="centerContinuous"/>
    </xf>
    <xf numFmtId="175" fontId="7" fillId="0" borderId="0" xfId="0" applyFont="1" applyFill="1" applyBorder="1" applyAlignment="1">
      <alignment horizontal="centerContinuous"/>
    </xf>
    <xf numFmtId="8" fontId="9" fillId="0" borderId="0" xfId="0" applyNumberFormat="1" applyFont="1" applyFill="1" applyBorder="1" applyAlignment="1">
      <alignment horizontal="left"/>
    </xf>
    <xf numFmtId="175" fontId="8" fillId="0" borderId="0" xfId="0" applyFont="1" applyFill="1" applyBorder="1" applyAlignment="1">
      <alignment horizontal="center"/>
    </xf>
    <xf numFmtId="175" fontId="8" fillId="0" borderId="0" xfId="0" quotePrefix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175" fontId="6" fillId="0" borderId="0" xfId="9" applyFont="1" applyFill="1" applyAlignment="1">
      <alignment horizontal="centerContinuous"/>
    </xf>
    <xf numFmtId="175" fontId="4" fillId="0" borderId="4" xfId="9" applyFont="1" applyFill="1" applyBorder="1" applyAlignment="1">
      <alignment horizontal="center"/>
    </xf>
    <xf numFmtId="175" fontId="8" fillId="0" borderId="0" xfId="9" quotePrefix="1" applyFont="1" applyFill="1" applyBorder="1" applyAlignment="1">
      <alignment horizontal="center"/>
    </xf>
    <xf numFmtId="175" fontId="7" fillId="0" borderId="0" xfId="9" applyFont="1" applyFill="1" applyAlignment="1">
      <alignment horizontal="centerContinuous"/>
    </xf>
    <xf numFmtId="175" fontId="4" fillId="0" borderId="11" xfId="9" applyFont="1" applyFill="1" applyBorder="1" applyAlignment="1">
      <alignment horizontal="centerContinuous"/>
    </xf>
    <xf numFmtId="175" fontId="4" fillId="0" borderId="6" xfId="9" applyFont="1" applyFill="1" applyBorder="1" applyAlignment="1">
      <alignment horizontal="center"/>
    </xf>
    <xf numFmtId="175" fontId="4" fillId="0" borderId="10" xfId="9" applyFont="1" applyFill="1" applyBorder="1" applyAlignment="1">
      <alignment horizontal="center"/>
    </xf>
    <xf numFmtId="175" fontId="21" fillId="0" borderId="0" xfId="9" applyFont="1" applyFill="1" applyAlignment="1">
      <alignment horizontal="left"/>
    </xf>
    <xf numFmtId="167" fontId="9" fillId="0" borderId="0" xfId="0" applyNumberFormat="1" applyFont="1" applyFill="1" applyBorder="1" applyAlignment="1">
      <alignment horizontal="center"/>
    </xf>
    <xf numFmtId="175" fontId="6" fillId="0" borderId="0" xfId="11" applyFont="1" applyAlignment="1">
      <alignment horizontal="centerContinuous"/>
    </xf>
    <xf numFmtId="175" fontId="5" fillId="0" borderId="0" xfId="11" applyFont="1"/>
    <xf numFmtId="175" fontId="8" fillId="0" borderId="10" xfId="0" quotePrefix="1" applyFont="1" applyFill="1" applyBorder="1" applyAlignment="1">
      <alignment horizontal="center"/>
    </xf>
    <xf numFmtId="175" fontId="0" fillId="0" borderId="0" xfId="9" applyFont="1" applyFill="1"/>
    <xf numFmtId="175" fontId="0" fillId="0" borderId="5" xfId="0" applyFont="1" applyFill="1" applyBorder="1" applyAlignment="1">
      <alignment horizontal="centerContinuous"/>
    </xf>
    <xf numFmtId="175" fontId="0" fillId="0" borderId="17" xfId="0" applyFont="1" applyFill="1" applyBorder="1" applyAlignment="1">
      <alignment horizontal="centerContinuous"/>
    </xf>
    <xf numFmtId="175" fontId="0" fillId="0" borderId="0" xfId="0" applyFont="1" applyFill="1"/>
    <xf numFmtId="169" fontId="0" fillId="0" borderId="0" xfId="13" applyNumberFormat="1" applyFont="1" applyFill="1"/>
    <xf numFmtId="175" fontId="0" fillId="0" borderId="0" xfId="0" applyFont="1" applyFill="1" applyBorder="1"/>
    <xf numFmtId="8" fontId="0" fillId="0" borderId="0" xfId="0" applyNumberFormat="1" applyFont="1" applyFill="1" applyBorder="1"/>
    <xf numFmtId="8" fontId="9" fillId="0" borderId="0" xfId="0" applyNumberFormat="1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center"/>
    </xf>
    <xf numFmtId="175" fontId="0" fillId="0" borderId="4" xfId="0" applyFont="1" applyFill="1" applyBorder="1" applyAlignment="1">
      <alignment horizontal="center"/>
    </xf>
    <xf numFmtId="175" fontId="0" fillId="0" borderId="11" xfId="0" applyFont="1" applyFill="1" applyBorder="1" applyAlignment="1">
      <alignment horizontal="centerContinuous"/>
    </xf>
    <xf numFmtId="175" fontId="0" fillId="0" borderId="11" xfId="0" quotePrefix="1" applyFont="1" applyFill="1" applyBorder="1" applyAlignment="1">
      <alignment horizontal="centerContinuous"/>
    </xf>
    <xf numFmtId="175" fontId="0" fillId="0" borderId="10" xfId="0" applyFont="1" applyFill="1" applyBorder="1" applyAlignment="1">
      <alignment horizontal="center"/>
    </xf>
    <xf numFmtId="175" fontId="0" fillId="0" borderId="9" xfId="0" applyFont="1" applyFill="1" applyBorder="1" applyAlignment="1">
      <alignment horizontal="center"/>
    </xf>
    <xf numFmtId="175" fontId="0" fillId="0" borderId="16" xfId="0" applyFont="1" applyFill="1" applyBorder="1" applyAlignment="1">
      <alignment horizontal="center"/>
    </xf>
    <xf numFmtId="175" fontId="0" fillId="0" borderId="0" xfId="0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8" fontId="0" fillId="0" borderId="18" xfId="0" applyNumberFormat="1" applyFont="1" applyFill="1" applyBorder="1" applyAlignment="1">
      <alignment horizontal="center"/>
    </xf>
    <xf numFmtId="8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8" fontId="0" fillId="0" borderId="12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8" fontId="0" fillId="0" borderId="7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8" fontId="0" fillId="0" borderId="15" xfId="0" applyNumberFormat="1" applyFont="1" applyFill="1" applyBorder="1" applyAlignment="1">
      <alignment horizontal="center"/>
    </xf>
    <xf numFmtId="8" fontId="0" fillId="0" borderId="9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 horizontal="center"/>
    </xf>
    <xf numFmtId="175" fontId="0" fillId="0" borderId="0" xfId="0" applyFont="1" applyFill="1" applyBorder="1" applyAlignment="1">
      <alignment horizontal="left"/>
    </xf>
    <xf numFmtId="175" fontId="0" fillId="0" borderId="0" xfId="0" quotePrefix="1" applyFont="1" applyFill="1"/>
    <xf numFmtId="175" fontId="0" fillId="0" borderId="11" xfId="0" applyFont="1" applyFill="1" applyBorder="1" applyAlignment="1">
      <alignment horizontal="center"/>
    </xf>
    <xf numFmtId="175" fontId="0" fillId="0" borderId="8" xfId="0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75" fontId="0" fillId="0" borderId="0" xfId="9" applyFont="1" applyFill="1" applyAlignment="1">
      <alignment horizontal="centerContinuous"/>
    </xf>
    <xf numFmtId="175" fontId="0" fillId="0" borderId="10" xfId="9" applyFont="1" applyFill="1" applyBorder="1"/>
    <xf numFmtId="175" fontId="0" fillId="0" borderId="0" xfId="9" quotePrefix="1" applyFont="1" applyFill="1" applyBorder="1" applyAlignment="1">
      <alignment horizontal="center"/>
    </xf>
    <xf numFmtId="0" fontId="0" fillId="0" borderId="0" xfId="9" applyNumberFormat="1" applyFont="1" applyFill="1" applyAlignment="1">
      <alignment horizontal="center"/>
    </xf>
    <xf numFmtId="167" fontId="0" fillId="0" borderId="0" xfId="9" applyNumberFormat="1" applyFont="1" applyFill="1" applyBorder="1" applyAlignment="1">
      <alignment horizontal="center"/>
    </xf>
    <xf numFmtId="175" fontId="0" fillId="0" borderId="0" xfId="9" applyFont="1" applyFill="1" applyAlignment="1">
      <alignment horizontal="right"/>
    </xf>
    <xf numFmtId="175" fontId="0" fillId="0" borderId="0" xfId="9" applyFont="1" applyFill="1" applyBorder="1" applyAlignment="1">
      <alignment horizontal="center"/>
    </xf>
    <xf numFmtId="175" fontId="0" fillId="0" borderId="4" xfId="0" applyFont="1" applyFill="1" applyBorder="1"/>
    <xf numFmtId="175" fontId="0" fillId="0" borderId="4" xfId="0" applyFont="1" applyFill="1" applyBorder="1" applyAlignment="1">
      <alignment horizontal="centerContinuous"/>
    </xf>
    <xf numFmtId="175" fontId="0" fillId="0" borderId="12" xfId="0" applyFont="1" applyFill="1" applyBorder="1" applyAlignment="1">
      <alignment horizontal="center"/>
    </xf>
    <xf numFmtId="175" fontId="0" fillId="0" borderId="13" xfId="0" applyFont="1" applyFill="1" applyBorder="1" applyAlignment="1">
      <alignment horizontal="centerContinuous"/>
    </xf>
    <xf numFmtId="175" fontId="0" fillId="0" borderId="7" xfId="0" applyFont="1" applyFill="1" applyBorder="1" applyAlignment="1">
      <alignment horizontal="center"/>
    </xf>
    <xf numFmtId="175" fontId="0" fillId="0" borderId="6" xfId="0" applyFont="1" applyFill="1" applyBorder="1" applyAlignment="1">
      <alignment horizontal="center"/>
    </xf>
    <xf numFmtId="175" fontId="0" fillId="0" borderId="12" xfId="0" applyFont="1" applyFill="1" applyBorder="1"/>
    <xf numFmtId="175" fontId="0" fillId="0" borderId="0" xfId="0" quotePrefix="1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 horizontal="center"/>
    </xf>
    <xf numFmtId="175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175" fontId="0" fillId="0" borderId="0" xfId="0" quotePrefix="1" applyFont="1" applyFill="1" applyAlignment="1">
      <alignment horizontal="right"/>
    </xf>
    <xf numFmtId="175" fontId="0" fillId="0" borderId="13" xfId="0" applyFont="1" applyFill="1" applyBorder="1" applyAlignment="1">
      <alignment horizontal="center"/>
    </xf>
    <xf numFmtId="175" fontId="0" fillId="0" borderId="14" xfId="0" applyFont="1" applyFill="1" applyBorder="1" applyAlignment="1">
      <alignment horizontal="center"/>
    </xf>
    <xf numFmtId="175" fontId="0" fillId="0" borderId="13" xfId="0" applyFont="1" applyFill="1" applyBorder="1"/>
    <xf numFmtId="175" fontId="0" fillId="0" borderId="12" xfId="0" applyFont="1" applyFill="1" applyBorder="1" applyAlignment="1">
      <alignment horizontal="centerContinuous"/>
    </xf>
    <xf numFmtId="175" fontId="0" fillId="0" borderId="6" xfId="0" applyFont="1" applyFill="1" applyBorder="1" applyAlignment="1">
      <alignment horizontal="centerContinuous"/>
    </xf>
    <xf numFmtId="175" fontId="0" fillId="0" borderId="6" xfId="0" applyFont="1" applyFill="1" applyBorder="1"/>
    <xf numFmtId="175" fontId="0" fillId="0" borderId="7" xfId="0" quotePrefix="1" applyFont="1" applyFill="1" applyBorder="1" applyAlignment="1">
      <alignment horizontal="center"/>
    </xf>
    <xf numFmtId="175" fontId="0" fillId="0" borderId="10" xfId="0" applyFont="1" applyFill="1" applyBorder="1"/>
    <xf numFmtId="175" fontId="0" fillId="0" borderId="10" xfId="0" quotePrefix="1" applyFont="1" applyFill="1" applyBorder="1" applyAlignment="1">
      <alignment horizontal="center"/>
    </xf>
    <xf numFmtId="175" fontId="0" fillId="0" borderId="8" xfId="0" quotePrefix="1" applyFont="1" applyFill="1" applyBorder="1" applyAlignment="1">
      <alignment horizontal="centerContinuous"/>
    </xf>
    <xf numFmtId="8" fontId="0" fillId="0" borderId="0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8" fontId="0" fillId="0" borderId="0" xfId="0" applyNumberFormat="1" applyFont="1" applyFill="1" applyAlignment="1">
      <alignment horizontal="center"/>
    </xf>
    <xf numFmtId="175" fontId="0" fillId="0" borderId="0" xfId="0" applyFont="1" applyFill="1" applyBorder="1" applyAlignment="1">
      <alignment horizontal="right"/>
    </xf>
    <xf numFmtId="8" fontId="0" fillId="0" borderId="0" xfId="0" applyNumberFormat="1" applyFont="1" applyFill="1"/>
    <xf numFmtId="175" fontId="0" fillId="0" borderId="17" xfId="0" applyFont="1" applyFill="1" applyBorder="1" applyAlignment="1">
      <alignment horizontal="center"/>
    </xf>
    <xf numFmtId="175" fontId="0" fillId="0" borderId="18" xfId="0" applyFont="1" applyFill="1" applyBorder="1"/>
    <xf numFmtId="175" fontId="0" fillId="0" borderId="18" xfId="0" quotePrefix="1" applyFont="1" applyFill="1" applyBorder="1"/>
    <xf numFmtId="175" fontId="0" fillId="0" borderId="18" xfId="0" applyFont="1" applyFill="1" applyBorder="1" applyAlignment="1">
      <alignment horizontal="left"/>
    </xf>
    <xf numFmtId="175" fontId="0" fillId="0" borderId="18" xfId="0" applyFont="1" applyFill="1" applyBorder="1" applyAlignment="1">
      <alignment horizontal="center"/>
    </xf>
    <xf numFmtId="175" fontId="6" fillId="0" borderId="0" xfId="11" applyFont="1" applyFill="1" applyAlignment="1">
      <alignment horizontal="centerContinuous"/>
    </xf>
    <xf numFmtId="175" fontId="9" fillId="0" borderId="0" xfId="0" applyNumberFormat="1" applyFont="1" applyFill="1" applyAlignment="1">
      <alignment horizontal="center"/>
    </xf>
    <xf numFmtId="175" fontId="23" fillId="0" borderId="0" xfId="0" applyFont="1" applyFill="1"/>
    <xf numFmtId="175" fontId="23" fillId="0" borderId="0" xfId="0" applyFont="1" applyFill="1" applyBorder="1" applyAlignment="1">
      <alignment horizontal="center"/>
    </xf>
    <xf numFmtId="175" fontId="23" fillId="0" borderId="0" xfId="0" applyFont="1" applyFill="1" applyAlignment="1">
      <alignment horizontal="center"/>
    </xf>
    <xf numFmtId="175" fontId="24" fillId="0" borderId="0" xfId="0" applyFont="1" applyFill="1" applyBorder="1" applyAlignment="1">
      <alignment horizontal="centerContinuous"/>
    </xf>
    <xf numFmtId="175" fontId="25" fillId="0" borderId="0" xfId="0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76" fontId="23" fillId="0" borderId="0" xfId="0" applyNumberFormat="1" applyFont="1" applyFill="1" applyAlignment="1">
      <alignment horizontal="center"/>
    </xf>
    <xf numFmtId="176" fontId="23" fillId="0" borderId="0" xfId="0" applyNumberFormat="1" applyFont="1" applyFill="1" applyBorder="1" applyAlignment="1">
      <alignment horizontal="center"/>
    </xf>
    <xf numFmtId="8" fontId="23" fillId="0" borderId="0" xfId="0" applyNumberFormat="1" applyFont="1" applyFill="1" applyAlignment="1">
      <alignment horizontal="left"/>
    </xf>
    <xf numFmtId="177" fontId="23" fillId="0" borderId="0" xfId="0" applyNumberFormat="1" applyFont="1" applyFill="1" applyAlignment="1">
      <alignment horizontal="center"/>
    </xf>
    <xf numFmtId="175" fontId="23" fillId="0" borderId="0" xfId="0" applyFont="1" applyFill="1" applyAlignment="1">
      <alignment horizontal="right"/>
    </xf>
    <xf numFmtId="175" fontId="23" fillId="0" borderId="0" xfId="0" applyFont="1" applyFill="1" applyBorder="1" applyAlignment="1">
      <alignment horizontal="right" vertical="center" wrapText="1"/>
    </xf>
    <xf numFmtId="178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/>
    </xf>
    <xf numFmtId="39" fontId="23" fillId="0" borderId="0" xfId="0" applyNumberFormat="1" applyFont="1" applyFill="1" applyBorder="1" applyAlignment="1">
      <alignment horizontal="center"/>
    </xf>
    <xf numFmtId="39" fontId="23" fillId="0" borderId="0" xfId="0" applyNumberFormat="1" applyFont="1" applyFill="1" applyBorder="1" applyAlignment="1">
      <alignment horizontal="center" vertical="center"/>
    </xf>
    <xf numFmtId="175" fontId="5" fillId="0" borderId="0" xfId="11" applyFont="1" applyAlignment="1">
      <alignment horizontal="centerContinuous"/>
    </xf>
    <xf numFmtId="175" fontId="5" fillId="0" borderId="0" xfId="0" applyFont="1" applyFill="1" applyBorder="1"/>
    <xf numFmtId="9" fontId="0" fillId="0" borderId="0" xfId="13" applyFont="1" applyFill="1"/>
    <xf numFmtId="9" fontId="4" fillId="0" borderId="0" xfId="13" applyFont="1" applyFill="1"/>
    <xf numFmtId="175" fontId="4" fillId="0" borderId="4" xfId="18" applyFont="1" applyFill="1" applyBorder="1" applyAlignment="1">
      <alignment horizontal="center" wrapText="1"/>
    </xf>
    <xf numFmtId="175" fontId="20" fillId="0" borderId="10" xfId="18" quotePrefix="1" applyFont="1" applyFill="1" applyBorder="1" applyAlignment="1">
      <alignment horizontal="center" wrapText="1"/>
    </xf>
    <xf numFmtId="175" fontId="5" fillId="0" borderId="0" xfId="18" applyFont="1" applyFill="1"/>
    <xf numFmtId="0" fontId="3" fillId="0" borderId="0" xfId="19"/>
    <xf numFmtId="175" fontId="0" fillId="0" borderId="8" xfId="0" applyFont="1" applyFill="1" applyBorder="1"/>
    <xf numFmtId="175" fontId="0" fillId="0" borderId="5" xfId="0" applyFont="1" applyFill="1" applyBorder="1"/>
    <xf numFmtId="175" fontId="6" fillId="0" borderId="0" xfId="0" applyFont="1" applyFill="1" applyAlignment="1">
      <alignment horizontal="left" vertical="top"/>
    </xf>
    <xf numFmtId="175" fontId="7" fillId="0" borderId="0" xfId="0" applyFont="1" applyFill="1" applyAlignment="1">
      <alignment horizontal="left" vertical="top"/>
    </xf>
    <xf numFmtId="175" fontId="12" fillId="0" borderId="0" xfId="0" applyFont="1" applyFill="1"/>
    <xf numFmtId="0" fontId="23" fillId="0" borderId="0" xfId="0" applyNumberFormat="1" applyFont="1" applyFill="1" applyAlignment="1">
      <alignment horizontal="left" vertical="top"/>
    </xf>
    <xf numFmtId="175" fontId="0" fillId="0" borderId="0" xfId="0" applyAlignment="1">
      <alignment horizontal="centerContinuous"/>
    </xf>
    <xf numFmtId="175" fontId="6" fillId="0" borderId="0" xfId="0" applyFont="1" applyFill="1" applyAlignment="1">
      <alignment horizontal="centerContinuous" vertical="center"/>
    </xf>
    <xf numFmtId="175" fontId="0" fillId="0" borderId="0" xfId="0" applyFill="1" applyAlignment="1">
      <alignment horizontal="centerContinuous" vertical="center"/>
    </xf>
    <xf numFmtId="175" fontId="7" fillId="0" borderId="0" xfId="0" applyFont="1" applyFill="1" applyAlignment="1">
      <alignment horizontal="centerContinuous" vertical="center"/>
    </xf>
    <xf numFmtId="175" fontId="6" fillId="0" borderId="0" xfId="0" applyFont="1" applyFill="1" applyAlignment="1">
      <alignment horizontal="centerContinuous" vertical="top"/>
    </xf>
    <xf numFmtId="175" fontId="7" fillId="0" borderId="0" xfId="0" applyFont="1" applyFill="1" applyAlignment="1">
      <alignment horizontal="centerContinuous" vertical="top"/>
    </xf>
    <xf numFmtId="175" fontId="26" fillId="0" borderId="0" xfId="0" applyFont="1" applyAlignment="1">
      <alignment horizontal="right" vertical="center"/>
    </xf>
    <xf numFmtId="166" fontId="27" fillId="0" borderId="0" xfId="0" applyNumberFormat="1" applyFont="1" applyAlignment="1">
      <alignment horizontal="left" vertical="center"/>
    </xf>
    <xf numFmtId="175" fontId="10" fillId="5" borderId="11" xfId="0" applyFont="1" applyFill="1" applyBorder="1" applyAlignment="1">
      <alignment horizontal="centerContinuous" vertical="center"/>
    </xf>
    <xf numFmtId="175" fontId="10" fillId="5" borderId="11" xfId="0" applyFont="1" applyFill="1" applyBorder="1" applyAlignment="1">
      <alignment horizontal="centerContinuous"/>
    </xf>
    <xf numFmtId="175" fontId="10" fillId="0" borderId="16" xfId="0" applyFont="1" applyBorder="1" applyAlignment="1"/>
    <xf numFmtId="175" fontId="4" fillId="5" borderId="6" xfId="0" applyFont="1" applyFill="1" applyBorder="1" applyAlignment="1">
      <alignment horizontal="center" vertical="top"/>
    </xf>
    <xf numFmtId="175" fontId="5" fillId="5" borderId="6" xfId="0" applyFont="1" applyFill="1" applyBorder="1" applyAlignment="1">
      <alignment horizontal="center" vertical="top"/>
    </xf>
    <xf numFmtId="175" fontId="5" fillId="5" borderId="24" xfId="0" applyFont="1" applyFill="1" applyBorder="1" applyAlignment="1">
      <alignment horizontal="center" vertical="top"/>
    </xf>
    <xf numFmtId="175" fontId="5" fillId="0" borderId="7" xfId="0" applyFont="1" applyBorder="1" applyAlignment="1"/>
    <xf numFmtId="175" fontId="5" fillId="5" borderId="25" xfId="0" applyFont="1" applyFill="1" applyBorder="1" applyAlignment="1">
      <alignment horizontal="right"/>
    </xf>
    <xf numFmtId="175" fontId="5" fillId="0" borderId="0" xfId="0" applyFont="1" applyAlignment="1"/>
    <xf numFmtId="175" fontId="5" fillId="6" borderId="12" xfId="0" applyFont="1" applyFill="1" applyBorder="1" applyAlignment="1"/>
    <xf numFmtId="175" fontId="5" fillId="6" borderId="7" xfId="0" applyFont="1" applyFill="1" applyBorder="1" applyAlignment="1"/>
    <xf numFmtId="175" fontId="0" fillId="0" borderId="0" xfId="0" applyFill="1"/>
    <xf numFmtId="2" fontId="23" fillId="0" borderId="0" xfId="0" applyNumberFormat="1" applyFont="1" applyFill="1" applyBorder="1" applyAlignment="1">
      <alignment horizontal="center"/>
    </xf>
    <xf numFmtId="175" fontId="24" fillId="0" borderId="0" xfId="0" applyFont="1" applyFill="1" applyBorder="1" applyAlignment="1">
      <alignment horizontal="left"/>
    </xf>
    <xf numFmtId="175" fontId="25" fillId="0" borderId="0" xfId="0" applyFont="1" applyFill="1" applyBorder="1" applyAlignment="1">
      <alignment horizontal="left" vertical="top"/>
    </xf>
    <xf numFmtId="175" fontId="23" fillId="0" borderId="0" xfId="0" applyFont="1" applyFill="1" applyBorder="1"/>
    <xf numFmtId="175" fontId="23" fillId="0" borderId="0" xfId="0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left" vertical="top"/>
    </xf>
    <xf numFmtId="172" fontId="23" fillId="0" borderId="0" xfId="2" applyNumberFormat="1" applyFont="1" applyFill="1" applyBorder="1" applyAlignment="1">
      <alignment horizontal="left" vertical="top"/>
    </xf>
    <xf numFmtId="181" fontId="23" fillId="0" borderId="0" xfId="1" applyNumberFormat="1" applyFont="1" applyFill="1" applyBorder="1" applyAlignment="1">
      <alignment horizontal="left" vertical="top"/>
    </xf>
    <xf numFmtId="178" fontId="23" fillId="0" borderId="0" xfId="0" applyNumberFormat="1" applyFont="1" applyFill="1" applyBorder="1" applyAlignment="1">
      <alignment horizontal="left" vertical="top"/>
    </xf>
    <xf numFmtId="175" fontId="12" fillId="0" borderId="0" xfId="0" applyFont="1" applyFill="1" applyBorder="1" applyAlignment="1">
      <alignment horizontal="centerContinuous"/>
    </xf>
    <xf numFmtId="178" fontId="23" fillId="0" borderId="0" xfId="0" applyNumberFormat="1" applyFont="1" applyFill="1" applyBorder="1" applyAlignment="1">
      <alignment horizontal="right" vertical="top"/>
    </xf>
    <xf numFmtId="10" fontId="23" fillId="0" borderId="0" xfId="13" applyNumberFormat="1" applyFont="1" applyFill="1" applyBorder="1" applyAlignment="1">
      <alignment horizontal="center"/>
    </xf>
    <xf numFmtId="180" fontId="23" fillId="0" borderId="0" xfId="0" applyNumberFormat="1" applyFont="1" applyFill="1" applyBorder="1"/>
    <xf numFmtId="179" fontId="23" fillId="0" borderId="0" xfId="0" applyNumberFormat="1" applyFont="1" applyFill="1" applyBorder="1"/>
    <xf numFmtId="172" fontId="23" fillId="0" borderId="0" xfId="2" applyNumberFormat="1" applyFont="1" applyFill="1" applyBorder="1"/>
    <xf numFmtId="164" fontId="23" fillId="0" borderId="0" xfId="1" applyNumberFormat="1" applyFont="1" applyFill="1" applyBorder="1"/>
    <xf numFmtId="175" fontId="23" fillId="0" borderId="0" xfId="0" applyFont="1" applyFill="1" applyBorder="1" applyAlignment="1">
      <alignment horizontal="left" vertical="top"/>
    </xf>
    <xf numFmtId="10" fontId="23" fillId="0" borderId="0" xfId="13" applyNumberFormat="1" applyFont="1" applyFill="1" applyBorder="1" applyAlignment="1">
      <alignment horizontal="left" vertical="top"/>
    </xf>
    <xf numFmtId="175" fontId="23" fillId="7" borderId="0" xfId="0" applyFont="1" applyFill="1" applyAlignment="1">
      <alignment horizontal="center"/>
    </xf>
    <xf numFmtId="175" fontId="23" fillId="7" borderId="0" xfId="0" applyFont="1" applyFill="1"/>
    <xf numFmtId="10" fontId="23" fillId="7" borderId="0" xfId="13" applyNumberFormat="1" applyFont="1" applyFill="1" applyAlignment="1">
      <alignment horizontal="center"/>
    </xf>
    <xf numFmtId="9" fontId="23" fillId="7" borderId="0" xfId="13" applyFont="1" applyFill="1"/>
    <xf numFmtId="175" fontId="24" fillId="7" borderId="0" xfId="0" applyFont="1" applyFill="1" applyBorder="1" applyAlignment="1">
      <alignment horizontal="centerContinuous"/>
    </xf>
    <xf numFmtId="175" fontId="23" fillId="7" borderId="9" xfId="0" applyFont="1" applyFill="1" applyBorder="1"/>
    <xf numFmtId="175" fontId="25" fillId="7" borderId="0" xfId="0" applyFont="1" applyFill="1" applyBorder="1" applyAlignment="1">
      <alignment horizontal="center"/>
    </xf>
    <xf numFmtId="175" fontId="25" fillId="7" borderId="0" xfId="0" applyFont="1" applyFill="1" applyBorder="1" applyAlignment="1">
      <alignment horizontal="left" vertical="top"/>
    </xf>
    <xf numFmtId="180" fontId="23" fillId="7" borderId="0" xfId="0" applyNumberFormat="1" applyFont="1" applyFill="1"/>
    <xf numFmtId="179" fontId="23" fillId="7" borderId="0" xfId="0" applyNumberFormat="1" applyFont="1" applyFill="1"/>
    <xf numFmtId="172" fontId="23" fillId="7" borderId="0" xfId="2" applyNumberFormat="1" applyFont="1" applyFill="1"/>
    <xf numFmtId="8" fontId="23" fillId="7" borderId="0" xfId="0" applyNumberFormat="1" applyFont="1" applyFill="1" applyAlignment="1">
      <alignment horizontal="left"/>
    </xf>
    <xf numFmtId="177" fontId="23" fillId="7" borderId="0" xfId="0" applyNumberFormat="1" applyFont="1" applyFill="1" applyAlignment="1">
      <alignment horizontal="center"/>
    </xf>
    <xf numFmtId="43" fontId="23" fillId="7" borderId="0" xfId="1" applyFont="1" applyFill="1" applyAlignment="1">
      <alignment horizontal="right"/>
    </xf>
    <xf numFmtId="175" fontId="23" fillId="7" borderId="0" xfId="0" applyFont="1" applyFill="1" applyAlignment="1">
      <alignment horizontal="right"/>
    </xf>
    <xf numFmtId="164" fontId="23" fillId="7" borderId="0" xfId="1" applyNumberFormat="1" applyFont="1" applyFill="1" applyAlignment="1">
      <alignment horizontal="right"/>
    </xf>
    <xf numFmtId="175" fontId="23" fillId="7" borderId="0" xfId="0" applyFont="1" applyFill="1" applyBorder="1" applyAlignment="1">
      <alignment horizontal="right"/>
    </xf>
    <xf numFmtId="178" fontId="23" fillId="7" borderId="0" xfId="0" applyNumberFormat="1" applyFont="1" applyFill="1" applyBorder="1" applyAlignment="1">
      <alignment horizontal="right"/>
    </xf>
    <xf numFmtId="164" fontId="23" fillId="7" borderId="0" xfId="1" applyNumberFormat="1" applyFont="1" applyFill="1" applyBorder="1" applyAlignment="1">
      <alignment horizontal="right"/>
    </xf>
    <xf numFmtId="172" fontId="23" fillId="7" borderId="0" xfId="2" applyNumberFormat="1" applyFont="1" applyFill="1" applyBorder="1" applyAlignment="1">
      <alignment horizontal="left" vertical="top"/>
    </xf>
    <xf numFmtId="181" fontId="23" fillId="7" borderId="0" xfId="1" applyNumberFormat="1" applyFont="1" applyFill="1" applyBorder="1" applyAlignment="1">
      <alignment horizontal="left" vertical="top"/>
    </xf>
    <xf numFmtId="175" fontId="23" fillId="7" borderId="0" xfId="0" applyFont="1" applyFill="1" applyAlignment="1">
      <alignment horizontal="left" vertical="top"/>
    </xf>
    <xf numFmtId="178" fontId="23" fillId="7" borderId="0" xfId="0" applyNumberFormat="1" applyFont="1" applyFill="1" applyBorder="1" applyAlignment="1">
      <alignment horizontal="left" vertical="top"/>
    </xf>
    <xf numFmtId="182" fontId="23" fillId="7" borderId="0" xfId="1" applyNumberFormat="1" applyFont="1" applyFill="1" applyAlignment="1">
      <alignment horizontal="left" vertical="top"/>
    </xf>
    <xf numFmtId="10" fontId="23" fillId="7" borderId="0" xfId="13" applyNumberFormat="1" applyFont="1" applyFill="1" applyAlignment="1">
      <alignment horizontal="right"/>
    </xf>
    <xf numFmtId="175" fontId="23" fillId="7" borderId="0" xfId="0" applyFont="1" applyFill="1" applyBorder="1"/>
    <xf numFmtId="175" fontId="0" fillId="0" borderId="0" xfId="0" applyBorder="1"/>
    <xf numFmtId="175" fontId="0" fillId="0" borderId="0" xfId="0" applyFill="1" applyBorder="1"/>
    <xf numFmtId="175" fontId="5" fillId="0" borderId="0" xfId="0" applyFont="1" applyFill="1" applyAlignment="1">
      <alignment horizontal="centerContinuous"/>
    </xf>
    <xf numFmtId="175" fontId="5" fillId="0" borderId="0" xfId="0" applyFont="1" applyFill="1"/>
    <xf numFmtId="175" fontId="13" fillId="0" borderId="18" xfId="0" applyFont="1" applyFill="1" applyBorder="1" applyAlignment="1">
      <alignment horizontal="centerContinuous"/>
    </xf>
    <xf numFmtId="175" fontId="13" fillId="0" borderId="14" xfId="0" applyFont="1" applyFill="1" applyBorder="1" applyAlignment="1">
      <alignment horizontal="centerContinuous"/>
    </xf>
    <xf numFmtId="175" fontId="13" fillId="0" borderId="0" xfId="0" applyFont="1" applyFill="1" applyAlignment="1">
      <alignment horizontal="centerContinuous"/>
    </xf>
    <xf numFmtId="0" fontId="13" fillId="0" borderId="0" xfId="22" applyFont="1" applyFill="1" applyAlignment="1">
      <alignment horizontal="centerContinuous"/>
    </xf>
    <xf numFmtId="175" fontId="22" fillId="0" borderId="0" xfId="0" applyFont="1" applyFill="1" applyAlignment="1">
      <alignment horizontal="centerContinuous"/>
    </xf>
    <xf numFmtId="175" fontId="0" fillId="0" borderId="0" xfId="9" quotePrefix="1" applyFont="1" applyFill="1"/>
    <xf numFmtId="175" fontId="3" fillId="0" borderId="0" xfId="0" applyFont="1" applyFill="1" applyBorder="1" applyAlignment="1">
      <alignment horizontal="center"/>
    </xf>
    <xf numFmtId="175" fontId="4" fillId="0" borderId="0" xfId="0" applyFont="1" applyFill="1" applyAlignment="1">
      <alignment horizontal="right"/>
    </xf>
    <xf numFmtId="183" fontId="5" fillId="0" borderId="0" xfId="0" applyNumberFormat="1" applyFont="1" applyFill="1"/>
    <xf numFmtId="175" fontId="5" fillId="0" borderId="0" xfId="0" applyFont="1" applyFill="1" applyAlignment="1">
      <alignment horizontal="left"/>
    </xf>
    <xf numFmtId="0" fontId="22" fillId="0" borderId="0" xfId="22" applyFont="1" applyFill="1" applyBorder="1" applyAlignment="1">
      <alignment horizontal="center"/>
    </xf>
    <xf numFmtId="175" fontId="22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28" fillId="0" borderId="13" xfId="22" applyFont="1" applyFill="1" applyBorder="1" applyAlignment="1">
      <alignment horizontal="center"/>
    </xf>
    <xf numFmtId="175" fontId="22" fillId="0" borderId="11" xfId="0" applyFont="1" applyFill="1" applyBorder="1" applyAlignment="1">
      <alignment horizontal="centerContinuous"/>
    </xf>
    <xf numFmtId="175" fontId="4" fillId="0" borderId="0" xfId="0" applyFont="1" applyFill="1"/>
    <xf numFmtId="175" fontId="4" fillId="0" borderId="28" xfId="0" applyFont="1" applyFill="1" applyBorder="1" applyAlignment="1">
      <alignment horizontal="center"/>
    </xf>
    <xf numFmtId="175" fontId="4" fillId="0" borderId="29" xfId="0" applyFont="1" applyFill="1" applyBorder="1" applyAlignment="1">
      <alignment horizontal="center"/>
    </xf>
    <xf numFmtId="0" fontId="22" fillId="0" borderId="15" xfId="22" applyFont="1" applyFill="1" applyBorder="1" applyAlignment="1">
      <alignment horizontal="center"/>
    </xf>
    <xf numFmtId="175" fontId="4" fillId="0" borderId="8" xfId="0" applyFont="1" applyFill="1" applyBorder="1" applyAlignment="1">
      <alignment horizontal="center"/>
    </xf>
    <xf numFmtId="175" fontId="4" fillId="0" borderId="17" xfId="0" applyFont="1" applyFill="1" applyBorder="1" applyAlignment="1">
      <alignment horizontal="center"/>
    </xf>
    <xf numFmtId="175" fontId="5" fillId="0" borderId="30" xfId="0" applyFont="1" applyFill="1" applyBorder="1"/>
    <xf numFmtId="175" fontId="4" fillId="0" borderId="31" xfId="0" quotePrefix="1" applyFont="1" applyFill="1" applyBorder="1" applyAlignment="1">
      <alignment horizontal="center"/>
    </xf>
    <xf numFmtId="0" fontId="29" fillId="0" borderId="8" xfId="22" applyFont="1" applyFill="1" applyBorder="1" applyAlignment="1">
      <alignment horizontal="center"/>
    </xf>
    <xf numFmtId="175" fontId="29" fillId="0" borderId="15" xfId="0" applyFont="1" applyFill="1" applyBorder="1" applyAlignment="1">
      <alignment horizontal="center"/>
    </xf>
    <xf numFmtId="175" fontId="29" fillId="0" borderId="11" xfId="0" applyFont="1" applyFill="1" applyBorder="1" applyAlignment="1">
      <alignment horizontal="center"/>
    </xf>
    <xf numFmtId="17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39" fontId="5" fillId="0" borderId="0" xfId="1" applyNumberFormat="1" applyFont="1" applyFill="1" applyAlignment="1">
      <alignment horizontal="center"/>
    </xf>
    <xf numFmtId="17" fontId="3" fillId="0" borderId="12" xfId="0" applyNumberFormat="1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17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17" fontId="3" fillId="0" borderId="15" xfId="0" applyNumberFormat="1" applyFont="1" applyFill="1" applyBorder="1" applyAlignment="1">
      <alignment horizontal="center"/>
    </xf>
    <xf numFmtId="43" fontId="5" fillId="0" borderId="0" xfId="1" applyFont="1" applyFill="1"/>
    <xf numFmtId="39" fontId="5" fillId="0" borderId="11" xfId="1" applyNumberFormat="1" applyFont="1" applyFill="1" applyBorder="1" applyAlignment="1">
      <alignment horizontal="center"/>
    </xf>
    <xf numFmtId="175" fontId="5" fillId="0" borderId="11" xfId="0" applyFont="1" applyFill="1" applyBorder="1" applyAlignment="1">
      <alignment horizontal="centerContinuous"/>
    </xf>
    <xf numFmtId="43" fontId="5" fillId="0" borderId="11" xfId="1" applyNumberFormat="1" applyFont="1" applyFill="1" applyBorder="1" applyAlignment="1">
      <alignment horizontal="center"/>
    </xf>
    <xf numFmtId="175" fontId="5" fillId="0" borderId="0" xfId="0" applyFont="1" applyFill="1" applyAlignment="1">
      <alignment horizontal="center"/>
    </xf>
    <xf numFmtId="0" fontId="3" fillId="0" borderId="0" xfId="22" applyFont="1" applyFill="1" applyAlignment="1">
      <alignment horizontal="center"/>
    </xf>
    <xf numFmtId="175" fontId="5" fillId="9" borderId="0" xfId="0" applyFont="1" applyFill="1"/>
    <xf numFmtId="175" fontId="3" fillId="0" borderId="0" xfId="0" applyFont="1" applyFill="1"/>
    <xf numFmtId="175" fontId="3" fillId="0" borderId="0" xfId="0" applyFont="1" applyFill="1" applyAlignment="1">
      <alignment horizontal="center"/>
    </xf>
    <xf numFmtId="0" fontId="5" fillId="0" borderId="0" xfId="22" applyFont="1" applyFill="1" applyAlignment="1">
      <alignment horizontal="center"/>
    </xf>
    <xf numFmtId="175" fontId="3" fillId="0" borderId="11" xfId="0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horizontal="center"/>
    </xf>
    <xf numFmtId="175" fontId="5" fillId="0" borderId="0" xfId="0" applyFont="1" applyFill="1" applyAlignment="1">
      <alignment wrapText="1"/>
    </xf>
    <xf numFmtId="180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 applyAlignment="1">
      <alignment vertical="top"/>
    </xf>
    <xf numFmtId="175" fontId="0" fillId="0" borderId="12" xfId="0" applyFont="1" applyFill="1" applyBorder="1" applyAlignment="1">
      <alignment horizontal="centerContinuous" wrapText="1"/>
    </xf>
    <xf numFmtId="167" fontId="0" fillId="0" borderId="18" xfId="0" quotePrefix="1" applyNumberFormat="1" applyFont="1" applyFill="1" applyBorder="1" applyAlignment="1">
      <alignment horizontal="center"/>
    </xf>
    <xf numFmtId="175" fontId="5" fillId="0" borderId="12" xfId="0" applyFont="1" applyFill="1" applyBorder="1" applyAlignment="1">
      <alignment horizontal="center"/>
    </xf>
    <xf numFmtId="175" fontId="5" fillId="0" borderId="6" xfId="0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Continuous"/>
    </xf>
    <xf numFmtId="17" fontId="5" fillId="0" borderId="7" xfId="0" applyNumberFormat="1" applyFont="1" applyFill="1" applyBorder="1" applyAlignment="1">
      <alignment horizontal="center"/>
    </xf>
    <xf numFmtId="175" fontId="5" fillId="0" borderId="15" xfId="0" applyFont="1" applyFill="1" applyBorder="1"/>
    <xf numFmtId="175" fontId="5" fillId="0" borderId="15" xfId="0" applyFont="1" applyFill="1" applyBorder="1" applyAlignment="1">
      <alignment horizontal="centerContinuous"/>
    </xf>
    <xf numFmtId="175" fontId="5" fillId="0" borderId="16" xfId="0" applyFont="1" applyFill="1" applyBorder="1" applyAlignment="1">
      <alignment horizontal="center"/>
    </xf>
    <xf numFmtId="175" fontId="5" fillId="0" borderId="10" xfId="0" applyFont="1" applyFill="1" applyBorder="1" applyAlignment="1">
      <alignment horizontal="center"/>
    </xf>
    <xf numFmtId="175" fontId="5" fillId="0" borderId="0" xfId="0" quotePrefix="1" applyFont="1" applyFill="1" applyBorder="1" applyAlignment="1">
      <alignment horizontal="centerContinuous"/>
    </xf>
    <xf numFmtId="175" fontId="5" fillId="0" borderId="0" xfId="0" quotePrefix="1" applyFont="1" applyFill="1" applyBorder="1" applyAlignment="1">
      <alignment horizontal="center"/>
    </xf>
    <xf numFmtId="175" fontId="5" fillId="0" borderId="13" xfId="0" quotePrefix="1" applyFont="1" applyFill="1" applyBorder="1" applyAlignment="1">
      <alignment horizontal="centerContinuous"/>
    </xf>
    <xf numFmtId="175" fontId="5" fillId="0" borderId="12" xfId="0" quotePrefix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80" fontId="5" fillId="0" borderId="0" xfId="0" applyNumberFormat="1" applyFont="1" applyFill="1" applyBorder="1"/>
    <xf numFmtId="10" fontId="5" fillId="0" borderId="0" xfId="0" applyNumberFormat="1" applyFont="1" applyFill="1" applyAlignment="1">
      <alignment horizontal="center"/>
    </xf>
    <xf numFmtId="175" fontId="5" fillId="0" borderId="0" xfId="0" applyFont="1" applyFill="1" applyAlignment="1">
      <alignment horizontal="right"/>
    </xf>
    <xf numFmtId="39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8" applyFont="1"/>
    <xf numFmtId="179" fontId="5" fillId="0" borderId="0" xfId="0" applyNumberFormat="1" applyFont="1" applyFill="1"/>
    <xf numFmtId="175" fontId="6" fillId="0" borderId="0" xfId="0" applyFont="1" applyAlignment="1">
      <alignment vertical="top"/>
    </xf>
    <xf numFmtId="175" fontId="10" fillId="0" borderId="0" xfId="0" applyFont="1" applyAlignment="1">
      <alignment vertical="top" wrapText="1"/>
    </xf>
    <xf numFmtId="175" fontId="5" fillId="0" borderId="0" xfId="0" applyFont="1"/>
    <xf numFmtId="1" fontId="5" fillId="0" borderId="0" xfId="0" applyNumberFormat="1" applyFont="1"/>
    <xf numFmtId="1" fontId="30" fillId="0" borderId="0" xfId="0" applyNumberFormat="1" applyFont="1"/>
    <xf numFmtId="164" fontId="10" fillId="0" borderId="11" xfId="23" applyNumberFormat="1" applyFont="1" applyBorder="1" applyAlignment="1">
      <alignment horizontal="center"/>
    </xf>
    <xf numFmtId="164" fontId="10" fillId="0" borderId="10" xfId="23" applyNumberFormat="1" applyFont="1" applyBorder="1" applyAlignment="1">
      <alignment horizontal="center"/>
    </xf>
    <xf numFmtId="175" fontId="5" fillId="0" borderId="32" xfId="0" applyFont="1" applyBorder="1" applyAlignment="1"/>
    <xf numFmtId="175" fontId="4" fillId="0" borderId="33" xfId="0" applyFont="1" applyBorder="1" applyAlignment="1"/>
    <xf numFmtId="164" fontId="10" fillId="0" borderId="21" xfId="23" applyNumberFormat="1" applyFont="1" applyBorder="1" applyAlignment="1">
      <alignment horizontal="center"/>
    </xf>
    <xf numFmtId="175" fontId="5" fillId="0" borderId="15" xfId="0" applyFont="1" applyBorder="1" applyAlignment="1"/>
    <xf numFmtId="170" fontId="10" fillId="0" borderId="10" xfId="23" applyNumberFormat="1" applyFont="1" applyBorder="1" applyAlignment="1">
      <alignment horizontal="center"/>
    </xf>
    <xf numFmtId="170" fontId="10" fillId="0" borderId="11" xfId="23" applyNumberFormat="1" applyFont="1" applyBorder="1" applyAlignment="1">
      <alignment horizontal="center"/>
    </xf>
    <xf numFmtId="170" fontId="10" fillId="0" borderId="21" xfId="23" applyNumberFormat="1" applyFont="1" applyBorder="1" applyAlignment="1">
      <alignment horizontal="center"/>
    </xf>
    <xf numFmtId="164" fontId="10" fillId="0" borderId="6" xfId="23" applyNumberFormat="1" applyFont="1" applyBorder="1" applyAlignment="1">
      <alignment horizontal="center"/>
    </xf>
    <xf numFmtId="175" fontId="5" fillId="5" borderId="34" xfId="0" applyFont="1" applyFill="1" applyBorder="1" applyAlignment="1">
      <alignment horizontal="right"/>
    </xf>
    <xf numFmtId="164" fontId="10" fillId="5" borderId="27" xfId="23" applyNumberFormat="1" applyFont="1" applyFill="1" applyBorder="1" applyAlignment="1">
      <alignment horizontal="center"/>
    </xf>
    <xf numFmtId="164" fontId="10" fillId="5" borderId="26" xfId="23" applyNumberFormat="1" applyFont="1" applyFill="1" applyBorder="1" applyAlignment="1">
      <alignment horizontal="center"/>
    </xf>
    <xf numFmtId="164" fontId="10" fillId="0" borderId="0" xfId="23" applyNumberFormat="1" applyFont="1" applyFill="1" applyBorder="1" applyAlignment="1">
      <alignment horizontal="center"/>
    </xf>
    <xf numFmtId="164" fontId="10" fillId="5" borderId="11" xfId="23" applyNumberFormat="1" applyFont="1" applyFill="1" applyBorder="1" applyAlignment="1">
      <alignment horizontal="center"/>
    </xf>
    <xf numFmtId="164" fontId="10" fillId="8" borderId="10" xfId="23" applyNumberFormat="1" applyFont="1" applyFill="1" applyBorder="1" applyAlignment="1">
      <alignment horizontal="center"/>
    </xf>
    <xf numFmtId="9" fontId="0" fillId="0" borderId="0" xfId="13" applyNumberFormat="1" applyFont="1" applyFill="1"/>
    <xf numFmtId="175" fontId="7" fillId="0" borderId="0" xfId="0" applyFont="1" applyFill="1" applyAlignment="1">
      <alignment horizontal="left"/>
    </xf>
    <xf numFmtId="8" fontId="23" fillId="0" borderId="0" xfId="0" applyNumberFormat="1" applyFont="1" applyFill="1"/>
    <xf numFmtId="180" fontId="23" fillId="0" borderId="0" xfId="0" applyNumberFormat="1" applyFont="1" applyFill="1"/>
    <xf numFmtId="8" fontId="23" fillId="0" borderId="0" xfId="0" applyNumberFormat="1" applyFont="1" applyFill="1" applyAlignment="1">
      <alignment horizontal="center"/>
    </xf>
    <xf numFmtId="175" fontId="6" fillId="5" borderId="37" xfId="0" applyFont="1" applyFill="1" applyBorder="1" applyAlignment="1">
      <alignment horizontal="centerContinuous" wrapText="1"/>
    </xf>
    <xf numFmtId="175" fontId="6" fillId="5" borderId="40" xfId="0" applyFont="1" applyFill="1" applyBorder="1" applyAlignment="1">
      <alignment horizontal="centerContinuous" wrapText="1"/>
    </xf>
    <xf numFmtId="175" fontId="10" fillId="5" borderId="11" xfId="0" applyFont="1" applyFill="1" applyBorder="1" applyAlignment="1"/>
    <xf numFmtId="1" fontId="10" fillId="5" borderId="11" xfId="0" applyNumberFormat="1" applyFont="1" applyFill="1" applyBorder="1" applyAlignment="1">
      <alignment horizontal="center"/>
    </xf>
    <xf numFmtId="0" fontId="10" fillId="5" borderId="11" xfId="0" applyNumberFormat="1" applyFont="1" applyFill="1" applyBorder="1" applyAlignment="1">
      <alignment horizontal="center"/>
    </xf>
    <xf numFmtId="175" fontId="6" fillId="5" borderId="11" xfId="0" applyFont="1" applyFill="1" applyBorder="1" applyAlignment="1">
      <alignment horizontal="centerContinuous"/>
    </xf>
    <xf numFmtId="175" fontId="4" fillId="5" borderId="38" xfId="0" applyFont="1" applyFill="1" applyBorder="1" applyAlignment="1">
      <alignment horizontal="center" vertical="top"/>
    </xf>
    <xf numFmtId="175" fontId="4" fillId="6" borderId="37" xfId="0" applyFont="1" applyFill="1" applyBorder="1" applyAlignment="1"/>
    <xf numFmtId="175" fontId="5" fillId="6" borderId="37" xfId="0" applyFont="1" applyFill="1" applyBorder="1" applyAlignment="1"/>
    <xf numFmtId="175" fontId="5" fillId="6" borderId="39" xfId="0" applyFont="1" applyFill="1" applyBorder="1" applyAlignment="1"/>
    <xf numFmtId="175" fontId="5" fillId="6" borderId="40" xfId="0" applyFont="1" applyFill="1" applyBorder="1" applyAlignment="1"/>
    <xf numFmtId="175" fontId="5" fillId="0" borderId="41" xfId="0" applyFont="1" applyBorder="1" applyAlignment="1"/>
    <xf numFmtId="175" fontId="5" fillId="0" borderId="42" xfId="0" applyFont="1" applyFill="1" applyBorder="1" applyAlignment="1"/>
    <xf numFmtId="175" fontId="5" fillId="0" borderId="37" xfId="0" applyFont="1" applyBorder="1" applyAlignment="1"/>
    <xf numFmtId="175" fontId="5" fillId="0" borderId="38" xfId="0" applyFont="1" applyBorder="1" applyAlignment="1"/>
    <xf numFmtId="164" fontId="10" fillId="0" borderId="36" xfId="23" applyNumberFormat="1" applyFont="1" applyBorder="1" applyAlignment="1">
      <alignment horizontal="center"/>
    </xf>
    <xf numFmtId="175" fontId="5" fillId="0" borderId="42" xfId="0" applyFont="1" applyBorder="1" applyAlignment="1"/>
    <xf numFmtId="175" fontId="5" fillId="5" borderId="12" xfId="0" applyFont="1" applyFill="1" applyBorder="1" applyAlignment="1">
      <alignment horizontal="center" vertical="top"/>
    </xf>
    <xf numFmtId="175" fontId="5" fillId="0" borderId="11" xfId="0" applyFont="1" applyBorder="1" applyAlignment="1"/>
    <xf numFmtId="175" fontId="5" fillId="0" borderId="43" xfId="0" applyFont="1" applyBorder="1" applyAlignment="1"/>
    <xf numFmtId="164" fontId="10" fillId="0" borderId="44" xfId="23" applyNumberFormat="1" applyFont="1" applyFill="1" applyBorder="1" applyAlignment="1">
      <alignment horizontal="center"/>
    </xf>
    <xf numFmtId="175" fontId="5" fillId="5" borderId="37" xfId="0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horizontal="center"/>
    </xf>
    <xf numFmtId="8" fontId="0" fillId="0" borderId="38" xfId="0" applyNumberFormat="1" applyFont="1" applyFill="1" applyBorder="1" applyAlignment="1">
      <alignment horizontal="center"/>
    </xf>
    <xf numFmtId="8" fontId="0" fillId="0" borderId="44" xfId="0" applyNumberFormat="1" applyFont="1" applyFill="1" applyBorder="1" applyAlignment="1">
      <alignment horizontal="center"/>
    </xf>
    <xf numFmtId="8" fontId="0" fillId="0" borderId="43" xfId="0" applyNumberFormat="1" applyFont="1" applyFill="1" applyBorder="1" applyAlignment="1">
      <alignment horizontal="center"/>
    </xf>
    <xf numFmtId="175" fontId="4" fillId="0" borderId="0" xfId="0" applyFont="1" applyFill="1" applyBorder="1" applyAlignment="1">
      <alignment horizontal="centerContinuous" wrapText="1"/>
    </xf>
    <xf numFmtId="175" fontId="5" fillId="0" borderId="38" xfId="0" applyFont="1" applyFill="1" applyBorder="1"/>
    <xf numFmtId="175" fontId="5" fillId="0" borderId="36" xfId="0" applyFont="1" applyFill="1" applyBorder="1" applyAlignment="1">
      <alignment horizontal="center"/>
    </xf>
    <xf numFmtId="175" fontId="4" fillId="10" borderId="45" xfId="0" applyFont="1" applyFill="1" applyBorder="1" applyAlignment="1">
      <alignment horizontal="centerContinuous"/>
    </xf>
    <xf numFmtId="175" fontId="5" fillId="10" borderId="46" xfId="0" applyFont="1" applyFill="1" applyBorder="1" applyAlignment="1">
      <alignment horizontal="centerContinuous"/>
    </xf>
    <xf numFmtId="175" fontId="5" fillId="10" borderId="47" xfId="0" applyFont="1" applyFill="1" applyBorder="1" applyAlignment="1">
      <alignment horizontal="centerContinuous"/>
    </xf>
    <xf numFmtId="175" fontId="0" fillId="0" borderId="0" xfId="0" applyAlignment="1">
      <alignment horizontal="right"/>
    </xf>
    <xf numFmtId="175" fontId="0" fillId="0" borderId="0" xfId="0" applyAlignment="1">
      <alignment horizontal="right" indent="1"/>
    </xf>
    <xf numFmtId="175" fontId="0" fillId="0" borderId="0" xfId="9" applyFont="1" applyFill="1" applyAlignment="1">
      <alignment horizontal="left" wrapText="1"/>
    </xf>
    <xf numFmtId="175" fontId="31" fillId="0" borderId="0" xfId="9" applyFont="1" applyFill="1"/>
    <xf numFmtId="175" fontId="32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right"/>
    </xf>
    <xf numFmtId="175" fontId="31" fillId="0" borderId="0" xfId="9" applyFont="1" applyFill="1" applyBorder="1" applyAlignment="1">
      <alignment horizontal="centerContinuous"/>
    </xf>
    <xf numFmtId="175" fontId="31" fillId="0" borderId="0" xfId="9" applyFont="1" applyFill="1" applyBorder="1"/>
    <xf numFmtId="175" fontId="31" fillId="0" borderId="7" xfId="9" applyFont="1" applyFill="1" applyBorder="1"/>
    <xf numFmtId="175" fontId="33" fillId="0" borderId="4" xfId="9" applyFont="1" applyFill="1" applyBorder="1" applyAlignment="1">
      <alignment horizontal="center"/>
    </xf>
    <xf numFmtId="175" fontId="33" fillId="0" borderId="4" xfId="9" applyFont="1" applyFill="1" applyBorder="1" applyAlignment="1">
      <alignment horizontal="center" wrapText="1"/>
    </xf>
    <xf numFmtId="175" fontId="34" fillId="0" borderId="10" xfId="9" applyFont="1" applyFill="1" applyBorder="1" applyAlignment="1">
      <alignment horizontal="centerContinuous"/>
    </xf>
    <xf numFmtId="175" fontId="35" fillId="0" borderId="0" xfId="9" quotePrefix="1" applyFont="1" applyFill="1" applyBorder="1" applyAlignment="1">
      <alignment horizontal="center"/>
    </xf>
    <xf numFmtId="175" fontId="36" fillId="0" borderId="0" xfId="9" applyFont="1" applyFill="1" applyBorder="1"/>
    <xf numFmtId="0" fontId="31" fillId="0" borderId="0" xfId="9" applyNumberFormat="1" applyFont="1" applyFill="1"/>
    <xf numFmtId="6" fontId="31" fillId="0" borderId="0" xfId="9" applyNumberFormat="1" applyFont="1" applyFill="1" applyAlignment="1">
      <alignment horizontal="right"/>
    </xf>
    <xf numFmtId="8" fontId="31" fillId="0" borderId="0" xfId="9" applyNumberFormat="1" applyFont="1" applyFill="1" applyAlignment="1">
      <alignment horizontal="right"/>
    </xf>
    <xf numFmtId="8" fontId="31" fillId="0" borderId="0" xfId="9" applyNumberFormat="1" applyFont="1" applyFill="1" applyBorder="1" applyAlignment="1">
      <alignment horizontal="right"/>
    </xf>
    <xf numFmtId="166" fontId="31" fillId="0" borderId="0" xfId="9" applyNumberFormat="1" applyFont="1" applyFill="1" applyAlignment="1">
      <alignment horizontal="center"/>
    </xf>
    <xf numFmtId="168" fontId="31" fillId="0" borderId="0" xfId="9" applyNumberFormat="1" applyFont="1" applyFill="1" applyBorder="1"/>
    <xf numFmtId="43" fontId="31" fillId="0" borderId="0" xfId="9" applyNumberFormat="1" applyFont="1" applyFill="1"/>
    <xf numFmtId="8" fontId="31" fillId="0" borderId="0" xfId="9" applyNumberFormat="1" applyFont="1" applyFill="1" applyBorder="1"/>
    <xf numFmtId="0" fontId="31" fillId="0" borderId="9" xfId="9" applyNumberFormat="1" applyFont="1" applyFill="1" applyBorder="1"/>
    <xf numFmtId="166" fontId="31" fillId="0" borderId="9" xfId="9" applyNumberFormat="1" applyFont="1" applyFill="1" applyBorder="1" applyAlignment="1">
      <alignment horizontal="center"/>
    </xf>
    <xf numFmtId="8" fontId="31" fillId="0" borderId="9" xfId="9" applyNumberFormat="1" applyFont="1" applyFill="1" applyBorder="1"/>
    <xf numFmtId="8" fontId="31" fillId="0" borderId="9" xfId="9" applyNumberFormat="1" applyFont="1" applyFill="1" applyBorder="1" applyAlignment="1">
      <alignment horizontal="right"/>
    </xf>
    <xf numFmtId="0" fontId="31" fillId="0" borderId="0" xfId="9" applyNumberFormat="1" applyFont="1" applyFill="1" applyBorder="1"/>
    <xf numFmtId="166" fontId="31" fillId="0" borderId="0" xfId="9" applyNumberFormat="1" applyFont="1" applyFill="1" applyBorder="1" applyAlignment="1">
      <alignment horizontal="center"/>
    </xf>
    <xf numFmtId="8" fontId="31" fillId="0" borderId="0" xfId="9" applyNumberFormat="1" applyFont="1" applyFill="1" applyBorder="1" applyAlignment="1">
      <alignment horizontal="center"/>
    </xf>
    <xf numFmtId="43" fontId="31" fillId="0" borderId="0" xfId="9" applyNumberFormat="1" applyFont="1" applyFill="1" applyBorder="1"/>
    <xf numFmtId="41" fontId="31" fillId="0" borderId="0" xfId="7" applyFont="1" applyFill="1"/>
    <xf numFmtId="41" fontId="31" fillId="0" borderId="0" xfId="7" applyFont="1" applyFill="1" applyAlignment="1">
      <alignment horizontal="center"/>
    </xf>
    <xf numFmtId="8" fontId="31" fillId="0" borderId="0" xfId="7" applyNumberFormat="1" applyFont="1" applyFill="1" applyBorder="1"/>
    <xf numFmtId="175" fontId="33" fillId="0" borderId="19" xfId="9" applyFont="1" applyFill="1" applyBorder="1" applyAlignment="1">
      <alignment horizontal="centerContinuous"/>
    </xf>
    <xf numFmtId="175" fontId="33" fillId="0" borderId="20" xfId="9" applyFont="1" applyFill="1" applyBorder="1" applyAlignment="1">
      <alignment horizontal="centerContinuous"/>
    </xf>
    <xf numFmtId="175" fontId="33" fillId="0" borderId="21" xfId="9" applyFont="1" applyFill="1" applyBorder="1" applyAlignment="1">
      <alignment horizontal="centerContinuous"/>
    </xf>
    <xf numFmtId="41" fontId="33" fillId="0" borderId="20" xfId="7" applyFont="1" applyFill="1" applyBorder="1" applyAlignment="1">
      <alignment horizontal="centerContinuous"/>
    </xf>
    <xf numFmtId="41" fontId="33" fillId="0" borderId="22" xfId="7" applyFont="1" applyFill="1" applyBorder="1" applyAlignment="1">
      <alignment horizontal="centerContinuous"/>
    </xf>
    <xf numFmtId="6" fontId="31" fillId="0" borderId="0" xfId="2" applyNumberFormat="1" applyFont="1" applyFill="1"/>
    <xf numFmtId="41" fontId="31" fillId="0" borderId="0" xfId="7" applyFont="1" applyFill="1" applyAlignment="1">
      <alignment horizontal="left"/>
    </xf>
    <xf numFmtId="41" fontId="37" fillId="0" borderId="0" xfId="7" applyFont="1" applyFill="1"/>
    <xf numFmtId="164" fontId="37" fillId="0" borderId="0" xfId="7" applyNumberFormat="1" applyFont="1" applyFill="1"/>
    <xf numFmtId="8" fontId="31" fillId="0" borderId="0" xfId="2" applyNumberFormat="1" applyFont="1" applyFill="1"/>
    <xf numFmtId="175" fontId="31" fillId="0" borderId="0" xfId="0" applyFont="1" applyFill="1"/>
    <xf numFmtId="8" fontId="37" fillId="0" borderId="0" xfId="2" applyNumberFormat="1" applyFont="1" applyFill="1"/>
    <xf numFmtId="177" fontId="31" fillId="0" borderId="0" xfId="7" applyNumberFormat="1" applyFont="1" applyFill="1" applyBorder="1"/>
    <xf numFmtId="9" fontId="31" fillId="0" borderId="0" xfId="9" applyNumberFormat="1" applyFont="1" applyFill="1"/>
    <xf numFmtId="170" fontId="31" fillId="0" borderId="0" xfId="7" applyNumberFormat="1" applyFont="1" applyFill="1"/>
    <xf numFmtId="43" fontId="31" fillId="0" borderId="0" xfId="7" applyNumberFormat="1" applyFont="1" applyFill="1"/>
    <xf numFmtId="164" fontId="31" fillId="0" borderId="0" xfId="7" applyNumberFormat="1" applyFont="1" applyFill="1"/>
    <xf numFmtId="175" fontId="33" fillId="0" borderId="4" xfId="0" applyFont="1" applyFill="1" applyBorder="1" applyAlignment="1">
      <alignment horizontal="centerContinuous" wrapText="1"/>
    </xf>
    <xf numFmtId="175" fontId="33" fillId="0" borderId="4" xfId="0" applyFont="1" applyFill="1" applyBorder="1" applyAlignment="1">
      <alignment horizontal="center" wrapText="1"/>
    </xf>
    <xf numFmtId="175" fontId="35" fillId="0" borderId="0" xfId="0" quotePrefix="1" applyFont="1" applyFill="1" applyBorder="1" applyAlignment="1">
      <alignment horizontal="center"/>
    </xf>
    <xf numFmtId="8" fontId="31" fillId="0" borderId="9" xfId="0" applyNumberFormat="1" applyFont="1" applyFill="1" applyBorder="1"/>
    <xf numFmtId="8" fontId="31" fillId="0" borderId="0" xfId="0" applyNumberFormat="1" applyFont="1" applyFill="1" applyBorder="1"/>
    <xf numFmtId="173" fontId="31" fillId="0" borderId="0" xfId="9" applyNumberFormat="1" applyFont="1" applyFill="1"/>
    <xf numFmtId="175" fontId="38" fillId="0" borderId="0" xfId="9" applyFont="1" applyFill="1" applyAlignment="1">
      <alignment horizontal="centerContinuous"/>
    </xf>
    <xf numFmtId="175" fontId="33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center"/>
    </xf>
    <xf numFmtId="41" fontId="31" fillId="0" borderId="0" xfId="9" applyNumberFormat="1" applyFont="1" applyFill="1" applyBorder="1"/>
    <xf numFmtId="174" fontId="31" fillId="0" borderId="0" xfId="9" applyNumberFormat="1" applyFont="1" applyFill="1" applyBorder="1"/>
    <xf numFmtId="175" fontId="33" fillId="0" borderId="20" xfId="0" applyFont="1" applyFill="1" applyBorder="1" applyAlignment="1">
      <alignment horizontal="centerContinuous"/>
    </xf>
    <xf numFmtId="175" fontId="33" fillId="0" borderId="23" xfId="0" applyFont="1" applyFill="1" applyBorder="1" applyAlignment="1">
      <alignment horizontal="centerContinuous"/>
    </xf>
    <xf numFmtId="175" fontId="31" fillId="0" borderId="22" xfId="0" applyFont="1" applyFill="1" applyBorder="1" applyAlignment="1">
      <alignment horizontal="centerContinuous"/>
    </xf>
    <xf numFmtId="175" fontId="33" fillId="0" borderId="11" xfId="9" applyFont="1" applyFill="1" applyBorder="1" applyAlignment="1">
      <alignment horizontal="centerContinuous"/>
    </xf>
    <xf numFmtId="175" fontId="33" fillId="0" borderId="5" xfId="9" applyFont="1" applyFill="1" applyBorder="1" applyAlignment="1">
      <alignment horizontal="centerContinuous"/>
    </xf>
    <xf numFmtId="175" fontId="33" fillId="0" borderId="11" xfId="9" applyFont="1" applyFill="1" applyBorder="1" applyAlignment="1">
      <alignment horizontal="center"/>
    </xf>
    <xf numFmtId="41" fontId="31" fillId="0" borderId="0" xfId="9" applyNumberFormat="1" applyFont="1" applyFill="1"/>
    <xf numFmtId="169" fontId="31" fillId="0" borderId="0" xfId="13" applyNumberFormat="1" applyFont="1" applyFill="1"/>
    <xf numFmtId="41" fontId="37" fillId="0" borderId="0" xfId="9" applyNumberFormat="1" applyFont="1" applyFill="1"/>
    <xf numFmtId="169" fontId="37" fillId="0" borderId="0" xfId="13" applyNumberFormat="1" applyFont="1" applyFill="1"/>
    <xf numFmtId="6" fontId="37" fillId="0" borderId="0" xfId="2" applyNumberFormat="1" applyFont="1" applyFill="1"/>
    <xf numFmtId="175" fontId="31" fillId="0" borderId="0" xfId="9" applyFont="1" applyFill="1" applyAlignment="1">
      <alignment horizontal="left"/>
    </xf>
    <xf numFmtId="41" fontId="31" fillId="0" borderId="0" xfId="9" applyNumberFormat="1" applyFont="1" applyFill="1" applyAlignment="1">
      <alignment horizontal="center"/>
    </xf>
    <xf numFmtId="175" fontId="37" fillId="0" borderId="0" xfId="9" applyFont="1" applyFill="1"/>
    <xf numFmtId="41" fontId="37" fillId="0" borderId="0" xfId="9" applyNumberFormat="1" applyFont="1" applyFill="1" applyAlignment="1">
      <alignment horizontal="center"/>
    </xf>
    <xf numFmtId="169" fontId="31" fillId="0" borderId="0" xfId="9" applyNumberFormat="1" applyFont="1" applyFill="1"/>
    <xf numFmtId="164" fontId="35" fillId="0" borderId="0" xfId="9" applyNumberFormat="1" applyFont="1" applyFill="1" applyAlignment="1">
      <alignment horizontal="right"/>
    </xf>
    <xf numFmtId="175" fontId="33" fillId="0" borderId="0" xfId="9" applyFont="1" applyFill="1"/>
    <xf numFmtId="175" fontId="33" fillId="0" borderId="11" xfId="0" applyFont="1" applyFill="1" applyBorder="1" applyAlignment="1">
      <alignment horizontal="center"/>
    </xf>
    <xf numFmtId="175" fontId="33" fillId="0" borderId="8" xfId="9" applyFont="1" applyFill="1" applyBorder="1" applyAlignment="1">
      <alignment horizontal="centerContinuous"/>
    </xf>
    <xf numFmtId="175" fontId="31" fillId="0" borderId="5" xfId="0" applyFont="1" applyFill="1" applyBorder="1" applyAlignment="1">
      <alignment horizontal="centerContinuous"/>
    </xf>
    <xf numFmtId="175" fontId="31" fillId="0" borderId="17" xfId="0" applyFont="1" applyFill="1" applyBorder="1" applyAlignment="1">
      <alignment horizontal="centerContinuous"/>
    </xf>
    <xf numFmtId="172" fontId="31" fillId="0" borderId="0" xfId="2" applyNumberFormat="1" applyFont="1" applyFill="1"/>
    <xf numFmtId="164" fontId="31" fillId="0" borderId="0" xfId="1" applyNumberFormat="1" applyFont="1" applyFill="1"/>
    <xf numFmtId="177" fontId="31" fillId="0" borderId="0" xfId="0" applyNumberFormat="1" applyFont="1" applyFill="1" applyBorder="1"/>
    <xf numFmtId="9" fontId="31" fillId="0" borderId="0" xfId="0" applyNumberFormat="1" applyFont="1" applyFill="1"/>
    <xf numFmtId="169" fontId="31" fillId="0" borderId="0" xfId="0" applyNumberFormat="1" applyFont="1" applyFill="1"/>
    <xf numFmtId="43" fontId="31" fillId="0" borderId="0" xfId="1" applyFont="1" applyFill="1"/>
    <xf numFmtId="1" fontId="31" fillId="0" borderId="0" xfId="9" applyNumberFormat="1" applyFont="1" applyFill="1"/>
    <xf numFmtId="10" fontId="31" fillId="0" borderId="0" xfId="9" applyNumberFormat="1" applyFont="1" applyFill="1"/>
    <xf numFmtId="1" fontId="31" fillId="0" borderId="0" xfId="10" applyNumberFormat="1" applyFont="1" applyFill="1" applyAlignment="1" applyProtection="1">
      <alignment horizontal="center"/>
      <protection locked="0"/>
    </xf>
    <xf numFmtId="1" fontId="33" fillId="0" borderId="0" xfId="9" applyNumberFormat="1" applyFont="1" applyFill="1"/>
    <xf numFmtId="9" fontId="31" fillId="0" borderId="0" xfId="13" applyFont="1" applyFill="1"/>
    <xf numFmtId="164" fontId="31" fillId="0" borderId="0" xfId="0" applyNumberFormat="1" applyFont="1" applyFill="1"/>
    <xf numFmtId="175" fontId="33" fillId="0" borderId="19" xfId="0" applyFont="1" applyFill="1" applyBorder="1" applyAlignment="1">
      <alignment horizontal="centerContinuous" wrapText="1"/>
    </xf>
    <xf numFmtId="175" fontId="31" fillId="0" borderId="20" xfId="0" applyFont="1" applyFill="1" applyBorder="1" applyAlignment="1">
      <alignment horizontal="centerContinuous" wrapText="1"/>
    </xf>
    <xf numFmtId="175" fontId="31" fillId="0" borderId="22" xfId="0" applyFont="1" applyFill="1" applyBorder="1" applyAlignment="1">
      <alignment horizontal="centerContinuous" wrapText="1"/>
    </xf>
    <xf numFmtId="175" fontId="31" fillId="0" borderId="0" xfId="0" applyFont="1" applyFill="1" applyBorder="1"/>
    <xf numFmtId="175" fontId="35" fillId="0" borderId="10" xfId="9" quotePrefix="1" applyFont="1" applyFill="1" applyBorder="1" applyAlignment="1">
      <alignment horizontal="center" wrapText="1"/>
    </xf>
    <xf numFmtId="175" fontId="35" fillId="0" borderId="10" xfId="9" applyFont="1" applyFill="1" applyBorder="1" applyAlignment="1">
      <alignment horizontal="center" wrapText="1"/>
    </xf>
    <xf numFmtId="175" fontId="35" fillId="0" borderId="10" xfId="0" applyFont="1" applyFill="1" applyBorder="1" applyAlignment="1">
      <alignment horizontal="center" wrapText="1"/>
    </xf>
    <xf numFmtId="175" fontId="35" fillId="0" borderId="10" xfId="0" quotePrefix="1" applyFont="1" applyFill="1" applyBorder="1" applyAlignment="1">
      <alignment horizontal="center" wrapText="1"/>
    </xf>
    <xf numFmtId="175" fontId="5" fillId="0" borderId="35" xfId="0" applyFont="1" applyFill="1" applyBorder="1"/>
    <xf numFmtId="175" fontId="4" fillId="0" borderId="19" xfId="0" applyFont="1" applyFill="1" applyBorder="1" applyAlignment="1">
      <alignment horizontal="centerContinuous"/>
    </xf>
    <xf numFmtId="175" fontId="4" fillId="0" borderId="22" xfId="0" applyFont="1" applyFill="1" applyBorder="1" applyAlignment="1">
      <alignment horizontal="centerContinuous"/>
    </xf>
    <xf numFmtId="175" fontId="6" fillId="0" borderId="0" xfId="9" applyFont="1" applyFill="1" applyAlignment="1">
      <alignment horizontal="center"/>
    </xf>
    <xf numFmtId="175" fontId="0" fillId="0" borderId="0" xfId="9" applyFont="1" applyFill="1" applyAlignment="1">
      <alignment horizontal="center"/>
    </xf>
    <xf numFmtId="169" fontId="39" fillId="0" borderId="0" xfId="13" applyNumberFormat="1" applyFont="1" applyFill="1"/>
    <xf numFmtId="175" fontId="0" fillId="0" borderId="0" xfId="9" applyFont="1" applyFill="1" applyAlignment="1">
      <alignment horizontal="centerContinuous" wrapText="1"/>
    </xf>
    <xf numFmtId="167" fontId="0" fillId="8" borderId="0" xfId="9" applyNumberFormat="1" applyFont="1" applyFill="1" applyBorder="1" applyAlignment="1">
      <alignment horizontal="center"/>
    </xf>
    <xf numFmtId="175" fontId="4" fillId="0" borderId="46" xfId="0" applyFont="1" applyFill="1" applyBorder="1" applyAlignment="1">
      <alignment horizontal="center"/>
    </xf>
    <xf numFmtId="176" fontId="5" fillId="8" borderId="0" xfId="2" applyNumberFormat="1" applyFont="1" applyFill="1" applyBorder="1" applyAlignment="1">
      <alignment horizontal="center"/>
    </xf>
    <xf numFmtId="176" fontId="5" fillId="8" borderId="9" xfId="2" applyNumberFormat="1" applyFont="1" applyFill="1" applyBorder="1" applyAlignment="1">
      <alignment horizontal="center"/>
    </xf>
    <xf numFmtId="4" fontId="3" fillId="8" borderId="12" xfId="2" applyNumberFormat="1" applyFont="1" applyFill="1" applyBorder="1" applyAlignment="1">
      <alignment horizontal="center"/>
    </xf>
    <xf numFmtId="4" fontId="3" fillId="8" borderId="6" xfId="2" applyNumberFormat="1" applyFont="1" applyFill="1" applyBorder="1" applyAlignment="1">
      <alignment horizontal="center"/>
    </xf>
    <xf numFmtId="4" fontId="3" fillId="8" borderId="15" xfId="2" applyNumberFormat="1" applyFont="1" applyFill="1" applyBorder="1" applyAlignment="1">
      <alignment horizontal="center"/>
    </xf>
    <xf numFmtId="4" fontId="3" fillId="8" borderId="10" xfId="2" applyNumberFormat="1" applyFont="1" applyFill="1" applyBorder="1" applyAlignment="1">
      <alignment horizontal="center"/>
    </xf>
    <xf numFmtId="4" fontId="3" fillId="8" borderId="13" xfId="2" applyNumberFormat="1" applyFont="1" applyFill="1" applyBorder="1" applyAlignment="1">
      <alignment horizontal="center"/>
    </xf>
    <xf numFmtId="4" fontId="3" fillId="8" borderId="4" xfId="2" applyNumberFormat="1" applyFont="1" applyFill="1" applyBorder="1" applyAlignment="1">
      <alignment horizontal="center"/>
    </xf>
    <xf numFmtId="8" fontId="0" fillId="8" borderId="12" xfId="0" applyNumberFormat="1" applyFont="1" applyFill="1" applyBorder="1" applyAlignment="1">
      <alignment horizontal="center"/>
    </xf>
    <xf numFmtId="8" fontId="0" fillId="8" borderId="0" xfId="0" applyNumberFormat="1" applyFont="1" applyFill="1" applyBorder="1" applyAlignment="1">
      <alignment horizontal="center"/>
    </xf>
    <xf numFmtId="8" fontId="0" fillId="8" borderId="7" xfId="0" applyNumberFormat="1" applyFont="1" applyFill="1" applyBorder="1" applyAlignment="1">
      <alignment horizontal="center"/>
    </xf>
    <xf numFmtId="175" fontId="5" fillId="0" borderId="38" xfId="0" quotePrefix="1" applyFont="1" applyFill="1" applyBorder="1" applyAlignment="1">
      <alignment horizontal="centerContinuous"/>
    </xf>
    <xf numFmtId="175" fontId="31" fillId="0" borderId="0" xfId="18" applyFont="1" applyFill="1"/>
    <xf numFmtId="175" fontId="5" fillId="8" borderId="0" xfId="18" applyFont="1" applyFill="1"/>
    <xf numFmtId="175" fontId="4" fillId="8" borderId="0" xfId="18" applyFont="1" applyFill="1"/>
    <xf numFmtId="175" fontId="31" fillId="0" borderId="0" xfId="18" applyFont="1" applyFill="1" applyAlignment="1">
      <alignment horizontal="centerContinuous"/>
    </xf>
    <xf numFmtId="175" fontId="33" fillId="8" borderId="36" xfId="18" applyFont="1" applyFill="1" applyBorder="1" applyAlignment="1">
      <alignment horizontal="centerContinuous" wrapText="1"/>
    </xf>
    <xf numFmtId="175" fontId="4" fillId="8" borderId="11" xfId="18" applyFont="1" applyFill="1" applyBorder="1"/>
    <xf numFmtId="179" fontId="5" fillId="8" borderId="11" xfId="18" applyNumberFormat="1" applyFont="1" applyFill="1" applyBorder="1"/>
    <xf numFmtId="175" fontId="33" fillId="8" borderId="15" xfId="18" applyFont="1" applyFill="1" applyBorder="1" applyAlignment="1">
      <alignment horizontal="center"/>
    </xf>
    <xf numFmtId="175" fontId="33" fillId="8" borderId="9" xfId="18" applyFont="1" applyFill="1" applyBorder="1" applyAlignment="1">
      <alignment horizontal="center"/>
    </xf>
    <xf numFmtId="175" fontId="0" fillId="8" borderId="0" xfId="0" applyFill="1"/>
    <xf numFmtId="169" fontId="31" fillId="8" borderId="0" xfId="13" applyNumberFormat="1" applyFont="1" applyFill="1"/>
    <xf numFmtId="175" fontId="4" fillId="8" borderId="36" xfId="18" applyFont="1" applyFill="1" applyBorder="1" applyAlignment="1">
      <alignment horizontal="center" wrapText="1"/>
    </xf>
    <xf numFmtId="175" fontId="20" fillId="8" borderId="10" xfId="18" quotePrefix="1" applyFont="1" applyFill="1" applyBorder="1" applyAlignment="1">
      <alignment horizontal="center" wrapText="1"/>
    </xf>
    <xf numFmtId="175" fontId="0" fillId="8" borderId="0" xfId="9" quotePrefix="1" applyFont="1" applyFill="1" applyBorder="1" applyAlignment="1">
      <alignment horizontal="center"/>
    </xf>
    <xf numFmtId="175" fontId="0" fillId="8" borderId="0" xfId="0" applyFont="1" applyFill="1"/>
    <xf numFmtId="175" fontId="0" fillId="8" borderId="0" xfId="0" quotePrefix="1" applyFont="1" applyFill="1"/>
    <xf numFmtId="8" fontId="0" fillId="8" borderId="14" xfId="0" applyNumberFormat="1" applyFont="1" applyFill="1" applyBorder="1" applyAlignment="1">
      <alignment horizontal="center"/>
    </xf>
    <xf numFmtId="8" fontId="0" fillId="8" borderId="18" xfId="0" applyNumberFormat="1" applyFont="1" applyFill="1" applyBorder="1" applyAlignment="1">
      <alignment horizontal="center"/>
    </xf>
    <xf numFmtId="167" fontId="0" fillId="8" borderId="18" xfId="0" applyNumberFormat="1" applyFont="1" applyFill="1" applyBorder="1" applyAlignment="1">
      <alignment horizontal="center"/>
    </xf>
    <xf numFmtId="167" fontId="0" fillId="8" borderId="0" xfId="0" applyNumberFormat="1" applyFont="1" applyFill="1" applyBorder="1" applyAlignment="1">
      <alignment horizontal="center"/>
    </xf>
    <xf numFmtId="167" fontId="0" fillId="8" borderId="9" xfId="0" applyNumberFormat="1" applyFont="1" applyFill="1" applyBorder="1" applyAlignment="1">
      <alignment horizontal="center"/>
    </xf>
    <xf numFmtId="169" fontId="0" fillId="8" borderId="0" xfId="13" applyNumberFormat="1" applyFont="1" applyFill="1"/>
    <xf numFmtId="175" fontId="0" fillId="0" borderId="8" xfId="0" applyFont="1" applyFill="1" applyBorder="1" applyAlignment="1">
      <alignment horizontal="center"/>
    </xf>
    <xf numFmtId="175" fontId="0" fillId="0" borderId="5" xfId="0" applyFont="1" applyFill="1" applyBorder="1" applyAlignment="1">
      <alignment horizontal="center"/>
    </xf>
    <xf numFmtId="175" fontId="0" fillId="0" borderId="17" xfId="0" applyFont="1" applyFill="1" applyBorder="1" applyAlignment="1">
      <alignment horizontal="center"/>
    </xf>
    <xf numFmtId="175" fontId="0" fillId="0" borderId="0" xfId="9" applyFont="1" applyFill="1" applyAlignment="1">
      <alignment horizontal="left" wrapText="1"/>
    </xf>
    <xf numFmtId="175" fontId="4" fillId="8" borderId="0" xfId="18" applyFont="1" applyFill="1" applyAlignment="1">
      <alignment horizontal="center"/>
    </xf>
  </cellXfs>
  <cellStyles count="26">
    <cellStyle name="_x0013_" xfId="21"/>
    <cellStyle name="Comma" xfId="1" builtinId="3"/>
    <cellStyle name="Comma 2 2" xfId="23"/>
    <cellStyle name="Currency" xfId="2" builtinId="4"/>
    <cellStyle name="Currency 2" xfId="25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176" xfId="20"/>
    <cellStyle name="Normal 176 2" xfId="24"/>
    <cellStyle name="Normal 2" xfId="17"/>
    <cellStyle name="Normal_CG27 Official Base Case 03-31-05" xfId="22"/>
    <cellStyle name="Normal_DRR AC Study - Utah Valley - 53 MW 90 CF (2.28.2005)" xfId="7"/>
    <cellStyle name="Normal_INF_06_03_07" xfId="19"/>
    <cellStyle name="Normal_Or AC 2003 - AC Study - Fuel Indexed Avoided Costs" xfId="8"/>
    <cellStyle name="Normal_OR AC Sch 37 - AC  Study (Gold) _2009 06 19" xfId="9"/>
    <cellStyle name="Normal_T-INF-10-15-04-TEMPLATE" xfId="10"/>
    <cellStyle name="Normal_UT AC Sch 37 - L&amp;R  Study (Gold) _2009 06 19" xfId="11"/>
    <cellStyle name="Normal_WY AC 2009 - AC Study (Wind Study)_2009 08 11" xfId="18"/>
    <cellStyle name="Password" xfId="12"/>
    <cellStyle name="Percent" xfId="13" builtinId="5"/>
    <cellStyle name="Unprot" xfId="14"/>
    <cellStyle name="Unprot$" xfId="15"/>
    <cellStyle name="Unprotect" xfId="16"/>
  </cellStyles>
  <dxfs count="2"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cenario\UT%20Sch%2037%202015%2004%2017\UT%20Sch%2037%202015%20-%202a%20-%20L&amp;R%20%20Study%20_2015%2004%2017_CCadj_RofR_aM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cenario\UT%20Sch%2037%202014%20-%20AC%20Study%20_2014%2005%2002%20OFPC%201403_LowCO2_Updated%20for%20Reconsidera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cenario\UT%20Sch%2037%202014%20-%202a%20-%20L&amp;R%20%20Study%20_2014%2005%2004%201403%20OFPC%20Low%20CO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7-035-T07%20RMP%20PUBLIC%20Workpapers%2005-30-17.zip\17-035-T07%20RMP%20Wkpr%20-%20UPSC%20Ordered%20AC%20Study-Current%20Method-All%20Updates%2005-30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Summary_Resources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/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5">
          <cell r="C15">
            <v>41640</v>
          </cell>
          <cell r="D15">
            <v>41671</v>
          </cell>
          <cell r="E15">
            <v>41699</v>
          </cell>
          <cell r="F15">
            <v>41730</v>
          </cell>
          <cell r="G15">
            <v>41760</v>
          </cell>
          <cell r="H15">
            <v>41791</v>
          </cell>
          <cell r="I15">
            <v>41821</v>
          </cell>
          <cell r="J15">
            <v>41852</v>
          </cell>
          <cell r="K15">
            <v>41883</v>
          </cell>
          <cell r="L15">
            <v>41913</v>
          </cell>
          <cell r="M15">
            <v>41944</v>
          </cell>
          <cell r="N15">
            <v>41974</v>
          </cell>
          <cell r="O15">
            <v>42005</v>
          </cell>
          <cell r="P15">
            <v>42036</v>
          </cell>
          <cell r="Q15">
            <v>42064</v>
          </cell>
          <cell r="R15">
            <v>42095</v>
          </cell>
          <cell r="S15">
            <v>42125</v>
          </cell>
          <cell r="T15">
            <v>42156</v>
          </cell>
          <cell r="U15">
            <v>42186</v>
          </cell>
          <cell r="V15">
            <v>42217</v>
          </cell>
          <cell r="W15">
            <v>42248</v>
          </cell>
          <cell r="X15">
            <v>42278</v>
          </cell>
          <cell r="Y15">
            <v>42309</v>
          </cell>
          <cell r="Z15">
            <v>42339</v>
          </cell>
          <cell r="AA15">
            <v>42370</v>
          </cell>
          <cell r="AB15">
            <v>42401</v>
          </cell>
          <cell r="AC15">
            <v>42430</v>
          </cell>
          <cell r="AD15">
            <v>42461</v>
          </cell>
          <cell r="AE15">
            <v>42491</v>
          </cell>
          <cell r="AF15">
            <v>42522</v>
          </cell>
          <cell r="AG15">
            <v>42552</v>
          </cell>
          <cell r="AH15">
            <v>42583</v>
          </cell>
          <cell r="AI15">
            <v>42614</v>
          </cell>
          <cell r="AJ15">
            <v>42644</v>
          </cell>
          <cell r="AK15">
            <v>42675</v>
          </cell>
          <cell r="AL15">
            <v>42705</v>
          </cell>
          <cell r="AM15">
            <v>42736</v>
          </cell>
          <cell r="AN15">
            <v>42767</v>
          </cell>
          <cell r="AO15">
            <v>42795</v>
          </cell>
          <cell r="AP15">
            <v>42826</v>
          </cell>
          <cell r="AQ15">
            <v>42856</v>
          </cell>
          <cell r="AR15">
            <v>42887</v>
          </cell>
          <cell r="AS15">
            <v>42917</v>
          </cell>
          <cell r="AT15">
            <v>42948</v>
          </cell>
          <cell r="AU15">
            <v>42979</v>
          </cell>
          <cell r="AV15">
            <v>43009</v>
          </cell>
          <cell r="AW15">
            <v>43040</v>
          </cell>
          <cell r="AX15">
            <v>43070</v>
          </cell>
          <cell r="AY15">
            <v>43101</v>
          </cell>
          <cell r="AZ15">
            <v>43132</v>
          </cell>
          <cell r="BA15">
            <v>43160</v>
          </cell>
          <cell r="BB15">
            <v>43191</v>
          </cell>
          <cell r="BC15">
            <v>43221</v>
          </cell>
          <cell r="BD15">
            <v>43252</v>
          </cell>
          <cell r="BE15">
            <v>43282</v>
          </cell>
          <cell r="BF15">
            <v>43313</v>
          </cell>
          <cell r="BG15">
            <v>43344</v>
          </cell>
          <cell r="BH15">
            <v>43374</v>
          </cell>
          <cell r="BI15">
            <v>43405</v>
          </cell>
          <cell r="BJ15">
            <v>43435</v>
          </cell>
          <cell r="BK15">
            <v>43466</v>
          </cell>
          <cell r="BL15">
            <v>43497</v>
          </cell>
          <cell r="BM15">
            <v>43525</v>
          </cell>
          <cell r="BN15">
            <v>43556</v>
          </cell>
          <cell r="BO15">
            <v>43586</v>
          </cell>
          <cell r="BP15">
            <v>43617</v>
          </cell>
          <cell r="BQ15">
            <v>43647</v>
          </cell>
          <cell r="BR15">
            <v>43678</v>
          </cell>
          <cell r="BS15">
            <v>43709</v>
          </cell>
          <cell r="BT15">
            <v>43739</v>
          </cell>
          <cell r="BU15">
            <v>43770</v>
          </cell>
          <cell r="BV15">
            <v>43800</v>
          </cell>
          <cell r="BW15">
            <v>43831</v>
          </cell>
          <cell r="BX15">
            <v>43862</v>
          </cell>
          <cell r="BY15">
            <v>43891</v>
          </cell>
          <cell r="BZ15">
            <v>43922</v>
          </cell>
          <cell r="CA15">
            <v>43952</v>
          </cell>
          <cell r="CB15">
            <v>43983</v>
          </cell>
          <cell r="CC15">
            <v>44013</v>
          </cell>
          <cell r="CD15">
            <v>44044</v>
          </cell>
          <cell r="CE15">
            <v>44075</v>
          </cell>
          <cell r="CF15">
            <v>44105</v>
          </cell>
          <cell r="CG15">
            <v>44136</v>
          </cell>
          <cell r="CH15">
            <v>44166</v>
          </cell>
          <cell r="CI15">
            <v>44197</v>
          </cell>
          <cell r="CJ15">
            <v>44228</v>
          </cell>
          <cell r="CK15">
            <v>44256</v>
          </cell>
          <cell r="CL15">
            <v>44287</v>
          </cell>
          <cell r="CM15">
            <v>44317</v>
          </cell>
          <cell r="CN15">
            <v>44348</v>
          </cell>
          <cell r="CO15">
            <v>44378</v>
          </cell>
          <cell r="CP15">
            <v>44409</v>
          </cell>
          <cell r="CQ15">
            <v>44440</v>
          </cell>
          <cell r="CR15">
            <v>44470</v>
          </cell>
          <cell r="CS15">
            <v>44501</v>
          </cell>
          <cell r="CT15">
            <v>44531</v>
          </cell>
          <cell r="CU15">
            <v>44562</v>
          </cell>
          <cell r="CV15">
            <v>44593</v>
          </cell>
          <cell r="CW15">
            <v>44621</v>
          </cell>
          <cell r="CX15">
            <v>44652</v>
          </cell>
          <cell r="CY15">
            <v>44682</v>
          </cell>
          <cell r="CZ15">
            <v>44713</v>
          </cell>
          <cell r="DA15">
            <v>44743</v>
          </cell>
          <cell r="DB15">
            <v>44774</v>
          </cell>
          <cell r="DC15">
            <v>44805</v>
          </cell>
          <cell r="DD15">
            <v>44835</v>
          </cell>
          <cell r="DE15">
            <v>44866</v>
          </cell>
          <cell r="DF15">
            <v>44896</v>
          </cell>
          <cell r="DG15">
            <v>44927</v>
          </cell>
          <cell r="DH15">
            <v>44958</v>
          </cell>
          <cell r="DI15">
            <v>44986</v>
          </cell>
          <cell r="DJ15">
            <v>45017</v>
          </cell>
          <cell r="DK15">
            <v>45047</v>
          </cell>
          <cell r="DL15">
            <v>45078</v>
          </cell>
          <cell r="DM15">
            <v>45108</v>
          </cell>
          <cell r="DN15">
            <v>45139</v>
          </cell>
          <cell r="DO15">
            <v>45170</v>
          </cell>
          <cell r="DP15">
            <v>45200</v>
          </cell>
          <cell r="DQ15">
            <v>45231</v>
          </cell>
          <cell r="DR15">
            <v>45261</v>
          </cell>
          <cell r="DS15">
            <v>45292</v>
          </cell>
          <cell r="DT15">
            <v>45323</v>
          </cell>
          <cell r="DU15">
            <v>45352</v>
          </cell>
          <cell r="DV15">
            <v>45383</v>
          </cell>
          <cell r="DW15">
            <v>45413</v>
          </cell>
          <cell r="DX15">
            <v>45444</v>
          </cell>
          <cell r="DY15">
            <v>45474</v>
          </cell>
          <cell r="DZ15">
            <v>45505</v>
          </cell>
          <cell r="EA15">
            <v>45536</v>
          </cell>
          <cell r="EB15">
            <v>45566</v>
          </cell>
          <cell r="EC15">
            <v>45597</v>
          </cell>
          <cell r="ED15">
            <v>45627</v>
          </cell>
        </row>
        <row r="16">
          <cell r="C16">
            <v>416</v>
          </cell>
          <cell r="D16">
            <v>384</v>
          </cell>
          <cell r="E16">
            <v>416</v>
          </cell>
          <cell r="F16">
            <v>416</v>
          </cell>
          <cell r="G16">
            <v>416</v>
          </cell>
          <cell r="H16">
            <v>400</v>
          </cell>
          <cell r="I16">
            <v>416</v>
          </cell>
          <cell r="J16">
            <v>416</v>
          </cell>
          <cell r="K16">
            <v>400</v>
          </cell>
          <cell r="L16">
            <v>432</v>
          </cell>
          <cell r="M16">
            <v>384</v>
          </cell>
          <cell r="N16">
            <v>416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400</v>
          </cell>
          <cell r="T16">
            <v>416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  <cell r="AA16">
            <v>400</v>
          </cell>
          <cell r="AB16">
            <v>400</v>
          </cell>
          <cell r="AC16">
            <v>432</v>
          </cell>
          <cell r="AD16">
            <v>416</v>
          </cell>
          <cell r="AE16">
            <v>400</v>
          </cell>
          <cell r="AF16">
            <v>416</v>
          </cell>
          <cell r="AG16">
            <v>400</v>
          </cell>
          <cell r="AH16">
            <v>432</v>
          </cell>
          <cell r="AI16">
            <v>400</v>
          </cell>
          <cell r="AJ16">
            <v>416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432</v>
          </cell>
          <cell r="AP16">
            <v>400</v>
          </cell>
          <cell r="AQ16">
            <v>416</v>
          </cell>
          <cell r="AR16">
            <v>416</v>
          </cell>
          <cell r="AS16">
            <v>400</v>
          </cell>
          <cell r="AT16">
            <v>432</v>
          </cell>
          <cell r="AU16">
            <v>400</v>
          </cell>
          <cell r="AV16">
            <v>416</v>
          </cell>
          <cell r="AW16">
            <v>400</v>
          </cell>
          <cell r="AX16">
            <v>400</v>
          </cell>
          <cell r="AY16">
            <v>416</v>
          </cell>
          <cell r="AZ16">
            <v>384</v>
          </cell>
          <cell r="BA16">
            <v>432</v>
          </cell>
          <cell r="BB16">
            <v>400</v>
          </cell>
          <cell r="BC16">
            <v>416</v>
          </cell>
          <cell r="BD16">
            <v>416</v>
          </cell>
          <cell r="BE16">
            <v>400</v>
          </cell>
          <cell r="BF16">
            <v>432</v>
          </cell>
          <cell r="BG16">
            <v>384</v>
          </cell>
          <cell r="BH16">
            <v>432</v>
          </cell>
          <cell r="BI16">
            <v>400</v>
          </cell>
          <cell r="BJ16">
            <v>400</v>
          </cell>
          <cell r="BK16">
            <v>416</v>
          </cell>
          <cell r="BL16">
            <v>384</v>
          </cell>
          <cell r="BM16">
            <v>416</v>
          </cell>
          <cell r="BN16">
            <v>416</v>
          </cell>
          <cell r="BO16">
            <v>416</v>
          </cell>
          <cell r="BP16">
            <v>400</v>
          </cell>
          <cell r="BQ16">
            <v>416</v>
          </cell>
          <cell r="BR16">
            <v>432</v>
          </cell>
          <cell r="BS16">
            <v>384</v>
          </cell>
          <cell r="BT16">
            <v>432</v>
          </cell>
          <cell r="BU16">
            <v>400</v>
          </cell>
          <cell r="BV16">
            <v>400</v>
          </cell>
          <cell r="BW16">
            <v>416</v>
          </cell>
          <cell r="BX16">
            <v>400</v>
          </cell>
          <cell r="BY16">
            <v>416</v>
          </cell>
          <cell r="BZ16">
            <v>416</v>
          </cell>
          <cell r="CA16">
            <v>400</v>
          </cell>
          <cell r="CB16">
            <v>416</v>
          </cell>
          <cell r="CC16">
            <v>416</v>
          </cell>
          <cell r="CD16">
            <v>416</v>
          </cell>
          <cell r="CE16">
            <v>400</v>
          </cell>
          <cell r="CF16">
            <v>432</v>
          </cell>
          <cell r="CG16">
            <v>384</v>
          </cell>
          <cell r="CH16">
            <v>416</v>
          </cell>
          <cell r="CI16">
            <v>400</v>
          </cell>
          <cell r="CJ16">
            <v>384</v>
          </cell>
          <cell r="CK16">
            <v>432</v>
          </cell>
          <cell r="CL16">
            <v>416</v>
          </cell>
          <cell r="CM16">
            <v>400</v>
          </cell>
          <cell r="CN16">
            <v>416</v>
          </cell>
          <cell r="CO16">
            <v>416</v>
          </cell>
          <cell r="CP16">
            <v>416</v>
          </cell>
          <cell r="CQ16">
            <v>400</v>
          </cell>
          <cell r="CR16">
            <v>416</v>
          </cell>
          <cell r="CS16">
            <v>400</v>
          </cell>
          <cell r="CT16">
            <v>416</v>
          </cell>
          <cell r="CU16">
            <v>400</v>
          </cell>
          <cell r="CV16">
            <v>384</v>
          </cell>
          <cell r="CW16">
            <v>432</v>
          </cell>
          <cell r="CX16">
            <v>416</v>
          </cell>
          <cell r="CY16">
            <v>400</v>
          </cell>
          <cell r="CZ16">
            <v>416</v>
          </cell>
          <cell r="DA16">
            <v>400</v>
          </cell>
          <cell r="DB16">
            <v>432</v>
          </cell>
          <cell r="DC16">
            <v>400</v>
          </cell>
          <cell r="DD16">
            <v>416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400</v>
          </cell>
          <cell r="DK16">
            <v>416</v>
          </cell>
          <cell r="DL16">
            <v>416</v>
          </cell>
          <cell r="DM16">
            <v>400</v>
          </cell>
          <cell r="DN16">
            <v>432</v>
          </cell>
          <cell r="DO16">
            <v>400</v>
          </cell>
          <cell r="DP16">
            <v>416</v>
          </cell>
          <cell r="DQ16">
            <v>400</v>
          </cell>
          <cell r="DR16">
            <v>400</v>
          </cell>
          <cell r="DS16">
            <v>416</v>
          </cell>
          <cell r="DT16">
            <v>400</v>
          </cell>
          <cell r="DU16">
            <v>416</v>
          </cell>
          <cell r="DV16">
            <v>416</v>
          </cell>
          <cell r="DW16">
            <v>416</v>
          </cell>
          <cell r="DX16">
            <v>400</v>
          </cell>
          <cell r="DY16">
            <v>416</v>
          </cell>
          <cell r="DZ16">
            <v>432</v>
          </cell>
          <cell r="EA16">
            <v>384</v>
          </cell>
          <cell r="EB16">
            <v>432</v>
          </cell>
          <cell r="EC16">
            <v>400</v>
          </cell>
          <cell r="ED16">
            <v>400</v>
          </cell>
        </row>
        <row r="17">
          <cell r="C17">
            <v>328</v>
          </cell>
          <cell r="D17">
            <v>288</v>
          </cell>
          <cell r="E17">
            <v>328</v>
          </cell>
          <cell r="F17">
            <v>304</v>
          </cell>
          <cell r="G17">
            <v>328</v>
          </cell>
          <cell r="H17">
            <v>320</v>
          </cell>
          <cell r="I17">
            <v>328</v>
          </cell>
          <cell r="J17">
            <v>328</v>
          </cell>
          <cell r="K17">
            <v>320</v>
          </cell>
          <cell r="L17">
            <v>312</v>
          </cell>
          <cell r="M17">
            <v>336</v>
          </cell>
          <cell r="N17">
            <v>328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344</v>
          </cell>
          <cell r="T17">
            <v>304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  <cell r="AA17">
            <v>344</v>
          </cell>
          <cell r="AB17">
            <v>296</v>
          </cell>
          <cell r="AC17">
            <v>312</v>
          </cell>
          <cell r="AD17">
            <v>304</v>
          </cell>
          <cell r="AE17">
            <v>344</v>
          </cell>
          <cell r="AF17">
            <v>304</v>
          </cell>
          <cell r="AG17">
            <v>344</v>
          </cell>
          <cell r="AH17">
            <v>312</v>
          </cell>
          <cell r="AI17">
            <v>320</v>
          </cell>
          <cell r="AJ17">
            <v>328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312</v>
          </cell>
          <cell r="AP17">
            <v>320</v>
          </cell>
          <cell r="AQ17">
            <v>328</v>
          </cell>
          <cell r="AR17">
            <v>304</v>
          </cell>
          <cell r="AS17">
            <v>344</v>
          </cell>
          <cell r="AT17">
            <v>312</v>
          </cell>
          <cell r="AU17">
            <v>320</v>
          </cell>
          <cell r="AV17">
            <v>328</v>
          </cell>
          <cell r="AW17">
            <v>320</v>
          </cell>
          <cell r="AX17">
            <v>344</v>
          </cell>
          <cell r="AY17">
            <v>328</v>
          </cell>
          <cell r="AZ17">
            <v>288</v>
          </cell>
          <cell r="BA17">
            <v>312</v>
          </cell>
          <cell r="BB17">
            <v>320</v>
          </cell>
          <cell r="BC17">
            <v>328</v>
          </cell>
          <cell r="BD17">
            <v>304</v>
          </cell>
          <cell r="BE17">
            <v>344</v>
          </cell>
          <cell r="BF17">
            <v>312</v>
          </cell>
          <cell r="BG17">
            <v>336</v>
          </cell>
          <cell r="BH17">
            <v>312</v>
          </cell>
          <cell r="BI17">
            <v>320</v>
          </cell>
          <cell r="BJ17">
            <v>344</v>
          </cell>
          <cell r="BK17">
            <v>328</v>
          </cell>
          <cell r="BL17">
            <v>288</v>
          </cell>
          <cell r="BM17">
            <v>328</v>
          </cell>
          <cell r="BN17">
            <v>304</v>
          </cell>
          <cell r="BO17">
            <v>328</v>
          </cell>
          <cell r="BP17">
            <v>320</v>
          </cell>
          <cell r="BQ17">
            <v>328</v>
          </cell>
          <cell r="BR17">
            <v>312</v>
          </cell>
          <cell r="BS17">
            <v>336</v>
          </cell>
          <cell r="BT17">
            <v>312</v>
          </cell>
          <cell r="BU17">
            <v>320</v>
          </cell>
          <cell r="BV17">
            <v>344</v>
          </cell>
          <cell r="BW17">
            <v>328</v>
          </cell>
          <cell r="BX17">
            <v>296</v>
          </cell>
          <cell r="BY17">
            <v>328</v>
          </cell>
          <cell r="BZ17">
            <v>304</v>
          </cell>
          <cell r="CA17">
            <v>344</v>
          </cell>
          <cell r="CB17">
            <v>304</v>
          </cell>
          <cell r="CC17">
            <v>328</v>
          </cell>
          <cell r="CD17">
            <v>328</v>
          </cell>
          <cell r="CE17">
            <v>320</v>
          </cell>
          <cell r="CF17">
            <v>312</v>
          </cell>
          <cell r="CG17">
            <v>336</v>
          </cell>
          <cell r="CH17">
            <v>328</v>
          </cell>
          <cell r="CI17">
            <v>344</v>
          </cell>
          <cell r="CJ17">
            <v>288</v>
          </cell>
          <cell r="CK17">
            <v>312</v>
          </cell>
          <cell r="CL17">
            <v>304</v>
          </cell>
          <cell r="CM17">
            <v>344</v>
          </cell>
          <cell r="CN17">
            <v>304</v>
          </cell>
          <cell r="CO17">
            <v>328</v>
          </cell>
          <cell r="CP17">
            <v>328</v>
          </cell>
          <cell r="CQ17">
            <v>320</v>
          </cell>
          <cell r="CR17">
            <v>328</v>
          </cell>
          <cell r="CS17">
            <v>320</v>
          </cell>
          <cell r="CT17">
            <v>328</v>
          </cell>
          <cell r="CU17">
            <v>344</v>
          </cell>
          <cell r="CV17">
            <v>288</v>
          </cell>
          <cell r="CW17">
            <v>312</v>
          </cell>
          <cell r="CX17">
            <v>304</v>
          </cell>
          <cell r="CY17">
            <v>344</v>
          </cell>
          <cell r="CZ17">
            <v>304</v>
          </cell>
          <cell r="DA17">
            <v>344</v>
          </cell>
          <cell r="DB17">
            <v>312</v>
          </cell>
          <cell r="DC17">
            <v>320</v>
          </cell>
          <cell r="DD17">
            <v>328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320</v>
          </cell>
          <cell r="DK17">
            <v>328</v>
          </cell>
          <cell r="DL17">
            <v>304</v>
          </cell>
          <cell r="DM17">
            <v>344</v>
          </cell>
          <cell r="DN17">
            <v>312</v>
          </cell>
          <cell r="DO17">
            <v>320</v>
          </cell>
          <cell r="DP17">
            <v>328</v>
          </cell>
          <cell r="DQ17">
            <v>320</v>
          </cell>
          <cell r="DR17">
            <v>344</v>
          </cell>
          <cell r="DS17">
            <v>328</v>
          </cell>
          <cell r="DT17">
            <v>296</v>
          </cell>
          <cell r="DU17">
            <v>328</v>
          </cell>
          <cell r="DV17">
            <v>304</v>
          </cell>
          <cell r="DW17">
            <v>328</v>
          </cell>
          <cell r="DX17">
            <v>320</v>
          </cell>
          <cell r="DY17">
            <v>328</v>
          </cell>
          <cell r="DZ17">
            <v>312</v>
          </cell>
          <cell r="EA17">
            <v>336</v>
          </cell>
          <cell r="EB17">
            <v>312</v>
          </cell>
          <cell r="EC17">
            <v>320</v>
          </cell>
          <cell r="ED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696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672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696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672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696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328</v>
          </cell>
          <cell r="D19">
            <v>288</v>
          </cell>
          <cell r="E19">
            <v>327</v>
          </cell>
          <cell r="F19">
            <v>304</v>
          </cell>
          <cell r="G19">
            <v>328</v>
          </cell>
          <cell r="H19">
            <v>320</v>
          </cell>
          <cell r="I19">
            <v>328</v>
          </cell>
          <cell r="J19">
            <v>328</v>
          </cell>
          <cell r="K19">
            <v>320</v>
          </cell>
          <cell r="L19">
            <v>312</v>
          </cell>
          <cell r="M19">
            <v>337</v>
          </cell>
          <cell r="N19">
            <v>328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344</v>
          </cell>
          <cell r="T19">
            <v>304</v>
          </cell>
          <cell r="U19">
            <v>328</v>
          </cell>
          <cell r="V19">
            <v>328</v>
          </cell>
          <cell r="W19">
            <v>320</v>
          </cell>
          <cell r="X19">
            <v>312</v>
          </cell>
          <cell r="Y19">
            <v>337</v>
          </cell>
          <cell r="Z19">
            <v>328</v>
          </cell>
          <cell r="AA19">
            <v>344</v>
          </cell>
          <cell r="AB19">
            <v>296</v>
          </cell>
          <cell r="AC19">
            <v>311</v>
          </cell>
          <cell r="AD19">
            <v>304</v>
          </cell>
          <cell r="AE19">
            <v>344</v>
          </cell>
          <cell r="AF19">
            <v>304</v>
          </cell>
          <cell r="AG19">
            <v>344</v>
          </cell>
          <cell r="AH19">
            <v>312</v>
          </cell>
          <cell r="AI19">
            <v>320</v>
          </cell>
          <cell r="AJ19">
            <v>328</v>
          </cell>
          <cell r="AK19">
            <v>321</v>
          </cell>
          <cell r="AL19">
            <v>328</v>
          </cell>
          <cell r="AM19">
            <v>344</v>
          </cell>
          <cell r="AN19">
            <v>288</v>
          </cell>
          <cell r="AO19">
            <v>311</v>
          </cell>
          <cell r="AP19">
            <v>320</v>
          </cell>
          <cell r="AQ19">
            <v>328</v>
          </cell>
          <cell r="AR19">
            <v>304</v>
          </cell>
          <cell r="AS19">
            <v>344</v>
          </cell>
          <cell r="AT19">
            <v>312</v>
          </cell>
          <cell r="AU19">
            <v>320</v>
          </cell>
          <cell r="AV19">
            <v>328</v>
          </cell>
          <cell r="AW19">
            <v>321</v>
          </cell>
          <cell r="AX19">
            <v>344</v>
          </cell>
          <cell r="AY19">
            <v>328</v>
          </cell>
          <cell r="AZ19">
            <v>288</v>
          </cell>
          <cell r="BA19">
            <v>311</v>
          </cell>
          <cell r="BB19">
            <v>320</v>
          </cell>
          <cell r="BC19">
            <v>328</v>
          </cell>
          <cell r="BD19">
            <v>304</v>
          </cell>
          <cell r="BE19">
            <v>344</v>
          </cell>
          <cell r="BF19">
            <v>312</v>
          </cell>
          <cell r="BG19">
            <v>336</v>
          </cell>
          <cell r="BH19">
            <v>312</v>
          </cell>
          <cell r="BI19">
            <v>321</v>
          </cell>
          <cell r="BJ19">
            <v>344</v>
          </cell>
          <cell r="BK19">
            <v>328</v>
          </cell>
          <cell r="BL19">
            <v>288</v>
          </cell>
          <cell r="BM19">
            <v>327</v>
          </cell>
          <cell r="BN19">
            <v>304</v>
          </cell>
          <cell r="BO19">
            <v>328</v>
          </cell>
          <cell r="BP19">
            <v>320</v>
          </cell>
          <cell r="BQ19">
            <v>328</v>
          </cell>
          <cell r="BR19">
            <v>312</v>
          </cell>
          <cell r="BS19">
            <v>336</v>
          </cell>
          <cell r="BT19">
            <v>312</v>
          </cell>
          <cell r="BU19">
            <v>321</v>
          </cell>
          <cell r="BV19">
            <v>344</v>
          </cell>
          <cell r="BW19">
            <v>328</v>
          </cell>
          <cell r="BX19">
            <v>296</v>
          </cell>
          <cell r="BY19">
            <v>327</v>
          </cell>
          <cell r="BZ19">
            <v>304</v>
          </cell>
          <cell r="CA19">
            <v>344</v>
          </cell>
          <cell r="CB19">
            <v>304</v>
          </cell>
          <cell r="CC19">
            <v>328</v>
          </cell>
          <cell r="CD19">
            <v>328</v>
          </cell>
          <cell r="CE19">
            <v>320</v>
          </cell>
          <cell r="CF19">
            <v>312</v>
          </cell>
          <cell r="CG19">
            <v>337</v>
          </cell>
          <cell r="CH19">
            <v>328</v>
          </cell>
          <cell r="CI19">
            <v>344</v>
          </cell>
          <cell r="CJ19">
            <v>288</v>
          </cell>
          <cell r="CK19">
            <v>311</v>
          </cell>
          <cell r="CL19">
            <v>304</v>
          </cell>
          <cell r="CM19">
            <v>344</v>
          </cell>
          <cell r="CN19">
            <v>304</v>
          </cell>
          <cell r="CO19">
            <v>328</v>
          </cell>
          <cell r="CP19">
            <v>328</v>
          </cell>
          <cell r="CQ19">
            <v>320</v>
          </cell>
          <cell r="CR19">
            <v>328</v>
          </cell>
          <cell r="CS19">
            <v>321</v>
          </cell>
          <cell r="CT19">
            <v>328</v>
          </cell>
          <cell r="CU19">
            <v>344</v>
          </cell>
          <cell r="CV19">
            <v>288</v>
          </cell>
          <cell r="CW19">
            <v>311</v>
          </cell>
          <cell r="CX19">
            <v>304</v>
          </cell>
          <cell r="CY19">
            <v>344</v>
          </cell>
          <cell r="CZ19">
            <v>304</v>
          </cell>
          <cell r="DA19">
            <v>344</v>
          </cell>
          <cell r="DB19">
            <v>312</v>
          </cell>
          <cell r="DC19">
            <v>320</v>
          </cell>
          <cell r="DD19">
            <v>328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320</v>
          </cell>
          <cell r="DK19">
            <v>328</v>
          </cell>
          <cell r="DL19">
            <v>304</v>
          </cell>
          <cell r="DM19">
            <v>344</v>
          </cell>
          <cell r="DN19">
            <v>312</v>
          </cell>
          <cell r="DO19">
            <v>320</v>
          </cell>
          <cell r="DP19">
            <v>328</v>
          </cell>
          <cell r="DQ19">
            <v>321</v>
          </cell>
          <cell r="DR19">
            <v>344</v>
          </cell>
          <cell r="DS19">
            <v>328</v>
          </cell>
          <cell r="DT19">
            <v>296</v>
          </cell>
          <cell r="DU19">
            <v>327</v>
          </cell>
          <cell r="DV19">
            <v>304</v>
          </cell>
          <cell r="DW19">
            <v>328</v>
          </cell>
          <cell r="DX19">
            <v>320</v>
          </cell>
          <cell r="DY19">
            <v>328</v>
          </cell>
          <cell r="DZ19">
            <v>312</v>
          </cell>
          <cell r="EA19">
            <v>336</v>
          </cell>
          <cell r="EB19">
            <v>312</v>
          </cell>
          <cell r="EC19">
            <v>321</v>
          </cell>
          <cell r="ED19">
            <v>344</v>
          </cell>
        </row>
        <row r="20">
          <cell r="C20">
            <v>744</v>
          </cell>
          <cell r="D20">
            <v>672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696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672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696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672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696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Wind"/>
      <sheetName val="Tariff Page Solar Fixed"/>
      <sheetName val="Tariff Page Solar Tracking"/>
      <sheetName val="OFPC Source"/>
      <sheetName val="Compare-Internal 1"/>
      <sheetName val="High Level Brief 1"/>
      <sheetName val="Compare-Internal 2"/>
      <sheetName val="High Level Brief 2"/>
      <sheetName val="Reconsideration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4">
          <cell r="C24">
            <v>2</v>
          </cell>
        </row>
      </sheetData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D4">
            <v>0.85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1">
          <cell r="M1" t="str">
            <v>UT Sch 37 2014 - 2a - L&amp;R  Study _2014 05 04 1403 OFPC Low CO2.xlsm</v>
          </cell>
        </row>
        <row r="7">
          <cell r="D7" t="str">
            <v>Ut Sch 37 - 05a - Base Case _2014 05 04 (L&amp;R)</v>
          </cell>
        </row>
      </sheetData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>
        <row r="8">
          <cell r="A8" t="str">
            <v>REQUIREMENTS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Contract (HLH)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C15">
            <v>41275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OFPC Source"/>
    </sheetNames>
    <sheetDataSet>
      <sheetData sheetId="0"/>
      <sheetData sheetId="1">
        <row r="11">
          <cell r="G11">
            <v>16.730142763370853</v>
          </cell>
          <cell r="H11">
            <v>21.361463677102037</v>
          </cell>
          <cell r="I11">
            <v>21.781842187748001</v>
          </cell>
          <cell r="J11">
            <v>18.752897047245256</v>
          </cell>
          <cell r="K11">
            <v>18.65760167506874</v>
          </cell>
          <cell r="L11">
            <v>19.126036073480631</v>
          </cell>
          <cell r="M11">
            <v>21.41758140278279</v>
          </cell>
        </row>
        <row r="12">
          <cell r="B12">
            <v>21.524631583862888</v>
          </cell>
          <cell r="C12">
            <v>18.995553266150612</v>
          </cell>
          <cell r="D12">
            <v>18.371424300213576</v>
          </cell>
          <cell r="E12">
            <v>16.465393763817847</v>
          </cell>
          <cell r="F12">
            <v>15.154195937646493</v>
          </cell>
          <cell r="G12">
            <v>16.891157066395714</v>
          </cell>
          <cell r="H12">
            <v>25.799394175578509</v>
          </cell>
          <cell r="I12">
            <v>22.249440148869351</v>
          </cell>
          <cell r="J12">
            <v>19.633237370881769</v>
          </cell>
          <cell r="K12">
            <v>19.798074941649553</v>
          </cell>
          <cell r="L12">
            <v>18.386656672048073</v>
          </cell>
          <cell r="M12">
            <v>21.731309706501424</v>
          </cell>
        </row>
        <row r="13">
          <cell r="B13">
            <v>16.208112565223729</v>
          </cell>
          <cell r="C13">
            <v>17.755582289836617</v>
          </cell>
          <cell r="D13">
            <v>17.084495305768666</v>
          </cell>
          <cell r="E13">
            <v>16.212313039385609</v>
          </cell>
          <cell r="F13">
            <v>16.057410999002958</v>
          </cell>
          <cell r="G13">
            <v>15.813903385456651</v>
          </cell>
          <cell r="H13">
            <v>26.586321052704609</v>
          </cell>
          <cell r="I13">
            <v>22.268610881160825</v>
          </cell>
          <cell r="J13">
            <v>18.549244093485175</v>
          </cell>
          <cell r="K13">
            <v>18.53173346736779</v>
          </cell>
          <cell r="L13">
            <v>16.402622063075089</v>
          </cell>
          <cell r="M13">
            <v>20.309154808561328</v>
          </cell>
        </row>
        <row r="14">
          <cell r="B14">
            <v>18.357503535682635</v>
          </cell>
          <cell r="C14">
            <v>20.554561945873623</v>
          </cell>
          <cell r="D14">
            <v>15.363864867140849</v>
          </cell>
          <cell r="E14">
            <v>14.791939988432246</v>
          </cell>
          <cell r="F14">
            <v>14.873933240897474</v>
          </cell>
          <cell r="G14">
            <v>15.452796620174</v>
          </cell>
          <cell r="H14">
            <v>26.862263542485813</v>
          </cell>
          <cell r="I14">
            <v>21.350731889839455</v>
          </cell>
          <cell r="J14">
            <v>17.946302020015818</v>
          </cell>
          <cell r="K14">
            <v>18.936554196671214</v>
          </cell>
          <cell r="L14">
            <v>17.86371287142444</v>
          </cell>
          <cell r="M14">
            <v>23.032137037733548</v>
          </cell>
        </row>
        <row r="15">
          <cell r="B15">
            <v>20.894848073822676</v>
          </cell>
          <cell r="C15">
            <v>20.074211104990294</v>
          </cell>
          <cell r="D15">
            <v>18.347201139509917</v>
          </cell>
          <cell r="E15">
            <v>15.904585465519792</v>
          </cell>
          <cell r="F15">
            <v>16.188659726976546</v>
          </cell>
          <cell r="G15">
            <v>16.595074217725131</v>
          </cell>
          <cell r="H15">
            <v>28.85045435033258</v>
          </cell>
          <cell r="I15">
            <v>24.26771784411563</v>
          </cell>
          <cell r="J15">
            <v>19.69451358752325</v>
          </cell>
          <cell r="K15">
            <v>20.558788806075849</v>
          </cell>
          <cell r="L15">
            <v>19.710180555530307</v>
          </cell>
          <cell r="M15">
            <v>23.988109663349167</v>
          </cell>
        </row>
        <row r="16">
          <cell r="B16">
            <v>22.053752437820759</v>
          </cell>
          <cell r="C16">
            <v>20.20987565965569</v>
          </cell>
          <cell r="D16">
            <v>19.059761325430166</v>
          </cell>
          <cell r="E16">
            <v>16.454052613038154</v>
          </cell>
          <cell r="F16">
            <v>18.259438826564338</v>
          </cell>
          <cell r="G16">
            <v>18.052347804645283</v>
          </cell>
          <cell r="H16">
            <v>33.114987653349679</v>
          </cell>
          <cell r="I16">
            <v>25.089152204004989</v>
          </cell>
          <cell r="J16">
            <v>21.473638954593074</v>
          </cell>
          <cell r="K16">
            <v>23.554549742193633</v>
          </cell>
          <cell r="L16">
            <v>17.578631546077215</v>
          </cell>
          <cell r="M16">
            <v>27.372758281731638</v>
          </cell>
        </row>
        <row r="17">
          <cell r="B17">
            <v>25.467957443002891</v>
          </cell>
          <cell r="C17">
            <v>21.601213323746691</v>
          </cell>
          <cell r="D17">
            <v>21.498258504001122</v>
          </cell>
          <cell r="E17">
            <v>17.999397672634156</v>
          </cell>
          <cell r="F17">
            <v>21.749721786329744</v>
          </cell>
          <cell r="G17">
            <v>20.447664427715871</v>
          </cell>
          <cell r="H17">
            <v>36.677486655640827</v>
          </cell>
          <cell r="I17">
            <v>16.894025773126433</v>
          </cell>
          <cell r="J17">
            <v>35.26036393104949</v>
          </cell>
          <cell r="K17">
            <v>27.23774795641782</v>
          </cell>
          <cell r="L17">
            <v>24.237367620147349</v>
          </cell>
          <cell r="M17">
            <v>30.461711748224754</v>
          </cell>
        </row>
        <row r="18">
          <cell r="B18">
            <v>28.088833492225216</v>
          </cell>
          <cell r="C18">
            <v>27.054373892068508</v>
          </cell>
          <cell r="D18">
            <v>23.58602907900368</v>
          </cell>
          <cell r="E18">
            <v>21.321857897173615</v>
          </cell>
          <cell r="F18">
            <v>22.83241386654316</v>
          </cell>
          <cell r="G18">
            <v>20.99270509035637</v>
          </cell>
          <cell r="H18">
            <v>39.1675143304331</v>
          </cell>
          <cell r="I18">
            <v>31.823798859988649</v>
          </cell>
          <cell r="J18">
            <v>32.441020402827611</v>
          </cell>
          <cell r="K18">
            <v>26.425339210135562</v>
          </cell>
          <cell r="L18">
            <v>23.651196371855008</v>
          </cell>
          <cell r="M18">
            <v>31.670421779744569</v>
          </cell>
        </row>
        <row r="19">
          <cell r="B19">
            <v>30.551228785719122</v>
          </cell>
          <cell r="C19">
            <v>58.910433200476248</v>
          </cell>
          <cell r="D19">
            <v>23.93463399408245</v>
          </cell>
          <cell r="E19">
            <v>22.00552653671139</v>
          </cell>
          <cell r="F19">
            <v>23.344187926186589</v>
          </cell>
          <cell r="G19">
            <v>23.090925984076328</v>
          </cell>
          <cell r="H19">
            <v>40.252031075605942</v>
          </cell>
          <cell r="I19">
            <v>31.600752183330314</v>
          </cell>
          <cell r="J19">
            <v>26.705478579087391</v>
          </cell>
          <cell r="K19">
            <v>29.460055839819134</v>
          </cell>
          <cell r="L19">
            <v>25.23950909965982</v>
          </cell>
          <cell r="M19">
            <v>30.247998481171745</v>
          </cell>
        </row>
        <row r="20">
          <cell r="B20">
            <v>28.109976501502498</v>
          </cell>
          <cell r="C20">
            <v>27.056989180074915</v>
          </cell>
          <cell r="D20">
            <v>25.577406381351011</v>
          </cell>
          <cell r="E20">
            <v>24.396300053228106</v>
          </cell>
          <cell r="F20">
            <v>25.020286894986224</v>
          </cell>
          <cell r="G20">
            <v>24.327809220486216</v>
          </cell>
          <cell r="H20">
            <v>42.031680969036714</v>
          </cell>
          <cell r="I20">
            <v>33.667066813664889</v>
          </cell>
          <cell r="J20">
            <v>26.6378093312867</v>
          </cell>
          <cell r="K20">
            <v>28.743979839842407</v>
          </cell>
          <cell r="L20">
            <v>25.474525895149757</v>
          </cell>
          <cell r="M20">
            <v>28.333972092209162</v>
          </cell>
        </row>
        <row r="21">
          <cell r="B21">
            <v>31.868686075788993</v>
          </cell>
          <cell r="C21">
            <v>32.570875987406261</v>
          </cell>
          <cell r="D21">
            <v>29.52809549266853</v>
          </cell>
          <cell r="E21">
            <v>28.212006471419915</v>
          </cell>
          <cell r="F21">
            <v>29.744854645042491</v>
          </cell>
          <cell r="G21">
            <v>28.807161549354593</v>
          </cell>
          <cell r="H21">
            <v>47.263786234426242</v>
          </cell>
          <cell r="I21">
            <v>42.646440385534397</v>
          </cell>
          <cell r="J21">
            <v>34.080994556782144</v>
          </cell>
          <cell r="K21">
            <v>34.7581553783468</v>
          </cell>
          <cell r="L21">
            <v>31.840142303030525</v>
          </cell>
          <cell r="M21">
            <v>41.370836592397545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67"/>
  <sheetViews>
    <sheetView zoomScale="80" zoomScaleNormal="80" workbookViewId="0">
      <selection activeCell="B6" sqref="B6"/>
    </sheetView>
  </sheetViews>
  <sheetFormatPr defaultRowHeight="12.75" x14ac:dyDescent="0.2"/>
  <cols>
    <col min="2" max="2" width="51.5" customWidth="1"/>
    <col min="3" max="3" width="0" hidden="1" customWidth="1"/>
    <col min="4" max="4" width="11" customWidth="1"/>
    <col min="5" max="5" width="10.5" customWidth="1"/>
    <col min="6" max="6" width="10.33203125" customWidth="1"/>
    <col min="7" max="7" width="10.83203125" customWidth="1"/>
    <col min="8" max="8" width="11" customWidth="1"/>
    <col min="16" max="16" width="9.83203125" customWidth="1"/>
    <col min="17" max="17" width="10.5" hidden="1" customWidth="1"/>
    <col min="18" max="18" width="12.83203125" hidden="1" customWidth="1"/>
    <col min="19" max="19" width="10.33203125" hidden="1" customWidth="1"/>
    <col min="20" max="20" width="11" hidden="1" customWidth="1"/>
    <col min="21" max="21" width="11.6640625" hidden="1" customWidth="1"/>
    <col min="22" max="22" width="10" hidden="1" customWidth="1"/>
    <col min="23" max="23" width="10.5" hidden="1" customWidth="1"/>
    <col min="24" max="24" width="10" hidden="1" customWidth="1"/>
    <col min="25" max="25" width="1.33203125" customWidth="1"/>
  </cols>
  <sheetData>
    <row r="1" spans="1:24" s="30" customFormat="1" ht="15.75" x14ac:dyDescent="0.25">
      <c r="B1" s="29" t="s">
        <v>71</v>
      </c>
      <c r="C1" s="29"/>
      <c r="D1" s="29"/>
      <c r="E1" s="29"/>
      <c r="F1" s="29"/>
      <c r="G1" s="29"/>
      <c r="H1" s="29"/>
      <c r="I1" s="29"/>
      <c r="J1" s="29"/>
      <c r="K1" s="29"/>
      <c r="L1" s="131"/>
      <c r="M1" s="131"/>
      <c r="N1" s="131"/>
      <c r="O1" s="131"/>
      <c r="P1" s="131"/>
      <c r="Q1" s="131"/>
      <c r="R1" s="131"/>
    </row>
    <row r="2" spans="1:24" s="30" customFormat="1" ht="15.75" x14ac:dyDescent="0.25">
      <c r="B2" s="112" t="s">
        <v>123</v>
      </c>
      <c r="C2" s="29"/>
      <c r="D2" s="29"/>
      <c r="E2" s="29"/>
      <c r="F2" s="29"/>
      <c r="G2" s="29"/>
      <c r="H2" s="29"/>
      <c r="I2" s="29"/>
      <c r="J2" s="29"/>
      <c r="K2" s="29"/>
      <c r="L2" s="131"/>
      <c r="M2" s="131"/>
      <c r="N2" s="131"/>
      <c r="O2" s="131"/>
      <c r="P2" s="131"/>
      <c r="Q2" s="131"/>
      <c r="R2" s="131"/>
    </row>
    <row r="3" spans="1:24" s="30" customFormat="1" ht="15.75" x14ac:dyDescent="0.25">
      <c r="B3" s="112" t="s">
        <v>280</v>
      </c>
      <c r="C3" s="29"/>
      <c r="D3" s="29"/>
      <c r="E3" s="29"/>
      <c r="F3" s="29"/>
      <c r="G3" s="29"/>
      <c r="H3" s="29"/>
      <c r="I3" s="29"/>
      <c r="J3" s="29"/>
      <c r="K3" s="29"/>
      <c r="L3" s="131"/>
      <c r="M3" s="131"/>
      <c r="N3" s="131"/>
      <c r="O3" s="131"/>
      <c r="P3" s="131"/>
      <c r="Q3" s="131"/>
      <c r="R3" s="131"/>
    </row>
    <row r="5" spans="1:24" ht="15.75" x14ac:dyDescent="0.2">
      <c r="A5" s="291"/>
      <c r="B5" s="292"/>
      <c r="C5" s="293"/>
      <c r="D5" s="293"/>
      <c r="E5" s="293"/>
      <c r="F5" s="294"/>
      <c r="G5" s="294"/>
      <c r="H5" s="293"/>
      <c r="I5" s="293"/>
      <c r="J5" s="295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</row>
    <row r="6" spans="1:24" ht="18.75" x14ac:dyDescent="0.25">
      <c r="A6" s="151"/>
      <c r="B6" s="152"/>
      <c r="C6" s="153" t="s">
        <v>156</v>
      </c>
      <c r="D6" s="153" t="s">
        <v>156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317" t="s">
        <v>175</v>
      </c>
      <c r="X6" s="318"/>
    </row>
    <row r="7" spans="1:24" ht="15.75" x14ac:dyDescent="0.25">
      <c r="A7" s="155"/>
      <c r="B7" s="319" t="s">
        <v>157</v>
      </c>
      <c r="C7" s="320">
        <v>2015</v>
      </c>
      <c r="D7" s="321">
        <v>2016</v>
      </c>
      <c r="E7" s="321">
        <v>2017</v>
      </c>
      <c r="F7" s="321">
        <v>2018</v>
      </c>
      <c r="G7" s="321">
        <v>2019</v>
      </c>
      <c r="H7" s="321">
        <v>2020</v>
      </c>
      <c r="I7" s="321">
        <v>2021</v>
      </c>
      <c r="J7" s="321">
        <v>2022</v>
      </c>
      <c r="K7" s="321">
        <v>2023</v>
      </c>
      <c r="L7" s="321">
        <v>2024</v>
      </c>
      <c r="M7" s="321">
        <v>2025</v>
      </c>
      <c r="N7" s="321">
        <v>2026</v>
      </c>
      <c r="O7" s="321">
        <v>2027</v>
      </c>
      <c r="P7" s="321">
        <v>2028</v>
      </c>
      <c r="Q7" s="321">
        <v>2029</v>
      </c>
      <c r="R7" s="321">
        <v>2030</v>
      </c>
      <c r="S7" s="321">
        <v>2031</v>
      </c>
      <c r="T7" s="321">
        <v>2032</v>
      </c>
      <c r="U7" s="321">
        <v>2033</v>
      </c>
      <c r="V7" s="321">
        <v>2034</v>
      </c>
      <c r="W7" s="322" t="s">
        <v>176</v>
      </c>
      <c r="X7" s="322" t="s">
        <v>177</v>
      </c>
    </row>
    <row r="8" spans="1:24" hidden="1" x14ac:dyDescent="0.2">
      <c r="A8" s="323" t="s">
        <v>158</v>
      </c>
      <c r="B8" s="324" t="s">
        <v>159</v>
      </c>
      <c r="C8" s="325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7"/>
      <c r="W8" s="325"/>
      <c r="X8" s="327"/>
    </row>
    <row r="9" spans="1:24" ht="15.75" hidden="1" x14ac:dyDescent="0.25">
      <c r="A9" s="156"/>
      <c r="B9" s="328" t="s">
        <v>231</v>
      </c>
      <c r="C9" s="296">
        <v>0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296">
        <v>0</v>
      </c>
      <c r="M9" s="296">
        <v>0</v>
      </c>
      <c r="N9" s="296">
        <v>0</v>
      </c>
      <c r="O9" s="296">
        <v>0</v>
      </c>
      <c r="P9" s="296">
        <v>0</v>
      </c>
      <c r="Q9" s="296">
        <v>0</v>
      </c>
      <c r="R9" s="296">
        <v>0</v>
      </c>
      <c r="S9" s="296">
        <v>-44.56</v>
      </c>
      <c r="T9" s="296">
        <v>0</v>
      </c>
      <c r="U9" s="296">
        <v>0</v>
      </c>
      <c r="V9" s="296">
        <v>0</v>
      </c>
      <c r="W9" s="296">
        <v>0</v>
      </c>
      <c r="X9" s="296">
        <v>-44.56</v>
      </c>
    </row>
    <row r="10" spans="1:24" ht="15.75" hidden="1" x14ac:dyDescent="0.25">
      <c r="A10" s="156"/>
      <c r="B10" s="328" t="s">
        <v>232</v>
      </c>
      <c r="C10" s="296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0</v>
      </c>
      <c r="M10" s="296">
        <v>0</v>
      </c>
      <c r="N10" s="296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-32.68</v>
      </c>
      <c r="T10" s="296">
        <v>0</v>
      </c>
      <c r="U10" s="296">
        <v>0</v>
      </c>
      <c r="V10" s="296">
        <v>0</v>
      </c>
      <c r="W10" s="296">
        <v>0</v>
      </c>
      <c r="X10" s="296">
        <v>-32.68</v>
      </c>
    </row>
    <row r="11" spans="1:24" ht="15.75" hidden="1" x14ac:dyDescent="0.25">
      <c r="A11" s="156"/>
      <c r="B11" s="328" t="s">
        <v>233</v>
      </c>
      <c r="C11" s="296">
        <v>0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-269</v>
      </c>
      <c r="V11" s="296">
        <v>0</v>
      </c>
      <c r="W11" s="296">
        <v>0</v>
      </c>
      <c r="X11" s="296">
        <v>-269</v>
      </c>
    </row>
    <row r="12" spans="1:24" ht="15.75" hidden="1" x14ac:dyDescent="0.25">
      <c r="A12" s="156"/>
      <c r="B12" s="328" t="s">
        <v>234</v>
      </c>
      <c r="C12" s="296">
        <v>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296">
        <v>0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-450</v>
      </c>
      <c r="S12" s="296">
        <v>0</v>
      </c>
      <c r="T12" s="296">
        <v>0</v>
      </c>
      <c r="U12" s="296">
        <v>0</v>
      </c>
      <c r="V12" s="296">
        <v>0</v>
      </c>
      <c r="W12" s="296">
        <v>0</v>
      </c>
      <c r="X12" s="296">
        <v>-450</v>
      </c>
    </row>
    <row r="13" spans="1:24" ht="15.75" hidden="1" x14ac:dyDescent="0.25">
      <c r="A13" s="156"/>
      <c r="B13" s="328" t="s">
        <v>235</v>
      </c>
      <c r="C13" s="296">
        <v>-67</v>
      </c>
      <c r="D13" s="296">
        <v>0</v>
      </c>
      <c r="E13" s="296">
        <v>0</v>
      </c>
      <c r="F13" s="296">
        <v>0</v>
      </c>
      <c r="G13" s="296">
        <v>0</v>
      </c>
      <c r="H13" s="296">
        <v>0</v>
      </c>
      <c r="I13" s="296">
        <v>0</v>
      </c>
      <c r="J13" s="296">
        <v>0</v>
      </c>
      <c r="K13" s="296">
        <v>0</v>
      </c>
      <c r="L13" s="296">
        <v>0</v>
      </c>
      <c r="M13" s="296">
        <v>0</v>
      </c>
      <c r="N13" s="296">
        <v>0</v>
      </c>
      <c r="O13" s="296">
        <v>0</v>
      </c>
      <c r="P13" s="296">
        <v>0</v>
      </c>
      <c r="Q13" s="296">
        <v>0</v>
      </c>
      <c r="R13" s="296">
        <v>0</v>
      </c>
      <c r="S13" s="296">
        <v>0</v>
      </c>
      <c r="T13" s="296">
        <v>0</v>
      </c>
      <c r="U13" s="296">
        <v>0</v>
      </c>
      <c r="V13" s="296">
        <v>0</v>
      </c>
      <c r="W13" s="296">
        <v>-67</v>
      </c>
      <c r="X13" s="296">
        <v>-67</v>
      </c>
    </row>
    <row r="14" spans="1:24" ht="15.75" hidden="1" x14ac:dyDescent="0.25">
      <c r="A14" s="156"/>
      <c r="B14" s="328" t="s">
        <v>236</v>
      </c>
      <c r="C14" s="296">
        <v>-105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296">
        <v>0</v>
      </c>
      <c r="M14" s="296">
        <v>0</v>
      </c>
      <c r="N14" s="296">
        <v>0</v>
      </c>
      <c r="O14" s="296">
        <v>0</v>
      </c>
      <c r="P14" s="296">
        <v>0</v>
      </c>
      <c r="Q14" s="296">
        <v>0</v>
      </c>
      <c r="R14" s="296">
        <v>0</v>
      </c>
      <c r="S14" s="296">
        <v>0</v>
      </c>
      <c r="T14" s="296">
        <v>0</v>
      </c>
      <c r="U14" s="296">
        <v>0</v>
      </c>
      <c r="V14" s="296">
        <v>0</v>
      </c>
      <c r="W14" s="296">
        <v>-105</v>
      </c>
      <c r="X14" s="296">
        <v>-105</v>
      </c>
    </row>
    <row r="15" spans="1:24" ht="15.75" hidden="1" x14ac:dyDescent="0.25">
      <c r="A15" s="156"/>
      <c r="B15" s="328" t="s">
        <v>237</v>
      </c>
      <c r="C15" s="296">
        <v>0</v>
      </c>
      <c r="D15" s="296">
        <v>0</v>
      </c>
      <c r="E15" s="296">
        <v>0</v>
      </c>
      <c r="F15" s="296">
        <v>0</v>
      </c>
      <c r="G15" s="296">
        <v>0</v>
      </c>
      <c r="H15" s="296">
        <v>0</v>
      </c>
      <c r="I15" s="296">
        <v>0</v>
      </c>
      <c r="J15" s="296">
        <v>0</v>
      </c>
      <c r="K15" s="296">
        <v>0</v>
      </c>
      <c r="L15" s="296">
        <v>0</v>
      </c>
      <c r="M15" s="296">
        <v>-387</v>
      </c>
      <c r="N15" s="296">
        <v>0</v>
      </c>
      <c r="O15" s="296">
        <v>0</v>
      </c>
      <c r="P15" s="296">
        <v>0</v>
      </c>
      <c r="Q15" s="296">
        <v>0</v>
      </c>
      <c r="R15" s="296">
        <v>0</v>
      </c>
      <c r="S15" s="296">
        <v>0</v>
      </c>
      <c r="T15" s="296">
        <v>0</v>
      </c>
      <c r="U15" s="296">
        <v>0</v>
      </c>
      <c r="V15" s="296">
        <v>0</v>
      </c>
      <c r="W15" s="296">
        <v>0</v>
      </c>
      <c r="X15" s="296">
        <v>-387</v>
      </c>
    </row>
    <row r="16" spans="1:24" ht="15.75" hidden="1" x14ac:dyDescent="0.25">
      <c r="A16" s="156"/>
      <c r="B16" s="328" t="s">
        <v>238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0</v>
      </c>
      <c r="I16" s="296">
        <v>0</v>
      </c>
      <c r="J16" s="296">
        <v>0</v>
      </c>
      <c r="K16" s="296">
        <v>0</v>
      </c>
      <c r="L16" s="296">
        <v>0</v>
      </c>
      <c r="M16" s="296">
        <v>0</v>
      </c>
      <c r="N16" s="296">
        <v>0</v>
      </c>
      <c r="O16" s="296">
        <v>0</v>
      </c>
      <c r="P16" s="296">
        <v>-106</v>
      </c>
      <c r="Q16" s="296">
        <v>0</v>
      </c>
      <c r="R16" s="296">
        <v>0</v>
      </c>
      <c r="S16" s="296">
        <v>0</v>
      </c>
      <c r="T16" s="296">
        <v>0</v>
      </c>
      <c r="U16" s="296">
        <v>0</v>
      </c>
      <c r="V16" s="296">
        <v>0</v>
      </c>
      <c r="W16" s="296">
        <v>0</v>
      </c>
      <c r="X16" s="296">
        <v>-106</v>
      </c>
    </row>
    <row r="17" spans="1:24" ht="15.75" hidden="1" x14ac:dyDescent="0.25">
      <c r="A17" s="156"/>
      <c r="B17" s="328" t="s">
        <v>239</v>
      </c>
      <c r="C17" s="296">
        <v>0</v>
      </c>
      <c r="D17" s="296">
        <v>0</v>
      </c>
      <c r="E17" s="296">
        <v>0</v>
      </c>
      <c r="F17" s="296">
        <v>0</v>
      </c>
      <c r="G17" s="296">
        <v>0</v>
      </c>
      <c r="H17" s="296">
        <v>0</v>
      </c>
      <c r="I17" s="296">
        <v>0</v>
      </c>
      <c r="J17" s="296">
        <v>0</v>
      </c>
      <c r="K17" s="296">
        <v>0</v>
      </c>
      <c r="L17" s="296">
        <v>0</v>
      </c>
      <c r="M17" s="296">
        <v>0</v>
      </c>
      <c r="N17" s="296">
        <v>0</v>
      </c>
      <c r="O17" s="296">
        <v>0</v>
      </c>
      <c r="P17" s="296">
        <v>-106</v>
      </c>
      <c r="Q17" s="296">
        <v>0</v>
      </c>
      <c r="R17" s="296">
        <v>0</v>
      </c>
      <c r="S17" s="296">
        <v>0</v>
      </c>
      <c r="T17" s="296">
        <v>0</v>
      </c>
      <c r="U17" s="296">
        <v>0</v>
      </c>
      <c r="V17" s="296">
        <v>0</v>
      </c>
      <c r="W17" s="296">
        <v>0</v>
      </c>
      <c r="X17" s="296">
        <v>-106</v>
      </c>
    </row>
    <row r="18" spans="1:24" ht="15.75" hidden="1" x14ac:dyDescent="0.25">
      <c r="A18" s="156"/>
      <c r="B18" s="328" t="s">
        <v>240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296">
        <v>0</v>
      </c>
      <c r="N18" s="296">
        <v>0</v>
      </c>
      <c r="O18" s="296">
        <v>0</v>
      </c>
      <c r="P18" s="296">
        <v>-220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96">
        <v>0</v>
      </c>
      <c r="W18" s="296">
        <v>0</v>
      </c>
      <c r="X18" s="296">
        <v>-220</v>
      </c>
    </row>
    <row r="19" spans="1:24" ht="15.75" hidden="1" x14ac:dyDescent="0.25">
      <c r="A19" s="156"/>
      <c r="B19" s="328" t="s">
        <v>241</v>
      </c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6">
        <v>0</v>
      </c>
      <c r="O19" s="296">
        <v>0</v>
      </c>
      <c r="P19" s="296">
        <v>-330</v>
      </c>
      <c r="Q19" s="296">
        <v>0</v>
      </c>
      <c r="R19" s="296">
        <v>0</v>
      </c>
      <c r="S19" s="296">
        <v>0</v>
      </c>
      <c r="T19" s="296">
        <v>0</v>
      </c>
      <c r="U19" s="296">
        <v>0</v>
      </c>
      <c r="V19" s="296">
        <v>0</v>
      </c>
      <c r="W19" s="296">
        <v>0</v>
      </c>
      <c r="X19" s="296">
        <v>-330</v>
      </c>
    </row>
    <row r="20" spans="1:24" ht="15.75" hidden="1" x14ac:dyDescent="0.25">
      <c r="A20" s="156"/>
      <c r="B20" s="328" t="s">
        <v>242</v>
      </c>
      <c r="C20" s="296">
        <v>0</v>
      </c>
      <c r="D20" s="296">
        <v>0</v>
      </c>
      <c r="E20" s="296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296">
        <v>0</v>
      </c>
      <c r="L20" s="296">
        <v>0</v>
      </c>
      <c r="M20" s="296">
        <v>0</v>
      </c>
      <c r="N20" s="296">
        <v>0</v>
      </c>
      <c r="O20" s="296">
        <v>0</v>
      </c>
      <c r="P20" s="296">
        <v>0</v>
      </c>
      <c r="Q20" s="296">
        <v>0</v>
      </c>
      <c r="R20" s="296">
        <v>-156</v>
      </c>
      <c r="S20" s="296">
        <v>0</v>
      </c>
      <c r="T20" s="296">
        <v>0</v>
      </c>
      <c r="U20" s="296">
        <v>0</v>
      </c>
      <c r="V20" s="296">
        <v>0</v>
      </c>
      <c r="W20" s="296">
        <v>0</v>
      </c>
      <c r="X20" s="296">
        <v>-156</v>
      </c>
    </row>
    <row r="21" spans="1:24" ht="15.75" hidden="1" x14ac:dyDescent="0.25">
      <c r="A21" s="156"/>
      <c r="B21" s="328" t="s">
        <v>243</v>
      </c>
      <c r="C21" s="296">
        <v>0</v>
      </c>
      <c r="D21" s="296">
        <v>0</v>
      </c>
      <c r="E21" s="296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296">
        <v>0</v>
      </c>
      <c r="L21" s="296">
        <v>0</v>
      </c>
      <c r="M21" s="296">
        <v>0</v>
      </c>
      <c r="N21" s="296">
        <v>0</v>
      </c>
      <c r="O21" s="296">
        <v>0</v>
      </c>
      <c r="P21" s="296">
        <v>0</v>
      </c>
      <c r="Q21" s="296">
        <v>0</v>
      </c>
      <c r="R21" s="296">
        <v>-201</v>
      </c>
      <c r="S21" s="296">
        <v>0</v>
      </c>
      <c r="T21" s="296">
        <v>0</v>
      </c>
      <c r="U21" s="296">
        <v>0</v>
      </c>
      <c r="V21" s="296">
        <v>0</v>
      </c>
      <c r="W21" s="296">
        <v>0</v>
      </c>
      <c r="X21" s="296">
        <v>-201</v>
      </c>
    </row>
    <row r="22" spans="1:24" ht="15.75" hidden="1" x14ac:dyDescent="0.25">
      <c r="A22" s="156"/>
      <c r="B22" s="328" t="s">
        <v>244</v>
      </c>
      <c r="C22" s="296">
        <v>-50</v>
      </c>
      <c r="D22" s="296">
        <v>0</v>
      </c>
      <c r="E22" s="296">
        <v>0</v>
      </c>
      <c r="F22" s="296">
        <v>-280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296">
        <v>0</v>
      </c>
      <c r="M22" s="296">
        <v>0</v>
      </c>
      <c r="N22" s="296">
        <v>0</v>
      </c>
      <c r="O22" s="296">
        <v>0</v>
      </c>
      <c r="P22" s="296">
        <v>0</v>
      </c>
      <c r="Q22" s="296">
        <v>0</v>
      </c>
      <c r="R22" s="296">
        <v>0</v>
      </c>
      <c r="S22" s="296">
        <v>0</v>
      </c>
      <c r="T22" s="296">
        <v>0</v>
      </c>
      <c r="U22" s="296">
        <v>0</v>
      </c>
      <c r="V22" s="296">
        <v>0</v>
      </c>
      <c r="W22" s="296">
        <v>-330</v>
      </c>
      <c r="X22" s="296">
        <v>-330</v>
      </c>
    </row>
    <row r="23" spans="1:24" ht="15.75" hidden="1" x14ac:dyDescent="0.25">
      <c r="A23" s="156"/>
      <c r="B23" s="328" t="s">
        <v>245</v>
      </c>
      <c r="C23" s="297">
        <v>0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  <c r="K23" s="297">
        <v>0</v>
      </c>
      <c r="L23" s="297">
        <v>0</v>
      </c>
      <c r="M23" s="297">
        <v>0</v>
      </c>
      <c r="N23" s="297">
        <v>0</v>
      </c>
      <c r="O23" s="297">
        <v>0</v>
      </c>
      <c r="P23" s="297">
        <v>0</v>
      </c>
      <c r="Q23" s="297">
        <v>0</v>
      </c>
      <c r="R23" s="297">
        <v>0</v>
      </c>
      <c r="S23" s="297">
        <v>0</v>
      </c>
      <c r="T23" s="297">
        <v>0</v>
      </c>
      <c r="U23" s="297">
        <v>-357.5</v>
      </c>
      <c r="V23" s="297">
        <v>0</v>
      </c>
      <c r="W23" s="296">
        <v>0</v>
      </c>
      <c r="X23" s="296">
        <v>-357.5</v>
      </c>
    </row>
    <row r="24" spans="1:24" ht="15.75" hidden="1" x14ac:dyDescent="0.25">
      <c r="A24" s="157"/>
      <c r="B24" s="329" t="s">
        <v>160</v>
      </c>
      <c r="C24" s="297">
        <v>0</v>
      </c>
      <c r="D24" s="297">
        <v>0</v>
      </c>
      <c r="E24" s="297">
        <v>0</v>
      </c>
      <c r="F24" s="297">
        <v>0</v>
      </c>
      <c r="G24" s="297">
        <v>0</v>
      </c>
      <c r="H24" s="297">
        <v>0</v>
      </c>
      <c r="I24" s="297">
        <v>0</v>
      </c>
      <c r="J24" s="297">
        <v>0</v>
      </c>
      <c r="K24" s="297">
        <v>0</v>
      </c>
      <c r="L24" s="297">
        <v>0</v>
      </c>
      <c r="M24" s="297">
        <v>0</v>
      </c>
      <c r="N24" s="297">
        <v>0</v>
      </c>
      <c r="O24" s="297">
        <v>0</v>
      </c>
      <c r="P24" s="297">
        <v>0</v>
      </c>
      <c r="Q24" s="297">
        <v>0</v>
      </c>
      <c r="R24" s="297">
        <v>0</v>
      </c>
      <c r="S24" s="297">
        <v>0</v>
      </c>
      <c r="T24" s="297">
        <v>0</v>
      </c>
      <c r="U24" s="297">
        <v>0</v>
      </c>
      <c r="V24" s="297">
        <v>0</v>
      </c>
      <c r="W24" s="296">
        <v>0</v>
      </c>
      <c r="X24" s="296">
        <v>0</v>
      </c>
    </row>
    <row r="25" spans="1:24" x14ac:dyDescent="0.2">
      <c r="A25" s="156" t="str">
        <f>A8</f>
        <v>East</v>
      </c>
      <c r="B25" s="324" t="s">
        <v>161</v>
      </c>
      <c r="C25" s="325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7"/>
      <c r="W25" s="162"/>
      <c r="X25" s="163"/>
    </row>
    <row r="26" spans="1:24" ht="15.75" x14ac:dyDescent="0.25">
      <c r="A26" s="157"/>
      <c r="B26" s="298" t="s">
        <v>266</v>
      </c>
      <c r="C26" s="297">
        <v>0</v>
      </c>
      <c r="D26" s="297">
        <v>0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0</v>
      </c>
      <c r="K26" s="297">
        <v>0</v>
      </c>
      <c r="L26" s="297">
        <v>0</v>
      </c>
      <c r="M26" s="297">
        <v>0</v>
      </c>
      <c r="N26" s="297">
        <v>0</v>
      </c>
      <c r="O26" s="297">
        <v>0</v>
      </c>
      <c r="P26" s="311">
        <v>635</v>
      </c>
      <c r="Q26" s="297">
        <v>0</v>
      </c>
      <c r="R26" s="297">
        <v>0</v>
      </c>
      <c r="S26" s="297">
        <v>0</v>
      </c>
      <c r="T26" s="297">
        <v>0</v>
      </c>
      <c r="U26" s="297">
        <v>0</v>
      </c>
      <c r="V26" s="297">
        <v>0</v>
      </c>
      <c r="W26" s="296">
        <v>0</v>
      </c>
      <c r="X26" s="296">
        <v>635</v>
      </c>
    </row>
    <row r="27" spans="1:24" ht="15.75" x14ac:dyDescent="0.25">
      <c r="A27" s="157"/>
      <c r="B27" s="298" t="s">
        <v>267</v>
      </c>
      <c r="C27" s="297">
        <v>0</v>
      </c>
      <c r="D27" s="297">
        <v>0</v>
      </c>
      <c r="E27" s="297">
        <v>0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297">
        <v>0</v>
      </c>
      <c r="M27" s="297">
        <v>0</v>
      </c>
      <c r="N27" s="297">
        <v>0</v>
      </c>
      <c r="O27" s="297">
        <v>0</v>
      </c>
      <c r="P27" s="297">
        <v>0</v>
      </c>
      <c r="Q27" s="297">
        <v>0</v>
      </c>
      <c r="R27" s="297">
        <v>0</v>
      </c>
      <c r="S27" s="297">
        <v>0</v>
      </c>
      <c r="T27" s="297">
        <v>0</v>
      </c>
      <c r="U27" s="297">
        <v>423</v>
      </c>
      <c r="V27" s="297">
        <v>0</v>
      </c>
      <c r="W27" s="296">
        <v>0</v>
      </c>
      <c r="X27" s="296">
        <v>423</v>
      </c>
    </row>
    <row r="28" spans="1:24" ht="16.5" thickBot="1" x14ac:dyDescent="0.3">
      <c r="A28" s="157"/>
      <c r="B28" s="298" t="s">
        <v>268</v>
      </c>
      <c r="C28" s="297">
        <v>0</v>
      </c>
      <c r="D28" s="297">
        <v>0</v>
      </c>
      <c r="E28" s="297">
        <v>0</v>
      </c>
      <c r="F28" s="297">
        <v>0</v>
      </c>
      <c r="G28" s="297">
        <v>0</v>
      </c>
      <c r="H28" s="297">
        <v>0</v>
      </c>
      <c r="I28" s="297">
        <v>0</v>
      </c>
      <c r="J28" s="297">
        <v>0</v>
      </c>
      <c r="K28" s="297">
        <v>0</v>
      </c>
      <c r="L28" s="297">
        <v>0</v>
      </c>
      <c r="M28" s="297">
        <v>0</v>
      </c>
      <c r="N28" s="297">
        <v>0</v>
      </c>
      <c r="O28" s="297">
        <v>0</v>
      </c>
      <c r="P28" s="297">
        <v>0</v>
      </c>
      <c r="Q28" s="297">
        <v>0</v>
      </c>
      <c r="R28" s="297">
        <v>635</v>
      </c>
      <c r="S28" s="297">
        <v>0</v>
      </c>
      <c r="T28" s="297">
        <v>0</v>
      </c>
      <c r="U28" s="297">
        <v>0</v>
      </c>
      <c r="V28" s="297">
        <v>0</v>
      </c>
      <c r="W28" s="296">
        <v>0</v>
      </c>
      <c r="X28" s="296">
        <v>635</v>
      </c>
    </row>
    <row r="29" spans="1:24" ht="16.5" thickBot="1" x14ac:dyDescent="0.3">
      <c r="A29" s="157"/>
      <c r="B29" s="299" t="s">
        <v>246</v>
      </c>
      <c r="C29" s="300">
        <v>0</v>
      </c>
      <c r="D29" s="300">
        <v>0</v>
      </c>
      <c r="E29" s="300">
        <v>0</v>
      </c>
      <c r="F29" s="300">
        <v>0</v>
      </c>
      <c r="G29" s="300">
        <v>0</v>
      </c>
      <c r="H29" s="300">
        <v>0</v>
      </c>
      <c r="I29" s="300">
        <v>0</v>
      </c>
      <c r="J29" s="300">
        <v>0</v>
      </c>
      <c r="K29" s="300">
        <v>0</v>
      </c>
      <c r="L29" s="300">
        <v>0</v>
      </c>
      <c r="M29" s="300">
        <v>0</v>
      </c>
      <c r="N29" s="300">
        <v>0</v>
      </c>
      <c r="O29" s="300">
        <v>0</v>
      </c>
      <c r="P29" s="300">
        <v>635</v>
      </c>
      <c r="Q29" s="300">
        <v>0</v>
      </c>
      <c r="R29" s="300">
        <v>635</v>
      </c>
      <c r="S29" s="300">
        <v>0</v>
      </c>
      <c r="T29" s="300">
        <v>0</v>
      </c>
      <c r="U29" s="300">
        <v>423</v>
      </c>
      <c r="V29" s="300">
        <v>0</v>
      </c>
      <c r="W29" s="300">
        <v>0</v>
      </c>
      <c r="X29" s="300">
        <v>1693</v>
      </c>
    </row>
    <row r="30" spans="1:24" ht="15.75" hidden="1" x14ac:dyDescent="0.25">
      <c r="A30" s="157"/>
      <c r="B30" s="301" t="s">
        <v>269</v>
      </c>
      <c r="C30" s="302">
        <v>0</v>
      </c>
      <c r="D30" s="302">
        <v>0</v>
      </c>
      <c r="E30" s="302">
        <v>0</v>
      </c>
      <c r="F30" s="302">
        <v>0</v>
      </c>
      <c r="G30" s="302">
        <v>0</v>
      </c>
      <c r="H30" s="302">
        <v>0</v>
      </c>
      <c r="I30" s="302">
        <v>0</v>
      </c>
      <c r="J30" s="302">
        <v>0</v>
      </c>
      <c r="K30" s="302">
        <v>0</v>
      </c>
      <c r="L30" s="302">
        <v>0</v>
      </c>
      <c r="M30" s="302">
        <v>0</v>
      </c>
      <c r="N30" s="302">
        <v>0</v>
      </c>
      <c r="O30" s="302">
        <v>0</v>
      </c>
      <c r="P30" s="302">
        <v>0</v>
      </c>
      <c r="Q30" s="302">
        <v>0</v>
      </c>
      <c r="R30" s="302">
        <v>0</v>
      </c>
      <c r="S30" s="302">
        <v>0</v>
      </c>
      <c r="T30" s="302">
        <v>0</v>
      </c>
      <c r="U30" s="302">
        <v>0</v>
      </c>
      <c r="V30" s="302">
        <v>2.31</v>
      </c>
      <c r="W30" s="303">
        <v>0</v>
      </c>
      <c r="X30" s="303">
        <v>2.31</v>
      </c>
    </row>
    <row r="31" spans="1:24" ht="15.75" hidden="1" x14ac:dyDescent="0.25">
      <c r="A31" s="157"/>
      <c r="B31" s="301" t="s">
        <v>270</v>
      </c>
      <c r="C31" s="302">
        <v>0</v>
      </c>
      <c r="D31" s="302">
        <v>0</v>
      </c>
      <c r="E31" s="302">
        <v>0</v>
      </c>
      <c r="F31" s="302">
        <v>0</v>
      </c>
      <c r="G31" s="302">
        <v>0</v>
      </c>
      <c r="H31" s="302">
        <v>0</v>
      </c>
      <c r="I31" s="302">
        <v>0</v>
      </c>
      <c r="J31" s="302">
        <v>0</v>
      </c>
      <c r="K31" s="302">
        <v>0</v>
      </c>
      <c r="L31" s="302">
        <v>0</v>
      </c>
      <c r="M31" s="302">
        <v>12.41</v>
      </c>
      <c r="N31" s="302">
        <v>0</v>
      </c>
      <c r="O31" s="302">
        <v>4.0199999999999996</v>
      </c>
      <c r="P31" s="302">
        <v>0</v>
      </c>
      <c r="Q31" s="302">
        <v>0</v>
      </c>
      <c r="R31" s="302">
        <v>3.53</v>
      </c>
      <c r="S31" s="302">
        <v>0</v>
      </c>
      <c r="T31" s="302">
        <v>0</v>
      </c>
      <c r="U31" s="302">
        <v>4.59</v>
      </c>
      <c r="V31" s="302">
        <v>1.38</v>
      </c>
      <c r="W31" s="303">
        <v>0</v>
      </c>
      <c r="X31" s="303">
        <v>25.93</v>
      </c>
    </row>
    <row r="32" spans="1:24" ht="15.75" hidden="1" x14ac:dyDescent="0.25">
      <c r="A32" s="157"/>
      <c r="B32" s="301" t="s">
        <v>271</v>
      </c>
      <c r="C32" s="302">
        <v>0</v>
      </c>
      <c r="D32" s="302">
        <v>0</v>
      </c>
      <c r="E32" s="302">
        <v>0</v>
      </c>
      <c r="F32" s="302">
        <v>0</v>
      </c>
      <c r="G32" s="302">
        <v>0</v>
      </c>
      <c r="H32" s="302">
        <v>0</v>
      </c>
      <c r="I32" s="302">
        <v>0</v>
      </c>
      <c r="J32" s="302">
        <v>0</v>
      </c>
      <c r="K32" s="302">
        <v>0</v>
      </c>
      <c r="L32" s="302">
        <v>0</v>
      </c>
      <c r="M32" s="302">
        <v>0</v>
      </c>
      <c r="N32" s="302">
        <v>0</v>
      </c>
      <c r="O32" s="302">
        <v>0</v>
      </c>
      <c r="P32" s="302">
        <v>0</v>
      </c>
      <c r="Q32" s="302">
        <v>0</v>
      </c>
      <c r="R32" s="302">
        <v>0</v>
      </c>
      <c r="S32" s="302">
        <v>0</v>
      </c>
      <c r="T32" s="302">
        <v>0</v>
      </c>
      <c r="U32" s="302">
        <v>0</v>
      </c>
      <c r="V32" s="302">
        <v>6</v>
      </c>
      <c r="W32" s="303">
        <v>0</v>
      </c>
      <c r="X32" s="303">
        <v>6</v>
      </c>
    </row>
    <row r="33" spans="1:24" ht="15.75" hidden="1" x14ac:dyDescent="0.25">
      <c r="A33" s="157"/>
      <c r="B33" s="301" t="s">
        <v>247</v>
      </c>
      <c r="C33" s="302">
        <v>0</v>
      </c>
      <c r="D33" s="302">
        <v>0</v>
      </c>
      <c r="E33" s="302">
        <v>0</v>
      </c>
      <c r="F33" s="302">
        <v>0</v>
      </c>
      <c r="G33" s="302">
        <v>0</v>
      </c>
      <c r="H33" s="302">
        <v>0</v>
      </c>
      <c r="I33" s="302">
        <v>0</v>
      </c>
      <c r="J33" s="302">
        <v>0</v>
      </c>
      <c r="K33" s="302">
        <v>0</v>
      </c>
      <c r="L33" s="302">
        <v>0</v>
      </c>
      <c r="M33" s="302">
        <v>13.059999999999999</v>
      </c>
      <c r="N33" s="302">
        <v>23.950000000000003</v>
      </c>
      <c r="O33" s="302">
        <v>10.690000000000001</v>
      </c>
      <c r="P33" s="302">
        <v>0</v>
      </c>
      <c r="Q33" s="302">
        <v>0</v>
      </c>
      <c r="R33" s="302">
        <v>0</v>
      </c>
      <c r="S33" s="302">
        <v>0</v>
      </c>
      <c r="T33" s="302">
        <v>0</v>
      </c>
      <c r="U33" s="302">
        <v>14.989999999999998</v>
      </c>
      <c r="V33" s="302">
        <v>5.01</v>
      </c>
      <c r="W33" s="303">
        <v>0</v>
      </c>
      <c r="X33" s="303">
        <v>67.7</v>
      </c>
    </row>
    <row r="34" spans="1:24" ht="15.75" hidden="1" x14ac:dyDescent="0.25">
      <c r="A34" s="157"/>
      <c r="B34" s="301" t="s">
        <v>272</v>
      </c>
      <c r="C34" s="303">
        <v>0</v>
      </c>
      <c r="D34" s="303">
        <v>0</v>
      </c>
      <c r="E34" s="303">
        <v>0</v>
      </c>
      <c r="F34" s="303">
        <v>0</v>
      </c>
      <c r="G34" s="303">
        <v>0</v>
      </c>
      <c r="H34" s="303">
        <v>0</v>
      </c>
      <c r="I34" s="303">
        <v>0</v>
      </c>
      <c r="J34" s="303">
        <v>0</v>
      </c>
      <c r="K34" s="303">
        <v>0</v>
      </c>
      <c r="L34" s="303">
        <v>0</v>
      </c>
      <c r="M34" s="303">
        <v>13.16</v>
      </c>
      <c r="N34" s="303">
        <v>0</v>
      </c>
      <c r="O34" s="303">
        <v>0</v>
      </c>
      <c r="P34" s="303">
        <v>0</v>
      </c>
      <c r="Q34" s="303">
        <v>0</v>
      </c>
      <c r="R34" s="303">
        <v>3.33</v>
      </c>
      <c r="S34" s="303">
        <v>0</v>
      </c>
      <c r="T34" s="303">
        <v>0</v>
      </c>
      <c r="U34" s="303">
        <v>0</v>
      </c>
      <c r="V34" s="303">
        <v>2.54</v>
      </c>
      <c r="W34" s="303">
        <v>0</v>
      </c>
      <c r="X34" s="303">
        <v>19.03</v>
      </c>
    </row>
    <row r="35" spans="1:24" ht="15.75" hidden="1" x14ac:dyDescent="0.25">
      <c r="A35" s="157"/>
      <c r="B35" s="301" t="s">
        <v>273</v>
      </c>
      <c r="C35" s="303">
        <v>0</v>
      </c>
      <c r="D35" s="303">
        <v>0</v>
      </c>
      <c r="E35" s="303">
        <v>0</v>
      </c>
      <c r="F35" s="303">
        <v>0</v>
      </c>
      <c r="G35" s="303">
        <v>0</v>
      </c>
      <c r="H35" s="303">
        <v>0</v>
      </c>
      <c r="I35" s="303">
        <v>0</v>
      </c>
      <c r="J35" s="303">
        <v>0</v>
      </c>
      <c r="K35" s="303">
        <v>0</v>
      </c>
      <c r="L35" s="303">
        <v>0</v>
      </c>
      <c r="M35" s="303">
        <v>0</v>
      </c>
      <c r="N35" s="303">
        <v>0</v>
      </c>
      <c r="O35" s="303">
        <v>0</v>
      </c>
      <c r="P35" s="303">
        <v>0</v>
      </c>
      <c r="Q35" s="303">
        <v>0</v>
      </c>
      <c r="R35" s="303">
        <v>0</v>
      </c>
      <c r="S35" s="303">
        <v>0</v>
      </c>
      <c r="T35" s="303">
        <v>0</v>
      </c>
      <c r="U35" s="303">
        <v>0</v>
      </c>
      <c r="V35" s="303">
        <v>1.04</v>
      </c>
      <c r="W35" s="303">
        <v>0</v>
      </c>
      <c r="X35" s="303">
        <v>1.04</v>
      </c>
    </row>
    <row r="36" spans="1:24" ht="16.5" hidden="1" thickBot="1" x14ac:dyDescent="0.3">
      <c r="A36" s="157"/>
      <c r="B36" s="301" t="s">
        <v>274</v>
      </c>
      <c r="C36" s="302">
        <v>0</v>
      </c>
      <c r="D36" s="302">
        <v>0</v>
      </c>
      <c r="E36" s="302">
        <v>0</v>
      </c>
      <c r="F36" s="302">
        <v>0</v>
      </c>
      <c r="G36" s="302">
        <v>0</v>
      </c>
      <c r="H36" s="302">
        <v>0</v>
      </c>
      <c r="I36" s="302">
        <v>0</v>
      </c>
      <c r="J36" s="302">
        <v>0</v>
      </c>
      <c r="K36" s="302">
        <v>0</v>
      </c>
      <c r="L36" s="302">
        <v>0</v>
      </c>
      <c r="M36" s="302">
        <v>0</v>
      </c>
      <c r="N36" s="302">
        <v>0</v>
      </c>
      <c r="O36" s="302">
        <v>0</v>
      </c>
      <c r="P36" s="302">
        <v>0</v>
      </c>
      <c r="Q36" s="302">
        <v>0</v>
      </c>
      <c r="R36" s="302">
        <v>0</v>
      </c>
      <c r="S36" s="302">
        <v>0</v>
      </c>
      <c r="T36" s="302">
        <v>0</v>
      </c>
      <c r="U36" s="302">
        <v>0</v>
      </c>
      <c r="V36" s="302">
        <v>1.47</v>
      </c>
      <c r="W36" s="303">
        <v>0</v>
      </c>
      <c r="X36" s="303">
        <v>1.47</v>
      </c>
    </row>
    <row r="37" spans="1:24" ht="16.5" thickBot="1" x14ac:dyDescent="0.3">
      <c r="A37" s="157"/>
      <c r="B37" s="299" t="s">
        <v>162</v>
      </c>
      <c r="C37" s="304">
        <v>0</v>
      </c>
      <c r="D37" s="304">
        <v>0</v>
      </c>
      <c r="E37" s="304">
        <v>0</v>
      </c>
      <c r="F37" s="304">
        <v>0</v>
      </c>
      <c r="G37" s="304">
        <v>0</v>
      </c>
      <c r="H37" s="304">
        <v>0</v>
      </c>
      <c r="I37" s="304">
        <v>0</v>
      </c>
      <c r="J37" s="304">
        <v>0</v>
      </c>
      <c r="K37" s="304">
        <v>0</v>
      </c>
      <c r="L37" s="304">
        <v>0</v>
      </c>
      <c r="M37" s="304">
        <v>38.629999999999995</v>
      </c>
      <c r="N37" s="304">
        <v>23.950000000000003</v>
      </c>
      <c r="O37" s="304">
        <v>14.71</v>
      </c>
      <c r="P37" s="304">
        <v>0</v>
      </c>
      <c r="Q37" s="304">
        <v>0</v>
      </c>
      <c r="R37" s="304">
        <v>6.8599999999999994</v>
      </c>
      <c r="S37" s="304">
        <v>0</v>
      </c>
      <c r="T37" s="304">
        <v>0</v>
      </c>
      <c r="U37" s="304">
        <v>19.579999999999998</v>
      </c>
      <c r="V37" s="304">
        <v>19.749999999999996</v>
      </c>
      <c r="W37" s="304">
        <v>0</v>
      </c>
      <c r="X37" s="304">
        <v>123.47999999999999</v>
      </c>
    </row>
    <row r="38" spans="1:24" ht="15.75" hidden="1" x14ac:dyDescent="0.25">
      <c r="A38" s="157"/>
      <c r="B38" s="330" t="s">
        <v>248</v>
      </c>
      <c r="C38" s="297">
        <v>5</v>
      </c>
      <c r="D38" s="297">
        <v>3.0100000000000002</v>
      </c>
      <c r="E38" s="297">
        <v>3.35</v>
      </c>
      <c r="F38" s="297">
        <v>4.82</v>
      </c>
      <c r="G38" s="297">
        <v>5.1999999999999993</v>
      </c>
      <c r="H38" s="297">
        <v>4.08</v>
      </c>
      <c r="I38" s="297">
        <v>4.25</v>
      </c>
      <c r="J38" s="297">
        <v>4.5599999999999996</v>
      </c>
      <c r="K38" s="297">
        <v>4.7600000000000007</v>
      </c>
      <c r="L38" s="297">
        <v>5.3</v>
      </c>
      <c r="M38" s="297">
        <v>5.24</v>
      </c>
      <c r="N38" s="297">
        <v>5.4300000000000006</v>
      </c>
      <c r="O38" s="297">
        <v>5.3900000000000006</v>
      </c>
      <c r="P38" s="297">
        <v>3.9699999999999998</v>
      </c>
      <c r="Q38" s="297">
        <v>4.9599999999999991</v>
      </c>
      <c r="R38" s="297">
        <v>4.5</v>
      </c>
      <c r="S38" s="297">
        <v>3.3400000000000003</v>
      </c>
      <c r="T38" s="297">
        <v>3.35</v>
      </c>
      <c r="U38" s="297">
        <v>4.33</v>
      </c>
      <c r="V38" s="297">
        <v>3.1599999999999997</v>
      </c>
      <c r="W38" s="297">
        <v>44.33</v>
      </c>
      <c r="X38" s="297">
        <v>87.999999999999986</v>
      </c>
    </row>
    <row r="39" spans="1:24" ht="15.75" hidden="1" x14ac:dyDescent="0.25">
      <c r="A39" s="157"/>
      <c r="B39" s="330" t="s">
        <v>249</v>
      </c>
      <c r="C39" s="297">
        <v>71</v>
      </c>
      <c r="D39" s="297">
        <v>73.8</v>
      </c>
      <c r="E39" s="297">
        <v>81.2</v>
      </c>
      <c r="F39" s="297">
        <v>88.699999999999989</v>
      </c>
      <c r="G39" s="297">
        <v>97.700000000000017</v>
      </c>
      <c r="H39" s="297">
        <v>88.7</v>
      </c>
      <c r="I39" s="297">
        <v>96.7</v>
      </c>
      <c r="J39" s="297">
        <v>100.90000000000002</v>
      </c>
      <c r="K39" s="297">
        <v>105.5</v>
      </c>
      <c r="L39" s="297">
        <v>105.10000000000001</v>
      </c>
      <c r="M39" s="297">
        <v>84.9</v>
      </c>
      <c r="N39" s="297">
        <v>84.6</v>
      </c>
      <c r="O39" s="297">
        <v>84.100000000000009</v>
      </c>
      <c r="P39" s="297">
        <v>82.9</v>
      </c>
      <c r="Q39" s="297">
        <v>81.000000000000014</v>
      </c>
      <c r="R39" s="297">
        <v>75.100000000000009</v>
      </c>
      <c r="S39" s="297">
        <v>71.900000000000006</v>
      </c>
      <c r="T39" s="297">
        <v>73</v>
      </c>
      <c r="U39" s="297">
        <v>71</v>
      </c>
      <c r="V39" s="297">
        <v>70.300000000000011</v>
      </c>
      <c r="W39" s="297">
        <v>909.3</v>
      </c>
      <c r="X39" s="297">
        <v>1688.1</v>
      </c>
    </row>
    <row r="40" spans="1:24" ht="16.5" hidden="1" thickBot="1" x14ac:dyDescent="0.3">
      <c r="A40" s="157"/>
      <c r="B40" s="330" t="s">
        <v>250</v>
      </c>
      <c r="C40" s="297">
        <v>6</v>
      </c>
      <c r="D40" s="297">
        <v>6.6400000000000006</v>
      </c>
      <c r="E40" s="297">
        <v>7.19</v>
      </c>
      <c r="F40" s="297">
        <v>11.060000000000002</v>
      </c>
      <c r="G40" s="297">
        <v>13.71</v>
      </c>
      <c r="H40" s="297">
        <v>12.47</v>
      </c>
      <c r="I40" s="297">
        <v>13.23</v>
      </c>
      <c r="J40" s="297">
        <v>14.600000000000001</v>
      </c>
      <c r="K40" s="297">
        <v>15.299999999999999</v>
      </c>
      <c r="L40" s="297">
        <v>15.930000000000001</v>
      </c>
      <c r="M40" s="297">
        <v>12.75</v>
      </c>
      <c r="N40" s="297">
        <v>13.21</v>
      </c>
      <c r="O40" s="297">
        <v>13.54</v>
      </c>
      <c r="P40" s="297">
        <v>14</v>
      </c>
      <c r="Q40" s="297">
        <v>13.930000000000001</v>
      </c>
      <c r="R40" s="297">
        <v>14.000000000000002</v>
      </c>
      <c r="S40" s="297">
        <v>14.219999999999999</v>
      </c>
      <c r="T40" s="297">
        <v>14.840000000000002</v>
      </c>
      <c r="U40" s="297">
        <v>14.969999999999999</v>
      </c>
      <c r="V40" s="297">
        <v>15.24</v>
      </c>
      <c r="W40" s="305">
        <v>116.13000000000001</v>
      </c>
      <c r="X40" s="305">
        <v>256.83</v>
      </c>
    </row>
    <row r="41" spans="1:24" ht="16.5" thickBot="1" x14ac:dyDescent="0.3">
      <c r="A41" s="157"/>
      <c r="B41" s="299" t="s">
        <v>163</v>
      </c>
      <c r="C41" s="300">
        <v>82</v>
      </c>
      <c r="D41" s="300">
        <v>83.45</v>
      </c>
      <c r="E41" s="300">
        <v>91.74</v>
      </c>
      <c r="F41" s="300">
        <v>104.57999999999998</v>
      </c>
      <c r="G41" s="300">
        <v>116.61000000000001</v>
      </c>
      <c r="H41" s="300">
        <v>105.25</v>
      </c>
      <c r="I41" s="300">
        <v>114.18</v>
      </c>
      <c r="J41" s="300">
        <v>120.06000000000003</v>
      </c>
      <c r="K41" s="300">
        <v>125.56</v>
      </c>
      <c r="L41" s="300">
        <v>126.33000000000001</v>
      </c>
      <c r="M41" s="300">
        <v>102.89</v>
      </c>
      <c r="N41" s="300">
        <v>103.24000000000001</v>
      </c>
      <c r="O41" s="300">
        <v>103.03</v>
      </c>
      <c r="P41" s="300">
        <v>100.87</v>
      </c>
      <c r="Q41" s="300">
        <v>99.890000000000015</v>
      </c>
      <c r="R41" s="300">
        <v>93.600000000000009</v>
      </c>
      <c r="S41" s="300">
        <v>89.460000000000008</v>
      </c>
      <c r="T41" s="300">
        <v>91.19</v>
      </c>
      <c r="U41" s="300">
        <v>90.3</v>
      </c>
      <c r="V41" s="300">
        <v>88.7</v>
      </c>
      <c r="W41" s="300">
        <v>1069.76</v>
      </c>
      <c r="X41" s="300">
        <v>2032.93</v>
      </c>
    </row>
    <row r="42" spans="1:24" ht="15.75" x14ac:dyDescent="0.25">
      <c r="A42" s="157"/>
      <c r="B42" s="331" t="s">
        <v>164</v>
      </c>
      <c r="C42" s="297">
        <v>0</v>
      </c>
      <c r="D42" s="297">
        <v>0</v>
      </c>
      <c r="E42" s="297">
        <v>0</v>
      </c>
      <c r="F42" s="297">
        <v>0</v>
      </c>
      <c r="G42" s="297">
        <v>102.767</v>
      </c>
      <c r="H42" s="297">
        <v>60.143999999999998</v>
      </c>
      <c r="I42" s="297">
        <v>0</v>
      </c>
      <c r="J42" s="297">
        <v>0</v>
      </c>
      <c r="K42" s="297">
        <v>0</v>
      </c>
      <c r="L42" s="297">
        <v>0</v>
      </c>
      <c r="M42" s="297">
        <v>297.41399999999999</v>
      </c>
      <c r="N42" s="297">
        <v>297.19099999999997</v>
      </c>
      <c r="O42" s="297">
        <v>299.99799999999999</v>
      </c>
      <c r="P42" s="297">
        <v>49.003</v>
      </c>
      <c r="Q42" s="297">
        <v>79.947000000000003</v>
      </c>
      <c r="R42" s="297">
        <v>299.99799999999999</v>
      </c>
      <c r="S42" s="297">
        <v>2.0030000000000001</v>
      </c>
      <c r="T42" s="297">
        <v>126.003</v>
      </c>
      <c r="U42" s="297">
        <v>299.995</v>
      </c>
      <c r="V42" s="297">
        <v>299.995</v>
      </c>
      <c r="W42" s="332">
        <v>16.2911</v>
      </c>
      <c r="X42" s="296">
        <v>110.72289999999998</v>
      </c>
    </row>
    <row r="43" spans="1:24" x14ac:dyDescent="0.2">
      <c r="A43" s="323" t="s">
        <v>165</v>
      </c>
      <c r="B43" s="324" t="s">
        <v>161</v>
      </c>
      <c r="C43" s="325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7"/>
      <c r="W43" s="325"/>
      <c r="X43" s="163"/>
    </row>
    <row r="44" spans="1:24" ht="15.75" x14ac:dyDescent="0.25">
      <c r="A44" s="157"/>
      <c r="B44" s="333" t="s">
        <v>275</v>
      </c>
      <c r="C44" s="297">
        <v>0</v>
      </c>
      <c r="D44" s="297">
        <v>0</v>
      </c>
      <c r="E44" s="297">
        <v>0</v>
      </c>
      <c r="F44" s="297">
        <v>0</v>
      </c>
      <c r="G44" s="297">
        <v>0</v>
      </c>
      <c r="H44" s="297">
        <v>0</v>
      </c>
      <c r="I44" s="297">
        <v>0</v>
      </c>
      <c r="J44" s="297">
        <v>0</v>
      </c>
      <c r="K44" s="297">
        <v>0</v>
      </c>
      <c r="L44" s="297">
        <v>0</v>
      </c>
      <c r="M44" s="297">
        <v>0</v>
      </c>
      <c r="N44" s="297">
        <v>0</v>
      </c>
      <c r="O44" s="297">
        <v>0</v>
      </c>
      <c r="P44" s="297">
        <v>0</v>
      </c>
      <c r="Q44" s="297">
        <v>0</v>
      </c>
      <c r="R44" s="297">
        <v>0</v>
      </c>
      <c r="S44" s="297">
        <v>454.41</v>
      </c>
      <c r="T44" s="297">
        <v>0</v>
      </c>
      <c r="U44" s="297">
        <v>0</v>
      </c>
      <c r="V44" s="297">
        <v>0</v>
      </c>
      <c r="W44" s="296">
        <v>0</v>
      </c>
      <c r="X44" s="296">
        <v>454.41</v>
      </c>
    </row>
    <row r="45" spans="1:24" ht="16.5" thickBot="1" x14ac:dyDescent="0.3">
      <c r="A45" s="334"/>
      <c r="B45" s="335" t="s">
        <v>276</v>
      </c>
      <c r="C45" s="297">
        <v>0</v>
      </c>
      <c r="D45" s="297">
        <v>0</v>
      </c>
      <c r="E45" s="297">
        <v>0</v>
      </c>
      <c r="F45" s="297">
        <v>0</v>
      </c>
      <c r="G45" s="297">
        <v>0</v>
      </c>
      <c r="H45" s="297">
        <v>0</v>
      </c>
      <c r="I45" s="297">
        <v>0</v>
      </c>
      <c r="J45" s="297">
        <v>0</v>
      </c>
      <c r="K45" s="297">
        <v>0</v>
      </c>
      <c r="L45" s="297">
        <v>0</v>
      </c>
      <c r="M45" s="297">
        <v>0</v>
      </c>
      <c r="N45" s="297">
        <v>0</v>
      </c>
      <c r="O45" s="297">
        <v>0</v>
      </c>
      <c r="P45" s="311">
        <v>477.39400000000001</v>
      </c>
      <c r="Q45" s="297">
        <v>0</v>
      </c>
      <c r="R45" s="297">
        <v>0</v>
      </c>
      <c r="S45" s="297">
        <v>0</v>
      </c>
      <c r="T45" s="297">
        <v>0</v>
      </c>
      <c r="U45" s="297">
        <v>0</v>
      </c>
      <c r="V45" s="297">
        <v>0</v>
      </c>
      <c r="W45" s="296">
        <v>0</v>
      </c>
      <c r="X45" s="296">
        <v>477.39400000000001</v>
      </c>
    </row>
    <row r="46" spans="1:24" ht="16.5" thickBot="1" x14ac:dyDescent="0.3">
      <c r="A46" s="157"/>
      <c r="B46" s="299" t="s">
        <v>246</v>
      </c>
      <c r="C46" s="300">
        <v>0</v>
      </c>
      <c r="D46" s="300">
        <v>0</v>
      </c>
      <c r="E46" s="300">
        <v>0</v>
      </c>
      <c r="F46" s="300">
        <v>0</v>
      </c>
      <c r="G46" s="300">
        <v>0</v>
      </c>
      <c r="H46" s="300">
        <v>0</v>
      </c>
      <c r="I46" s="300">
        <v>0</v>
      </c>
      <c r="J46" s="300">
        <v>0</v>
      </c>
      <c r="K46" s="300">
        <v>0</v>
      </c>
      <c r="L46" s="300">
        <v>0</v>
      </c>
      <c r="M46" s="300">
        <v>0</v>
      </c>
      <c r="N46" s="300">
        <v>0</v>
      </c>
      <c r="O46" s="300">
        <v>0</v>
      </c>
      <c r="P46" s="300">
        <v>477.39400000000001</v>
      </c>
      <c r="Q46" s="300">
        <v>0</v>
      </c>
      <c r="R46" s="300">
        <v>0</v>
      </c>
      <c r="S46" s="300">
        <v>454.41</v>
      </c>
      <c r="T46" s="300">
        <v>0</v>
      </c>
      <c r="U46" s="300">
        <v>0</v>
      </c>
      <c r="V46" s="300">
        <v>0</v>
      </c>
      <c r="W46" s="300">
        <v>0</v>
      </c>
      <c r="X46" s="300">
        <v>931.80400000000009</v>
      </c>
    </row>
    <row r="47" spans="1:24" ht="15.75" hidden="1" x14ac:dyDescent="0.25">
      <c r="A47" s="158"/>
      <c r="B47" s="333" t="s">
        <v>277</v>
      </c>
      <c r="C47" s="302">
        <v>0</v>
      </c>
      <c r="D47" s="302">
        <v>0</v>
      </c>
      <c r="E47" s="302">
        <v>0</v>
      </c>
      <c r="F47" s="302">
        <v>0</v>
      </c>
      <c r="G47" s="302">
        <v>0</v>
      </c>
      <c r="H47" s="302">
        <v>0</v>
      </c>
      <c r="I47" s="302">
        <v>0</v>
      </c>
      <c r="J47" s="302">
        <v>0</v>
      </c>
      <c r="K47" s="302">
        <v>0</v>
      </c>
      <c r="L47" s="302">
        <v>0</v>
      </c>
      <c r="M47" s="302">
        <v>0</v>
      </c>
      <c r="N47" s="302">
        <v>0</v>
      </c>
      <c r="O47" s="302">
        <v>3.62</v>
      </c>
      <c r="P47" s="302">
        <v>0</v>
      </c>
      <c r="Q47" s="302">
        <v>0</v>
      </c>
      <c r="R47" s="302">
        <v>0</v>
      </c>
      <c r="S47" s="302">
        <v>0</v>
      </c>
      <c r="T47" s="302">
        <v>0</v>
      </c>
      <c r="U47" s="302">
        <v>0</v>
      </c>
      <c r="V47" s="302">
        <v>0.57999999999999996</v>
      </c>
      <c r="W47" s="303">
        <v>0</v>
      </c>
      <c r="X47" s="303">
        <v>4.2</v>
      </c>
    </row>
    <row r="48" spans="1:24" ht="15.75" hidden="1" x14ac:dyDescent="0.25">
      <c r="A48" s="157"/>
      <c r="B48" s="330" t="s">
        <v>251</v>
      </c>
      <c r="C48" s="302">
        <v>0</v>
      </c>
      <c r="D48" s="302">
        <v>0</v>
      </c>
      <c r="E48" s="302">
        <v>0</v>
      </c>
      <c r="F48" s="302">
        <v>0</v>
      </c>
      <c r="G48" s="302">
        <v>0</v>
      </c>
      <c r="H48" s="302">
        <v>0</v>
      </c>
      <c r="I48" s="302">
        <v>0</v>
      </c>
      <c r="J48" s="302">
        <v>0</v>
      </c>
      <c r="K48" s="302">
        <v>0</v>
      </c>
      <c r="L48" s="302">
        <v>0</v>
      </c>
      <c r="M48" s="302">
        <v>0</v>
      </c>
      <c r="N48" s="302">
        <v>0</v>
      </c>
      <c r="O48" s="302">
        <v>10.62</v>
      </c>
      <c r="P48" s="302">
        <v>0</v>
      </c>
      <c r="Q48" s="302">
        <v>0</v>
      </c>
      <c r="R48" s="302">
        <v>0</v>
      </c>
      <c r="S48" s="302">
        <v>0</v>
      </c>
      <c r="T48" s="302">
        <v>0</v>
      </c>
      <c r="U48" s="302">
        <v>0</v>
      </c>
      <c r="V48" s="302">
        <v>11.69</v>
      </c>
      <c r="W48" s="303">
        <v>0</v>
      </c>
      <c r="X48" s="303">
        <v>22.31</v>
      </c>
    </row>
    <row r="49" spans="1:24" ht="15.75" hidden="1" x14ac:dyDescent="0.25">
      <c r="A49" s="157"/>
      <c r="B49" s="330" t="s">
        <v>252</v>
      </c>
      <c r="C49" s="302">
        <v>0</v>
      </c>
      <c r="D49" s="302">
        <v>0</v>
      </c>
      <c r="E49" s="302">
        <v>0</v>
      </c>
      <c r="F49" s="302">
        <v>0</v>
      </c>
      <c r="G49" s="302">
        <v>0</v>
      </c>
      <c r="H49" s="302">
        <v>0</v>
      </c>
      <c r="I49" s="302">
        <v>0</v>
      </c>
      <c r="J49" s="302">
        <v>0</v>
      </c>
      <c r="K49" s="302">
        <v>0</v>
      </c>
      <c r="L49" s="302">
        <v>0</v>
      </c>
      <c r="M49" s="302">
        <v>0</v>
      </c>
      <c r="N49" s="302">
        <v>0</v>
      </c>
      <c r="O49" s="302">
        <v>8.42</v>
      </c>
      <c r="P49" s="302">
        <v>0</v>
      </c>
      <c r="Q49" s="302">
        <v>0</v>
      </c>
      <c r="R49" s="302">
        <v>0</v>
      </c>
      <c r="S49" s="302">
        <v>0</v>
      </c>
      <c r="T49" s="302">
        <v>0</v>
      </c>
      <c r="U49" s="302">
        <v>0</v>
      </c>
      <c r="V49" s="302">
        <v>0</v>
      </c>
      <c r="W49" s="303">
        <v>0</v>
      </c>
      <c r="X49" s="303">
        <v>8.42</v>
      </c>
    </row>
    <row r="50" spans="1:24" ht="15.75" hidden="1" x14ac:dyDescent="0.25">
      <c r="A50" s="157"/>
      <c r="B50" s="330" t="s">
        <v>278</v>
      </c>
      <c r="C50" s="302">
        <v>0</v>
      </c>
      <c r="D50" s="302">
        <v>0</v>
      </c>
      <c r="E50" s="302">
        <v>0</v>
      </c>
      <c r="F50" s="302">
        <v>0</v>
      </c>
      <c r="G50" s="302">
        <v>0</v>
      </c>
      <c r="H50" s="302">
        <v>0</v>
      </c>
      <c r="I50" s="302">
        <v>0</v>
      </c>
      <c r="J50" s="302">
        <v>0</v>
      </c>
      <c r="K50" s="302">
        <v>0</v>
      </c>
      <c r="L50" s="302">
        <v>0</v>
      </c>
      <c r="M50" s="302">
        <v>0</v>
      </c>
      <c r="N50" s="302">
        <v>0</v>
      </c>
      <c r="O50" s="302">
        <v>9.2100000000000009</v>
      </c>
      <c r="P50" s="302">
        <v>0</v>
      </c>
      <c r="Q50" s="302">
        <v>0</v>
      </c>
      <c r="R50" s="302">
        <v>0</v>
      </c>
      <c r="S50" s="302">
        <v>0</v>
      </c>
      <c r="T50" s="302">
        <v>0</v>
      </c>
      <c r="U50" s="302">
        <v>0</v>
      </c>
      <c r="V50" s="302">
        <v>0</v>
      </c>
      <c r="W50" s="303">
        <v>0</v>
      </c>
      <c r="X50" s="303">
        <v>9.2100000000000009</v>
      </c>
    </row>
    <row r="51" spans="1:24" ht="16.5" hidden="1" thickBot="1" x14ac:dyDescent="0.3">
      <c r="A51" s="157"/>
      <c r="B51" s="330" t="s">
        <v>279</v>
      </c>
      <c r="C51" s="302">
        <v>0</v>
      </c>
      <c r="D51" s="302">
        <v>0</v>
      </c>
      <c r="E51" s="302">
        <v>0</v>
      </c>
      <c r="F51" s="302">
        <v>0</v>
      </c>
      <c r="G51" s="302">
        <v>0</v>
      </c>
      <c r="H51" s="302">
        <v>0</v>
      </c>
      <c r="I51" s="302">
        <v>0</v>
      </c>
      <c r="J51" s="302">
        <v>0</v>
      </c>
      <c r="K51" s="302">
        <v>0</v>
      </c>
      <c r="L51" s="302">
        <v>0</v>
      </c>
      <c r="M51" s="302">
        <v>0</v>
      </c>
      <c r="N51" s="302">
        <v>0</v>
      </c>
      <c r="O51" s="302">
        <v>4.4800000000000004</v>
      </c>
      <c r="P51" s="302">
        <v>0</v>
      </c>
      <c r="Q51" s="302">
        <v>0</v>
      </c>
      <c r="R51" s="302">
        <v>0</v>
      </c>
      <c r="S51" s="302">
        <v>0</v>
      </c>
      <c r="T51" s="302">
        <v>0</v>
      </c>
      <c r="U51" s="302">
        <v>0</v>
      </c>
      <c r="V51" s="302">
        <v>0.64</v>
      </c>
      <c r="W51" s="303">
        <v>0</v>
      </c>
      <c r="X51" s="303">
        <v>5.12</v>
      </c>
    </row>
    <row r="52" spans="1:24" ht="16.5" thickBot="1" x14ac:dyDescent="0.3">
      <c r="A52" s="157"/>
      <c r="B52" s="299" t="s">
        <v>166</v>
      </c>
      <c r="C52" s="304">
        <v>0</v>
      </c>
      <c r="D52" s="304">
        <v>0</v>
      </c>
      <c r="E52" s="304">
        <v>0</v>
      </c>
      <c r="F52" s="304">
        <v>0</v>
      </c>
      <c r="G52" s="304">
        <v>0</v>
      </c>
      <c r="H52" s="304">
        <v>0</v>
      </c>
      <c r="I52" s="304">
        <v>0</v>
      </c>
      <c r="J52" s="304">
        <v>0</v>
      </c>
      <c r="K52" s="304">
        <v>0</v>
      </c>
      <c r="L52" s="304">
        <v>0</v>
      </c>
      <c r="M52" s="304">
        <v>0</v>
      </c>
      <c r="N52" s="304">
        <v>0</v>
      </c>
      <c r="O52" s="304">
        <v>36.349999999999994</v>
      </c>
      <c r="P52" s="304">
        <v>0</v>
      </c>
      <c r="Q52" s="304">
        <v>0</v>
      </c>
      <c r="R52" s="304">
        <v>0</v>
      </c>
      <c r="S52" s="304">
        <v>0</v>
      </c>
      <c r="T52" s="304">
        <v>0</v>
      </c>
      <c r="U52" s="304">
        <v>0</v>
      </c>
      <c r="V52" s="304">
        <v>12.91</v>
      </c>
      <c r="W52" s="304">
        <v>0</v>
      </c>
      <c r="X52" s="304">
        <v>49.26</v>
      </c>
    </row>
    <row r="53" spans="1:24" ht="15.75" hidden="1" x14ac:dyDescent="0.25">
      <c r="A53" s="158"/>
      <c r="B53" s="330" t="s">
        <v>253</v>
      </c>
      <c r="C53" s="297">
        <v>2</v>
      </c>
      <c r="D53" s="297">
        <v>1.3800000000000001</v>
      </c>
      <c r="E53" s="297">
        <v>1.58</v>
      </c>
      <c r="F53" s="297">
        <v>1.91</v>
      </c>
      <c r="G53" s="297">
        <v>2.08</v>
      </c>
      <c r="H53" s="297">
        <v>1.3699999999999999</v>
      </c>
      <c r="I53" s="297">
        <v>1.45</v>
      </c>
      <c r="J53" s="297">
        <v>1.51</v>
      </c>
      <c r="K53" s="297">
        <v>1.58</v>
      </c>
      <c r="L53" s="297">
        <v>1.5999999999999999</v>
      </c>
      <c r="M53" s="297">
        <v>1.4400000000000002</v>
      </c>
      <c r="N53" s="297">
        <v>1.52</v>
      </c>
      <c r="O53" s="297">
        <v>1.54</v>
      </c>
      <c r="P53" s="297">
        <v>1.24</v>
      </c>
      <c r="Q53" s="297">
        <v>1.3</v>
      </c>
      <c r="R53" s="297">
        <v>1.38</v>
      </c>
      <c r="S53" s="297">
        <v>1.1000000000000001</v>
      </c>
      <c r="T53" s="297">
        <v>1.06</v>
      </c>
      <c r="U53" s="297">
        <v>1.19</v>
      </c>
      <c r="V53" s="297">
        <v>0.97</v>
      </c>
      <c r="W53" s="297">
        <v>16.459999999999997</v>
      </c>
      <c r="X53" s="297">
        <v>29.199999999999996</v>
      </c>
    </row>
    <row r="54" spans="1:24" ht="15.75" hidden="1" x14ac:dyDescent="0.25">
      <c r="A54" s="157"/>
      <c r="B54" s="330" t="s">
        <v>254</v>
      </c>
      <c r="C54" s="297">
        <v>49</v>
      </c>
      <c r="D54" s="297">
        <v>36</v>
      </c>
      <c r="E54" s="297">
        <v>37</v>
      </c>
      <c r="F54" s="297">
        <v>30.5</v>
      </c>
      <c r="G54" s="297">
        <v>29</v>
      </c>
      <c r="H54" s="297">
        <v>27.2</v>
      </c>
      <c r="I54" s="297">
        <v>24.8</v>
      </c>
      <c r="J54" s="297">
        <v>24.500000000000004</v>
      </c>
      <c r="K54" s="297">
        <v>23.4</v>
      </c>
      <c r="L54" s="297">
        <v>23.9</v>
      </c>
      <c r="M54" s="297">
        <v>21.700000000000003</v>
      </c>
      <c r="N54" s="297">
        <v>22.1</v>
      </c>
      <c r="O54" s="297">
        <v>21.700000000000003</v>
      </c>
      <c r="P54" s="297">
        <v>20.6</v>
      </c>
      <c r="Q54" s="297">
        <v>21</v>
      </c>
      <c r="R54" s="297">
        <v>20.200000000000003</v>
      </c>
      <c r="S54" s="297">
        <v>19.100000000000001</v>
      </c>
      <c r="T54" s="297">
        <v>19.3</v>
      </c>
      <c r="U54" s="297">
        <v>18.899999999999999</v>
      </c>
      <c r="V54" s="297">
        <v>18</v>
      </c>
      <c r="W54" s="297">
        <v>305.29999999999995</v>
      </c>
      <c r="X54" s="297">
        <v>507.9</v>
      </c>
    </row>
    <row r="55" spans="1:24" ht="16.5" hidden="1" thickBot="1" x14ac:dyDescent="0.3">
      <c r="A55" s="157"/>
      <c r="B55" s="330" t="s">
        <v>255</v>
      </c>
      <c r="C55" s="297">
        <v>10</v>
      </c>
      <c r="D55" s="297">
        <v>7.57</v>
      </c>
      <c r="E55" s="297">
        <v>7.95</v>
      </c>
      <c r="F55" s="297">
        <v>9.3199999999999985</v>
      </c>
      <c r="G55" s="297">
        <v>10.029999999999999</v>
      </c>
      <c r="H55" s="297">
        <v>8.5</v>
      </c>
      <c r="I55" s="297">
        <v>8.9200000000000017</v>
      </c>
      <c r="J55" s="297">
        <v>9.3100000000000023</v>
      </c>
      <c r="K55" s="297">
        <v>10.700000000000005</v>
      </c>
      <c r="L55" s="297">
        <v>10.600000000000003</v>
      </c>
      <c r="M55" s="297">
        <v>8.7300000000000022</v>
      </c>
      <c r="N55" s="297">
        <v>8.66</v>
      </c>
      <c r="O55" s="297">
        <v>8.5699999999999985</v>
      </c>
      <c r="P55" s="297">
        <v>8.5</v>
      </c>
      <c r="Q55" s="297">
        <v>8.1800000000000015</v>
      </c>
      <c r="R55" s="297">
        <v>7.0900000000000007</v>
      </c>
      <c r="S55" s="297">
        <v>6.9900000000000011</v>
      </c>
      <c r="T55" s="297">
        <v>6.8699999999999992</v>
      </c>
      <c r="U55" s="297">
        <v>6.69</v>
      </c>
      <c r="V55" s="297">
        <v>6.41</v>
      </c>
      <c r="W55" s="305">
        <v>92.9</v>
      </c>
      <c r="X55" s="305">
        <v>169.59</v>
      </c>
    </row>
    <row r="56" spans="1:24" ht="16.5" thickBot="1" x14ac:dyDescent="0.3">
      <c r="A56" s="157"/>
      <c r="B56" s="299" t="s">
        <v>167</v>
      </c>
      <c r="C56" s="300">
        <v>61</v>
      </c>
      <c r="D56" s="300">
        <v>44.95</v>
      </c>
      <c r="E56" s="300">
        <v>46.53</v>
      </c>
      <c r="F56" s="300">
        <v>41.73</v>
      </c>
      <c r="G56" s="300">
        <v>41.11</v>
      </c>
      <c r="H56" s="300">
        <v>37.07</v>
      </c>
      <c r="I56" s="300">
        <v>35.17</v>
      </c>
      <c r="J56" s="300">
        <v>35.320000000000007</v>
      </c>
      <c r="K56" s="300">
        <v>35.68</v>
      </c>
      <c r="L56" s="300">
        <v>36.1</v>
      </c>
      <c r="M56" s="300">
        <v>31.870000000000005</v>
      </c>
      <c r="N56" s="300">
        <v>32.28</v>
      </c>
      <c r="O56" s="300">
        <v>31.810000000000002</v>
      </c>
      <c r="P56" s="300">
        <v>30.34</v>
      </c>
      <c r="Q56" s="300">
        <v>30.480000000000004</v>
      </c>
      <c r="R56" s="300">
        <v>28.67</v>
      </c>
      <c r="S56" s="300">
        <v>27.190000000000005</v>
      </c>
      <c r="T56" s="300">
        <v>27.229999999999997</v>
      </c>
      <c r="U56" s="300">
        <v>26.78</v>
      </c>
      <c r="V56" s="300">
        <v>25.38</v>
      </c>
      <c r="W56" s="300">
        <v>414.66</v>
      </c>
      <c r="X56" s="300">
        <v>706.69</v>
      </c>
    </row>
    <row r="57" spans="1:24" ht="15.75" x14ac:dyDescent="0.25">
      <c r="A57" s="158"/>
      <c r="B57" s="333" t="s">
        <v>168</v>
      </c>
      <c r="C57" s="297">
        <v>0</v>
      </c>
      <c r="D57" s="297">
        <v>27.776</v>
      </c>
      <c r="E57" s="297">
        <v>0</v>
      </c>
      <c r="F57" s="297">
        <v>218.91300000000001</v>
      </c>
      <c r="G57" s="297">
        <v>267.92500000000001</v>
      </c>
      <c r="H57" s="297">
        <v>267.92500000000001</v>
      </c>
      <c r="I57" s="297">
        <v>95.242999999999995</v>
      </c>
      <c r="J57" s="297">
        <v>185.02099999999999</v>
      </c>
      <c r="K57" s="297">
        <v>90.256</v>
      </c>
      <c r="L57" s="297">
        <v>118.038</v>
      </c>
      <c r="M57" s="297">
        <v>267.92500000000001</v>
      </c>
      <c r="N57" s="297">
        <v>267.92500000000001</v>
      </c>
      <c r="O57" s="297">
        <v>267.92500000000001</v>
      </c>
      <c r="P57" s="297">
        <v>253.34399999999999</v>
      </c>
      <c r="Q57" s="297">
        <v>267.92500000000001</v>
      </c>
      <c r="R57" s="297">
        <v>267.92500000000001</v>
      </c>
      <c r="S57" s="297">
        <v>229.56700000000001</v>
      </c>
      <c r="T57" s="297">
        <v>173.02500000000001</v>
      </c>
      <c r="U57" s="297">
        <v>267.92500000000001</v>
      </c>
      <c r="V57" s="297">
        <v>267.92500000000001</v>
      </c>
      <c r="W57" s="296">
        <v>127.1097</v>
      </c>
      <c r="X57" s="296">
        <v>190.12540000000004</v>
      </c>
    </row>
    <row r="58" spans="1:24" ht="15.75" x14ac:dyDescent="0.25">
      <c r="A58" s="158"/>
      <c r="B58" s="333" t="s">
        <v>170</v>
      </c>
      <c r="C58" s="297">
        <v>400</v>
      </c>
      <c r="D58" s="297">
        <v>400</v>
      </c>
      <c r="E58" s="297">
        <v>400</v>
      </c>
      <c r="F58" s="297">
        <v>400</v>
      </c>
      <c r="G58" s="297">
        <v>400</v>
      </c>
      <c r="H58" s="297">
        <v>400</v>
      </c>
      <c r="I58" s="297">
        <v>400</v>
      </c>
      <c r="J58" s="297">
        <v>400</v>
      </c>
      <c r="K58" s="297">
        <v>400</v>
      </c>
      <c r="L58" s="297">
        <v>400</v>
      </c>
      <c r="M58" s="297">
        <v>400</v>
      </c>
      <c r="N58" s="297">
        <v>400</v>
      </c>
      <c r="O58" s="297">
        <v>400</v>
      </c>
      <c r="P58" s="297">
        <v>400</v>
      </c>
      <c r="Q58" s="297">
        <v>400</v>
      </c>
      <c r="R58" s="297">
        <v>400</v>
      </c>
      <c r="S58" s="297">
        <v>400</v>
      </c>
      <c r="T58" s="297">
        <v>400</v>
      </c>
      <c r="U58" s="297">
        <v>400</v>
      </c>
      <c r="V58" s="297">
        <v>400</v>
      </c>
      <c r="W58" s="296">
        <v>400</v>
      </c>
      <c r="X58" s="296">
        <v>400</v>
      </c>
    </row>
    <row r="59" spans="1:24" ht="15.75" x14ac:dyDescent="0.25">
      <c r="A59" s="158"/>
      <c r="B59" s="333" t="s">
        <v>171</v>
      </c>
      <c r="C59" s="297">
        <v>264.03399999999999</v>
      </c>
      <c r="D59" s="297">
        <v>375</v>
      </c>
      <c r="E59" s="297">
        <v>247.72499999999999</v>
      </c>
      <c r="F59" s="297">
        <v>375</v>
      </c>
      <c r="G59" s="297">
        <v>375</v>
      </c>
      <c r="H59" s="297">
        <v>375</v>
      </c>
      <c r="I59" s="297">
        <v>375</v>
      </c>
      <c r="J59" s="297">
        <v>375</v>
      </c>
      <c r="K59" s="297">
        <v>375</v>
      </c>
      <c r="L59" s="297">
        <v>375</v>
      </c>
      <c r="M59" s="297">
        <v>375</v>
      </c>
      <c r="N59" s="297">
        <v>375</v>
      </c>
      <c r="O59" s="297">
        <v>375</v>
      </c>
      <c r="P59" s="297">
        <v>375</v>
      </c>
      <c r="Q59" s="297">
        <v>375</v>
      </c>
      <c r="R59" s="297">
        <v>375</v>
      </c>
      <c r="S59" s="297">
        <v>375</v>
      </c>
      <c r="T59" s="297">
        <v>375</v>
      </c>
      <c r="U59" s="297">
        <v>375</v>
      </c>
      <c r="V59" s="297">
        <v>375</v>
      </c>
      <c r="W59" s="296">
        <v>351.17590000000001</v>
      </c>
      <c r="X59" s="296">
        <v>363.08794999999998</v>
      </c>
    </row>
    <row r="60" spans="1:24" ht="16.5" thickBot="1" x14ac:dyDescent="0.3">
      <c r="A60" s="158"/>
      <c r="B60" s="333" t="s">
        <v>169</v>
      </c>
      <c r="C60" s="297">
        <v>100</v>
      </c>
      <c r="D60" s="297">
        <v>100</v>
      </c>
      <c r="E60" s="297">
        <v>100</v>
      </c>
      <c r="F60" s="297">
        <v>100</v>
      </c>
      <c r="G60" s="297">
        <v>100</v>
      </c>
      <c r="H60" s="297">
        <v>100</v>
      </c>
      <c r="I60" s="297">
        <v>100</v>
      </c>
      <c r="J60" s="297">
        <v>100</v>
      </c>
      <c r="K60" s="297">
        <v>100</v>
      </c>
      <c r="L60" s="297">
        <v>100</v>
      </c>
      <c r="M60" s="297">
        <v>100</v>
      </c>
      <c r="N60" s="297">
        <v>100</v>
      </c>
      <c r="O60" s="297">
        <v>100</v>
      </c>
      <c r="P60" s="297">
        <v>100</v>
      </c>
      <c r="Q60" s="297">
        <v>100</v>
      </c>
      <c r="R60" s="297">
        <v>100</v>
      </c>
      <c r="S60" s="297">
        <v>100</v>
      </c>
      <c r="T60" s="297">
        <v>100</v>
      </c>
      <c r="U60" s="297">
        <v>100</v>
      </c>
      <c r="V60" s="297">
        <v>100</v>
      </c>
      <c r="W60" s="296">
        <v>100</v>
      </c>
      <c r="X60" s="296">
        <v>100</v>
      </c>
    </row>
    <row r="61" spans="1:24" ht="17.25" thickTop="1" thickBot="1" x14ac:dyDescent="0.3">
      <c r="A61" s="336"/>
      <c r="B61" s="306" t="s">
        <v>159</v>
      </c>
      <c r="C61" s="307">
        <v>-222</v>
      </c>
      <c r="D61" s="307">
        <v>0</v>
      </c>
      <c r="E61" s="307">
        <v>0</v>
      </c>
      <c r="F61" s="307">
        <v>-280</v>
      </c>
      <c r="G61" s="307">
        <v>0</v>
      </c>
      <c r="H61" s="307">
        <v>0</v>
      </c>
      <c r="I61" s="307">
        <v>0</v>
      </c>
      <c r="J61" s="307">
        <v>0</v>
      </c>
      <c r="K61" s="307">
        <v>0</v>
      </c>
      <c r="L61" s="307">
        <v>0</v>
      </c>
      <c r="M61" s="307">
        <v>-387</v>
      </c>
      <c r="N61" s="307">
        <v>0</v>
      </c>
      <c r="O61" s="307">
        <v>0</v>
      </c>
      <c r="P61" s="307">
        <v>-762</v>
      </c>
      <c r="Q61" s="307">
        <v>0</v>
      </c>
      <c r="R61" s="307">
        <v>-807</v>
      </c>
      <c r="S61" s="307">
        <v>-77.240000000000009</v>
      </c>
      <c r="T61" s="307">
        <v>0</v>
      </c>
      <c r="U61" s="307">
        <v>-626.5</v>
      </c>
      <c r="V61" s="307">
        <v>0</v>
      </c>
      <c r="W61" s="337"/>
      <c r="X61" s="337"/>
    </row>
    <row r="62" spans="1:24" ht="16.5" thickTop="1" x14ac:dyDescent="0.25">
      <c r="A62" s="159"/>
      <c r="B62" s="160" t="s">
        <v>172</v>
      </c>
      <c r="C62" s="308">
        <v>143</v>
      </c>
      <c r="D62" s="308">
        <v>128.39999999999986</v>
      </c>
      <c r="E62" s="308">
        <v>138.26999999999987</v>
      </c>
      <c r="F62" s="308">
        <v>146.30999999999995</v>
      </c>
      <c r="G62" s="308">
        <v>157.72000000000025</v>
      </c>
      <c r="H62" s="308">
        <v>142.32000000000016</v>
      </c>
      <c r="I62" s="308">
        <v>149.34999999999991</v>
      </c>
      <c r="J62" s="308">
        <v>155.38000000000011</v>
      </c>
      <c r="K62" s="308">
        <v>161.2399999999999</v>
      </c>
      <c r="L62" s="308">
        <v>162.43000000000029</v>
      </c>
      <c r="M62" s="308">
        <v>173.39000000000033</v>
      </c>
      <c r="N62" s="308">
        <v>159.47000000000003</v>
      </c>
      <c r="O62" s="308">
        <v>185.90000000000032</v>
      </c>
      <c r="P62" s="308">
        <v>1243.604</v>
      </c>
      <c r="Q62" s="308">
        <v>130.36999999999989</v>
      </c>
      <c r="R62" s="308">
        <v>764.12999999999988</v>
      </c>
      <c r="S62" s="308">
        <v>571.06000000000017</v>
      </c>
      <c r="T62" s="308">
        <v>118.41999999999985</v>
      </c>
      <c r="U62" s="308">
        <v>559.66000000000031</v>
      </c>
      <c r="V62" s="308">
        <v>146.73999999999978</v>
      </c>
      <c r="W62" s="309"/>
      <c r="X62" s="309"/>
    </row>
    <row r="63" spans="1:24" ht="15.75" x14ac:dyDescent="0.25">
      <c r="A63" s="161"/>
      <c r="B63" s="338" t="s">
        <v>173</v>
      </c>
      <c r="C63" s="310">
        <v>764.03399999999999</v>
      </c>
      <c r="D63" s="310">
        <v>902.77600000000007</v>
      </c>
      <c r="E63" s="310">
        <v>747.72500000000002</v>
      </c>
      <c r="F63" s="310">
        <v>1093.913</v>
      </c>
      <c r="G63" s="310">
        <v>1245.692</v>
      </c>
      <c r="H63" s="310">
        <v>1203.069</v>
      </c>
      <c r="I63" s="310">
        <v>970.24299999999994</v>
      </c>
      <c r="J63" s="310">
        <v>1060.021</v>
      </c>
      <c r="K63" s="310">
        <v>965.25599999999997</v>
      </c>
      <c r="L63" s="310">
        <v>993.03800000000001</v>
      </c>
      <c r="M63" s="310">
        <v>1440.3389999999999</v>
      </c>
      <c r="N63" s="310">
        <v>1440.116</v>
      </c>
      <c r="O63" s="310">
        <v>1442.923</v>
      </c>
      <c r="P63" s="310">
        <v>1177.347</v>
      </c>
      <c r="Q63" s="310">
        <v>1222.8720000000001</v>
      </c>
      <c r="R63" s="310">
        <v>1442.923</v>
      </c>
      <c r="S63" s="310">
        <v>1106.57</v>
      </c>
      <c r="T63" s="310">
        <v>1174.028</v>
      </c>
      <c r="U63" s="310">
        <v>1442.92</v>
      </c>
      <c r="V63" s="310">
        <v>1442.92</v>
      </c>
      <c r="W63" s="309"/>
      <c r="X63" s="309"/>
    </row>
    <row r="64" spans="1:24" ht="15.75" x14ac:dyDescent="0.25">
      <c r="A64" s="161"/>
      <c r="B64" s="338" t="s">
        <v>174</v>
      </c>
      <c r="C64" s="310">
        <v>907.03399999999999</v>
      </c>
      <c r="D64" s="310">
        <v>1031.1759999999999</v>
      </c>
      <c r="E64" s="310">
        <v>885.99499999999989</v>
      </c>
      <c r="F64" s="310">
        <v>1240.223</v>
      </c>
      <c r="G64" s="310">
        <v>1403.4120000000003</v>
      </c>
      <c r="H64" s="310">
        <v>1345.3890000000001</v>
      </c>
      <c r="I64" s="310">
        <v>1119.5929999999998</v>
      </c>
      <c r="J64" s="310">
        <v>1215.4010000000001</v>
      </c>
      <c r="K64" s="310">
        <v>1126.4959999999999</v>
      </c>
      <c r="L64" s="310">
        <v>1155.4680000000003</v>
      </c>
      <c r="M64" s="310">
        <v>1613.7290000000003</v>
      </c>
      <c r="N64" s="310">
        <v>1599.586</v>
      </c>
      <c r="O64" s="310">
        <v>1628.8230000000003</v>
      </c>
      <c r="P64" s="310">
        <v>2420.951</v>
      </c>
      <c r="Q64" s="310">
        <v>1353.242</v>
      </c>
      <c r="R64" s="310">
        <v>2207.0529999999999</v>
      </c>
      <c r="S64" s="310">
        <v>1677.63</v>
      </c>
      <c r="T64" s="310">
        <v>1292.4479999999999</v>
      </c>
      <c r="U64" s="310">
        <v>2002.5800000000004</v>
      </c>
      <c r="V64" s="310">
        <v>1589.6599999999999</v>
      </c>
      <c r="W64" s="309"/>
      <c r="X64" s="309"/>
    </row>
    <row r="67" spans="2:2" x14ac:dyDescent="0.2">
      <c r="B67" t="s">
        <v>307</v>
      </c>
    </row>
  </sheetData>
  <conditionalFormatting sqref="B23">
    <cfRule type="containsText" dxfId="1" priority="1" operator="containsText" text="Early">
      <formula>NOT(ISERROR(SEARCH("Early",B23)))</formula>
    </cfRule>
  </conditionalFormatting>
  <conditionalFormatting sqref="A5:B6">
    <cfRule type="expression" dxfId="0" priority="4" stopIfTrue="1">
      <formula>ROUND($G$321,0)&lt;&gt;0</formula>
    </cfRule>
  </conditionalFormatting>
  <printOptions horizontalCentered="1"/>
  <pageMargins left="0.25" right="0.25" top="0.75" bottom="0.75" header="0.3" footer="0.3"/>
  <pageSetup scale="78" fitToHeight="0" orientation="landscape" r:id="rId1"/>
  <headerFooter alignWithMargins="0">
    <oddFooter>&amp;L&amp;8NPC Group - &amp;F   ( &amp;A )&amp;C &amp;R 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48"/>
  <sheetViews>
    <sheetView zoomScaleNormal="100" workbookViewId="0">
      <selection activeCell="B30" sqref="B30:F30"/>
    </sheetView>
  </sheetViews>
  <sheetFormatPr defaultColWidth="8.83203125" defaultRowHeight="12.75" x14ac:dyDescent="0.2"/>
  <cols>
    <col min="1" max="1" width="2.1640625" style="32" customWidth="1"/>
    <col min="2" max="2" width="22" style="32" customWidth="1"/>
    <col min="3" max="6" width="16.33203125" style="32" customWidth="1"/>
    <col min="7" max="7" width="2.1640625" style="32" customWidth="1"/>
    <col min="8" max="8" width="10" style="32" customWidth="1"/>
    <col min="9" max="16384" width="8.83203125" style="32"/>
  </cols>
  <sheetData>
    <row r="1" spans="2:6" ht="15.75" x14ac:dyDescent="0.25">
      <c r="B1" s="20" t="s">
        <v>93</v>
      </c>
      <c r="C1" s="23"/>
      <c r="D1" s="23"/>
      <c r="E1" s="23"/>
      <c r="F1" s="23"/>
    </row>
    <row r="2" spans="2:6" ht="15.75" x14ac:dyDescent="0.25">
      <c r="B2" s="20" t="s">
        <v>107</v>
      </c>
      <c r="C2" s="23"/>
      <c r="D2" s="23"/>
      <c r="E2" s="23"/>
      <c r="F2" s="23"/>
    </row>
    <row r="3" spans="2:6" ht="15.75" x14ac:dyDescent="0.25">
      <c r="B3" s="20" t="s">
        <v>36</v>
      </c>
      <c r="C3" s="68"/>
      <c r="D3" s="68"/>
      <c r="E3" s="68"/>
      <c r="F3" s="68"/>
    </row>
    <row r="4" spans="2:6" ht="15.75" x14ac:dyDescent="0.25">
      <c r="B4" s="20"/>
      <c r="C4" s="68"/>
      <c r="D4" s="68"/>
      <c r="E4" s="68"/>
      <c r="F4" s="68"/>
    </row>
    <row r="5" spans="2:6" x14ac:dyDescent="0.2">
      <c r="B5" s="21"/>
      <c r="C5" s="24" t="s">
        <v>102</v>
      </c>
      <c r="D5" s="24"/>
      <c r="E5" s="24"/>
      <c r="F5" s="24"/>
    </row>
    <row r="6" spans="2:6" x14ac:dyDescent="0.2">
      <c r="B6" s="25" t="s">
        <v>2</v>
      </c>
      <c r="C6" s="24" t="s">
        <v>103</v>
      </c>
      <c r="D6" s="24"/>
      <c r="E6" s="24" t="s">
        <v>104</v>
      </c>
      <c r="F6" s="24"/>
    </row>
    <row r="7" spans="2:6" x14ac:dyDescent="0.2">
      <c r="B7" s="69"/>
      <c r="C7" s="24" t="s">
        <v>105</v>
      </c>
      <c r="D7" s="24" t="s">
        <v>106</v>
      </c>
      <c r="E7" s="24" t="s">
        <v>105</v>
      </c>
      <c r="F7" s="24" t="s">
        <v>106</v>
      </c>
    </row>
    <row r="8" spans="2:6" x14ac:dyDescent="0.2">
      <c r="C8" s="22" t="s">
        <v>19</v>
      </c>
      <c r="D8" s="22" t="s">
        <v>20</v>
      </c>
      <c r="E8" s="22" t="s">
        <v>21</v>
      </c>
      <c r="F8" s="22" t="s">
        <v>22</v>
      </c>
    </row>
    <row r="9" spans="2:6" x14ac:dyDescent="0.2">
      <c r="C9" s="70"/>
      <c r="D9" s="70"/>
      <c r="E9" s="70"/>
      <c r="F9" s="70"/>
    </row>
    <row r="10" spans="2:6" x14ac:dyDescent="0.2">
      <c r="B10" s="71">
        <f>'Tables 3 to 5'!$B$13</f>
        <v>2016</v>
      </c>
      <c r="C10" s="72">
        <f>VLOOKUP($B10,'OFPC Source'!$W$8:$AA$34,2,FALSE)</f>
        <v>22.59</v>
      </c>
      <c r="D10" s="72">
        <f>VLOOKUP($B10,'OFPC Source'!$W$8:$AA$34,3,FALSE)</f>
        <v>25.29</v>
      </c>
      <c r="E10" s="72">
        <f>VLOOKUP($B10,'OFPC Source'!$W$8:$AA$34,4,FALSE)</f>
        <v>17.2</v>
      </c>
      <c r="F10" s="72">
        <f>VLOOKUP($B10,'OFPC Source'!$W$8:$AA$34,5,FALSE)</f>
        <v>19.87</v>
      </c>
    </row>
    <row r="11" spans="2:6" x14ac:dyDescent="0.2">
      <c r="B11" s="71">
        <f>B10+1</f>
        <v>2017</v>
      </c>
      <c r="C11" s="72">
        <f>VLOOKUP($B11,'OFPC Source'!$W$8:$AA$34,2,FALSE)</f>
        <v>22.9</v>
      </c>
      <c r="D11" s="72">
        <f>VLOOKUP($B11,'OFPC Source'!$W$8:$AA$34,3,FALSE)</f>
        <v>27.13</v>
      </c>
      <c r="E11" s="72">
        <f>VLOOKUP($B11,'OFPC Source'!$W$8:$AA$34,4,FALSE)</f>
        <v>15.62</v>
      </c>
      <c r="F11" s="72">
        <f>VLOOKUP($B11,'OFPC Source'!$W$8:$AA$34,5,FALSE)</f>
        <v>22.19</v>
      </c>
    </row>
    <row r="12" spans="2:6" x14ac:dyDescent="0.2">
      <c r="B12" s="71">
        <f t="shared" ref="B12:B27" si="0">B11+1</f>
        <v>2018</v>
      </c>
      <c r="C12" s="72">
        <f>VLOOKUP($B12,'OFPC Source'!$W$8:$AA$34,2,FALSE)</f>
        <v>24.29</v>
      </c>
      <c r="D12" s="72">
        <f>VLOOKUP($B12,'OFPC Source'!$W$8:$AA$34,3,FALSE)</f>
        <v>26.33</v>
      </c>
      <c r="E12" s="72">
        <f>VLOOKUP($B12,'OFPC Source'!$W$8:$AA$34,4,FALSE)</f>
        <v>18.489999999999998</v>
      </c>
      <c r="F12" s="72">
        <f>VLOOKUP($B12,'OFPC Source'!$W$8:$AA$34,5,FALSE)</f>
        <v>21.86</v>
      </c>
    </row>
    <row r="13" spans="2:6" x14ac:dyDescent="0.2">
      <c r="B13" s="71">
        <f t="shared" si="0"/>
        <v>2019</v>
      </c>
      <c r="C13" s="72">
        <f>VLOOKUP($B13,'OFPC Source'!$W$8:$AA$34,2,FALSE)</f>
        <v>25.11</v>
      </c>
      <c r="D13" s="72">
        <f>VLOOKUP($B13,'OFPC Source'!$W$8:$AA$34,3,FALSE)</f>
        <v>27.03</v>
      </c>
      <c r="E13" s="72">
        <f>VLOOKUP($B13,'OFPC Source'!$W$8:$AA$34,4,FALSE)</f>
        <v>19.18</v>
      </c>
      <c r="F13" s="72">
        <f>VLOOKUP($B13,'OFPC Source'!$W$8:$AA$34,5,FALSE)</f>
        <v>21.46</v>
      </c>
    </row>
    <row r="14" spans="2:6" x14ac:dyDescent="0.2">
      <c r="B14" s="71">
        <f t="shared" si="0"/>
        <v>2020</v>
      </c>
      <c r="C14" s="72">
        <f>VLOOKUP($B14,'OFPC Source'!$W$8:$AA$34,2,FALSE)</f>
        <v>27.21</v>
      </c>
      <c r="D14" s="72">
        <f>VLOOKUP($B14,'OFPC Source'!$W$8:$AA$34,3,FALSE)</f>
        <v>28.64</v>
      </c>
      <c r="E14" s="72">
        <f>VLOOKUP($B14,'OFPC Source'!$W$8:$AA$34,4,FALSE)</f>
        <v>20.99</v>
      </c>
      <c r="F14" s="72">
        <f>VLOOKUP($B14,'OFPC Source'!$W$8:$AA$34,5,FALSE)</f>
        <v>22.01</v>
      </c>
    </row>
    <row r="15" spans="2:6" x14ac:dyDescent="0.2">
      <c r="B15" s="71">
        <f t="shared" si="0"/>
        <v>2021</v>
      </c>
      <c r="C15" s="72">
        <f>VLOOKUP($B15,'OFPC Source'!$W$8:$AA$34,2,FALSE)</f>
        <v>28.78</v>
      </c>
      <c r="D15" s="72">
        <f>VLOOKUP($B15,'OFPC Source'!$W$8:$AA$34,3,FALSE)</f>
        <v>30.1</v>
      </c>
      <c r="E15" s="72">
        <f>VLOOKUP($B15,'OFPC Source'!$W$8:$AA$34,4,FALSE)</f>
        <v>23.04</v>
      </c>
      <c r="F15" s="72">
        <f>VLOOKUP($B15,'OFPC Source'!$W$8:$AA$34,5,FALSE)</f>
        <v>23.79</v>
      </c>
    </row>
    <row r="16" spans="2:6" x14ac:dyDescent="0.2">
      <c r="B16" s="71">
        <f t="shared" si="0"/>
        <v>2022</v>
      </c>
      <c r="C16" s="72">
        <f>VLOOKUP($B16,'OFPC Source'!$W$8:$AA$34,2,FALSE)</f>
        <v>30.74</v>
      </c>
      <c r="D16" s="72">
        <f>VLOOKUP($B16,'OFPC Source'!$W$8:$AA$34,3,FALSE)</f>
        <v>31.49</v>
      </c>
      <c r="E16" s="72">
        <f>VLOOKUP($B16,'OFPC Source'!$W$8:$AA$34,4,FALSE)</f>
        <v>24.58</v>
      </c>
      <c r="F16" s="72">
        <f>VLOOKUP($B16,'OFPC Source'!$W$8:$AA$34,5,FALSE)</f>
        <v>25.76</v>
      </c>
    </row>
    <row r="17" spans="2:6" x14ac:dyDescent="0.2">
      <c r="B17" s="71">
        <f t="shared" si="0"/>
        <v>2023</v>
      </c>
      <c r="C17" s="72">
        <f>VLOOKUP($B17,'OFPC Source'!$W$8:$AA$34,2,FALSE)</f>
        <v>33.5</v>
      </c>
      <c r="D17" s="72">
        <f>VLOOKUP($B17,'OFPC Source'!$W$8:$AA$34,3,FALSE)</f>
        <v>33.869999999999997</v>
      </c>
      <c r="E17" s="72">
        <f>VLOOKUP($B17,'OFPC Source'!$W$8:$AA$34,4,FALSE)</f>
        <v>27.47</v>
      </c>
      <c r="F17" s="72">
        <f>VLOOKUP($B17,'OFPC Source'!$W$8:$AA$34,5,FALSE)</f>
        <v>28.81</v>
      </c>
    </row>
    <row r="18" spans="2:6" x14ac:dyDescent="0.2">
      <c r="B18" s="71">
        <f t="shared" si="0"/>
        <v>2024</v>
      </c>
      <c r="C18" s="72">
        <f>VLOOKUP($B18,'OFPC Source'!$W$8:$AA$34,2,FALSE)</f>
        <v>37.1</v>
      </c>
      <c r="D18" s="72">
        <f>VLOOKUP($B18,'OFPC Source'!$W$8:$AA$34,3,FALSE)</f>
        <v>36.76</v>
      </c>
      <c r="E18" s="72">
        <f>VLOOKUP($B18,'OFPC Source'!$W$8:$AA$34,4,FALSE)</f>
        <v>30.79</v>
      </c>
      <c r="F18" s="72">
        <f>VLOOKUP($B18,'OFPC Source'!$W$8:$AA$34,5,FALSE)</f>
        <v>32.08</v>
      </c>
    </row>
    <row r="19" spans="2:6" x14ac:dyDescent="0.2">
      <c r="B19" s="71">
        <f t="shared" si="0"/>
        <v>2025</v>
      </c>
      <c r="C19" s="72">
        <f>VLOOKUP($B19,'OFPC Source'!$W$8:$AA$34,2,FALSE)</f>
        <v>39.49</v>
      </c>
      <c r="D19" s="72">
        <f>VLOOKUP($B19,'OFPC Source'!$W$8:$AA$34,3,FALSE)</f>
        <v>39.08</v>
      </c>
      <c r="E19" s="72">
        <f>VLOOKUP($B19,'OFPC Source'!$W$8:$AA$34,4,FALSE)</f>
        <v>33.18</v>
      </c>
      <c r="F19" s="72">
        <f>VLOOKUP($B19,'OFPC Source'!$W$8:$AA$34,5,FALSE)</f>
        <v>33.950000000000003</v>
      </c>
    </row>
    <row r="20" spans="2:6" x14ac:dyDescent="0.2">
      <c r="B20" s="71">
        <f t="shared" si="0"/>
        <v>2026</v>
      </c>
      <c r="C20" s="72">
        <f>VLOOKUP($B20,'OFPC Source'!$W$8:$AA$34,2,FALSE)</f>
        <v>40.270000000000003</v>
      </c>
      <c r="D20" s="72">
        <f>VLOOKUP($B20,'OFPC Source'!$W$8:$AA$34,3,FALSE)</f>
        <v>39.840000000000003</v>
      </c>
      <c r="E20" s="72">
        <f>VLOOKUP($B20,'OFPC Source'!$W$8:$AA$34,4,FALSE)</f>
        <v>33.950000000000003</v>
      </c>
      <c r="F20" s="72">
        <f>VLOOKUP($B20,'OFPC Source'!$W$8:$AA$34,5,FALSE)</f>
        <v>34.69</v>
      </c>
    </row>
    <row r="21" spans="2:6" x14ac:dyDescent="0.2">
      <c r="B21" s="71">
        <f t="shared" si="0"/>
        <v>2027</v>
      </c>
      <c r="C21" s="72">
        <f>VLOOKUP($B21,'OFPC Source'!$W$8:$AA$34,2,FALSE)</f>
        <v>41.36</v>
      </c>
      <c r="D21" s="72">
        <f>VLOOKUP($B21,'OFPC Source'!$W$8:$AA$34,3,FALSE)</f>
        <v>40.83</v>
      </c>
      <c r="E21" s="72">
        <f>VLOOKUP($B21,'OFPC Source'!$W$8:$AA$34,4,FALSE)</f>
        <v>35.1</v>
      </c>
      <c r="F21" s="72">
        <f>VLOOKUP($B21,'OFPC Source'!$W$8:$AA$34,5,FALSE)</f>
        <v>35.89</v>
      </c>
    </row>
    <row r="22" spans="2:6" x14ac:dyDescent="0.2">
      <c r="B22" s="71">
        <f t="shared" si="0"/>
        <v>2028</v>
      </c>
      <c r="C22" s="72">
        <f>VLOOKUP($B22,'OFPC Source'!$W$8:$AA$34,2,FALSE)</f>
        <v>43.71</v>
      </c>
      <c r="D22" s="72">
        <f>VLOOKUP($B22,'OFPC Source'!$W$8:$AA$34,3,FALSE)</f>
        <v>42.66</v>
      </c>
      <c r="E22" s="72">
        <f>VLOOKUP($B22,'OFPC Source'!$W$8:$AA$34,4,FALSE)</f>
        <v>37.19</v>
      </c>
      <c r="F22" s="72">
        <f>VLOOKUP($B22,'OFPC Source'!$W$8:$AA$34,5,FALSE)</f>
        <v>37.74</v>
      </c>
    </row>
    <row r="23" spans="2:6" x14ac:dyDescent="0.2">
      <c r="B23" s="71">
        <f t="shared" si="0"/>
        <v>2029</v>
      </c>
      <c r="C23" s="72">
        <f>VLOOKUP($B23,'OFPC Source'!$W$8:$AA$34,2,FALSE)</f>
        <v>45.85</v>
      </c>
      <c r="D23" s="72">
        <f>VLOOKUP($B23,'OFPC Source'!$W$8:$AA$34,3,FALSE)</f>
        <v>44.88</v>
      </c>
      <c r="E23" s="72">
        <f>VLOOKUP($B23,'OFPC Source'!$W$8:$AA$34,4,FALSE)</f>
        <v>39.29</v>
      </c>
      <c r="F23" s="72">
        <f>VLOOKUP($B23,'OFPC Source'!$W$8:$AA$34,5,FALSE)</f>
        <v>40.020000000000003</v>
      </c>
    </row>
    <row r="24" spans="2:6" x14ac:dyDescent="0.2">
      <c r="B24" s="71">
        <f t="shared" si="0"/>
        <v>2030</v>
      </c>
      <c r="C24" s="72">
        <f>VLOOKUP($B24,'OFPC Source'!$W$8:$AA$34,2,FALSE)</f>
        <v>48.25</v>
      </c>
      <c r="D24" s="72">
        <f>VLOOKUP($B24,'OFPC Source'!$W$8:$AA$34,3,FALSE)</f>
        <v>47.33</v>
      </c>
      <c r="E24" s="72">
        <f>VLOOKUP($B24,'OFPC Source'!$W$8:$AA$34,4,FALSE)</f>
        <v>41.83</v>
      </c>
      <c r="F24" s="72">
        <f>VLOOKUP($B24,'OFPC Source'!$W$8:$AA$34,5,FALSE)</f>
        <v>42.63</v>
      </c>
    </row>
    <row r="25" spans="2:6" x14ac:dyDescent="0.2">
      <c r="B25" s="71">
        <f t="shared" si="0"/>
        <v>2031</v>
      </c>
      <c r="C25" s="72">
        <f>VLOOKUP($B25,'OFPC Source'!$W$8:$AA$34,2,FALSE)</f>
        <v>50.32</v>
      </c>
      <c r="D25" s="72">
        <f>VLOOKUP($B25,'OFPC Source'!$W$8:$AA$34,3,FALSE)</f>
        <v>49.33</v>
      </c>
      <c r="E25" s="72">
        <f>VLOOKUP($B25,'OFPC Source'!$W$8:$AA$34,4,FALSE)</f>
        <v>43.73</v>
      </c>
      <c r="F25" s="72">
        <f>VLOOKUP($B25,'OFPC Source'!$W$8:$AA$34,5,FALSE)</f>
        <v>44.41</v>
      </c>
    </row>
    <row r="26" spans="2:6" x14ac:dyDescent="0.2">
      <c r="B26" s="71">
        <f t="shared" si="0"/>
        <v>2032</v>
      </c>
      <c r="C26" s="72">
        <f>VLOOKUP($B26,'OFPC Source'!$W$8:$AA$34,2,FALSE)</f>
        <v>52.51</v>
      </c>
      <c r="D26" s="72">
        <f>VLOOKUP($B26,'OFPC Source'!$W$8:$AA$34,3,FALSE)</f>
        <v>51.66</v>
      </c>
      <c r="E26" s="72">
        <f>VLOOKUP($B26,'OFPC Source'!$W$8:$AA$34,4,FALSE)</f>
        <v>45.82</v>
      </c>
      <c r="F26" s="72">
        <f>VLOOKUP($B26,'OFPC Source'!$W$8:$AA$34,5,FALSE)</f>
        <v>46.63</v>
      </c>
    </row>
    <row r="27" spans="2:6" x14ac:dyDescent="0.2">
      <c r="B27" s="71">
        <f t="shared" si="0"/>
        <v>2033</v>
      </c>
      <c r="C27" s="72">
        <f>VLOOKUP($B27,'OFPC Source'!$W$8:$AA$34,2,FALSE)</f>
        <v>55.22</v>
      </c>
      <c r="D27" s="72">
        <f>VLOOKUP($B27,'OFPC Source'!$W$8:$AA$34,3,FALSE)</f>
        <v>54.43</v>
      </c>
      <c r="E27" s="72">
        <f>VLOOKUP($B27,'OFPC Source'!$W$8:$AA$34,4,FALSE)</f>
        <v>48.63</v>
      </c>
      <c r="F27" s="72">
        <f>VLOOKUP($B27,'OFPC Source'!$W$8:$AA$34,5,FALSE)</f>
        <v>49.46</v>
      </c>
    </row>
    <row r="29" spans="2:6" x14ac:dyDescent="0.2">
      <c r="B29" s="27" t="s">
        <v>94</v>
      </c>
    </row>
    <row r="30" spans="2:6" ht="25.5" customHeight="1" x14ac:dyDescent="0.2">
      <c r="B30" s="499" t="str">
        <f>'Table 8'!B30:D30</f>
        <v>Official Forward Price Curve dated   March 31 2017</v>
      </c>
      <c r="C30" s="499"/>
      <c r="D30" s="499"/>
      <c r="E30" s="499"/>
      <c r="F30" s="499"/>
    </row>
    <row r="33" spans="2:2" x14ac:dyDescent="0.2">
      <c r="B33" s="73"/>
    </row>
    <row r="34" spans="2:2" x14ac:dyDescent="0.2">
      <c r="B34" s="73"/>
    </row>
    <row r="48" spans="2:2" ht="24.75" customHeight="1" x14ac:dyDescent="0.2"/>
  </sheetData>
  <mergeCells count="1">
    <mergeCell ref="B30:F30"/>
  </mergeCells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"/>
  <sheetViews>
    <sheetView tabSelected="1" zoomScaleNormal="100" workbookViewId="0">
      <selection activeCell="F8" sqref="F8"/>
    </sheetView>
  </sheetViews>
  <sheetFormatPr defaultRowHeight="12.75" x14ac:dyDescent="0.2"/>
  <cols>
    <col min="1" max="1" width="2" customWidth="1"/>
    <col min="2" max="2" width="14.1640625" customWidth="1"/>
    <col min="3" max="6" width="19.6640625" customWidth="1"/>
    <col min="12" max="12" width="21.5" customWidth="1"/>
    <col min="13" max="13" width="20.1640625" customWidth="1"/>
  </cols>
  <sheetData>
    <row r="1" spans="1:14" ht="15.75" x14ac:dyDescent="0.25">
      <c r="A1" s="32"/>
      <c r="B1" s="20" t="s">
        <v>101</v>
      </c>
      <c r="C1" s="23"/>
      <c r="D1" s="145"/>
      <c r="E1" s="145"/>
      <c r="F1" s="145"/>
      <c r="G1" s="474"/>
      <c r="H1" s="474"/>
    </row>
    <row r="2" spans="1:14" ht="15.75" x14ac:dyDescent="0.25">
      <c r="A2" s="32"/>
      <c r="B2" s="20" t="s">
        <v>133</v>
      </c>
      <c r="C2" s="23"/>
      <c r="D2" s="145"/>
      <c r="E2" s="145"/>
      <c r="F2" s="145"/>
      <c r="G2" s="474"/>
      <c r="H2" s="474"/>
      <c r="K2" s="500" t="s">
        <v>309</v>
      </c>
      <c r="L2" s="500"/>
      <c r="M2" s="500"/>
      <c r="N2" s="475"/>
    </row>
    <row r="3" spans="1:14" ht="15.75" x14ac:dyDescent="0.25">
      <c r="A3" s="32"/>
      <c r="B3" s="20" t="s">
        <v>116</v>
      </c>
      <c r="C3" s="68"/>
      <c r="D3" s="145"/>
      <c r="E3" s="145"/>
      <c r="F3" s="145"/>
      <c r="G3" s="474"/>
      <c r="H3" s="474"/>
      <c r="K3" s="476" t="s">
        <v>310</v>
      </c>
      <c r="L3" s="476"/>
      <c r="M3" s="476"/>
      <c r="N3" s="475"/>
    </row>
    <row r="4" spans="1:14" ht="15.75" x14ac:dyDescent="0.25">
      <c r="A4" s="32"/>
      <c r="B4" s="20"/>
      <c r="C4" s="68"/>
      <c r="G4" s="477"/>
      <c r="H4" s="477"/>
      <c r="K4" s="476"/>
      <c r="L4" s="476" t="s">
        <v>311</v>
      </c>
      <c r="M4" s="476" t="s">
        <v>312</v>
      </c>
      <c r="N4" s="476" t="s">
        <v>15</v>
      </c>
    </row>
    <row r="5" spans="1:14" ht="63.75" x14ac:dyDescent="0.2">
      <c r="A5" s="32"/>
      <c r="B5" s="21" t="s">
        <v>2</v>
      </c>
      <c r="C5" s="135" t="s">
        <v>132</v>
      </c>
      <c r="D5" s="135" t="s">
        <v>180</v>
      </c>
      <c r="E5" s="135" t="s">
        <v>134</v>
      </c>
      <c r="F5" s="485" t="s">
        <v>313</v>
      </c>
      <c r="G5" s="478" t="s">
        <v>318</v>
      </c>
      <c r="H5" s="478"/>
      <c r="K5" s="479" t="s">
        <v>129</v>
      </c>
      <c r="L5" s="480">
        <v>0.42889830042325666</v>
      </c>
      <c r="M5" s="480">
        <v>0.144532267904389</v>
      </c>
      <c r="N5" s="480">
        <v>0.57343056832764572</v>
      </c>
    </row>
    <row r="6" spans="1:14" x14ac:dyDescent="0.2">
      <c r="A6" s="32"/>
      <c r="B6" s="69"/>
      <c r="C6" s="136" t="s">
        <v>116</v>
      </c>
      <c r="D6" s="136" t="s">
        <v>116</v>
      </c>
      <c r="E6" s="136" t="s">
        <v>116</v>
      </c>
      <c r="F6" s="486" t="s">
        <v>116</v>
      </c>
      <c r="G6" s="481"/>
      <c r="H6" s="482"/>
      <c r="K6" s="479" t="s">
        <v>144</v>
      </c>
      <c r="L6" s="480">
        <v>0.45801214757039699</v>
      </c>
      <c r="M6" s="480">
        <v>0.14453226790433146</v>
      </c>
      <c r="N6" s="480">
        <v>0.60254441547472848</v>
      </c>
    </row>
    <row r="7" spans="1:14" x14ac:dyDescent="0.2">
      <c r="A7" s="32"/>
      <c r="B7" s="32"/>
      <c r="C7" s="70" t="s">
        <v>19</v>
      </c>
      <c r="D7" s="70" t="s">
        <v>20</v>
      </c>
      <c r="E7" s="70" t="s">
        <v>135</v>
      </c>
      <c r="F7" s="487" t="s">
        <v>319</v>
      </c>
      <c r="G7" s="474"/>
      <c r="H7" s="474"/>
      <c r="K7" s="483" t="s">
        <v>314</v>
      </c>
      <c r="L7" s="483"/>
      <c r="M7" s="483"/>
      <c r="N7" s="483"/>
    </row>
    <row r="8" spans="1:14" x14ac:dyDescent="0.2">
      <c r="A8" s="32"/>
      <c r="B8" s="32"/>
      <c r="C8" s="70"/>
    </row>
    <row r="9" spans="1:14" x14ac:dyDescent="0.2">
      <c r="A9" s="32"/>
      <c r="B9" s="71">
        <f>'Tables 3 to 5'!$B$13</f>
        <v>2016</v>
      </c>
      <c r="C9" s="460">
        <f t="shared" ref="C9:D9" si="0">L5</f>
        <v>0.42889830042325666</v>
      </c>
      <c r="D9" s="460">
        <f t="shared" si="0"/>
        <v>0.144532267904389</v>
      </c>
      <c r="E9" s="460">
        <f>N5</f>
        <v>0.57343056832764572</v>
      </c>
      <c r="F9" s="460">
        <f>N6</f>
        <v>0.60254441547472848</v>
      </c>
      <c r="G9" s="441"/>
      <c r="H9" s="484">
        <v>1.2E-2</v>
      </c>
    </row>
    <row r="10" spans="1:14" x14ac:dyDescent="0.2">
      <c r="A10" s="32"/>
      <c r="B10" s="71">
        <f>B9+1</f>
        <v>2017</v>
      </c>
      <c r="C10" s="460">
        <f>C9*(1+$H5)</f>
        <v>0.42889830042325666</v>
      </c>
      <c r="D10" s="460">
        <f t="shared" ref="D10:F25" si="1">D9*(1+$H5)</f>
        <v>0.144532267904389</v>
      </c>
      <c r="E10" s="460">
        <f t="shared" si="1"/>
        <v>0.57343056832764572</v>
      </c>
      <c r="F10" s="460">
        <f t="shared" si="1"/>
        <v>0.60254441547472848</v>
      </c>
      <c r="G10" s="441"/>
      <c r="H10" s="484">
        <v>2.1999999999999999E-2</v>
      </c>
    </row>
    <row r="11" spans="1:14" x14ac:dyDescent="0.2">
      <c r="A11" s="32"/>
      <c r="B11" s="71">
        <f t="shared" ref="B11:B26" si="2">B10+1</f>
        <v>2018</v>
      </c>
      <c r="C11" s="460">
        <f t="shared" ref="C11:F26" si="3">C10*(1+$H6)</f>
        <v>0.42889830042325666</v>
      </c>
      <c r="D11" s="460">
        <f t="shared" si="3"/>
        <v>0.144532267904389</v>
      </c>
      <c r="E11" s="460">
        <f t="shared" si="3"/>
        <v>0.57343056832764572</v>
      </c>
      <c r="F11" s="460">
        <f t="shared" si="1"/>
        <v>0.60254441547472848</v>
      </c>
      <c r="G11" s="441"/>
      <c r="H11" s="484">
        <v>2.4E-2</v>
      </c>
    </row>
    <row r="12" spans="1:14" x14ac:dyDescent="0.2">
      <c r="A12" s="32"/>
      <c r="B12" s="71">
        <f t="shared" si="2"/>
        <v>2019</v>
      </c>
      <c r="C12" s="460">
        <f t="shared" si="3"/>
        <v>0.42889830042325666</v>
      </c>
      <c r="D12" s="460">
        <f t="shared" si="3"/>
        <v>0.144532267904389</v>
      </c>
      <c r="E12" s="460">
        <f t="shared" si="3"/>
        <v>0.57343056832764572</v>
      </c>
      <c r="F12" s="460">
        <f t="shared" si="1"/>
        <v>0.60254441547472848</v>
      </c>
      <c r="G12" s="441"/>
      <c r="H12" s="484">
        <v>2.4E-2</v>
      </c>
    </row>
    <row r="13" spans="1:14" x14ac:dyDescent="0.2">
      <c r="A13" s="32"/>
      <c r="B13" s="71">
        <f t="shared" si="2"/>
        <v>2020</v>
      </c>
      <c r="C13" s="460">
        <f t="shared" si="3"/>
        <v>0.42889830042325666</v>
      </c>
      <c r="D13" s="460">
        <f t="shared" si="3"/>
        <v>0.144532267904389</v>
      </c>
      <c r="E13" s="460">
        <f t="shared" si="3"/>
        <v>0.57343056832764572</v>
      </c>
      <c r="F13" s="460">
        <f t="shared" si="1"/>
        <v>0.60254441547472848</v>
      </c>
      <c r="G13" s="441"/>
      <c r="H13" s="484">
        <v>2.4E-2</v>
      </c>
    </row>
    <row r="14" spans="1:14" x14ac:dyDescent="0.2">
      <c r="A14" s="32"/>
      <c r="B14" s="71">
        <f t="shared" si="2"/>
        <v>2021</v>
      </c>
      <c r="C14" s="460">
        <f t="shared" si="3"/>
        <v>0.43404508002833575</v>
      </c>
      <c r="D14" s="460">
        <f t="shared" si="3"/>
        <v>0.14626665511924167</v>
      </c>
      <c r="E14" s="460">
        <f t="shared" si="3"/>
        <v>0.5803117351475775</v>
      </c>
      <c r="F14" s="460">
        <f t="shared" si="1"/>
        <v>0.60977494846042524</v>
      </c>
      <c r="G14" s="441"/>
      <c r="H14" s="484">
        <v>2.4E-2</v>
      </c>
    </row>
    <row r="15" spans="1:14" x14ac:dyDescent="0.2">
      <c r="A15" s="32"/>
      <c r="B15" s="71">
        <f t="shared" si="2"/>
        <v>2022</v>
      </c>
      <c r="C15" s="460">
        <f t="shared" si="3"/>
        <v>0.44359407178895915</v>
      </c>
      <c r="D15" s="460">
        <f t="shared" si="3"/>
        <v>0.14948452153186498</v>
      </c>
      <c r="E15" s="460">
        <f t="shared" si="3"/>
        <v>0.59307859332082424</v>
      </c>
      <c r="F15" s="460">
        <f t="shared" si="1"/>
        <v>0.62318999732655456</v>
      </c>
      <c r="G15" s="441"/>
      <c r="H15" s="484">
        <v>2.3E-2</v>
      </c>
    </row>
    <row r="16" spans="1:14" x14ac:dyDescent="0.2">
      <c r="A16" s="32"/>
      <c r="B16" s="71">
        <f t="shared" si="2"/>
        <v>2023</v>
      </c>
      <c r="C16" s="460">
        <f t="shared" si="3"/>
        <v>0.45424032951189419</v>
      </c>
      <c r="D16" s="460">
        <f t="shared" si="3"/>
        <v>0.15307215004862973</v>
      </c>
      <c r="E16" s="460">
        <f t="shared" si="3"/>
        <v>0.60731247956052403</v>
      </c>
      <c r="F16" s="460">
        <f t="shared" si="1"/>
        <v>0.63814655726239189</v>
      </c>
      <c r="G16" s="441"/>
      <c r="H16" s="484">
        <v>2.3E-2</v>
      </c>
    </row>
    <row r="17" spans="1:8" x14ac:dyDescent="0.2">
      <c r="A17" s="32"/>
      <c r="B17" s="71">
        <f t="shared" si="2"/>
        <v>2024</v>
      </c>
      <c r="C17" s="460">
        <f t="shared" si="3"/>
        <v>0.46514209742017965</v>
      </c>
      <c r="D17" s="460">
        <f t="shared" si="3"/>
        <v>0.15674588164979686</v>
      </c>
      <c r="E17" s="460">
        <f t="shared" si="3"/>
        <v>0.62188797906997662</v>
      </c>
      <c r="F17" s="460">
        <f t="shared" si="1"/>
        <v>0.65346207463668926</v>
      </c>
      <c r="G17" s="441"/>
      <c r="H17" s="484">
        <v>2.3E-2</v>
      </c>
    </row>
    <row r="18" spans="1:8" x14ac:dyDescent="0.2">
      <c r="A18" s="32"/>
      <c r="B18" s="71">
        <f t="shared" si="2"/>
        <v>2025</v>
      </c>
      <c r="C18" s="460">
        <f t="shared" si="3"/>
        <v>0.47630550775826397</v>
      </c>
      <c r="D18" s="460">
        <f t="shared" si="3"/>
        <v>0.16050778280939199</v>
      </c>
      <c r="E18" s="460">
        <f t="shared" si="3"/>
        <v>0.63681329056765612</v>
      </c>
      <c r="F18" s="460">
        <f t="shared" si="1"/>
        <v>0.66914516442796979</v>
      </c>
      <c r="G18" s="441"/>
      <c r="H18" s="484">
        <v>2.1999999999999999E-2</v>
      </c>
    </row>
    <row r="19" spans="1:8" x14ac:dyDescent="0.2">
      <c r="A19" s="32"/>
      <c r="B19" s="71">
        <f t="shared" si="2"/>
        <v>2026</v>
      </c>
      <c r="C19" s="460">
        <f t="shared" si="3"/>
        <v>0.48773683994446232</v>
      </c>
      <c r="D19" s="460">
        <f t="shared" si="3"/>
        <v>0.1643599695968174</v>
      </c>
      <c r="E19" s="460">
        <f t="shared" si="3"/>
        <v>0.65209680954127991</v>
      </c>
      <c r="F19" s="460">
        <f t="shared" si="1"/>
        <v>0.68520464837424111</v>
      </c>
      <c r="G19" s="441"/>
      <c r="H19" s="484">
        <v>2.1999999999999999E-2</v>
      </c>
    </row>
    <row r="20" spans="1:8" x14ac:dyDescent="0.2">
      <c r="A20" s="32"/>
      <c r="B20" s="71">
        <f t="shared" si="2"/>
        <v>2027</v>
      </c>
      <c r="C20" s="460">
        <f t="shared" si="3"/>
        <v>0.49895478726318493</v>
      </c>
      <c r="D20" s="460">
        <f t="shared" si="3"/>
        <v>0.16814024889754417</v>
      </c>
      <c r="E20" s="460">
        <f t="shared" si="3"/>
        <v>0.66709503616072929</v>
      </c>
      <c r="F20" s="460">
        <f t="shared" si="1"/>
        <v>0.70096435528684864</v>
      </c>
      <c r="G20" s="441"/>
      <c r="H20" s="484">
        <v>2.1999999999999999E-2</v>
      </c>
    </row>
    <row r="21" spans="1:8" x14ac:dyDescent="0.2">
      <c r="A21" s="32"/>
      <c r="B21" s="71">
        <f t="shared" si="2"/>
        <v>2028</v>
      </c>
      <c r="C21" s="460">
        <f t="shared" si="3"/>
        <v>0.51043074737023819</v>
      </c>
      <c r="D21" s="460">
        <f t="shared" si="3"/>
        <v>0.17200747462218768</v>
      </c>
      <c r="E21" s="460">
        <f t="shared" si="3"/>
        <v>0.68243822199242599</v>
      </c>
      <c r="F21" s="460">
        <f t="shared" si="1"/>
        <v>0.71708653545844614</v>
      </c>
      <c r="G21" s="441"/>
      <c r="H21" s="484">
        <v>2.1999999999999999E-2</v>
      </c>
    </row>
    <row r="22" spans="1:8" x14ac:dyDescent="0.2">
      <c r="A22" s="32"/>
      <c r="B22" s="71">
        <f t="shared" si="2"/>
        <v>2029</v>
      </c>
      <c r="C22" s="460">
        <f t="shared" si="3"/>
        <v>0.52217065455975364</v>
      </c>
      <c r="D22" s="460">
        <f t="shared" si="3"/>
        <v>0.175963646538498</v>
      </c>
      <c r="E22" s="460">
        <f t="shared" si="3"/>
        <v>0.6981343010982517</v>
      </c>
      <c r="F22" s="460">
        <f t="shared" si="1"/>
        <v>0.73357952577399033</v>
      </c>
      <c r="G22" s="441"/>
      <c r="H22" s="484">
        <v>2.1000000000000001E-2</v>
      </c>
    </row>
    <row r="23" spans="1:8" x14ac:dyDescent="0.2">
      <c r="A23" s="32"/>
      <c r="B23" s="71">
        <f t="shared" si="2"/>
        <v>2030</v>
      </c>
      <c r="C23" s="460">
        <f t="shared" si="3"/>
        <v>0.53365840896006822</v>
      </c>
      <c r="D23" s="460">
        <f t="shared" si="3"/>
        <v>0.17983484676234496</v>
      </c>
      <c r="E23" s="460">
        <f t="shared" si="3"/>
        <v>0.71349325572241329</v>
      </c>
      <c r="F23" s="460">
        <f t="shared" si="1"/>
        <v>0.74971827534101809</v>
      </c>
      <c r="G23" s="441"/>
      <c r="H23" s="484">
        <v>2.1999999999999999E-2</v>
      </c>
    </row>
    <row r="24" spans="1:8" x14ac:dyDescent="0.2">
      <c r="A24" s="32"/>
      <c r="B24" s="71">
        <f t="shared" si="2"/>
        <v>2031</v>
      </c>
      <c r="C24" s="460">
        <f t="shared" si="3"/>
        <v>0.54539889395718977</v>
      </c>
      <c r="D24" s="460">
        <f t="shared" si="3"/>
        <v>0.18379121339111654</v>
      </c>
      <c r="E24" s="460">
        <f t="shared" si="3"/>
        <v>0.72919010734830636</v>
      </c>
      <c r="F24" s="460">
        <f t="shared" si="1"/>
        <v>0.76621207739852049</v>
      </c>
      <c r="G24" s="441"/>
      <c r="H24" s="484">
        <v>2.1999999999999999E-2</v>
      </c>
    </row>
    <row r="25" spans="1:8" x14ac:dyDescent="0.2">
      <c r="A25" s="32"/>
      <c r="B25" s="71">
        <f t="shared" si="2"/>
        <v>2032</v>
      </c>
      <c r="C25" s="460">
        <f t="shared" si="3"/>
        <v>0.55739766962424797</v>
      </c>
      <c r="D25" s="460">
        <f t="shared" si="3"/>
        <v>0.1878346200857211</v>
      </c>
      <c r="E25" s="460">
        <f t="shared" si="3"/>
        <v>0.74523228970996913</v>
      </c>
      <c r="F25" s="460">
        <f t="shared" si="1"/>
        <v>0.78306874310128793</v>
      </c>
      <c r="G25" s="441"/>
      <c r="H25" s="484">
        <v>2.1999999999999999E-2</v>
      </c>
    </row>
    <row r="26" spans="1:8" x14ac:dyDescent="0.2">
      <c r="A26" s="32"/>
      <c r="B26" s="71">
        <f t="shared" si="2"/>
        <v>2033</v>
      </c>
      <c r="C26" s="460">
        <f t="shared" si="3"/>
        <v>0.56966041835598147</v>
      </c>
      <c r="D26" s="460">
        <f t="shared" si="3"/>
        <v>0.19196698172760698</v>
      </c>
      <c r="E26" s="460">
        <f t="shared" si="3"/>
        <v>0.76162740008358842</v>
      </c>
      <c r="F26" s="460">
        <f t="shared" si="3"/>
        <v>0.80029625544951632</v>
      </c>
      <c r="G26" s="441"/>
      <c r="H26" s="484">
        <v>2.1999999999999999E-2</v>
      </c>
    </row>
    <row r="27" spans="1:8" x14ac:dyDescent="0.2">
      <c r="A27" s="32"/>
      <c r="B27" s="71"/>
      <c r="C27" s="72"/>
      <c r="D27" s="72"/>
      <c r="E27" s="72"/>
    </row>
    <row r="28" spans="1:8" x14ac:dyDescent="0.2">
      <c r="A28" s="32"/>
      <c r="B28" s="71"/>
      <c r="C28" s="72"/>
      <c r="D28" s="72"/>
      <c r="E28" s="72"/>
    </row>
    <row r="30" spans="1:8" x14ac:dyDescent="0.2">
      <c r="B30" s="137" t="s">
        <v>79</v>
      </c>
      <c r="C30" s="137"/>
      <c r="D30" s="137"/>
      <c r="E30" s="137"/>
    </row>
    <row r="31" spans="1:8" x14ac:dyDescent="0.2">
      <c r="B31" s="475" t="s">
        <v>315</v>
      </c>
      <c r="C31" s="137"/>
      <c r="D31" s="137"/>
      <c r="E31" s="137"/>
    </row>
    <row r="32" spans="1:8" x14ac:dyDescent="0.2">
      <c r="B32" s="137"/>
      <c r="C32" s="137"/>
      <c r="D32" s="138"/>
      <c r="E32" s="138"/>
    </row>
    <row r="33" spans="2:5" x14ac:dyDescent="0.2">
      <c r="B33" s="137"/>
      <c r="C33" s="137"/>
      <c r="D33" s="138"/>
      <c r="E33" s="138"/>
    </row>
  </sheetData>
  <mergeCells count="1">
    <mergeCell ref="K2:M2"/>
  </mergeCells>
  <hyperlinks>
    <hyperlink ref="C33" display="www.pacificorp.com/content/dam/pacificorp/doc/Energy_Sources/Integrated_Resource_Plan/Wind_Integration/PacifiCorp_2010WindIntegrationStudy_090110.pdf"/>
  </hyperlinks>
  <printOptions horizontalCentered="1"/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76" sqref="D76"/>
    </sheetView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N44"/>
  <sheetViews>
    <sheetView showGridLines="0" zoomScaleNormal="100" workbookViewId="0"/>
  </sheetViews>
  <sheetFormatPr defaultRowHeight="12" x14ac:dyDescent="0.2"/>
  <cols>
    <col min="1" max="1" width="2.83203125" style="114" customWidth="1"/>
    <col min="2" max="2" width="19.6640625" style="114" customWidth="1"/>
    <col min="3" max="6" width="18.83203125" style="114" customWidth="1"/>
    <col min="7" max="7" width="17" style="114" customWidth="1"/>
    <col min="8" max="8" width="9.33203125" style="114"/>
    <col min="9" max="9" width="19" style="114" customWidth="1"/>
    <col min="10" max="10" width="20.1640625" style="114" customWidth="1"/>
    <col min="11" max="11" width="19" style="114" customWidth="1"/>
    <col min="12" max="12" width="26.83203125" style="114" customWidth="1"/>
    <col min="13" max="13" width="12.83203125" style="114" customWidth="1"/>
    <col min="14" max="14" width="16.6640625" style="114" customWidth="1"/>
    <col min="15" max="16384" width="9.33203125" style="114"/>
  </cols>
  <sheetData>
    <row r="1" spans="1:14" x14ac:dyDescent="0.2">
      <c r="A1" s="2"/>
      <c r="B1" s="2"/>
      <c r="C1" s="2"/>
      <c r="D1" s="2"/>
      <c r="E1" s="2"/>
      <c r="F1" s="2"/>
      <c r="G1" s="2"/>
    </row>
    <row r="2" spans="1:14" x14ac:dyDescent="0.2">
      <c r="A2" s="2"/>
      <c r="B2" s="2" t="s">
        <v>100</v>
      </c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1:14" x14ac:dyDescent="0.2">
      <c r="B3" s="143" t="s">
        <v>146</v>
      </c>
      <c r="I3" s="2"/>
      <c r="J3" s="2"/>
      <c r="K3" s="2"/>
      <c r="L3" s="2"/>
      <c r="M3" s="2"/>
      <c r="N3" s="2"/>
    </row>
    <row r="4" spans="1:14" x14ac:dyDescent="0.2">
      <c r="A4" s="115"/>
      <c r="C4" s="115"/>
      <c r="D4" s="115"/>
      <c r="E4" s="115"/>
      <c r="F4" s="115"/>
      <c r="G4" s="115"/>
      <c r="L4" s="314" t="s">
        <v>221</v>
      </c>
      <c r="M4" s="314"/>
    </row>
    <row r="5" spans="1:14" x14ac:dyDescent="0.2">
      <c r="A5" s="115"/>
      <c r="B5" s="115"/>
    </row>
    <row r="6" spans="1:14" x14ac:dyDescent="0.2">
      <c r="A6" s="115"/>
      <c r="B6" s="116" t="s">
        <v>122</v>
      </c>
      <c r="C6" s="117" t="s">
        <v>222</v>
      </c>
      <c r="D6" s="117"/>
      <c r="E6" s="166" t="s">
        <v>121</v>
      </c>
      <c r="F6" s="117"/>
      <c r="G6" s="117"/>
    </row>
    <row r="7" spans="1:14" ht="14.25" x14ac:dyDescent="0.35">
      <c r="A7" s="115"/>
      <c r="B7" s="116" t="s">
        <v>120</v>
      </c>
      <c r="C7" s="118" t="s">
        <v>58</v>
      </c>
      <c r="D7" s="118" t="s">
        <v>59</v>
      </c>
      <c r="E7" s="118" t="s">
        <v>58</v>
      </c>
      <c r="F7" s="118" t="s">
        <v>59</v>
      </c>
      <c r="G7" s="118"/>
    </row>
    <row r="8" spans="1:14" x14ac:dyDescent="0.2">
      <c r="A8" s="119"/>
      <c r="B8" s="120"/>
      <c r="C8" s="121"/>
      <c r="D8" s="121"/>
      <c r="E8" s="121"/>
      <c r="F8" s="121"/>
      <c r="G8" s="121"/>
    </row>
    <row r="9" spans="1:14" x14ac:dyDescent="0.2">
      <c r="A9" s="119"/>
      <c r="B9" s="120"/>
      <c r="C9" s="121"/>
      <c r="D9" s="121"/>
      <c r="E9" s="121"/>
      <c r="F9" s="121"/>
      <c r="G9" s="121"/>
      <c r="H9" s="315"/>
    </row>
    <row r="10" spans="1:14" x14ac:dyDescent="0.2">
      <c r="A10" s="119"/>
      <c r="B10" s="339">
        <v>2016</v>
      </c>
      <c r="C10" s="122">
        <f>ROUND(INDEX('Table 2A BaseLoad'!$C$84:$C$96,MATCH($B10,'Table 2A BaseLoad'!$A$84:$A$96,0))/10,3)</f>
        <v>1.9</v>
      </c>
      <c r="D10" s="122">
        <f>ROUND(INDEX('Table 2A BaseLoad'!$G$84:$G$96,MATCH($B10,'Table 2A BaseLoad'!$A$84:$A$96,0))/10,3)</f>
        <v>2.3730000000000002</v>
      </c>
      <c r="E10" s="122">
        <f>ROUND(INDEX('Table 2A BaseLoad'!$D$84:$D$96,MATCH($B10,'Table 2A BaseLoad'!$A$84:$A$96,0))/10,3)</f>
        <v>1.681</v>
      </c>
      <c r="F10" s="122">
        <f>ROUND(INDEX('Table 2A BaseLoad'!$H$84:$H$96,MATCH($B10,'Table 2A BaseLoad'!$A$84:$A$96,0))/10,3)</f>
        <v>1.589</v>
      </c>
      <c r="G10" s="121"/>
      <c r="H10" s="315"/>
    </row>
    <row r="11" spans="1:14" x14ac:dyDescent="0.2">
      <c r="A11" s="119"/>
      <c r="B11" s="339">
        <v>2017</v>
      </c>
      <c r="C11" s="122">
        <f>ROUND(INDEX('Table 2A BaseLoad'!$C$84:$C$96,MATCH($B11,'Table 2A BaseLoad'!$A$84:$A$96,0))/10,3)</f>
        <v>2.0859999999999999</v>
      </c>
      <c r="D11" s="122">
        <f>ROUND(INDEX('Table 2A BaseLoad'!$G$84:$G$96,MATCH($B11,'Table 2A BaseLoad'!$A$84:$A$96,0))/10,3)</f>
        <v>2.234</v>
      </c>
      <c r="E11" s="122">
        <f>ROUND(INDEX('Table 2A BaseLoad'!$D$84:$D$96,MATCH($B11,'Table 2A BaseLoad'!$A$84:$A$96,0))/10,3)</f>
        <v>1.8380000000000001</v>
      </c>
      <c r="F11" s="122">
        <f>ROUND(INDEX('Table 2A BaseLoad'!$H$84:$H$96,MATCH($B11,'Table 2A BaseLoad'!$A$84:$A$96,0))/10,3)</f>
        <v>1.621</v>
      </c>
      <c r="G11" s="121"/>
      <c r="H11" s="315"/>
    </row>
    <row r="12" spans="1:14" x14ac:dyDescent="0.2">
      <c r="A12" s="119"/>
      <c r="B12" s="339">
        <v>2018</v>
      </c>
      <c r="C12" s="122">
        <f>ROUND(INDEX('Table 2A BaseLoad'!$C$84:$C$96,MATCH($B12,'Table 2A BaseLoad'!$A$84:$A$96,0))/10,3)</f>
        <v>1.974</v>
      </c>
      <c r="D12" s="122">
        <f>ROUND(INDEX('Table 2A BaseLoad'!$G$84:$G$96,MATCH($B12,'Table 2A BaseLoad'!$A$84:$A$96,0))/10,3)</f>
        <v>2.4060000000000001</v>
      </c>
      <c r="E12" s="122">
        <f>ROUND(INDEX('Table 2A BaseLoad'!$D$84:$D$96,MATCH($B12,'Table 2A BaseLoad'!$A$84:$A$96,0))/10,3)</f>
        <v>1.76</v>
      </c>
      <c r="F12" s="122">
        <f>ROUND(INDEX('Table 2A BaseLoad'!$H$84:$H$96,MATCH($B12,'Table 2A BaseLoad'!$A$84:$A$96,0))/10,3)</f>
        <v>1.75</v>
      </c>
      <c r="G12" s="121"/>
      <c r="H12" s="315"/>
    </row>
    <row r="13" spans="1:14" x14ac:dyDescent="0.2">
      <c r="A13" s="119"/>
      <c r="B13" s="339">
        <v>2019</v>
      </c>
      <c r="C13" s="122">
        <f>ROUND(INDEX('Table 2A BaseLoad'!$C$84:$C$96,MATCH($B13,'Table 2A BaseLoad'!$A$84:$A$96,0))/10,3)</f>
        <v>1.8680000000000001</v>
      </c>
      <c r="D13" s="122">
        <f>ROUND(INDEX('Table 2A BaseLoad'!$G$84:$G$96,MATCH($B13,'Table 2A BaseLoad'!$A$84:$A$96,0))/10,3)</f>
        <v>2.415</v>
      </c>
      <c r="E13" s="122">
        <f>ROUND(INDEX('Table 2A BaseLoad'!$D$84:$D$96,MATCH($B13,'Table 2A BaseLoad'!$A$84:$A$96,0))/10,3)</f>
        <v>1.5569999999999999</v>
      </c>
      <c r="F13" s="122">
        <f>ROUND(INDEX('Table 2A BaseLoad'!$H$84:$H$96,MATCH($B13,'Table 2A BaseLoad'!$A$84:$A$96,0))/10,3)</f>
        <v>1.659</v>
      </c>
      <c r="G13" s="121"/>
      <c r="H13" s="315"/>
    </row>
    <row r="14" spans="1:14" x14ac:dyDescent="0.2">
      <c r="A14" s="119"/>
      <c r="B14" s="339">
        <v>2020</v>
      </c>
      <c r="C14" s="122">
        <f>ROUND(INDEX('Table 2A BaseLoad'!$C$84:$C$96,MATCH($B14,'Table 2A BaseLoad'!$A$84:$A$96,0))/10,3)</f>
        <v>1.927</v>
      </c>
      <c r="D14" s="122">
        <f>ROUND(INDEX('Table 2A BaseLoad'!$G$84:$G$96,MATCH($B14,'Table 2A BaseLoad'!$A$84:$A$96,0))/10,3)</f>
        <v>2.4319999999999999</v>
      </c>
      <c r="E14" s="122">
        <f>ROUND(INDEX('Table 2A BaseLoad'!$D$84:$D$96,MATCH($B14,'Table 2A BaseLoad'!$A$84:$A$96,0))/10,3)</f>
        <v>1.6339999999999999</v>
      </c>
      <c r="F14" s="122">
        <f>ROUND(INDEX('Table 2A BaseLoad'!$H$84:$H$96,MATCH($B14,'Table 2A BaseLoad'!$A$84:$A$96,0))/10,3)</f>
        <v>1.536</v>
      </c>
      <c r="G14" s="121"/>
      <c r="H14" s="315"/>
    </row>
    <row r="15" spans="1:14" x14ac:dyDescent="0.2">
      <c r="A15" s="119"/>
      <c r="B15" s="339">
        <v>2021</v>
      </c>
      <c r="C15" s="122">
        <f>ROUND(INDEX('Table 2A BaseLoad'!$C$84:$C$96,MATCH($B15,'Table 2A BaseLoad'!$A$84:$A$96,0))/10,3)</f>
        <v>2.0630000000000002</v>
      </c>
      <c r="D15" s="122">
        <f>ROUND(INDEX('Table 2A BaseLoad'!$G$84:$G$96,MATCH($B15,'Table 2A BaseLoad'!$A$84:$A$96,0))/10,3)</f>
        <v>2.6419999999999999</v>
      </c>
      <c r="E15" s="122">
        <f>ROUND(INDEX('Table 2A BaseLoad'!$D$84:$D$96,MATCH($B15,'Table 2A BaseLoad'!$A$84:$A$96,0))/10,3)</f>
        <v>1.8</v>
      </c>
      <c r="F15" s="122">
        <f>ROUND(INDEX('Table 2A BaseLoad'!$H$84:$H$96,MATCH($B15,'Table 2A BaseLoad'!$A$84:$A$96,0))/10,3)</f>
        <v>1.712</v>
      </c>
      <c r="G15" s="121"/>
      <c r="H15" s="315"/>
    </row>
    <row r="16" spans="1:14" x14ac:dyDescent="0.2">
      <c r="A16" s="119"/>
      <c r="B16" s="339">
        <v>2022</v>
      </c>
      <c r="C16" s="122">
        <f>ROUND(INDEX('Table 2A BaseLoad'!$C$84:$C$96,MATCH($B16,'Table 2A BaseLoad'!$A$84:$A$96,0))/10,3)</f>
        <v>2.1589999999999998</v>
      </c>
      <c r="D16" s="122">
        <f>ROUND(INDEX('Table 2A BaseLoad'!$G$84:$G$96,MATCH($B16,'Table 2A BaseLoad'!$A$84:$A$96,0))/10,3)</f>
        <v>2.8319999999999999</v>
      </c>
      <c r="E16" s="122">
        <f>ROUND(INDEX('Table 2A BaseLoad'!$D$84:$D$96,MATCH($B16,'Table 2A BaseLoad'!$A$84:$A$96,0))/10,3)</f>
        <v>1.93</v>
      </c>
      <c r="F16" s="122">
        <f>ROUND(INDEX('Table 2A BaseLoad'!$H$84:$H$96,MATCH($B16,'Table 2A BaseLoad'!$A$84:$A$96,0))/10,3)</f>
        <v>1.948</v>
      </c>
      <c r="G16" s="121"/>
      <c r="H16" s="315"/>
    </row>
    <row r="17" spans="1:8" x14ac:dyDescent="0.2">
      <c r="A17" s="119"/>
      <c r="B17" s="339">
        <v>2023</v>
      </c>
      <c r="C17" s="122">
        <f>ROUND(INDEX('Table 2A BaseLoad'!$C$84:$C$96,MATCH($B17,'Table 2A BaseLoad'!$A$84:$A$96,0))/10,3)</f>
        <v>2.4809999999999999</v>
      </c>
      <c r="D17" s="122">
        <f>ROUND(INDEX('Table 2A BaseLoad'!$G$84:$G$96,MATCH($B17,'Table 2A BaseLoad'!$A$84:$A$96,0))/10,3)</f>
        <v>3.0710000000000002</v>
      </c>
      <c r="E17" s="122">
        <f>ROUND(INDEX('Table 2A BaseLoad'!$D$84:$D$96,MATCH($B17,'Table 2A BaseLoad'!$A$84:$A$96,0))/10,3)</f>
        <v>2.2480000000000002</v>
      </c>
      <c r="F17" s="122">
        <f>ROUND(INDEX('Table 2A BaseLoad'!$H$84:$H$96,MATCH($B17,'Table 2A BaseLoad'!$A$84:$A$96,0))/10,3)</f>
        <v>2.306</v>
      </c>
      <c r="G17" s="121"/>
      <c r="H17" s="315"/>
    </row>
    <row r="18" spans="1:8" x14ac:dyDescent="0.2">
      <c r="A18" s="119"/>
      <c r="B18" s="339">
        <v>2024</v>
      </c>
      <c r="C18" s="122">
        <f>ROUND(INDEX('Table 2A BaseLoad'!$C$84:$C$96,MATCH($B18,'Table 2A BaseLoad'!$A$84:$A$96,0))/10,3)</f>
        <v>2.6640000000000001</v>
      </c>
      <c r="D18" s="122">
        <f>ROUND(INDEX('Table 2A BaseLoad'!$G$84:$G$96,MATCH($B18,'Table 2A BaseLoad'!$A$84:$A$96,0))/10,3)</f>
        <v>3.4020000000000001</v>
      </c>
      <c r="E18" s="122">
        <f>ROUND(INDEX('Table 2A BaseLoad'!$D$84:$D$96,MATCH($B18,'Table 2A BaseLoad'!$A$84:$A$96,0))/10,3)</f>
        <v>2.4209999999999998</v>
      </c>
      <c r="F18" s="122">
        <f>ROUND(INDEX('Table 2A BaseLoad'!$H$84:$H$96,MATCH($B18,'Table 2A BaseLoad'!$A$84:$A$96,0))/10,3)</f>
        <v>2.74</v>
      </c>
      <c r="G18" s="121"/>
      <c r="H18" s="315"/>
    </row>
    <row r="19" spans="1:8" x14ac:dyDescent="0.2">
      <c r="A19" s="119"/>
      <c r="B19" s="339">
        <v>2025</v>
      </c>
      <c r="C19" s="122">
        <f>ROUND(INDEX('Table 2A BaseLoad'!$C$84:$C$96,MATCH($B19,'Table 2A BaseLoad'!$A$84:$A$96,0))/10,3)</f>
        <v>3.173</v>
      </c>
      <c r="D19" s="122">
        <f>ROUND(INDEX('Table 2A BaseLoad'!$G$84:$G$96,MATCH($B19,'Table 2A BaseLoad'!$A$84:$A$96,0))/10,3)</f>
        <v>3.3410000000000002</v>
      </c>
      <c r="E19" s="122">
        <f>ROUND(INDEX('Table 2A BaseLoad'!$D$84:$D$96,MATCH($B19,'Table 2A BaseLoad'!$A$84:$A$96,0))/10,3)</f>
        <v>2.883</v>
      </c>
      <c r="F19" s="122">
        <f>ROUND(INDEX('Table 2A BaseLoad'!$H$84:$H$96,MATCH($B19,'Table 2A BaseLoad'!$A$84:$A$96,0))/10,3)</f>
        <v>2.6619999999999999</v>
      </c>
      <c r="G19" s="121"/>
      <c r="H19" s="177"/>
    </row>
    <row r="20" spans="1:8" x14ac:dyDescent="0.2">
      <c r="A20" s="119"/>
      <c r="B20" s="339">
        <v>2026</v>
      </c>
      <c r="C20" s="122">
        <f>ROUND(INDEX('Table 2A BaseLoad'!$C$84:$C$96,MATCH($B20,'Table 2A BaseLoad'!$A$84:$A$96,0))/10,3)</f>
        <v>2.7690000000000001</v>
      </c>
      <c r="D20" s="122">
        <f>ROUND(INDEX('Table 2A BaseLoad'!$G$84:$G$96,MATCH($B20,'Table 2A BaseLoad'!$A$84:$A$96,0))/10,3)</f>
        <v>3.4710000000000001</v>
      </c>
      <c r="E20" s="122">
        <f>ROUND(INDEX('Table 2A BaseLoad'!$D$84:$D$96,MATCH($B20,'Table 2A BaseLoad'!$A$84:$A$96,0))/10,3)</f>
        <v>2.52</v>
      </c>
      <c r="F20" s="122">
        <f>ROUND(INDEX('Table 2A BaseLoad'!$H$84:$H$96,MATCH($B20,'Table 2A BaseLoad'!$A$84:$A$96,0))/10,3)</f>
        <v>2.778</v>
      </c>
      <c r="G20" s="121"/>
      <c r="H20" s="177"/>
    </row>
    <row r="21" spans="1:8" x14ac:dyDescent="0.2">
      <c r="A21" s="119"/>
      <c r="B21" s="339">
        <v>2027</v>
      </c>
      <c r="C21" s="122">
        <f>ROUND(INDEX('Table 2A BaseLoad'!$C$84:$C$96,MATCH($B21,'Table 2A BaseLoad'!$A$84:$A$96,0))/10,3)</f>
        <v>3.3740000000000001</v>
      </c>
      <c r="D21" s="122">
        <f>ROUND(INDEX('Table 2A BaseLoad'!$G$84:$G$96,MATCH($B21,'Table 2A BaseLoad'!$A$84:$A$96,0))/10,3)</f>
        <v>4.165</v>
      </c>
      <c r="E21" s="122">
        <f>ROUND(INDEX('Table 2A BaseLoad'!$D$84:$D$96,MATCH($B21,'Table 2A BaseLoad'!$A$84:$A$96,0))/10,3)</f>
        <v>3.0910000000000002</v>
      </c>
      <c r="F21" s="122">
        <f>ROUND(INDEX('Table 2A BaseLoad'!$H$84:$H$96,MATCH($B21,'Table 2A BaseLoad'!$A$84:$A$96,0))/10,3)</f>
        <v>3.379</v>
      </c>
      <c r="G21" s="122"/>
      <c r="H21" s="177"/>
    </row>
    <row r="22" spans="1:8" x14ac:dyDescent="0.2">
      <c r="A22" s="119"/>
      <c r="B22" s="339">
        <v>2028</v>
      </c>
      <c r="C22" s="122">
        <f>ROUND(INDEX('Tables 3 to 5'!S:S,MATCH(B22,'Tables 3 to 5'!B:B,0))/10,3)</f>
        <v>5.6639999999999997</v>
      </c>
      <c r="D22" s="122">
        <f t="shared" ref="D22:D27" si="0">C22</f>
        <v>5.6639999999999997</v>
      </c>
      <c r="E22" s="122">
        <f>ROUND(INDEX('Tables 3 to 5'!T:T,MATCH(B22,'Tables 3 to 5'!B:B,0))/10,3)</f>
        <v>2.7509999999999999</v>
      </c>
      <c r="F22" s="122">
        <f t="shared" ref="F22:F27" si="1">E22</f>
        <v>2.7509999999999999</v>
      </c>
      <c r="G22" s="122"/>
      <c r="H22" s="177"/>
    </row>
    <row r="23" spans="1:8" x14ac:dyDescent="0.2">
      <c r="A23" s="119"/>
      <c r="B23" s="339">
        <v>2029</v>
      </c>
      <c r="C23" s="122">
        <f>ROUND(INDEX('Tables 3 to 5'!S:S,MATCH(B23,'Tables 3 to 5'!B:B,0))/10,3)</f>
        <v>5.952</v>
      </c>
      <c r="D23" s="122">
        <f t="shared" si="0"/>
        <v>5.952</v>
      </c>
      <c r="E23" s="122">
        <f>ROUND(INDEX('Tables 3 to 5'!T:T,MATCH(B23,'Tables 3 to 5'!B:B,0))/10,3)</f>
        <v>2.9769999999999999</v>
      </c>
      <c r="F23" s="122">
        <f t="shared" si="1"/>
        <v>2.9769999999999999</v>
      </c>
      <c r="G23" s="122"/>
      <c r="H23" s="177"/>
    </row>
    <row r="24" spans="1:8" x14ac:dyDescent="0.2">
      <c r="A24" s="119"/>
      <c r="B24" s="339">
        <v>2030</v>
      </c>
      <c r="C24" s="122">
        <f>ROUND(INDEX('Tables 3 to 5'!S:S,MATCH(B24,'Tables 3 to 5'!B:B,0))/10,3)</f>
        <v>6.25</v>
      </c>
      <c r="D24" s="122">
        <f t="shared" si="0"/>
        <v>6.25</v>
      </c>
      <c r="E24" s="122">
        <f>ROUND(INDEX('Tables 3 to 5'!T:T,MATCH(B24,'Tables 3 to 5'!B:B,0))/10,3)</f>
        <v>3.2090000000000001</v>
      </c>
      <c r="F24" s="122">
        <f t="shared" si="1"/>
        <v>3.2090000000000001</v>
      </c>
      <c r="G24" s="122"/>
      <c r="H24" s="177"/>
    </row>
    <row r="25" spans="1:8" x14ac:dyDescent="0.2">
      <c r="A25" s="119"/>
      <c r="B25" s="339">
        <v>2031</v>
      </c>
      <c r="C25" s="122">
        <f>ROUND(INDEX('Tables 3 to 5'!S:S,MATCH(B25,'Tables 3 to 5'!B:B,0))/10,3)</f>
        <v>6.468</v>
      </c>
      <c r="D25" s="122">
        <f t="shared" si="0"/>
        <v>6.468</v>
      </c>
      <c r="E25" s="122">
        <f>ROUND(INDEX('Tables 3 to 5'!T:T,MATCH(B25,'Tables 3 to 5'!B:B,0))/10,3)</f>
        <v>3.3610000000000002</v>
      </c>
      <c r="F25" s="122">
        <f t="shared" si="1"/>
        <v>3.3610000000000002</v>
      </c>
      <c r="G25" s="122"/>
      <c r="H25" s="177"/>
    </row>
    <row r="26" spans="1:8" x14ac:dyDescent="0.2">
      <c r="A26" s="119"/>
      <c r="B26" s="339">
        <v>2032</v>
      </c>
      <c r="C26" s="122">
        <f>ROUND(INDEX('Tables 3 to 5'!S:S,MATCH(B26,'Tables 3 to 5'!B:B,0))/10,3)</f>
        <v>6.7030000000000003</v>
      </c>
      <c r="D26" s="122">
        <f t="shared" si="0"/>
        <v>6.7030000000000003</v>
      </c>
      <c r="E26" s="122">
        <f>ROUND(INDEX('Tables 3 to 5'!T:T,MATCH(B26,'Tables 3 to 5'!B:B,0))/10,3)</f>
        <v>3.5270000000000001</v>
      </c>
      <c r="F26" s="122">
        <f t="shared" si="1"/>
        <v>3.5270000000000001</v>
      </c>
      <c r="G26" s="122"/>
      <c r="H26" s="177"/>
    </row>
    <row r="27" spans="1:8" x14ac:dyDescent="0.2">
      <c r="A27" s="119"/>
      <c r="B27" s="339">
        <v>2033</v>
      </c>
      <c r="C27" s="122">
        <f>ROUND(INDEX('Tables 3 to 5'!S:S,MATCH(B27,'Tables 3 to 5'!B:B,0))/10,3)</f>
        <v>7.0119999999999996</v>
      </c>
      <c r="D27" s="122">
        <f t="shared" si="0"/>
        <v>7.0119999999999996</v>
      </c>
      <c r="E27" s="122">
        <f>ROUND(INDEX('Tables 3 to 5'!T:T,MATCH(B27,'Tables 3 to 5'!B:B,0))/10,3)</f>
        <v>3.766</v>
      </c>
      <c r="F27" s="122">
        <f t="shared" si="1"/>
        <v>3.766</v>
      </c>
      <c r="G27" s="122"/>
      <c r="H27" s="177"/>
    </row>
    <row r="28" spans="1:8" x14ac:dyDescent="0.2">
      <c r="A28" s="119"/>
      <c r="B28" s="120"/>
      <c r="C28" s="122"/>
      <c r="D28" s="121"/>
      <c r="E28" s="122"/>
      <c r="F28" s="122"/>
      <c r="G28" s="122"/>
      <c r="H28" s="315"/>
    </row>
    <row r="29" spans="1:8" hidden="1" x14ac:dyDescent="0.2">
      <c r="A29" s="119"/>
      <c r="B29" s="120"/>
      <c r="C29" s="122"/>
      <c r="D29" s="121"/>
      <c r="E29" s="122"/>
      <c r="F29" s="122"/>
      <c r="G29" s="122"/>
      <c r="H29" s="315"/>
    </row>
    <row r="30" spans="1:8" hidden="1" x14ac:dyDescent="0.2">
      <c r="A30" s="119"/>
      <c r="B30" s="120"/>
      <c r="C30" s="122"/>
      <c r="D30" s="121"/>
      <c r="E30" s="122"/>
      <c r="F30" s="122"/>
      <c r="G30" s="122"/>
      <c r="H30" s="315"/>
    </row>
    <row r="31" spans="1:8" hidden="1" x14ac:dyDescent="0.2">
      <c r="A31" s="119"/>
      <c r="B31" s="120"/>
      <c r="C31" s="122"/>
      <c r="D31" s="121"/>
      <c r="E31" s="122"/>
      <c r="F31" s="122"/>
      <c r="G31" s="122"/>
      <c r="H31" s="315"/>
    </row>
    <row r="32" spans="1:8" hidden="1" x14ac:dyDescent="0.2">
      <c r="A32" s="119"/>
      <c r="B32" s="120"/>
      <c r="C32" s="122"/>
      <c r="D32" s="121"/>
      <c r="E32" s="122"/>
      <c r="F32" s="122"/>
      <c r="G32" s="122"/>
      <c r="H32" s="315"/>
    </row>
    <row r="33" spans="1:14" x14ac:dyDescent="0.2">
      <c r="A33" s="119"/>
      <c r="B33" s="120"/>
      <c r="C33" s="119"/>
      <c r="D33" s="119"/>
      <c r="E33" s="119"/>
      <c r="F33" s="119"/>
      <c r="G33" s="119"/>
      <c r="H33" s="315"/>
      <c r="I33" s="120"/>
      <c r="J33" s="120"/>
      <c r="K33" s="120"/>
      <c r="L33" s="316"/>
      <c r="M33" s="316"/>
      <c r="N33" s="316"/>
    </row>
    <row r="34" spans="1:14" x14ac:dyDescent="0.2">
      <c r="A34" s="119"/>
      <c r="C34" s="117" t="s">
        <v>222</v>
      </c>
      <c r="D34" s="117"/>
      <c r="E34" s="166" t="s">
        <v>121</v>
      </c>
      <c r="F34" s="166"/>
      <c r="G34" s="117"/>
      <c r="H34" s="315"/>
      <c r="I34" s="120"/>
      <c r="J34" s="120"/>
      <c r="K34" s="120"/>
      <c r="M34" s="316"/>
      <c r="N34" s="119"/>
    </row>
    <row r="35" spans="1:14" ht="14.25" x14ac:dyDescent="0.35">
      <c r="A35" s="119"/>
      <c r="B35" s="125"/>
      <c r="C35" s="118" t="s">
        <v>58</v>
      </c>
      <c r="D35" s="118" t="s">
        <v>59</v>
      </c>
      <c r="E35" s="118" t="s">
        <v>58</v>
      </c>
      <c r="F35" s="118" t="s">
        <v>59</v>
      </c>
      <c r="G35" s="118"/>
      <c r="H35" s="315"/>
      <c r="L35" s="316"/>
      <c r="M35" s="316"/>
      <c r="N35" s="119"/>
    </row>
    <row r="36" spans="1:14" ht="36" customHeight="1" x14ac:dyDescent="0.2">
      <c r="B36" s="126" t="s">
        <v>282</v>
      </c>
      <c r="C36" s="127">
        <f>-PMT('Table 6'!$P$39,COUNT(C11:C25),NPV('Table 6'!$P$39,C11:C25))</f>
        <v>2.9999619324022171</v>
      </c>
      <c r="D36" s="127">
        <f>-PMT('Table 6'!$P$39,COUNT(D11:D25),NPV('Table 6'!$P$39,D11:D25))</f>
        <v>3.4194357794752173</v>
      </c>
      <c r="E36" s="127">
        <f>-PMT('Table 6'!$P$39,COUNT(E11:E25),NPV('Table 6'!$P$39,E11:E25))</f>
        <v>2.245698563178455</v>
      </c>
      <c r="F36" s="127">
        <f>-PMT('Table 6'!$P$39,COUNT(F11:F25),NPV('Table 6'!$P$39,F11:F25))</f>
        <v>2.2591674628466776</v>
      </c>
      <c r="G36" s="127"/>
    </row>
    <row r="37" spans="1:14" x14ac:dyDescent="0.2">
      <c r="A37" s="125"/>
    </row>
    <row r="38" spans="1:14" x14ac:dyDescent="0.2">
      <c r="A38" s="128"/>
    </row>
    <row r="39" spans="1:14" x14ac:dyDescent="0.2">
      <c r="A39" s="129"/>
    </row>
    <row r="40" spans="1:14" ht="12.75" x14ac:dyDescent="0.2">
      <c r="A40" s="129"/>
      <c r="B40" s="35"/>
      <c r="C40" s="35"/>
      <c r="D40" s="35"/>
      <c r="E40" s="35"/>
      <c r="F40" s="130"/>
      <c r="G40" s="130"/>
      <c r="I40" s="115"/>
      <c r="J40" s="115"/>
      <c r="K40" s="115"/>
      <c r="M40" s="129"/>
      <c r="N40" s="129"/>
    </row>
    <row r="41" spans="1:14" ht="12.75" x14ac:dyDescent="0.2">
      <c r="A41" s="129"/>
      <c r="B41" s="164"/>
      <c r="C41" s="164"/>
      <c r="D41" s="133"/>
      <c r="E41" s="133"/>
      <c r="F41" s="130"/>
      <c r="G41" s="130"/>
      <c r="I41" s="115"/>
      <c r="J41" s="115"/>
      <c r="K41" s="115"/>
      <c r="M41" s="129"/>
      <c r="N41" s="129"/>
    </row>
    <row r="42" spans="1:14" ht="12.75" x14ac:dyDescent="0.2">
      <c r="A42" s="119"/>
      <c r="B42" s="164"/>
      <c r="C42" s="164"/>
      <c r="D42" s="133"/>
      <c r="E42" s="133"/>
      <c r="F42" s="119"/>
      <c r="G42" s="119"/>
      <c r="I42" s="125"/>
      <c r="J42" s="125"/>
      <c r="K42" s="125"/>
      <c r="L42" s="119"/>
      <c r="M42" s="119"/>
      <c r="N42" s="119"/>
    </row>
    <row r="43" spans="1:14" ht="12.75" x14ac:dyDescent="0.2">
      <c r="A43" s="128"/>
      <c r="B43" s="164"/>
      <c r="C43" s="164"/>
      <c r="D43" s="133"/>
      <c r="E43" s="133"/>
      <c r="L43" s="316"/>
      <c r="N43" s="128"/>
    </row>
    <row r="44" spans="1:14" ht="12.75" x14ac:dyDescent="0.2">
      <c r="A44" s="128"/>
      <c r="B44" s="164"/>
      <c r="C44" s="164"/>
      <c r="D44" s="133"/>
      <c r="E44" s="133"/>
      <c r="N44" s="128"/>
    </row>
  </sheetData>
  <printOptions horizontalCentered="1"/>
  <pageMargins left="0.25" right="0.25" top="0.75" bottom="0.75" header="0.3" footer="0.3"/>
  <pageSetup orientation="landscape" copies="3" r:id="rId1"/>
  <headerFooter alignWithMargins="0">
    <oddFooter>&amp;L&amp;8NPC Group - &amp;F   ( &amp;A )&amp;C &amp;R &amp;8&amp;D  &amp;T</oddFooter>
  </headerFooter>
  <ignoredErrors>
    <ignoredError sqref="E22:E2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AA45"/>
  <sheetViews>
    <sheetView showGridLines="0" topLeftCell="A7" zoomScaleNormal="100" workbookViewId="0">
      <selection activeCell="B44" sqref="B44"/>
    </sheetView>
  </sheetViews>
  <sheetFormatPr defaultRowHeight="12" x14ac:dyDescent="0.2"/>
  <cols>
    <col min="1" max="1" width="2.83203125" style="114" customWidth="1"/>
    <col min="2" max="2" width="19.6640625" style="114" customWidth="1"/>
    <col min="3" max="5" width="18.83203125" style="114" customWidth="1"/>
    <col min="6" max="6" width="15" style="114" customWidth="1"/>
    <col min="7" max="7" width="6.5" style="114" customWidth="1"/>
    <col min="8" max="8" width="9.33203125" style="184"/>
    <col min="9" max="9" width="11.6640625" style="184" customWidth="1"/>
    <col min="10" max="10" width="3.5" style="184" customWidth="1"/>
    <col min="11" max="11" width="17.1640625" style="184" customWidth="1"/>
    <col min="12" max="12" width="12.5" style="184" customWidth="1"/>
    <col min="13" max="13" width="11" style="184" customWidth="1"/>
    <col min="14" max="14" width="3.83203125" style="184" customWidth="1"/>
    <col min="15" max="16" width="12.5" style="184" customWidth="1"/>
    <col min="17" max="17" width="3.83203125" style="184" customWidth="1"/>
    <col min="18" max="19" width="12.5" style="184" customWidth="1"/>
    <col min="20" max="20" width="3.33203125" style="184" customWidth="1"/>
    <col min="21" max="22" width="12.5" style="184" customWidth="1"/>
    <col min="23" max="23" width="9.33203125" style="114" customWidth="1"/>
    <col min="24" max="26" width="5" style="168" customWidth="1"/>
    <col min="27" max="27" width="10.5" style="168" customWidth="1"/>
    <col min="28" max="16384" width="9.33203125" style="114"/>
  </cols>
  <sheetData>
    <row r="1" spans="1:26" x14ac:dyDescent="0.2">
      <c r="A1" s="2"/>
      <c r="B1" s="2"/>
      <c r="C1" s="2"/>
      <c r="D1" s="2"/>
      <c r="E1" s="2"/>
      <c r="F1" s="2"/>
      <c r="G1" s="2"/>
      <c r="I1" s="183"/>
      <c r="J1" s="183"/>
      <c r="X1" s="174"/>
      <c r="Y1" s="174"/>
      <c r="Z1" s="174"/>
    </row>
    <row r="2" spans="1:26" x14ac:dyDescent="0.2">
      <c r="A2" s="2"/>
      <c r="B2" s="2" t="s">
        <v>100</v>
      </c>
      <c r="C2" s="2"/>
      <c r="D2" s="2"/>
      <c r="E2" s="2"/>
      <c r="F2" s="2"/>
      <c r="G2" s="2"/>
      <c r="I2" s="183"/>
      <c r="J2" s="183"/>
      <c r="X2" s="174"/>
      <c r="Y2" s="174"/>
      <c r="Z2" s="174"/>
    </row>
    <row r="3" spans="1:26" x14ac:dyDescent="0.2">
      <c r="I3" s="183"/>
      <c r="J3" s="183"/>
    </row>
    <row r="4" spans="1:26" x14ac:dyDescent="0.2">
      <c r="A4" s="115"/>
      <c r="B4" s="143" t="s">
        <v>182</v>
      </c>
      <c r="C4" s="115"/>
      <c r="D4" s="115"/>
      <c r="E4" s="115"/>
      <c r="F4" s="115"/>
      <c r="G4" s="115"/>
      <c r="I4" s="185"/>
      <c r="J4" s="185"/>
      <c r="L4" s="186"/>
      <c r="O4" s="186"/>
      <c r="R4" s="186"/>
      <c r="U4" s="186"/>
      <c r="X4" s="115"/>
      <c r="Y4" s="115"/>
      <c r="Z4" s="115"/>
    </row>
    <row r="5" spans="1:26" x14ac:dyDescent="0.2">
      <c r="A5" s="115"/>
      <c r="B5" s="115"/>
    </row>
    <row r="6" spans="1:26" x14ac:dyDescent="0.2">
      <c r="A6" s="115"/>
      <c r="B6" s="116" t="s">
        <v>122</v>
      </c>
      <c r="C6" s="117" t="s">
        <v>223</v>
      </c>
      <c r="D6" s="117"/>
      <c r="E6" s="166" t="s">
        <v>147</v>
      </c>
      <c r="F6" s="117"/>
      <c r="G6" s="117"/>
      <c r="J6" s="187"/>
      <c r="L6" s="184" t="s">
        <v>194</v>
      </c>
      <c r="O6" s="184" t="s">
        <v>195</v>
      </c>
      <c r="R6" s="184" t="s">
        <v>196</v>
      </c>
      <c r="U6" s="184" t="s">
        <v>197</v>
      </c>
      <c r="X6" s="117"/>
      <c r="Y6" s="117"/>
      <c r="Z6" s="117"/>
    </row>
    <row r="7" spans="1:26" ht="14.25" x14ac:dyDescent="0.35">
      <c r="A7" s="115"/>
      <c r="B7" s="116" t="s">
        <v>120</v>
      </c>
      <c r="C7" s="118" t="s">
        <v>58</v>
      </c>
      <c r="D7" s="118" t="s">
        <v>59</v>
      </c>
      <c r="E7" s="118" t="s">
        <v>58</v>
      </c>
      <c r="F7" s="118" t="s">
        <v>59</v>
      </c>
      <c r="G7" s="118"/>
      <c r="J7" s="187"/>
      <c r="L7" s="184" t="s">
        <v>194</v>
      </c>
      <c r="O7" s="184" t="s">
        <v>195</v>
      </c>
      <c r="R7" s="184" t="s">
        <v>196</v>
      </c>
      <c r="U7" s="184" t="s">
        <v>197</v>
      </c>
      <c r="X7" s="118"/>
      <c r="Y7" s="118"/>
      <c r="Z7" s="118"/>
    </row>
    <row r="8" spans="1:26" ht="14.25" x14ac:dyDescent="0.35">
      <c r="A8" s="119"/>
      <c r="B8" s="120"/>
      <c r="C8" s="121"/>
      <c r="D8" s="121"/>
      <c r="E8" s="121"/>
      <c r="F8" s="121"/>
      <c r="G8" s="121"/>
      <c r="I8" s="188" t="s">
        <v>198</v>
      </c>
      <c r="J8" s="189"/>
      <c r="K8" s="190" t="s">
        <v>190</v>
      </c>
      <c r="L8" s="190" t="s">
        <v>189</v>
      </c>
      <c r="M8" s="184" t="s">
        <v>191</v>
      </c>
      <c r="O8" s="190" t="s">
        <v>189</v>
      </c>
      <c r="P8" s="184" t="s">
        <v>191</v>
      </c>
      <c r="R8" s="190" t="s">
        <v>189</v>
      </c>
      <c r="S8" s="184" t="s">
        <v>191</v>
      </c>
      <c r="U8" s="190" t="s">
        <v>189</v>
      </c>
      <c r="V8" s="184" t="s">
        <v>191</v>
      </c>
      <c r="X8" s="122"/>
      <c r="Y8" s="122"/>
      <c r="Z8" s="122"/>
    </row>
    <row r="9" spans="1:26" x14ac:dyDescent="0.2">
      <c r="A9" s="119"/>
      <c r="B9" s="120"/>
      <c r="C9" s="121"/>
      <c r="D9" s="121"/>
      <c r="E9" s="121"/>
      <c r="F9" s="121"/>
      <c r="G9" s="121"/>
      <c r="I9" s="191"/>
      <c r="J9" s="192"/>
      <c r="L9" s="193"/>
      <c r="O9" s="193"/>
      <c r="R9" s="193"/>
      <c r="U9" s="193"/>
      <c r="X9" s="122"/>
      <c r="Y9" s="122"/>
      <c r="Z9" s="122"/>
    </row>
    <row r="10" spans="1:26" x14ac:dyDescent="0.2">
      <c r="A10" s="119"/>
      <c r="B10" s="120">
        <v>2016</v>
      </c>
      <c r="C10" s="121">
        <f>ROUND(INDEX('Table 2C SolarFixed'!$C$66:$C$78,MATCH($B10,'Table 2C SolarFixed'!$A$66:$A$78,0))/10,3)</f>
        <v>1.839</v>
      </c>
      <c r="D10" s="121">
        <f>ROUND(INDEX('Table 2C SolarFixed'!$G$66:$G$78,MATCH($B10,'Table 2C SolarFixed'!$A$66:$A$78,0))/10,3)</f>
        <v>2.3130000000000002</v>
      </c>
      <c r="E10" s="121">
        <f>ROUND(INDEX('Table 2C SolarFixed'!$D$66:$D$78,MATCH($B10,'Table 2C SolarFixed'!$A$66:$A$78,0))/10,3)</f>
        <v>1.621</v>
      </c>
      <c r="F10" s="121">
        <f>ROUND(INDEX('Table 2C SolarFixed'!$H$66:$H$78,MATCH($B10,'Table 2C SolarFixed'!$A$66:$A$78,0))/10,3)</f>
        <v>1.5289999999999999</v>
      </c>
      <c r="G10" s="121"/>
      <c r="I10" s="191">
        <v>1</v>
      </c>
      <c r="J10" s="192"/>
      <c r="K10" s="184">
        <f t="shared" ref="K10:K27" si="0">1*8760*$I10</f>
        <v>8760</v>
      </c>
      <c r="L10" s="193">
        <f t="shared" ref="L10:L27" si="1">C10*1*8760*$I10</f>
        <v>16109.64</v>
      </c>
      <c r="M10" s="184">
        <f t="shared" ref="M10:M27" si="2">K10*$M$36</f>
        <v>0</v>
      </c>
      <c r="O10" s="193">
        <f t="shared" ref="O10:O27" si="3">D10*1*8760*$I10</f>
        <v>20261.88</v>
      </c>
      <c r="P10" s="184">
        <f t="shared" ref="P10:P27" si="4">K10*$P$36</f>
        <v>0</v>
      </c>
      <c r="R10" s="193">
        <f t="shared" ref="R10:R27" si="5">E10*1*8760*$I10</f>
        <v>14199.96</v>
      </c>
      <c r="S10" s="184">
        <f t="shared" ref="S10:S27" si="6">K10*$S$36</f>
        <v>0</v>
      </c>
      <c r="U10" s="193">
        <f t="shared" ref="U10:U27" si="7">F10*1*8760*$I10</f>
        <v>13394.039999999999</v>
      </c>
      <c r="V10" s="184">
        <f t="shared" ref="V10:V27" si="8">K10*$V$36</f>
        <v>0</v>
      </c>
      <c r="X10" s="122"/>
      <c r="Y10" s="122"/>
      <c r="Z10" s="122"/>
    </row>
    <row r="11" spans="1:26" x14ac:dyDescent="0.2">
      <c r="A11" s="119"/>
      <c r="B11" s="120">
        <v>2017</v>
      </c>
      <c r="C11" s="121">
        <f>ROUND(INDEX('Table 2C SolarFixed'!$C$66:$C$78,MATCH($B11,'Table 2C SolarFixed'!$A$66:$A$78,0))/10,3)</f>
        <v>2.0249999999999999</v>
      </c>
      <c r="D11" s="121">
        <f>ROUND(INDEX('Table 2C SolarFixed'!$G$66:$G$78,MATCH($B11,'Table 2C SolarFixed'!$A$66:$A$78,0))/10,3)</f>
        <v>2.1739999999999999</v>
      </c>
      <c r="E11" s="121">
        <f>ROUND(INDEX('Table 2C SolarFixed'!$D$66:$D$78,MATCH($B11,'Table 2C SolarFixed'!$A$66:$A$78,0))/10,3)</f>
        <v>1.778</v>
      </c>
      <c r="F11" s="121">
        <f>ROUND(INDEX('Table 2C SolarFixed'!$H$66:$H$78,MATCH($B11,'Table 2C SolarFixed'!$A$66:$A$78,0))/10,3)</f>
        <v>1.56</v>
      </c>
      <c r="G11" s="121"/>
      <c r="I11" s="192">
        <f t="shared" ref="I11:I27" si="9">I10-0.007</f>
        <v>0.99299999999999999</v>
      </c>
      <c r="J11" s="192"/>
      <c r="K11" s="184">
        <f t="shared" si="0"/>
        <v>8698.68</v>
      </c>
      <c r="L11" s="193">
        <f t="shared" si="1"/>
        <v>17614.827000000001</v>
      </c>
      <c r="M11" s="184">
        <f t="shared" si="2"/>
        <v>0</v>
      </c>
      <c r="O11" s="193">
        <f t="shared" si="3"/>
        <v>18910.930319999999</v>
      </c>
      <c r="P11" s="184">
        <f t="shared" si="4"/>
        <v>0</v>
      </c>
      <c r="R11" s="193">
        <f t="shared" si="5"/>
        <v>15466.253040000001</v>
      </c>
      <c r="S11" s="184">
        <f t="shared" si="6"/>
        <v>0</v>
      </c>
      <c r="U11" s="193">
        <f t="shared" si="7"/>
        <v>13569.9408</v>
      </c>
      <c r="V11" s="184">
        <f t="shared" si="8"/>
        <v>0</v>
      </c>
      <c r="X11" s="122"/>
      <c r="Y11" s="122"/>
      <c r="Z11" s="122"/>
    </row>
    <row r="12" spans="1:26" x14ac:dyDescent="0.2">
      <c r="A12" s="119"/>
      <c r="B12" s="120">
        <v>2018</v>
      </c>
      <c r="C12" s="121">
        <f>ROUND(INDEX('Table 2C SolarFixed'!$C$66:$C$78,MATCH($B12,'Table 2C SolarFixed'!$A$66:$A$78,0))/10,3)</f>
        <v>1.9139999999999999</v>
      </c>
      <c r="D12" s="121">
        <f>ROUND(INDEX('Table 2C SolarFixed'!$G$66:$G$78,MATCH($B12,'Table 2C SolarFixed'!$A$66:$A$78,0))/10,3)</f>
        <v>2.3460000000000001</v>
      </c>
      <c r="E12" s="121">
        <f>ROUND(INDEX('Table 2C SolarFixed'!$D$66:$D$78,MATCH($B12,'Table 2C SolarFixed'!$A$66:$A$78,0))/10,3)</f>
        <v>1.7</v>
      </c>
      <c r="F12" s="121">
        <f>ROUND(INDEX('Table 2C SolarFixed'!$H$66:$H$78,MATCH($B12,'Table 2C SolarFixed'!$A$66:$A$78,0))/10,3)</f>
        <v>1.69</v>
      </c>
      <c r="G12" s="121"/>
      <c r="I12" s="192">
        <f t="shared" si="9"/>
        <v>0.98599999999999999</v>
      </c>
      <c r="J12" s="192"/>
      <c r="K12" s="184">
        <f t="shared" si="0"/>
        <v>8637.36</v>
      </c>
      <c r="L12" s="193">
        <f t="shared" si="1"/>
        <v>16531.907039999998</v>
      </c>
      <c r="M12" s="184">
        <f t="shared" si="2"/>
        <v>0</v>
      </c>
      <c r="O12" s="193">
        <f t="shared" si="3"/>
        <v>20263.24656</v>
      </c>
      <c r="P12" s="184">
        <f t="shared" si="4"/>
        <v>0</v>
      </c>
      <c r="R12" s="193">
        <f t="shared" si="5"/>
        <v>14683.512000000001</v>
      </c>
      <c r="S12" s="184">
        <f t="shared" si="6"/>
        <v>0</v>
      </c>
      <c r="U12" s="193">
        <f t="shared" si="7"/>
        <v>14597.1384</v>
      </c>
      <c r="V12" s="184">
        <f t="shared" si="8"/>
        <v>0</v>
      </c>
      <c r="X12" s="122"/>
      <c r="Y12" s="122"/>
      <c r="Z12" s="122"/>
    </row>
    <row r="13" spans="1:26" x14ac:dyDescent="0.2">
      <c r="A13" s="119"/>
      <c r="B13" s="120">
        <v>2019</v>
      </c>
      <c r="C13" s="121">
        <f>ROUND(INDEX('Table 2C SolarFixed'!$C$66:$C$78,MATCH($B13,'Table 2C SolarFixed'!$A$66:$A$78,0))/10,3)</f>
        <v>1.8069999999999999</v>
      </c>
      <c r="D13" s="121">
        <f>ROUND(INDEX('Table 2C SolarFixed'!$G$66:$G$78,MATCH($B13,'Table 2C SolarFixed'!$A$66:$A$78,0))/10,3)</f>
        <v>2.355</v>
      </c>
      <c r="E13" s="121">
        <f>ROUND(INDEX('Table 2C SolarFixed'!$D$66:$D$78,MATCH($B13,'Table 2C SolarFixed'!$A$66:$A$78,0))/10,3)</f>
        <v>1.4970000000000001</v>
      </c>
      <c r="F13" s="121">
        <f>ROUND(INDEX('Table 2C SolarFixed'!$H$66:$H$78,MATCH($B13,'Table 2C SolarFixed'!$A$66:$A$78,0))/10,3)</f>
        <v>1.599</v>
      </c>
      <c r="G13" s="121"/>
      <c r="I13" s="192">
        <f t="shared" si="9"/>
        <v>0.97899999999999998</v>
      </c>
      <c r="J13" s="192"/>
      <c r="K13" s="184">
        <f t="shared" si="0"/>
        <v>8576.0399999999991</v>
      </c>
      <c r="L13" s="193">
        <f t="shared" si="1"/>
        <v>15496.904279999999</v>
      </c>
      <c r="M13" s="184">
        <f t="shared" si="2"/>
        <v>0</v>
      </c>
      <c r="O13" s="193">
        <f t="shared" si="3"/>
        <v>20196.574199999999</v>
      </c>
      <c r="P13" s="184">
        <f t="shared" si="4"/>
        <v>0</v>
      </c>
      <c r="R13" s="193">
        <f t="shared" si="5"/>
        <v>12838.331880000002</v>
      </c>
      <c r="S13" s="184">
        <f t="shared" si="6"/>
        <v>0</v>
      </c>
      <c r="U13" s="193">
        <f t="shared" si="7"/>
        <v>13713.087959999999</v>
      </c>
      <c r="V13" s="184">
        <f t="shared" si="8"/>
        <v>0</v>
      </c>
      <c r="X13" s="122"/>
      <c r="Y13" s="122"/>
      <c r="Z13" s="122"/>
    </row>
    <row r="14" spans="1:26" x14ac:dyDescent="0.2">
      <c r="A14" s="119"/>
      <c r="B14" s="120">
        <v>2020</v>
      </c>
      <c r="C14" s="121">
        <f>ROUND(INDEX('Table 2C SolarFixed'!$C$66:$C$78,MATCH($B14,'Table 2C SolarFixed'!$A$66:$A$78,0))/10,3)</f>
        <v>1.867</v>
      </c>
      <c r="D14" s="121">
        <f>ROUND(INDEX('Table 2C SolarFixed'!$G$66:$G$78,MATCH($B14,'Table 2C SolarFixed'!$A$66:$A$78,0))/10,3)</f>
        <v>2.3719999999999999</v>
      </c>
      <c r="E14" s="121">
        <f>ROUND(INDEX('Table 2C SolarFixed'!$D$66:$D$78,MATCH($B14,'Table 2C SolarFixed'!$A$66:$A$78,0))/10,3)</f>
        <v>1.5740000000000001</v>
      </c>
      <c r="F14" s="121">
        <f>ROUND(INDEX('Table 2C SolarFixed'!$H$66:$H$78,MATCH($B14,'Table 2C SolarFixed'!$A$66:$A$78,0))/10,3)</f>
        <v>1.476</v>
      </c>
      <c r="G14" s="121"/>
      <c r="I14" s="192">
        <f t="shared" si="9"/>
        <v>0.97199999999999998</v>
      </c>
      <c r="J14" s="192"/>
      <c r="K14" s="184">
        <f t="shared" si="0"/>
        <v>8514.7199999999993</v>
      </c>
      <c r="L14" s="193">
        <f t="shared" si="1"/>
        <v>15896.982239999999</v>
      </c>
      <c r="M14" s="184">
        <f t="shared" si="2"/>
        <v>0</v>
      </c>
      <c r="O14" s="193">
        <f t="shared" si="3"/>
        <v>20196.915839999998</v>
      </c>
      <c r="P14" s="184">
        <f t="shared" si="4"/>
        <v>0</v>
      </c>
      <c r="R14" s="193">
        <f t="shared" si="5"/>
        <v>13402.16928</v>
      </c>
      <c r="S14" s="184">
        <f t="shared" si="6"/>
        <v>0</v>
      </c>
      <c r="U14" s="193">
        <f t="shared" si="7"/>
        <v>12567.726720000001</v>
      </c>
      <c r="V14" s="184">
        <f t="shared" si="8"/>
        <v>0</v>
      </c>
      <c r="X14" s="122"/>
      <c r="Y14" s="122"/>
      <c r="Z14" s="122"/>
    </row>
    <row r="15" spans="1:26" x14ac:dyDescent="0.2">
      <c r="A15" s="119"/>
      <c r="B15" s="120">
        <v>2021</v>
      </c>
      <c r="C15" s="121">
        <f>ROUND(INDEX('Table 2C SolarFixed'!$C$66:$C$78,MATCH($B15,'Table 2C SolarFixed'!$A$66:$A$78,0))/10,3)</f>
        <v>2.0019999999999998</v>
      </c>
      <c r="D15" s="121">
        <f>ROUND(INDEX('Table 2C SolarFixed'!$G$66:$G$78,MATCH($B15,'Table 2C SolarFixed'!$A$66:$A$78,0))/10,3)</f>
        <v>2.581</v>
      </c>
      <c r="E15" s="121">
        <f>ROUND(INDEX('Table 2C SolarFixed'!$D$66:$D$78,MATCH($B15,'Table 2C SolarFixed'!$A$66:$A$78,0))/10,3)</f>
        <v>1.7390000000000001</v>
      </c>
      <c r="F15" s="121">
        <f>ROUND(INDEX('Table 2C SolarFixed'!$H$66:$H$78,MATCH($B15,'Table 2C SolarFixed'!$A$66:$A$78,0))/10,3)</f>
        <v>1.651</v>
      </c>
      <c r="G15" s="121"/>
      <c r="I15" s="192">
        <f t="shared" si="9"/>
        <v>0.96499999999999997</v>
      </c>
      <c r="J15" s="192"/>
      <c r="K15" s="184">
        <f t="shared" si="0"/>
        <v>8453.4</v>
      </c>
      <c r="L15" s="193">
        <f t="shared" si="1"/>
        <v>16923.706799999996</v>
      </c>
      <c r="M15" s="184">
        <f t="shared" si="2"/>
        <v>0</v>
      </c>
      <c r="O15" s="193">
        <f t="shared" si="3"/>
        <v>21818.225399999999</v>
      </c>
      <c r="P15" s="184">
        <f t="shared" si="4"/>
        <v>0</v>
      </c>
      <c r="R15" s="193">
        <f t="shared" si="5"/>
        <v>14700.462600000001</v>
      </c>
      <c r="S15" s="184">
        <f t="shared" si="6"/>
        <v>0</v>
      </c>
      <c r="U15" s="193">
        <f t="shared" si="7"/>
        <v>13956.563399999999</v>
      </c>
      <c r="V15" s="184">
        <f t="shared" si="8"/>
        <v>0</v>
      </c>
      <c r="X15" s="122"/>
      <c r="Y15" s="122"/>
      <c r="Z15" s="122"/>
    </row>
    <row r="16" spans="1:26" x14ac:dyDescent="0.2">
      <c r="A16" s="119"/>
      <c r="B16" s="120">
        <v>2022</v>
      </c>
      <c r="C16" s="121">
        <f>ROUND(INDEX('Table 2C SolarFixed'!$C$66:$C$78,MATCH($B16,'Table 2C SolarFixed'!$A$66:$A$78,0))/10,3)</f>
        <v>2.097</v>
      </c>
      <c r="D16" s="121">
        <f>ROUND(INDEX('Table 2C SolarFixed'!$G$66:$G$78,MATCH($B16,'Table 2C SolarFixed'!$A$66:$A$78,0))/10,3)</f>
        <v>2.7690000000000001</v>
      </c>
      <c r="E16" s="121">
        <f>ROUND(INDEX('Table 2C SolarFixed'!$D$66:$D$78,MATCH($B16,'Table 2C SolarFixed'!$A$66:$A$78,0))/10,3)</f>
        <v>1.8680000000000001</v>
      </c>
      <c r="F16" s="121">
        <f>ROUND(INDEX('Table 2C SolarFixed'!$H$66:$H$78,MATCH($B16,'Table 2C SolarFixed'!$A$66:$A$78,0))/10,3)</f>
        <v>1.885</v>
      </c>
      <c r="G16" s="121"/>
      <c r="I16" s="192">
        <f t="shared" si="9"/>
        <v>0.95799999999999996</v>
      </c>
      <c r="J16" s="192"/>
      <c r="K16" s="184">
        <f t="shared" si="0"/>
        <v>8392.08</v>
      </c>
      <c r="L16" s="193">
        <f t="shared" si="1"/>
        <v>17598.191760000002</v>
      </c>
      <c r="M16" s="184">
        <f t="shared" si="2"/>
        <v>0</v>
      </c>
      <c r="O16" s="193">
        <f t="shared" si="3"/>
        <v>23237.669520000003</v>
      </c>
      <c r="P16" s="184">
        <f t="shared" si="4"/>
        <v>0</v>
      </c>
      <c r="R16" s="193">
        <f t="shared" si="5"/>
        <v>15676.40544</v>
      </c>
      <c r="S16" s="184">
        <f t="shared" si="6"/>
        <v>0</v>
      </c>
      <c r="U16" s="193">
        <f t="shared" si="7"/>
        <v>15819.070799999998</v>
      </c>
      <c r="V16" s="184">
        <f t="shared" si="8"/>
        <v>0</v>
      </c>
      <c r="X16" s="122"/>
      <c r="Y16" s="122"/>
      <c r="Z16" s="122"/>
    </row>
    <row r="17" spans="1:26" x14ac:dyDescent="0.2">
      <c r="A17" s="119"/>
      <c r="B17" s="120">
        <v>2023</v>
      </c>
      <c r="C17" s="121">
        <f>ROUND(INDEX('Table 2C SolarFixed'!$C$66:$C$78,MATCH($B17,'Table 2C SolarFixed'!$A$66:$A$78,0))/10,3)</f>
        <v>2.4169999999999998</v>
      </c>
      <c r="D17" s="121">
        <f>ROUND(INDEX('Table 2C SolarFixed'!$G$66:$G$78,MATCH($B17,'Table 2C SolarFixed'!$A$66:$A$78,0))/10,3)</f>
        <v>3.0070000000000001</v>
      </c>
      <c r="E17" s="121">
        <f>ROUND(INDEX('Table 2C SolarFixed'!$D$66:$D$78,MATCH($B17,'Table 2C SolarFixed'!$A$66:$A$78,0))/10,3)</f>
        <v>2.1850000000000001</v>
      </c>
      <c r="F17" s="121">
        <f>ROUND(INDEX('Table 2C SolarFixed'!$H$66:$H$78,MATCH($B17,'Table 2C SolarFixed'!$A$66:$A$78,0))/10,3)</f>
        <v>2.242</v>
      </c>
      <c r="G17" s="121"/>
      <c r="I17" s="192">
        <f t="shared" si="9"/>
        <v>0.95099999999999996</v>
      </c>
      <c r="J17" s="192"/>
      <c r="K17" s="184">
        <f t="shared" si="0"/>
        <v>8330.76</v>
      </c>
      <c r="L17" s="193">
        <f t="shared" si="1"/>
        <v>20135.446919999998</v>
      </c>
      <c r="M17" s="184">
        <f t="shared" si="2"/>
        <v>0</v>
      </c>
      <c r="O17" s="193">
        <f t="shared" si="3"/>
        <v>25050.59532</v>
      </c>
      <c r="P17" s="184">
        <f t="shared" si="4"/>
        <v>0</v>
      </c>
      <c r="R17" s="193">
        <f t="shared" si="5"/>
        <v>18202.710600000002</v>
      </c>
      <c r="S17" s="184">
        <f t="shared" si="6"/>
        <v>0</v>
      </c>
      <c r="U17" s="193">
        <f t="shared" si="7"/>
        <v>18677.563919999997</v>
      </c>
      <c r="V17" s="184">
        <f t="shared" si="8"/>
        <v>0</v>
      </c>
      <c r="X17" s="122"/>
      <c r="Y17" s="122"/>
      <c r="Z17" s="122"/>
    </row>
    <row r="18" spans="1:26" x14ac:dyDescent="0.2">
      <c r="A18" s="119"/>
      <c r="B18" s="120">
        <v>2024</v>
      </c>
      <c r="C18" s="121">
        <f>ROUND(INDEX('Table 2C SolarFixed'!$C$66:$C$78,MATCH($B18,'Table 2C SolarFixed'!$A$66:$A$78,0))/10,3)</f>
        <v>2.5990000000000002</v>
      </c>
      <c r="D18" s="121">
        <f>ROUND(INDEX('Table 2C SolarFixed'!$G$66:$G$78,MATCH($B18,'Table 2C SolarFixed'!$A$66:$A$78,0))/10,3)</f>
        <v>3.3370000000000002</v>
      </c>
      <c r="E18" s="121">
        <f>ROUND(INDEX('Table 2C SolarFixed'!$D$66:$D$78,MATCH($B18,'Table 2C SolarFixed'!$A$66:$A$78,0))/10,3)</f>
        <v>2.3559999999999999</v>
      </c>
      <c r="F18" s="121">
        <f>ROUND(INDEX('Table 2C SolarFixed'!$H$66:$H$78,MATCH($B18,'Table 2C SolarFixed'!$A$66:$A$78,0))/10,3)</f>
        <v>2.6749999999999998</v>
      </c>
      <c r="G18" s="121"/>
      <c r="I18" s="192">
        <f t="shared" si="9"/>
        <v>0.94399999999999995</v>
      </c>
      <c r="J18" s="192"/>
      <c r="K18" s="184">
        <f t="shared" si="0"/>
        <v>8269.4399999999987</v>
      </c>
      <c r="L18" s="193">
        <f t="shared" si="1"/>
        <v>21492.274560000002</v>
      </c>
      <c r="M18" s="184">
        <f t="shared" si="2"/>
        <v>0</v>
      </c>
      <c r="O18" s="193">
        <f t="shared" si="3"/>
        <v>27595.121279999999</v>
      </c>
      <c r="P18" s="184">
        <f t="shared" si="4"/>
        <v>0</v>
      </c>
      <c r="R18" s="193">
        <f t="shared" si="5"/>
        <v>19482.800639999998</v>
      </c>
      <c r="S18" s="184">
        <f t="shared" si="6"/>
        <v>0</v>
      </c>
      <c r="U18" s="193">
        <f t="shared" si="7"/>
        <v>22120.752</v>
      </c>
      <c r="V18" s="184">
        <f t="shared" si="8"/>
        <v>0</v>
      </c>
      <c r="X18" s="122"/>
      <c r="Y18" s="122"/>
      <c r="Z18" s="122"/>
    </row>
    <row r="19" spans="1:26" x14ac:dyDescent="0.2">
      <c r="A19" s="119"/>
      <c r="B19" s="120">
        <v>2025</v>
      </c>
      <c r="C19" s="121">
        <f>ROUND(INDEX('Table 2C SolarFixed'!$C$66:$C$78,MATCH($B19,'Table 2C SolarFixed'!$A$66:$A$78,0))/10,3)</f>
        <v>3.1059999999999999</v>
      </c>
      <c r="D19" s="121">
        <f>ROUND(INDEX('Table 2C SolarFixed'!$G$66:$G$78,MATCH($B19,'Table 2C SolarFixed'!$A$66:$A$78,0))/10,3)</f>
        <v>3.274</v>
      </c>
      <c r="E19" s="121">
        <f>ROUND(INDEX('Table 2C SolarFixed'!$D$66:$D$78,MATCH($B19,'Table 2C SolarFixed'!$A$66:$A$78,0))/10,3)</f>
        <v>2.8159999999999998</v>
      </c>
      <c r="F19" s="121">
        <f>ROUND(INDEX('Table 2C SolarFixed'!$H$66:$H$78,MATCH($B19,'Table 2C SolarFixed'!$A$66:$A$78,0))/10,3)</f>
        <v>2.5950000000000002</v>
      </c>
      <c r="G19" s="121"/>
      <c r="I19" s="192">
        <f t="shared" si="9"/>
        <v>0.93699999999999994</v>
      </c>
      <c r="J19" s="192"/>
      <c r="K19" s="184">
        <f t="shared" si="0"/>
        <v>8208.119999999999</v>
      </c>
      <c r="L19" s="193">
        <f t="shared" si="1"/>
        <v>25494.420719999995</v>
      </c>
      <c r="M19" s="184">
        <f t="shared" si="2"/>
        <v>0</v>
      </c>
      <c r="O19" s="193">
        <f t="shared" si="3"/>
        <v>26873.384880000001</v>
      </c>
      <c r="P19" s="184">
        <f t="shared" si="4"/>
        <v>0</v>
      </c>
      <c r="R19" s="193">
        <f t="shared" si="5"/>
        <v>23114.065919999997</v>
      </c>
      <c r="S19" s="184">
        <f t="shared" si="6"/>
        <v>0</v>
      </c>
      <c r="U19" s="193">
        <f t="shared" si="7"/>
        <v>21300.071400000001</v>
      </c>
      <c r="V19" s="184">
        <f t="shared" si="8"/>
        <v>0</v>
      </c>
      <c r="X19" s="122"/>
      <c r="Y19" s="122"/>
      <c r="Z19" s="122"/>
    </row>
    <row r="20" spans="1:26" x14ac:dyDescent="0.2">
      <c r="A20" s="119"/>
      <c r="B20" s="339">
        <v>2026</v>
      </c>
      <c r="C20" s="122">
        <f>ROUND(INDEX('Table 2C SolarFixed'!$C$66:$C$78,MATCH($B20,'Table 2C SolarFixed'!$A$66:$A$78,0))/10,3)</f>
        <v>2.7</v>
      </c>
      <c r="D20" s="122">
        <f>ROUND(INDEX('Table 2C SolarFixed'!$G$66:$G$78,MATCH($B20,'Table 2C SolarFixed'!$A$66:$A$78,0))/10,3)</f>
        <v>3.403</v>
      </c>
      <c r="E20" s="122">
        <f>ROUND(INDEX('Table 2C SolarFixed'!$D$66:$D$78,MATCH($B20,'Table 2C SolarFixed'!$A$66:$A$78,0))/10,3)</f>
        <v>2.4510000000000001</v>
      </c>
      <c r="F20" s="122">
        <f>ROUND(INDEX('Table 2C SolarFixed'!$H$66:$H$78,MATCH($B20,'Table 2C SolarFixed'!$A$66:$A$78,0))/10,3)</f>
        <v>2.7090000000000001</v>
      </c>
      <c r="G20" s="121"/>
      <c r="H20" s="194"/>
      <c r="I20" s="192">
        <f t="shared" si="9"/>
        <v>0.92999999999999994</v>
      </c>
      <c r="J20" s="192"/>
      <c r="K20" s="184">
        <f t="shared" si="0"/>
        <v>8146.7999999999993</v>
      </c>
      <c r="L20" s="193">
        <f t="shared" si="1"/>
        <v>21996.359999999997</v>
      </c>
      <c r="M20" s="184">
        <f t="shared" si="2"/>
        <v>0</v>
      </c>
      <c r="O20" s="193">
        <f t="shared" si="3"/>
        <v>27723.560399999998</v>
      </c>
      <c r="P20" s="184">
        <f t="shared" si="4"/>
        <v>0</v>
      </c>
      <c r="R20" s="193">
        <f t="shared" si="5"/>
        <v>19967.806800000002</v>
      </c>
      <c r="S20" s="184">
        <f t="shared" si="6"/>
        <v>0</v>
      </c>
      <c r="U20" s="193">
        <f t="shared" si="7"/>
        <v>22069.681199999999</v>
      </c>
      <c r="V20" s="184">
        <f t="shared" si="8"/>
        <v>0</v>
      </c>
      <c r="W20" s="123"/>
      <c r="X20" s="122"/>
      <c r="Y20" s="122"/>
      <c r="Z20" s="122"/>
    </row>
    <row r="21" spans="1:26" x14ac:dyDescent="0.2">
      <c r="A21" s="119"/>
      <c r="B21" s="339">
        <v>2027</v>
      </c>
      <c r="C21" s="122">
        <f>ROUND(INDEX('Table 2C SolarFixed'!$C$66:$C$78,MATCH($B21,'Table 2C SolarFixed'!$A$66:$A$78,0))/10,3)</f>
        <v>3.3039999999999998</v>
      </c>
      <c r="D21" s="122">
        <f>ROUND(INDEX('Table 2C SolarFixed'!$G$66:$G$78,MATCH($B21,'Table 2C SolarFixed'!$A$66:$A$78,0))/10,3)</f>
        <v>4.0949999999999998</v>
      </c>
      <c r="E21" s="122">
        <f>ROUND(INDEX('Table 2C SolarFixed'!$D$66:$D$78,MATCH($B21,'Table 2C SolarFixed'!$A$66:$A$78,0))/10,3)</f>
        <v>3.02</v>
      </c>
      <c r="F21" s="122">
        <f>ROUND(INDEX('Table 2C SolarFixed'!$H$66:$H$78,MATCH($B21,'Table 2C SolarFixed'!$A$66:$A$78,0))/10,3)</f>
        <v>3.3090000000000002</v>
      </c>
      <c r="G21" s="121"/>
      <c r="I21" s="192">
        <f t="shared" si="9"/>
        <v>0.92299999999999993</v>
      </c>
      <c r="J21" s="192"/>
      <c r="K21" s="184">
        <f t="shared" si="0"/>
        <v>8085.48</v>
      </c>
      <c r="L21" s="193">
        <f t="shared" si="1"/>
        <v>26714.425919999994</v>
      </c>
      <c r="M21" s="184">
        <f t="shared" si="2"/>
        <v>0</v>
      </c>
      <c r="O21" s="193">
        <f t="shared" si="3"/>
        <v>33110.040599999993</v>
      </c>
      <c r="P21" s="184">
        <f t="shared" si="4"/>
        <v>0</v>
      </c>
      <c r="R21" s="193">
        <f t="shared" si="5"/>
        <v>24418.149600000001</v>
      </c>
      <c r="S21" s="184">
        <f t="shared" si="6"/>
        <v>0</v>
      </c>
      <c r="U21" s="193">
        <f t="shared" si="7"/>
        <v>26754.853319999998</v>
      </c>
      <c r="V21" s="184">
        <f t="shared" si="8"/>
        <v>0</v>
      </c>
      <c r="X21" s="122"/>
      <c r="Y21" s="122"/>
      <c r="Z21" s="122"/>
    </row>
    <row r="22" spans="1:26" x14ac:dyDescent="0.2">
      <c r="A22" s="119"/>
      <c r="B22" s="339">
        <v>2028</v>
      </c>
      <c r="C22" s="122">
        <f>ROUND(INDEX('Tables 3 to 5'!AI:AI,MATCH(B22,'Tables 3 to 5'!B:B,0))/10,3)</f>
        <v>3.7839999999999998</v>
      </c>
      <c r="D22" s="122">
        <f t="shared" ref="D22:D27" si="10">C22</f>
        <v>3.7839999999999998</v>
      </c>
      <c r="E22" s="122">
        <f>ROUND(INDEX('Tables 3 to 5'!AJ:AJ,MATCH(B22,'Tables 3 to 5'!B:B,0))/10,3)</f>
        <v>2.68</v>
      </c>
      <c r="F22" s="122">
        <f t="shared" ref="F22:F27" si="11">E22</f>
        <v>2.68</v>
      </c>
      <c r="G22" s="122"/>
      <c r="I22" s="192">
        <f t="shared" si="9"/>
        <v>0.91599999999999993</v>
      </c>
      <c r="J22" s="192"/>
      <c r="K22" s="184">
        <f t="shared" si="0"/>
        <v>8024.1599999999989</v>
      </c>
      <c r="L22" s="193">
        <f t="shared" si="1"/>
        <v>30363.421439999995</v>
      </c>
      <c r="M22" s="184">
        <f t="shared" si="2"/>
        <v>0</v>
      </c>
      <c r="O22" s="193">
        <f t="shared" si="3"/>
        <v>30363.421439999995</v>
      </c>
      <c r="P22" s="184">
        <f t="shared" si="4"/>
        <v>0</v>
      </c>
      <c r="R22" s="193">
        <f t="shared" si="5"/>
        <v>21504.748800000001</v>
      </c>
      <c r="S22" s="184">
        <f t="shared" si="6"/>
        <v>0</v>
      </c>
      <c r="U22" s="193">
        <f t="shared" si="7"/>
        <v>21504.748800000001</v>
      </c>
      <c r="V22" s="184">
        <f t="shared" si="8"/>
        <v>0</v>
      </c>
      <c r="X22" s="122"/>
      <c r="Y22" s="122"/>
      <c r="Z22" s="122"/>
    </row>
    <row r="23" spans="1:26" x14ac:dyDescent="0.2">
      <c r="A23" s="119"/>
      <c r="B23" s="120">
        <v>2029</v>
      </c>
      <c r="C23" s="122">
        <f>ROUND(INDEX('Tables 3 to 5'!AI:AI,MATCH(B23,'Tables 3 to 5'!B:B,0))/10,3)</f>
        <v>4.0309999999999997</v>
      </c>
      <c r="D23" s="121">
        <f t="shared" si="10"/>
        <v>4.0309999999999997</v>
      </c>
      <c r="E23" s="122">
        <f>ROUND(INDEX('Tables 3 to 5'!AJ:AJ,MATCH(B23,'Tables 3 to 5'!B:B,0))/10,3)</f>
        <v>2.9039999999999999</v>
      </c>
      <c r="F23" s="122">
        <f t="shared" si="11"/>
        <v>2.9039999999999999</v>
      </c>
      <c r="G23" s="122"/>
      <c r="I23" s="192">
        <f t="shared" si="9"/>
        <v>0.90899999999999992</v>
      </c>
      <c r="J23" s="192"/>
      <c r="K23" s="184">
        <f t="shared" si="0"/>
        <v>7962.8399999999992</v>
      </c>
      <c r="L23" s="193">
        <f t="shared" si="1"/>
        <v>32098.208039999994</v>
      </c>
      <c r="M23" s="184">
        <f t="shared" si="2"/>
        <v>0</v>
      </c>
      <c r="O23" s="193">
        <f t="shared" si="3"/>
        <v>32098.208039999994</v>
      </c>
      <c r="P23" s="184">
        <f t="shared" si="4"/>
        <v>0</v>
      </c>
      <c r="R23" s="193">
        <f t="shared" si="5"/>
        <v>23124.087359999998</v>
      </c>
      <c r="S23" s="184">
        <f t="shared" si="6"/>
        <v>0</v>
      </c>
      <c r="U23" s="193">
        <f t="shared" si="7"/>
        <v>23124.087359999998</v>
      </c>
      <c r="V23" s="184">
        <f t="shared" si="8"/>
        <v>0</v>
      </c>
      <c r="X23" s="122"/>
      <c r="Y23" s="122"/>
      <c r="Z23" s="122"/>
    </row>
    <row r="24" spans="1:26" x14ac:dyDescent="0.2">
      <c r="A24" s="119"/>
      <c r="B24" s="120">
        <v>2030</v>
      </c>
      <c r="C24" s="122">
        <f>ROUND(INDEX('Tables 3 to 5'!AI:AI,MATCH(B24,'Tables 3 to 5'!B:B,0))/10,3)</f>
        <v>4.2859999999999996</v>
      </c>
      <c r="D24" s="121">
        <f t="shared" si="10"/>
        <v>4.2859999999999996</v>
      </c>
      <c r="E24" s="122">
        <f>ROUND(INDEX('Tables 3 to 5'!AJ:AJ,MATCH(B24,'Tables 3 to 5'!B:B,0))/10,3)</f>
        <v>3.1339999999999999</v>
      </c>
      <c r="F24" s="122">
        <f t="shared" si="11"/>
        <v>3.1339999999999999</v>
      </c>
      <c r="G24" s="122"/>
      <c r="I24" s="192">
        <f t="shared" si="9"/>
        <v>0.90199999999999991</v>
      </c>
      <c r="J24" s="192"/>
      <c r="K24" s="184">
        <f t="shared" si="0"/>
        <v>7901.5199999999995</v>
      </c>
      <c r="L24" s="193">
        <f t="shared" si="1"/>
        <v>33865.914719999993</v>
      </c>
      <c r="M24" s="184">
        <f t="shared" si="2"/>
        <v>0</v>
      </c>
      <c r="O24" s="193">
        <f t="shared" si="3"/>
        <v>33865.914719999993</v>
      </c>
      <c r="P24" s="184">
        <f t="shared" si="4"/>
        <v>0</v>
      </c>
      <c r="R24" s="193">
        <f t="shared" si="5"/>
        <v>24763.363679999999</v>
      </c>
      <c r="S24" s="184">
        <f t="shared" si="6"/>
        <v>0</v>
      </c>
      <c r="U24" s="193">
        <f t="shared" si="7"/>
        <v>24763.363679999999</v>
      </c>
      <c r="V24" s="184">
        <f t="shared" si="8"/>
        <v>0</v>
      </c>
      <c r="X24" s="122"/>
      <c r="Y24" s="122"/>
      <c r="Z24" s="122"/>
    </row>
    <row r="25" spans="1:26" x14ac:dyDescent="0.2">
      <c r="A25" s="119"/>
      <c r="B25" s="120">
        <v>2031</v>
      </c>
      <c r="C25" s="122">
        <f>ROUND(INDEX('Tables 3 to 5'!AI:AI,MATCH(B25,'Tables 3 to 5'!B:B,0))/10,3)</f>
        <v>4.4619999999999997</v>
      </c>
      <c r="D25" s="121">
        <f t="shared" si="10"/>
        <v>4.4619999999999997</v>
      </c>
      <c r="E25" s="122">
        <f>ROUND(INDEX('Tables 3 to 5'!AJ:AJ,MATCH(B25,'Tables 3 to 5'!B:B,0))/10,3)</f>
        <v>3.2850000000000001</v>
      </c>
      <c r="F25" s="122">
        <f t="shared" si="11"/>
        <v>3.2850000000000001</v>
      </c>
      <c r="G25" s="122"/>
      <c r="I25" s="192">
        <f t="shared" si="9"/>
        <v>0.89499999999999991</v>
      </c>
      <c r="J25" s="192"/>
      <c r="K25" s="184">
        <f t="shared" si="0"/>
        <v>7840.1999999999989</v>
      </c>
      <c r="L25" s="193">
        <f t="shared" si="1"/>
        <v>34982.972399999991</v>
      </c>
      <c r="M25" s="184">
        <f t="shared" si="2"/>
        <v>0</v>
      </c>
      <c r="O25" s="193">
        <f t="shared" si="3"/>
        <v>34982.972399999991</v>
      </c>
      <c r="P25" s="184">
        <f t="shared" si="4"/>
        <v>0</v>
      </c>
      <c r="R25" s="193">
        <f t="shared" si="5"/>
        <v>25755.057000000001</v>
      </c>
      <c r="S25" s="184">
        <f t="shared" si="6"/>
        <v>0</v>
      </c>
      <c r="U25" s="193">
        <f t="shared" si="7"/>
        <v>25755.057000000001</v>
      </c>
      <c r="V25" s="184">
        <f t="shared" si="8"/>
        <v>0</v>
      </c>
      <c r="X25" s="122"/>
      <c r="Y25" s="122"/>
      <c r="Z25" s="122"/>
    </row>
    <row r="26" spans="1:26" x14ac:dyDescent="0.2">
      <c r="A26" s="119"/>
      <c r="B26" s="120">
        <v>2032</v>
      </c>
      <c r="C26" s="122">
        <f>ROUND(INDEX('Tables 3 to 5'!AI:AI,MATCH(B26,'Tables 3 to 5'!B:B,0))/10,3)</f>
        <v>4.6529999999999996</v>
      </c>
      <c r="D26" s="121">
        <f t="shared" si="10"/>
        <v>4.6529999999999996</v>
      </c>
      <c r="E26" s="122">
        <f>ROUND(INDEX('Tables 3 to 5'!AJ:AJ,MATCH(B26,'Tables 3 to 5'!B:B,0))/10,3)</f>
        <v>3.4489999999999998</v>
      </c>
      <c r="F26" s="122">
        <f>E26</f>
        <v>3.4489999999999998</v>
      </c>
      <c r="G26" s="122"/>
      <c r="I26" s="192">
        <f t="shared" si="9"/>
        <v>0.8879999999999999</v>
      </c>
      <c r="J26" s="192"/>
      <c r="K26" s="184">
        <f t="shared" si="0"/>
        <v>7778.8799999999992</v>
      </c>
      <c r="L26" s="193">
        <f t="shared" si="1"/>
        <v>36195.128639999995</v>
      </c>
      <c r="M26" s="184">
        <f t="shared" si="2"/>
        <v>0</v>
      </c>
      <c r="O26" s="193">
        <f t="shared" si="3"/>
        <v>36195.128639999995</v>
      </c>
      <c r="P26" s="184">
        <f t="shared" si="4"/>
        <v>0</v>
      </c>
      <c r="R26" s="193">
        <f t="shared" si="5"/>
        <v>26829.357119999997</v>
      </c>
      <c r="S26" s="184">
        <f t="shared" si="6"/>
        <v>0</v>
      </c>
      <c r="U26" s="193">
        <f t="shared" si="7"/>
        <v>26829.357119999997</v>
      </c>
      <c r="V26" s="184">
        <f t="shared" si="8"/>
        <v>0</v>
      </c>
      <c r="X26" s="122"/>
      <c r="Y26" s="122"/>
      <c r="Z26" s="122"/>
    </row>
    <row r="27" spans="1:26" x14ac:dyDescent="0.2">
      <c r="A27" s="119"/>
      <c r="B27" s="120">
        <v>2033</v>
      </c>
      <c r="C27" s="122">
        <f>ROUND(INDEX('Tables 3 to 5'!AI:AI,MATCH(B27,'Tables 3 to 5'!B:B,0))/10,3)</f>
        <v>4.9160000000000004</v>
      </c>
      <c r="D27" s="121">
        <f t="shared" si="10"/>
        <v>4.9160000000000004</v>
      </c>
      <c r="E27" s="122">
        <f>ROUND(INDEX('Tables 3 to 5'!AJ:AJ,MATCH(B27,'Tables 3 to 5'!B:B,0))/10,3)</f>
        <v>3.6859999999999999</v>
      </c>
      <c r="F27" s="122">
        <f t="shared" si="11"/>
        <v>3.6859999999999999</v>
      </c>
      <c r="G27" s="122"/>
      <c r="I27" s="192">
        <f t="shared" si="9"/>
        <v>0.88099999999999989</v>
      </c>
      <c r="J27" s="192"/>
      <c r="K27" s="184">
        <f t="shared" si="0"/>
        <v>7717.5599999999995</v>
      </c>
      <c r="L27" s="193">
        <f t="shared" si="1"/>
        <v>37939.524959999995</v>
      </c>
      <c r="M27" s="184">
        <f t="shared" si="2"/>
        <v>0</v>
      </c>
      <c r="O27" s="193">
        <f t="shared" si="3"/>
        <v>37939.524959999995</v>
      </c>
      <c r="P27" s="184">
        <f t="shared" si="4"/>
        <v>0</v>
      </c>
      <c r="R27" s="193">
        <f t="shared" si="5"/>
        <v>28446.926159999995</v>
      </c>
      <c r="S27" s="184">
        <f t="shared" si="6"/>
        <v>0</v>
      </c>
      <c r="U27" s="193">
        <f t="shared" si="7"/>
        <v>28446.926159999995</v>
      </c>
      <c r="V27" s="184">
        <f t="shared" si="8"/>
        <v>0</v>
      </c>
      <c r="X27" s="122"/>
      <c r="Y27" s="122"/>
      <c r="Z27" s="122"/>
    </row>
    <row r="28" spans="1:26" x14ac:dyDescent="0.2">
      <c r="A28" s="119"/>
      <c r="B28" s="120"/>
      <c r="C28" s="122"/>
      <c r="D28" s="121"/>
      <c r="E28" s="122"/>
      <c r="F28" s="122"/>
      <c r="G28" s="122"/>
      <c r="I28" s="192"/>
      <c r="J28" s="192"/>
      <c r="L28" s="193"/>
      <c r="O28" s="193"/>
      <c r="R28" s="193"/>
      <c r="U28" s="193"/>
      <c r="X28" s="122"/>
      <c r="Y28" s="122"/>
      <c r="Z28" s="122"/>
    </row>
    <row r="29" spans="1:26" x14ac:dyDescent="0.2">
      <c r="A29" s="119"/>
      <c r="B29" s="120"/>
      <c r="C29" s="122"/>
      <c r="D29" s="121"/>
      <c r="E29" s="122"/>
      <c r="F29" s="122"/>
      <c r="G29" s="122"/>
      <c r="H29" s="184" t="str">
        <f>'Table 6'!$P$38</f>
        <v>Discount Rate - 2015 IRP Page 141</v>
      </c>
      <c r="I29" s="192"/>
      <c r="J29" s="192"/>
      <c r="L29" s="193"/>
      <c r="O29" s="193"/>
      <c r="R29" s="193"/>
      <c r="U29" s="193"/>
      <c r="X29" s="122"/>
      <c r="Y29" s="122"/>
      <c r="Z29" s="122"/>
    </row>
    <row r="30" spans="1:26" x14ac:dyDescent="0.2">
      <c r="A30" s="119"/>
      <c r="B30" s="120"/>
      <c r="C30" s="122"/>
      <c r="D30" s="121"/>
      <c r="E30" s="122"/>
      <c r="F30" s="122"/>
      <c r="G30" s="122"/>
      <c r="H30" s="195">
        <f>'Table 6'!$P$39</f>
        <v>6.6600000000000006E-2</v>
      </c>
      <c r="I30" s="192"/>
      <c r="J30" s="192"/>
      <c r="L30" s="193"/>
      <c r="O30" s="193"/>
      <c r="R30" s="193"/>
      <c r="U30" s="193"/>
      <c r="W30" s="124"/>
      <c r="X30" s="122"/>
      <c r="Y30" s="122"/>
      <c r="Z30" s="122"/>
    </row>
    <row r="31" spans="1:26" hidden="1" x14ac:dyDescent="0.2">
      <c r="A31" s="119"/>
      <c r="B31" s="120"/>
      <c r="C31" s="122"/>
      <c r="D31" s="121"/>
      <c r="E31" s="122"/>
      <c r="F31" s="122"/>
      <c r="G31" s="122"/>
      <c r="I31" s="192"/>
      <c r="J31" s="192"/>
      <c r="L31" s="193"/>
      <c r="O31" s="193"/>
      <c r="R31" s="193"/>
      <c r="U31" s="193"/>
      <c r="X31" s="122"/>
      <c r="Y31" s="122"/>
      <c r="Z31" s="122"/>
    </row>
    <row r="32" spans="1:26" hidden="1" x14ac:dyDescent="0.2">
      <c r="A32" s="119"/>
      <c r="B32" s="120"/>
      <c r="C32" s="122"/>
      <c r="D32" s="121"/>
      <c r="E32" s="122"/>
      <c r="F32" s="122"/>
      <c r="G32" s="122"/>
      <c r="I32" s="192"/>
      <c r="J32" s="192"/>
      <c r="L32" s="193"/>
      <c r="O32" s="193"/>
      <c r="R32" s="193"/>
      <c r="U32" s="193"/>
      <c r="X32" s="122"/>
      <c r="Y32" s="122"/>
      <c r="Z32" s="122"/>
    </row>
    <row r="33" spans="1:27" hidden="1" x14ac:dyDescent="0.2">
      <c r="A33" s="119"/>
      <c r="B33" s="120"/>
      <c r="C33" s="119"/>
      <c r="D33" s="119"/>
      <c r="E33" s="119"/>
      <c r="F33" s="119"/>
      <c r="G33" s="119"/>
      <c r="I33" s="192"/>
      <c r="J33" s="192"/>
      <c r="L33" s="193"/>
      <c r="O33" s="193"/>
      <c r="R33" s="193"/>
      <c r="U33" s="193"/>
      <c r="X33" s="165"/>
      <c r="Y33" s="165"/>
      <c r="Z33" s="165"/>
    </row>
    <row r="34" spans="1:27" hidden="1" x14ac:dyDescent="0.2">
      <c r="A34" s="119"/>
      <c r="C34" s="117" t="s">
        <v>222</v>
      </c>
      <c r="D34" s="117"/>
      <c r="E34" s="117" t="s">
        <v>121</v>
      </c>
      <c r="F34" s="117"/>
      <c r="G34" s="117"/>
      <c r="L34" s="193"/>
      <c r="O34" s="193"/>
      <c r="R34" s="193"/>
      <c r="U34" s="193"/>
      <c r="X34" s="117"/>
      <c r="Y34" s="117"/>
      <c r="Z34" s="117"/>
    </row>
    <row r="35" spans="1:27" ht="14.25" hidden="1" x14ac:dyDescent="0.35">
      <c r="A35" s="119"/>
      <c r="B35" s="125"/>
      <c r="C35" s="118" t="s">
        <v>58</v>
      </c>
      <c r="D35" s="118" t="s">
        <v>59</v>
      </c>
      <c r="E35" s="118" t="s">
        <v>58</v>
      </c>
      <c r="F35" s="118" t="s">
        <v>59</v>
      </c>
      <c r="G35" s="118"/>
      <c r="I35" s="196"/>
      <c r="J35" s="197" t="s">
        <v>192</v>
      </c>
      <c r="K35" s="198">
        <f>NPV($H$30,K11:K25)</f>
        <v>77638.169210376611</v>
      </c>
      <c r="L35" s="198">
        <f t="shared" ref="L35:V35" si="12">NPV($H$30,L11:L25)</f>
        <v>199844.99918778057</v>
      </c>
      <c r="M35" s="198">
        <f t="shared" si="12"/>
        <v>0</v>
      </c>
      <c r="N35" s="198"/>
      <c r="O35" s="198">
        <f t="shared" si="12"/>
        <v>232609.183997549</v>
      </c>
      <c r="P35" s="198">
        <f t="shared" si="12"/>
        <v>0</v>
      </c>
      <c r="Q35" s="198"/>
      <c r="R35" s="198">
        <f t="shared" si="12"/>
        <v>168047.27868671337</v>
      </c>
      <c r="S35" s="198">
        <f t="shared" si="12"/>
        <v>0</v>
      </c>
      <c r="T35" s="198"/>
      <c r="U35" s="198">
        <f t="shared" si="12"/>
        <v>168942.27489678134</v>
      </c>
      <c r="V35" s="198">
        <f t="shared" si="12"/>
        <v>0</v>
      </c>
      <c r="X35" s="118"/>
      <c r="Y35" s="118"/>
      <c r="Z35" s="118"/>
    </row>
    <row r="36" spans="1:27" ht="28.5" hidden="1" customHeight="1" x14ac:dyDescent="0.2">
      <c r="B36" s="126" t="s">
        <v>282</v>
      </c>
      <c r="C36" s="127">
        <f>-PMT('Table 6'!$P$39,COUNT(C11:C25),NPV('Table 6'!$P$39,C11:C25))</f>
        <v>2.5983585090506134</v>
      </c>
      <c r="D36" s="127">
        <f>-PMT('Table 6'!$P$39,COUNT(D11:D25),NPV('Table 6'!$P$39,D11:D25))</f>
        <v>3.0180050568663277</v>
      </c>
      <c r="E36" s="127">
        <f>-PMT('Table 6'!$P$39,COUNT(E11:E25),NPV('Table 6'!$P$39,E11:E25))</f>
        <v>2.1809822774143779</v>
      </c>
      <c r="F36" s="127">
        <f>-PMT('Table 6'!$P$39,COUNT(F11:F25),NPV('Table 6'!$P$39,F11:F25))</f>
        <v>2.1942619056639825</v>
      </c>
      <c r="G36" s="127"/>
      <c r="I36" s="199"/>
      <c r="J36" s="199"/>
      <c r="K36" s="197"/>
      <c r="X36" s="127"/>
      <c r="Y36" s="127"/>
      <c r="Z36" s="127"/>
    </row>
    <row r="37" spans="1:27" hidden="1" x14ac:dyDescent="0.2">
      <c r="A37" s="125"/>
      <c r="I37" s="200"/>
      <c r="J37" s="200" t="s">
        <v>283</v>
      </c>
      <c r="K37" s="201">
        <f>-PMT($H$30,COUNT(K11:K25),NPV($H$30,K11:K25))</f>
        <v>8342.1113445299852</v>
      </c>
      <c r="L37" s="201">
        <f>-PMT($H$30,COUNT(L11:L25),NPV($H$30,L11:L25))</f>
        <v>21473.062178405315</v>
      </c>
      <c r="M37" s="203">
        <f>L37/K37</f>
        <v>2.5740560502690291</v>
      </c>
      <c r="N37" s="202"/>
      <c r="O37" s="201">
        <f>-PMT($H$30,COUNT(O11:O25),NPV($H$30,O11:O25))</f>
        <v>24993.527441505772</v>
      </c>
      <c r="P37" s="203">
        <f>O37/K37</f>
        <v>2.9960673514498586</v>
      </c>
      <c r="Q37" s="202"/>
      <c r="R37" s="201">
        <f>-PMT($H$30,COUNT(R11:R25),NPV($H$30,R11:R25))</f>
        <v>18056.442136742953</v>
      </c>
      <c r="S37" s="203">
        <f>R37/K37</f>
        <v>2.164493063088011</v>
      </c>
      <c r="T37" s="202"/>
      <c r="U37" s="201">
        <f>-PMT($H$30,COUNT(U11:U25),NPV($H$30,U11:U25))</f>
        <v>18152.608212183091</v>
      </c>
      <c r="V37" s="203">
        <f>U37/K37</f>
        <v>2.1760208492165423</v>
      </c>
    </row>
    <row r="38" spans="1:27" hidden="1" x14ac:dyDescent="0.2">
      <c r="K38" s="204"/>
      <c r="L38" s="205"/>
      <c r="M38" s="206"/>
      <c r="O38" s="205"/>
      <c r="P38" s="206"/>
      <c r="R38" s="205"/>
      <c r="S38" s="206"/>
      <c r="U38" s="205"/>
      <c r="V38" s="206"/>
    </row>
    <row r="39" spans="1:27" x14ac:dyDescent="0.2">
      <c r="C39" s="117" t="s">
        <v>222</v>
      </c>
      <c r="D39" s="117"/>
      <c r="E39" s="117" t="s">
        <v>121</v>
      </c>
      <c r="F39" s="117"/>
      <c r="L39" s="207"/>
      <c r="O39" s="207"/>
      <c r="R39" s="207"/>
      <c r="U39" s="207"/>
    </row>
    <row r="40" spans="1:27" ht="36" x14ac:dyDescent="0.35">
      <c r="A40" s="129"/>
      <c r="B40" s="126" t="s">
        <v>284</v>
      </c>
      <c r="C40" s="118" t="s">
        <v>58</v>
      </c>
      <c r="D40" s="118" t="s">
        <v>59</v>
      </c>
      <c r="E40" s="118" t="s">
        <v>58</v>
      </c>
      <c r="F40" s="118" t="s">
        <v>59</v>
      </c>
      <c r="G40" s="127"/>
      <c r="X40" s="127"/>
      <c r="Y40" s="127"/>
      <c r="Z40" s="127"/>
    </row>
    <row r="41" spans="1:27" x14ac:dyDescent="0.2">
      <c r="A41" s="129"/>
      <c r="B41" s="127"/>
      <c r="C41" s="127">
        <f>M37</f>
        <v>2.5740560502690291</v>
      </c>
      <c r="D41" s="127">
        <f>P37</f>
        <v>2.9960673514498586</v>
      </c>
      <c r="E41" s="127">
        <f>S37</f>
        <v>2.164493063088011</v>
      </c>
      <c r="F41" s="127">
        <f>V37</f>
        <v>2.1760208492165423</v>
      </c>
    </row>
    <row r="42" spans="1:27" x14ac:dyDescent="0.2">
      <c r="A42" s="119"/>
      <c r="AA42" s="171"/>
    </row>
    <row r="43" spans="1:27" x14ac:dyDescent="0.2">
      <c r="A43" s="128"/>
      <c r="B43" s="144" t="s">
        <v>304</v>
      </c>
      <c r="G43" s="117"/>
      <c r="X43" s="117"/>
      <c r="Y43" s="117"/>
      <c r="Z43" s="117"/>
    </row>
    <row r="44" spans="1:27" ht="14.25" x14ac:dyDescent="0.35">
      <c r="A44" s="129"/>
      <c r="B44" s="144" t="s">
        <v>181</v>
      </c>
      <c r="G44" s="118"/>
      <c r="X44" s="118"/>
      <c r="Y44" s="118"/>
      <c r="Z44" s="118"/>
    </row>
    <row r="45" spans="1:27" x14ac:dyDescent="0.2">
      <c r="B45" s="144" t="s">
        <v>193</v>
      </c>
    </row>
  </sheetData>
  <printOptions horizontalCentered="1"/>
  <pageMargins left="0.25" right="0.25" top="0.75" bottom="0.75" header="0.3" footer="0.3"/>
  <pageSetup scale="82" orientation="landscape" copies="3" r:id="rId1"/>
  <headerFooter alignWithMargins="0">
    <oddFooter>&amp;L&amp;8NPC Group - &amp;F   ( &amp;A )&amp;C &amp;R &amp;8&amp;D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AI45"/>
  <sheetViews>
    <sheetView showGridLines="0" zoomScale="90" zoomScaleNormal="90" workbookViewId="0">
      <selection activeCell="B44" sqref="B44"/>
    </sheetView>
  </sheetViews>
  <sheetFormatPr defaultRowHeight="12" x14ac:dyDescent="0.2"/>
  <cols>
    <col min="1" max="1" width="2.83203125" style="114" customWidth="1"/>
    <col min="2" max="2" width="23" style="114" customWidth="1"/>
    <col min="3" max="6" width="18.83203125" style="114" customWidth="1"/>
    <col min="7" max="7" width="4.6640625" style="114" customWidth="1"/>
    <col min="8" max="8" width="9.33203125" style="208"/>
    <col min="9" max="9" width="11.6640625" style="184" customWidth="1"/>
    <col min="10" max="10" width="3.5" style="184" customWidth="1"/>
    <col min="11" max="11" width="17.1640625" style="184" customWidth="1"/>
    <col min="12" max="12" width="12.5" style="184" customWidth="1"/>
    <col min="13" max="13" width="11" style="184" customWidth="1"/>
    <col min="14" max="14" width="3.83203125" style="184" customWidth="1"/>
    <col min="15" max="16" width="12.5" style="184" customWidth="1"/>
    <col min="17" max="17" width="3.83203125" style="184" customWidth="1"/>
    <col min="18" max="19" width="12.5" style="184" customWidth="1"/>
    <col min="20" max="20" width="3.33203125" style="184" customWidth="1"/>
    <col min="21" max="22" width="12.5" style="184" customWidth="1"/>
    <col min="23" max="25" width="4.6640625" style="168" customWidth="1"/>
    <col min="26" max="34" width="5.83203125" style="168" customWidth="1"/>
    <col min="35" max="35" width="9.33203125" style="168"/>
    <col min="36" max="16384" width="9.33203125" style="114"/>
  </cols>
  <sheetData>
    <row r="1" spans="1:31" x14ac:dyDescent="0.2">
      <c r="A1" s="2"/>
      <c r="B1" s="2"/>
      <c r="C1" s="2"/>
      <c r="D1" s="2"/>
      <c r="E1" s="2"/>
      <c r="F1" s="2"/>
      <c r="G1" s="116"/>
      <c r="I1" s="183"/>
      <c r="J1" s="183"/>
      <c r="W1" s="115"/>
      <c r="X1" s="115"/>
      <c r="Y1" s="115"/>
      <c r="Z1" s="115"/>
      <c r="AA1" s="115"/>
    </row>
    <row r="2" spans="1:31" x14ac:dyDescent="0.2">
      <c r="A2" s="2"/>
      <c r="B2" s="2" t="s">
        <v>100</v>
      </c>
      <c r="C2" s="2"/>
      <c r="D2" s="2"/>
      <c r="E2" s="2"/>
      <c r="F2" s="2"/>
      <c r="G2" s="116"/>
      <c r="I2" s="183"/>
      <c r="J2" s="183"/>
      <c r="W2" s="115"/>
      <c r="X2" s="115"/>
      <c r="Y2" s="115"/>
      <c r="Z2" s="115"/>
      <c r="AA2" s="115"/>
    </row>
    <row r="3" spans="1:31" x14ac:dyDescent="0.2">
      <c r="G3" s="116"/>
      <c r="I3" s="183"/>
      <c r="J3" s="183"/>
      <c r="W3" s="115"/>
      <c r="X3" s="115"/>
      <c r="Y3" s="115"/>
      <c r="Z3" s="115"/>
      <c r="AA3" s="115"/>
    </row>
    <row r="4" spans="1:31" x14ac:dyDescent="0.2">
      <c r="A4" s="115"/>
      <c r="B4" s="143" t="s">
        <v>184</v>
      </c>
      <c r="C4" s="115"/>
      <c r="D4" s="115"/>
      <c r="E4" s="115"/>
      <c r="F4" s="115"/>
      <c r="G4" s="116"/>
      <c r="I4" s="185"/>
      <c r="J4" s="185"/>
      <c r="L4" s="186"/>
      <c r="O4" s="186"/>
      <c r="R4" s="186"/>
      <c r="U4" s="186"/>
      <c r="W4" s="115"/>
      <c r="X4" s="115"/>
      <c r="Y4" s="115"/>
      <c r="Z4" s="176"/>
      <c r="AA4" s="176"/>
    </row>
    <row r="5" spans="1:31" x14ac:dyDescent="0.2">
      <c r="A5" s="115"/>
      <c r="B5" s="115"/>
    </row>
    <row r="6" spans="1:31" x14ac:dyDescent="0.2">
      <c r="A6" s="115"/>
      <c r="B6" s="116" t="s">
        <v>122</v>
      </c>
      <c r="C6" s="117" t="s">
        <v>223</v>
      </c>
      <c r="D6" s="117"/>
      <c r="E6" s="117" t="s">
        <v>147</v>
      </c>
      <c r="F6" s="117"/>
      <c r="AA6" s="117"/>
      <c r="AB6" s="117"/>
    </row>
    <row r="7" spans="1:31" ht="14.25" x14ac:dyDescent="0.35">
      <c r="A7" s="115"/>
      <c r="B7" s="116" t="s">
        <v>120</v>
      </c>
      <c r="C7" s="118" t="s">
        <v>58</v>
      </c>
      <c r="D7" s="118" t="s">
        <v>59</v>
      </c>
      <c r="E7" s="118" t="s">
        <v>58</v>
      </c>
      <c r="F7" s="118" t="s">
        <v>59</v>
      </c>
      <c r="J7" s="187"/>
      <c r="L7" s="184" t="s">
        <v>194</v>
      </c>
      <c r="O7" s="184" t="s">
        <v>195</v>
      </c>
      <c r="R7" s="184" t="s">
        <v>196</v>
      </c>
      <c r="U7" s="184" t="s">
        <v>197</v>
      </c>
      <c r="AA7" s="118"/>
      <c r="AC7" s="167"/>
      <c r="AD7" s="167"/>
      <c r="AE7" s="167"/>
    </row>
    <row r="8" spans="1:31" ht="14.25" x14ac:dyDescent="0.35">
      <c r="A8" s="119"/>
      <c r="B8" s="120"/>
      <c r="C8" s="121"/>
      <c r="D8" s="121"/>
      <c r="E8" s="121"/>
      <c r="F8" s="121"/>
      <c r="I8" s="188" t="s">
        <v>198</v>
      </c>
      <c r="J8" s="189"/>
      <c r="K8" s="190" t="s">
        <v>190</v>
      </c>
      <c r="L8" s="190" t="s">
        <v>189</v>
      </c>
      <c r="M8" s="184" t="s">
        <v>191</v>
      </c>
      <c r="O8" s="190" t="s">
        <v>189</v>
      </c>
      <c r="P8" s="184" t="s">
        <v>191</v>
      </c>
      <c r="R8" s="190" t="s">
        <v>189</v>
      </c>
      <c r="S8" s="184" t="s">
        <v>191</v>
      </c>
      <c r="U8" s="190" t="s">
        <v>189</v>
      </c>
      <c r="V8" s="184" t="s">
        <v>191</v>
      </c>
      <c r="Z8" s="177"/>
      <c r="AA8" s="178"/>
      <c r="AB8" s="179"/>
      <c r="AC8" s="179"/>
    </row>
    <row r="9" spans="1:31" x14ac:dyDescent="0.2">
      <c r="A9" s="119"/>
      <c r="B9" s="120"/>
      <c r="C9" s="121"/>
      <c r="D9" s="121"/>
      <c r="E9" s="121"/>
      <c r="F9" s="121"/>
      <c r="I9" s="191"/>
      <c r="J9" s="192"/>
      <c r="L9" s="193"/>
      <c r="O9" s="193"/>
      <c r="R9" s="193"/>
      <c r="U9" s="193"/>
      <c r="Z9" s="178"/>
      <c r="AA9" s="178"/>
      <c r="AB9" s="179"/>
      <c r="AC9" s="179"/>
    </row>
    <row r="10" spans="1:31" x14ac:dyDescent="0.2">
      <c r="A10" s="119"/>
      <c r="B10" s="339">
        <v>2016</v>
      </c>
      <c r="C10" s="122">
        <f>ROUND(INDEX('Table 2D SolarTracking'!$C$66:$C$78,MATCH($B10,'Table 2D SolarTracking'!$A$66:$A$78,0))/10,3)</f>
        <v>1.839</v>
      </c>
      <c r="D10" s="122">
        <f>ROUND(INDEX('Table 2D SolarTracking'!$G$66:$G$78,MATCH($B10,'Table 2D SolarTracking'!$A$66:$A$78,0))/10,3)</f>
        <v>2.3130000000000002</v>
      </c>
      <c r="E10" s="122">
        <f>ROUND(INDEX('Table 2D SolarTracking'!$D$66:$D$78,MATCH($B10,'Table 2D SolarTracking'!$A$66:$A$78,0))/10,3)</f>
        <v>1.621</v>
      </c>
      <c r="F10" s="122">
        <f>ROUND(INDEX('Table 2D SolarTracking'!$H$66:$H$78,MATCH($B10,'Table 2D SolarTracking'!$A$66:$A$78,0))/10,3)</f>
        <v>1.5289999999999999</v>
      </c>
      <c r="I10" s="191">
        <v>1</v>
      </c>
      <c r="J10" s="192"/>
      <c r="K10" s="184">
        <f t="shared" ref="K10:K27" si="0">1*8760*$I10</f>
        <v>8760</v>
      </c>
      <c r="L10" s="193">
        <f>C10*1*8760*$I10</f>
        <v>16109.64</v>
      </c>
      <c r="M10" s="184">
        <f t="shared" ref="M10:M27" si="1">K10*$M$37</f>
        <v>23533.816629336125</v>
      </c>
      <c r="O10" s="193">
        <f>D10*1*8760*$I10</f>
        <v>20261.88</v>
      </c>
      <c r="P10" s="184">
        <f t="shared" ref="P10:P27" si="2">K10*$P$37</f>
        <v>27230.635627680189</v>
      </c>
      <c r="R10" s="193">
        <f>E10*1*8760*$I10</f>
        <v>14199.96</v>
      </c>
      <c r="S10" s="184">
        <f t="shared" ref="S10:S27" si="3">K10*$S$37</f>
        <v>18960.959232650977</v>
      </c>
      <c r="U10" s="193">
        <f>F10*1*8760*$I10</f>
        <v>13394.039999999999</v>
      </c>
      <c r="V10" s="184">
        <f t="shared" ref="V10:V27" si="4">K10*$V$37</f>
        <v>19061.942639136909</v>
      </c>
      <c r="Z10" s="178"/>
      <c r="AA10" s="178"/>
      <c r="AB10" s="179"/>
      <c r="AC10" s="179"/>
    </row>
    <row r="11" spans="1:31" x14ac:dyDescent="0.2">
      <c r="A11" s="119"/>
      <c r="B11" s="339">
        <v>2017</v>
      </c>
      <c r="C11" s="122">
        <f>ROUND(INDEX('Table 2D SolarTracking'!$C$66:$C$78,MATCH($B11,'Table 2D SolarTracking'!$A$66:$A$78,0))/10,3)</f>
        <v>2.0249999999999999</v>
      </c>
      <c r="D11" s="122">
        <f>ROUND(INDEX('Table 2D SolarTracking'!$G$66:$G$78,MATCH($B11,'Table 2D SolarTracking'!$A$66:$A$78,0))/10,3)</f>
        <v>2.1739999999999999</v>
      </c>
      <c r="E11" s="122">
        <f>ROUND(INDEX('Table 2D SolarTracking'!$D$66:$D$78,MATCH($B11,'Table 2D SolarTracking'!$A$66:$A$78,0))/10,3)</f>
        <v>1.778</v>
      </c>
      <c r="F11" s="122">
        <f>ROUND(INDEX('Table 2D SolarTracking'!$H$66:$H$78,MATCH($B11,'Table 2D SolarTracking'!$A$66:$A$78,0))/10,3)</f>
        <v>1.56</v>
      </c>
      <c r="I11" s="192">
        <f t="shared" ref="I11:I27" si="5">I10-0.007</f>
        <v>0.99299999999999999</v>
      </c>
      <c r="J11" s="192"/>
      <c r="K11" s="184">
        <f t="shared" si="0"/>
        <v>8698.68</v>
      </c>
      <c r="L11" s="193">
        <f t="shared" ref="L11:L27" si="6">C11*1*8760*$I11</f>
        <v>17614.827000000001</v>
      </c>
      <c r="M11" s="184">
        <f t="shared" si="1"/>
        <v>23369.079912930774</v>
      </c>
      <c r="O11" s="193">
        <f t="shared" ref="O11:O27" si="7">D11*1*8760*$I11</f>
        <v>18910.930319999999</v>
      </c>
      <c r="P11" s="184">
        <f t="shared" si="2"/>
        <v>27040.021178286428</v>
      </c>
      <c r="R11" s="193">
        <f t="shared" ref="R11:R27" si="8">E11*1*8760*$I11</f>
        <v>15466.253040000001</v>
      </c>
      <c r="S11" s="184">
        <f t="shared" si="3"/>
        <v>18828.232518022422</v>
      </c>
      <c r="U11" s="193">
        <f t="shared" ref="U11:U27" si="9">F11*1*8760*$I11</f>
        <v>13569.9408</v>
      </c>
      <c r="V11" s="184">
        <f t="shared" si="4"/>
        <v>18928.509040662953</v>
      </c>
      <c r="Z11" s="178"/>
      <c r="AA11" s="178"/>
      <c r="AB11" s="179"/>
      <c r="AC11" s="179"/>
    </row>
    <row r="12" spans="1:31" x14ac:dyDescent="0.2">
      <c r="A12" s="119"/>
      <c r="B12" s="339">
        <v>2018</v>
      </c>
      <c r="C12" s="122">
        <f>ROUND(INDEX('Table 2D SolarTracking'!$C$66:$C$78,MATCH($B12,'Table 2D SolarTracking'!$A$66:$A$78,0))/10,3)</f>
        <v>1.9139999999999999</v>
      </c>
      <c r="D12" s="122">
        <f>ROUND(INDEX('Table 2D SolarTracking'!$G$66:$G$78,MATCH($B12,'Table 2D SolarTracking'!$A$66:$A$78,0))/10,3)</f>
        <v>2.3460000000000001</v>
      </c>
      <c r="E12" s="122">
        <f>ROUND(INDEX('Table 2D SolarTracking'!$D$66:$D$78,MATCH($B12,'Table 2D SolarTracking'!$A$66:$A$78,0))/10,3)</f>
        <v>1.7</v>
      </c>
      <c r="F12" s="122">
        <f>ROUND(INDEX('Table 2D SolarTracking'!$H$66:$H$78,MATCH($B12,'Table 2D SolarTracking'!$A$66:$A$78,0))/10,3)</f>
        <v>1.69</v>
      </c>
      <c r="I12" s="192">
        <f t="shared" si="5"/>
        <v>0.98599999999999999</v>
      </c>
      <c r="J12" s="192"/>
      <c r="K12" s="184">
        <f t="shared" si="0"/>
        <v>8637.36</v>
      </c>
      <c r="L12" s="193">
        <f t="shared" si="6"/>
        <v>16531.907039999998</v>
      </c>
      <c r="M12" s="184">
        <f t="shared" si="1"/>
        <v>23204.34319652542</v>
      </c>
      <c r="O12" s="193">
        <f t="shared" si="7"/>
        <v>20263.24656</v>
      </c>
      <c r="P12" s="184">
        <f t="shared" si="2"/>
        <v>26849.406728892667</v>
      </c>
      <c r="R12" s="193">
        <f t="shared" si="8"/>
        <v>14683.512000000001</v>
      </c>
      <c r="S12" s="184">
        <f t="shared" si="3"/>
        <v>18695.505803393866</v>
      </c>
      <c r="U12" s="193">
        <f t="shared" si="9"/>
        <v>14597.1384</v>
      </c>
      <c r="V12" s="184">
        <f t="shared" si="4"/>
        <v>18795.075442188994</v>
      </c>
      <c r="Z12" s="178"/>
      <c r="AA12" s="178"/>
      <c r="AB12" s="179"/>
      <c r="AC12" s="179"/>
    </row>
    <row r="13" spans="1:31" x14ac:dyDescent="0.2">
      <c r="A13" s="119"/>
      <c r="B13" s="339">
        <v>2019</v>
      </c>
      <c r="C13" s="122">
        <f>ROUND(INDEX('Table 2D SolarTracking'!$C$66:$C$78,MATCH($B13,'Table 2D SolarTracking'!$A$66:$A$78,0))/10,3)</f>
        <v>1.8069999999999999</v>
      </c>
      <c r="D13" s="122">
        <f>ROUND(INDEX('Table 2D SolarTracking'!$G$66:$G$78,MATCH($B13,'Table 2D SolarTracking'!$A$66:$A$78,0))/10,3)</f>
        <v>2.355</v>
      </c>
      <c r="E13" s="122">
        <f>ROUND(INDEX('Table 2D SolarTracking'!$D$66:$D$78,MATCH($B13,'Table 2D SolarTracking'!$A$66:$A$78,0))/10,3)</f>
        <v>1.4970000000000001</v>
      </c>
      <c r="F13" s="122">
        <f>ROUND(INDEX('Table 2D SolarTracking'!$H$66:$H$78,MATCH($B13,'Table 2D SolarTracking'!$A$66:$A$78,0))/10,3)</f>
        <v>1.599</v>
      </c>
      <c r="I13" s="192">
        <f t="shared" si="5"/>
        <v>0.97899999999999998</v>
      </c>
      <c r="J13" s="192"/>
      <c r="K13" s="184">
        <f t="shared" si="0"/>
        <v>8576.0399999999991</v>
      </c>
      <c r="L13" s="193">
        <f t="shared" si="6"/>
        <v>15496.904279999999</v>
      </c>
      <c r="M13" s="184">
        <f t="shared" si="1"/>
        <v>23039.606480120066</v>
      </c>
      <c r="O13" s="193">
        <f t="shared" si="7"/>
        <v>20196.574199999999</v>
      </c>
      <c r="P13" s="184">
        <f t="shared" si="2"/>
        <v>26658.792279498903</v>
      </c>
      <c r="R13" s="193">
        <f t="shared" si="8"/>
        <v>12838.331880000002</v>
      </c>
      <c r="S13" s="184">
        <f t="shared" si="3"/>
        <v>18562.779088765303</v>
      </c>
      <c r="U13" s="193">
        <f t="shared" si="9"/>
        <v>13713.087959999999</v>
      </c>
      <c r="V13" s="184">
        <f t="shared" si="4"/>
        <v>18661.641843715031</v>
      </c>
      <c r="Z13" s="178"/>
      <c r="AA13" s="178"/>
      <c r="AB13" s="179"/>
      <c r="AC13" s="179"/>
    </row>
    <row r="14" spans="1:31" x14ac:dyDescent="0.2">
      <c r="A14" s="119"/>
      <c r="B14" s="339">
        <v>2020</v>
      </c>
      <c r="C14" s="122">
        <f>ROUND(INDEX('Table 2D SolarTracking'!$C$66:$C$78,MATCH($B14,'Table 2D SolarTracking'!$A$66:$A$78,0))/10,3)</f>
        <v>1.867</v>
      </c>
      <c r="D14" s="122">
        <f>ROUND(INDEX('Table 2D SolarTracking'!$G$66:$G$78,MATCH($B14,'Table 2D SolarTracking'!$A$66:$A$78,0))/10,3)</f>
        <v>2.3719999999999999</v>
      </c>
      <c r="E14" s="122">
        <f>ROUND(INDEX('Table 2D SolarTracking'!$D$66:$D$78,MATCH($B14,'Table 2D SolarTracking'!$A$66:$A$78,0))/10,3)</f>
        <v>1.5740000000000001</v>
      </c>
      <c r="F14" s="122">
        <f>ROUND(INDEX('Table 2D SolarTracking'!$H$66:$H$78,MATCH($B14,'Table 2D SolarTracking'!$A$66:$A$78,0))/10,3)</f>
        <v>1.476</v>
      </c>
      <c r="I14" s="192">
        <f t="shared" si="5"/>
        <v>0.97199999999999998</v>
      </c>
      <c r="J14" s="192"/>
      <c r="K14" s="184">
        <f t="shared" si="0"/>
        <v>8514.7199999999993</v>
      </c>
      <c r="L14" s="193">
        <f t="shared" si="6"/>
        <v>15896.982239999999</v>
      </c>
      <c r="M14" s="184">
        <f t="shared" si="1"/>
        <v>22874.869763714712</v>
      </c>
      <c r="O14" s="193">
        <f t="shared" si="7"/>
        <v>20196.915839999998</v>
      </c>
      <c r="P14" s="184">
        <f t="shared" si="2"/>
        <v>26468.177830105142</v>
      </c>
      <c r="R14" s="193">
        <f t="shared" si="8"/>
        <v>13402.16928</v>
      </c>
      <c r="S14" s="184">
        <f t="shared" si="3"/>
        <v>18430.052374136747</v>
      </c>
      <c r="U14" s="193">
        <f t="shared" si="9"/>
        <v>12567.726720000001</v>
      </c>
      <c r="V14" s="184">
        <f t="shared" si="4"/>
        <v>18528.208245241076</v>
      </c>
      <c r="Z14" s="178"/>
      <c r="AA14" s="178"/>
      <c r="AB14" s="179"/>
      <c r="AC14" s="179"/>
    </row>
    <row r="15" spans="1:31" x14ac:dyDescent="0.2">
      <c r="A15" s="119"/>
      <c r="B15" s="339">
        <v>2021</v>
      </c>
      <c r="C15" s="122">
        <f>ROUND(INDEX('Table 2D SolarTracking'!$C$66:$C$78,MATCH($B15,'Table 2D SolarTracking'!$A$66:$A$78,0))/10,3)</f>
        <v>2.0019999999999998</v>
      </c>
      <c r="D15" s="122">
        <f>ROUND(INDEX('Table 2D SolarTracking'!$G$66:$G$78,MATCH($B15,'Table 2D SolarTracking'!$A$66:$A$78,0))/10,3)</f>
        <v>2.581</v>
      </c>
      <c r="E15" s="122">
        <f>ROUND(INDEX('Table 2D SolarTracking'!$D$66:$D$78,MATCH($B15,'Table 2D SolarTracking'!$A$66:$A$78,0))/10,3)</f>
        <v>1.7390000000000001</v>
      </c>
      <c r="F15" s="122">
        <f>ROUND(INDEX('Table 2D SolarTracking'!$H$66:$H$78,MATCH($B15,'Table 2D SolarTracking'!$A$66:$A$78,0))/10,3)</f>
        <v>1.651</v>
      </c>
      <c r="I15" s="192">
        <f t="shared" si="5"/>
        <v>0.96499999999999997</v>
      </c>
      <c r="J15" s="192"/>
      <c r="K15" s="184">
        <f t="shared" si="0"/>
        <v>8453.4</v>
      </c>
      <c r="L15" s="193">
        <f t="shared" si="6"/>
        <v>16923.706799999996</v>
      </c>
      <c r="M15" s="184">
        <f t="shared" si="1"/>
        <v>22710.133047309362</v>
      </c>
      <c r="O15" s="193">
        <f t="shared" si="7"/>
        <v>21818.225399999999</v>
      </c>
      <c r="P15" s="184">
        <f t="shared" si="2"/>
        <v>26277.563380711381</v>
      </c>
      <c r="R15" s="193">
        <f t="shared" si="8"/>
        <v>14700.462600000001</v>
      </c>
      <c r="S15" s="184">
        <f t="shared" si="3"/>
        <v>18297.325659508191</v>
      </c>
      <c r="U15" s="193">
        <f t="shared" si="9"/>
        <v>13956.563399999999</v>
      </c>
      <c r="V15" s="184">
        <f t="shared" si="4"/>
        <v>18394.774646767117</v>
      </c>
      <c r="Z15" s="178"/>
      <c r="AA15" s="178"/>
      <c r="AB15" s="179"/>
      <c r="AC15" s="179"/>
    </row>
    <row r="16" spans="1:31" x14ac:dyDescent="0.2">
      <c r="A16" s="119"/>
      <c r="B16" s="339">
        <v>2022</v>
      </c>
      <c r="C16" s="122">
        <f>ROUND(INDEX('Table 2D SolarTracking'!$C$66:$C$78,MATCH($B16,'Table 2D SolarTracking'!$A$66:$A$78,0))/10,3)</f>
        <v>2.097</v>
      </c>
      <c r="D16" s="122">
        <f>ROUND(INDEX('Table 2D SolarTracking'!$G$66:$G$78,MATCH($B16,'Table 2D SolarTracking'!$A$66:$A$78,0))/10,3)</f>
        <v>2.7690000000000001</v>
      </c>
      <c r="E16" s="122">
        <f>ROUND(INDEX('Table 2D SolarTracking'!$D$66:$D$78,MATCH($B16,'Table 2D SolarTracking'!$A$66:$A$78,0))/10,3)</f>
        <v>1.8680000000000001</v>
      </c>
      <c r="F16" s="122">
        <f>ROUND(INDEX('Table 2D SolarTracking'!$H$66:$H$78,MATCH($B16,'Table 2D SolarTracking'!$A$66:$A$78,0))/10,3)</f>
        <v>1.885</v>
      </c>
      <c r="I16" s="192">
        <f t="shared" si="5"/>
        <v>0.95799999999999996</v>
      </c>
      <c r="J16" s="192"/>
      <c r="K16" s="184">
        <f t="shared" si="0"/>
        <v>8392.08</v>
      </c>
      <c r="L16" s="193">
        <f t="shared" si="6"/>
        <v>17598.191760000002</v>
      </c>
      <c r="M16" s="184">
        <f t="shared" si="1"/>
        <v>22545.396330904008</v>
      </c>
      <c r="O16" s="193">
        <f t="shared" si="7"/>
        <v>23237.669520000003</v>
      </c>
      <c r="P16" s="184">
        <f t="shared" si="2"/>
        <v>26086.94893131762</v>
      </c>
      <c r="R16" s="193">
        <f t="shared" si="8"/>
        <v>15676.40544</v>
      </c>
      <c r="S16" s="184">
        <f t="shared" si="3"/>
        <v>18164.598944879635</v>
      </c>
      <c r="U16" s="193">
        <f t="shared" si="9"/>
        <v>15819.070799999998</v>
      </c>
      <c r="V16" s="184">
        <f t="shared" si="4"/>
        <v>18261.341048293161</v>
      </c>
      <c r="Z16" s="178"/>
      <c r="AA16" s="178"/>
      <c r="AB16" s="179"/>
      <c r="AC16" s="179"/>
    </row>
    <row r="17" spans="1:29" x14ac:dyDescent="0.2">
      <c r="A17" s="119"/>
      <c r="B17" s="339">
        <v>2023</v>
      </c>
      <c r="C17" s="122">
        <f>ROUND(INDEX('Table 2D SolarTracking'!$C$66:$C$78,MATCH($B17,'Table 2D SolarTracking'!$A$66:$A$78,0))/10,3)</f>
        <v>2.4169999999999998</v>
      </c>
      <c r="D17" s="122">
        <f>ROUND(INDEX('Table 2D SolarTracking'!$G$66:$G$78,MATCH($B17,'Table 2D SolarTracking'!$A$66:$A$78,0))/10,3)</f>
        <v>3.0070000000000001</v>
      </c>
      <c r="E17" s="122">
        <f>ROUND(INDEX('Table 2D SolarTracking'!$D$66:$D$78,MATCH($B17,'Table 2D SolarTracking'!$A$66:$A$78,0))/10,3)</f>
        <v>2.1850000000000001</v>
      </c>
      <c r="F17" s="122">
        <f>ROUND(INDEX('Table 2D SolarTracking'!$H$66:$H$78,MATCH($B17,'Table 2D SolarTracking'!$A$66:$A$78,0))/10,3)</f>
        <v>2.242</v>
      </c>
      <c r="I17" s="192">
        <f t="shared" si="5"/>
        <v>0.95099999999999996</v>
      </c>
      <c r="J17" s="192"/>
      <c r="K17" s="184">
        <f t="shared" si="0"/>
        <v>8330.76</v>
      </c>
      <c r="L17" s="193">
        <f t="shared" si="6"/>
        <v>20135.446919999998</v>
      </c>
      <c r="M17" s="184">
        <f t="shared" si="1"/>
        <v>22380.659614498658</v>
      </c>
      <c r="O17" s="193">
        <f t="shared" si="7"/>
        <v>25050.59532</v>
      </c>
      <c r="P17" s="184">
        <f t="shared" si="2"/>
        <v>25896.334481923859</v>
      </c>
      <c r="R17" s="193">
        <f t="shared" si="8"/>
        <v>18202.710600000002</v>
      </c>
      <c r="S17" s="184">
        <f t="shared" si="3"/>
        <v>18031.87223025108</v>
      </c>
      <c r="U17" s="193">
        <f t="shared" si="9"/>
        <v>18677.563919999997</v>
      </c>
      <c r="V17" s="184">
        <f t="shared" si="4"/>
        <v>18127.907449819202</v>
      </c>
      <c r="Z17" s="178"/>
      <c r="AA17" s="178"/>
      <c r="AB17" s="179"/>
      <c r="AC17" s="179"/>
    </row>
    <row r="18" spans="1:29" x14ac:dyDescent="0.2">
      <c r="A18" s="119"/>
      <c r="B18" s="339">
        <v>2024</v>
      </c>
      <c r="C18" s="122">
        <f>ROUND(INDEX('Table 2D SolarTracking'!$C$66:$C$78,MATCH($B18,'Table 2D SolarTracking'!$A$66:$A$78,0))/10,3)</f>
        <v>2.5990000000000002</v>
      </c>
      <c r="D18" s="122">
        <f>ROUND(INDEX('Table 2D SolarTracking'!$G$66:$G$78,MATCH($B18,'Table 2D SolarTracking'!$A$66:$A$78,0))/10,3)</f>
        <v>3.3370000000000002</v>
      </c>
      <c r="E18" s="122">
        <f>ROUND(INDEX('Table 2D SolarTracking'!$D$66:$D$78,MATCH($B18,'Table 2D SolarTracking'!$A$66:$A$78,0))/10,3)</f>
        <v>2.3559999999999999</v>
      </c>
      <c r="F18" s="122">
        <f>ROUND(INDEX('Table 2D SolarTracking'!$H$66:$H$78,MATCH($B18,'Table 2D SolarTracking'!$A$66:$A$78,0))/10,3)</f>
        <v>2.6749999999999998</v>
      </c>
      <c r="I18" s="192">
        <f t="shared" si="5"/>
        <v>0.94399999999999995</v>
      </c>
      <c r="J18" s="192"/>
      <c r="K18" s="184">
        <f t="shared" si="0"/>
        <v>8269.4399999999987</v>
      </c>
      <c r="L18" s="193">
        <f t="shared" si="6"/>
        <v>21492.274560000002</v>
      </c>
      <c r="M18" s="184">
        <f t="shared" si="1"/>
        <v>22215.9228980933</v>
      </c>
      <c r="O18" s="193">
        <f t="shared" si="7"/>
        <v>27595.121279999999</v>
      </c>
      <c r="P18" s="184">
        <f t="shared" si="2"/>
        <v>25705.720032530095</v>
      </c>
      <c r="R18" s="193">
        <f t="shared" si="8"/>
        <v>19482.800639999998</v>
      </c>
      <c r="S18" s="184">
        <f t="shared" si="3"/>
        <v>17899.14551562252</v>
      </c>
      <c r="U18" s="193">
        <f t="shared" si="9"/>
        <v>22120.752</v>
      </c>
      <c r="V18" s="184">
        <f t="shared" si="4"/>
        <v>17994.473851345239</v>
      </c>
      <c r="Z18" s="178"/>
      <c r="AA18" s="178"/>
      <c r="AB18" s="179"/>
      <c r="AC18" s="179"/>
    </row>
    <row r="19" spans="1:29" x14ac:dyDescent="0.2">
      <c r="A19" s="119"/>
      <c r="B19" s="339">
        <v>2025</v>
      </c>
      <c r="C19" s="122">
        <f>ROUND(INDEX('Table 2D SolarTracking'!$C$66:$C$78,MATCH($B19,'Table 2D SolarTracking'!$A$66:$A$78,0))/10,3)</f>
        <v>3.1059999999999999</v>
      </c>
      <c r="D19" s="122">
        <f>ROUND(INDEX('Table 2D SolarTracking'!$G$66:$G$78,MATCH($B19,'Table 2D SolarTracking'!$A$66:$A$78,0))/10,3)</f>
        <v>3.274</v>
      </c>
      <c r="E19" s="122">
        <f>ROUND(INDEX('Table 2D SolarTracking'!$D$66:$D$78,MATCH($B19,'Table 2D SolarTracking'!$A$66:$A$78,0))/10,3)</f>
        <v>2.8159999999999998</v>
      </c>
      <c r="F19" s="122">
        <f>ROUND(INDEX('Table 2D SolarTracking'!$H$66:$H$78,MATCH($B19,'Table 2D SolarTracking'!$A$66:$A$78,0))/10,3)</f>
        <v>2.5950000000000002</v>
      </c>
      <c r="I19" s="192">
        <f t="shared" si="5"/>
        <v>0.93699999999999994</v>
      </c>
      <c r="J19" s="192"/>
      <c r="K19" s="184">
        <f t="shared" si="0"/>
        <v>8208.119999999999</v>
      </c>
      <c r="L19" s="193">
        <f t="shared" si="6"/>
        <v>25494.420719999995</v>
      </c>
      <c r="M19" s="184">
        <f t="shared" si="1"/>
        <v>22051.186181687946</v>
      </c>
      <c r="O19" s="193">
        <f t="shared" si="7"/>
        <v>26873.384880000001</v>
      </c>
      <c r="P19" s="184">
        <f t="shared" si="2"/>
        <v>25515.105583136334</v>
      </c>
      <c r="R19" s="193">
        <f t="shared" si="8"/>
        <v>23114.065919999997</v>
      </c>
      <c r="S19" s="184">
        <f t="shared" si="3"/>
        <v>17766.418800993964</v>
      </c>
      <c r="U19" s="193">
        <f t="shared" si="9"/>
        <v>21300.071400000001</v>
      </c>
      <c r="V19" s="184">
        <f t="shared" si="4"/>
        <v>17861.040252871284</v>
      </c>
      <c r="Z19" s="178"/>
      <c r="AA19" s="178"/>
      <c r="AB19" s="179"/>
      <c r="AC19" s="179"/>
    </row>
    <row r="20" spans="1:29" x14ac:dyDescent="0.2">
      <c r="A20" s="119"/>
      <c r="B20" s="339">
        <v>2026</v>
      </c>
      <c r="C20" s="122">
        <f>ROUND(INDEX('Table 2D SolarTracking'!$C$66:$C$78,MATCH($B20,'Table 2D SolarTracking'!$A$66:$A$78,0))/10,3)</f>
        <v>2.7</v>
      </c>
      <c r="D20" s="122">
        <f>ROUND(INDEX('Table 2D SolarTracking'!$G$66:$G$78,MATCH($B20,'Table 2D SolarTracking'!$A$66:$A$78,0))/10,3)</f>
        <v>3.403</v>
      </c>
      <c r="E20" s="122">
        <f>ROUND(INDEX('Table 2D SolarTracking'!$D$66:$D$78,MATCH($B20,'Table 2D SolarTracking'!$A$66:$A$78,0))/10,3)</f>
        <v>2.4510000000000001</v>
      </c>
      <c r="F20" s="122">
        <f>ROUND(INDEX('Table 2D SolarTracking'!$H$66:$H$78,MATCH($B20,'Table 2D SolarTracking'!$A$66:$A$78,0))/10,3)</f>
        <v>2.7090000000000001</v>
      </c>
      <c r="I20" s="192">
        <f t="shared" si="5"/>
        <v>0.92999999999999994</v>
      </c>
      <c r="J20" s="192"/>
      <c r="K20" s="184">
        <f t="shared" si="0"/>
        <v>8146.7999999999993</v>
      </c>
      <c r="L20" s="193">
        <f t="shared" si="6"/>
        <v>21996.359999999997</v>
      </c>
      <c r="M20" s="184">
        <f t="shared" si="1"/>
        <v>21886.449465282596</v>
      </c>
      <c r="O20" s="193">
        <f t="shared" si="7"/>
        <v>27723.560399999998</v>
      </c>
      <c r="P20" s="184">
        <f t="shared" si="2"/>
        <v>25324.491133742573</v>
      </c>
      <c r="R20" s="193">
        <f t="shared" si="8"/>
        <v>19967.806800000002</v>
      </c>
      <c r="S20" s="184">
        <f t="shared" si="3"/>
        <v>17633.692086365405</v>
      </c>
      <c r="U20" s="193">
        <f t="shared" si="9"/>
        <v>22069.681199999999</v>
      </c>
      <c r="V20" s="184">
        <f t="shared" si="4"/>
        <v>17727.606654397325</v>
      </c>
      <c r="Z20" s="178"/>
      <c r="AA20" s="178"/>
      <c r="AB20" s="179"/>
      <c r="AC20" s="179"/>
    </row>
    <row r="21" spans="1:29" x14ac:dyDescent="0.2">
      <c r="A21" s="119"/>
      <c r="B21" s="339">
        <v>2027</v>
      </c>
      <c r="C21" s="122">
        <f>ROUND(INDEX('Table 2D SolarTracking'!$C$66:$C$78,MATCH($B21,'Table 2D SolarTracking'!$A$66:$A$78,0))/10,3)</f>
        <v>3.3039999999999998</v>
      </c>
      <c r="D21" s="122">
        <f>ROUND(INDEX('Table 2D SolarTracking'!$G$66:$G$78,MATCH($B21,'Table 2D SolarTracking'!$A$66:$A$78,0))/10,3)</f>
        <v>4.0949999999999998</v>
      </c>
      <c r="E21" s="122">
        <f>ROUND(INDEX('Table 2D SolarTracking'!$D$66:$D$78,MATCH($B21,'Table 2D SolarTracking'!$A$66:$A$78,0))/10,3)</f>
        <v>3.02</v>
      </c>
      <c r="F21" s="122">
        <f>ROUND(INDEX('Table 2D SolarTracking'!$H$66:$H$78,MATCH($B21,'Table 2D SolarTracking'!$A$66:$A$78,0))/10,3)</f>
        <v>3.3090000000000002</v>
      </c>
      <c r="I21" s="192">
        <f t="shared" si="5"/>
        <v>0.92299999999999993</v>
      </c>
      <c r="J21" s="192"/>
      <c r="K21" s="184">
        <f t="shared" si="0"/>
        <v>8085.48</v>
      </c>
      <c r="L21" s="193">
        <f t="shared" si="6"/>
        <v>26714.425919999994</v>
      </c>
      <c r="M21" s="184">
        <f t="shared" si="1"/>
        <v>21721.712748877242</v>
      </c>
      <c r="O21" s="193">
        <f t="shared" si="7"/>
        <v>33110.040599999993</v>
      </c>
      <c r="P21" s="184">
        <f t="shared" si="2"/>
        <v>25133.876684348812</v>
      </c>
      <c r="R21" s="193">
        <f t="shared" si="8"/>
        <v>24418.149600000001</v>
      </c>
      <c r="S21" s="184">
        <f t="shared" si="3"/>
        <v>17500.965371736849</v>
      </c>
      <c r="U21" s="193">
        <f t="shared" si="9"/>
        <v>26754.853319999998</v>
      </c>
      <c r="V21" s="184">
        <f t="shared" si="4"/>
        <v>17594.173055923366</v>
      </c>
      <c r="Z21" s="178"/>
      <c r="AA21" s="178"/>
      <c r="AB21" s="179"/>
      <c r="AC21" s="179"/>
    </row>
    <row r="22" spans="1:29" x14ac:dyDescent="0.2">
      <c r="A22" s="119"/>
      <c r="B22" s="339">
        <v>2028</v>
      </c>
      <c r="C22" s="122">
        <f>ROUND(INDEX('Tables 3 to 5'!AQ:AQ,MATCH(B22,'Tables 3 to 5'!B:B,0))/10,3)</f>
        <v>4.4189999999999996</v>
      </c>
      <c r="D22" s="122">
        <f t="shared" ref="D22:D27" si="10">C22</f>
        <v>4.4189999999999996</v>
      </c>
      <c r="E22" s="122">
        <f>ROUND(INDEX('Tables 3 to 5'!AR:AR,MATCH(B22,'Tables 3 to 5'!B:B,0))/10,3)</f>
        <v>2.68</v>
      </c>
      <c r="F22" s="122">
        <f t="shared" ref="F22:F27" si="11">E22</f>
        <v>2.68</v>
      </c>
      <c r="I22" s="192">
        <f t="shared" si="5"/>
        <v>0.91599999999999993</v>
      </c>
      <c r="J22" s="192"/>
      <c r="K22" s="184">
        <f t="shared" si="0"/>
        <v>8024.1599999999989</v>
      </c>
      <c r="L22" s="193">
        <f t="shared" si="6"/>
        <v>35458.763039999991</v>
      </c>
      <c r="M22" s="184">
        <f t="shared" si="1"/>
        <v>21556.976032471888</v>
      </c>
      <c r="O22" s="193">
        <f t="shared" si="7"/>
        <v>35458.763039999991</v>
      </c>
      <c r="P22" s="184">
        <f t="shared" si="2"/>
        <v>24943.262234955051</v>
      </c>
      <c r="R22" s="193">
        <f t="shared" si="8"/>
        <v>21504.748800000001</v>
      </c>
      <c r="S22" s="184">
        <f t="shared" si="3"/>
        <v>17368.238657108293</v>
      </c>
      <c r="U22" s="193">
        <f t="shared" si="9"/>
        <v>21504.748800000001</v>
      </c>
      <c r="V22" s="184">
        <f t="shared" si="4"/>
        <v>17460.739457449406</v>
      </c>
      <c r="Z22" s="178"/>
      <c r="AA22" s="178"/>
      <c r="AB22" s="179"/>
      <c r="AC22" s="179"/>
    </row>
    <row r="23" spans="1:29" x14ac:dyDescent="0.2">
      <c r="A23" s="119"/>
      <c r="B23" s="339">
        <v>2029</v>
      </c>
      <c r="C23" s="122">
        <f>ROUND(INDEX('Tables 3 to 5'!AQ:AQ,MATCH(B23,'Tables 3 to 5'!B:B,0))/10,3)</f>
        <v>4.68</v>
      </c>
      <c r="D23" s="122">
        <f t="shared" si="10"/>
        <v>4.68</v>
      </c>
      <c r="E23" s="122">
        <f>ROUND(INDEX('Tables 3 to 5'!AR:AR,MATCH(B23,'Tables 3 to 5'!B:B,0))/10,3)</f>
        <v>2.9039999999999999</v>
      </c>
      <c r="F23" s="122">
        <f t="shared" si="11"/>
        <v>2.9039999999999999</v>
      </c>
      <c r="I23" s="192">
        <f t="shared" si="5"/>
        <v>0.90899999999999992</v>
      </c>
      <c r="J23" s="192"/>
      <c r="K23" s="184">
        <f t="shared" si="0"/>
        <v>7962.8399999999992</v>
      </c>
      <c r="L23" s="193">
        <f t="shared" si="6"/>
        <v>37266.091199999995</v>
      </c>
      <c r="M23" s="184">
        <f t="shared" si="1"/>
        <v>21392.239316066538</v>
      </c>
      <c r="O23" s="193">
        <f t="shared" si="7"/>
        <v>37266.091199999995</v>
      </c>
      <c r="P23" s="184">
        <f t="shared" si="2"/>
        <v>24752.64778556129</v>
      </c>
      <c r="R23" s="193">
        <f t="shared" si="8"/>
        <v>23124.087359999998</v>
      </c>
      <c r="S23" s="184">
        <f t="shared" si="3"/>
        <v>17235.511942479738</v>
      </c>
      <c r="U23" s="193">
        <f t="shared" si="9"/>
        <v>23124.087359999998</v>
      </c>
      <c r="V23" s="184">
        <f t="shared" si="4"/>
        <v>17327.305858975451</v>
      </c>
      <c r="Z23" s="178"/>
      <c r="AA23" s="178"/>
      <c r="AB23" s="179"/>
      <c r="AC23" s="179"/>
    </row>
    <row r="24" spans="1:29" x14ac:dyDescent="0.2">
      <c r="A24" s="119"/>
      <c r="B24" s="339">
        <v>2030</v>
      </c>
      <c r="C24" s="122">
        <f>ROUND(INDEX('Tables 3 to 5'!AQ:AQ,MATCH(B24,'Tables 3 to 5'!B:B,0))/10,3)</f>
        <v>4.9489999999999998</v>
      </c>
      <c r="D24" s="122">
        <f t="shared" si="10"/>
        <v>4.9489999999999998</v>
      </c>
      <c r="E24" s="122">
        <f>ROUND(INDEX('Tables 3 to 5'!AR:AR,MATCH(B24,'Tables 3 to 5'!B:B,0))/10,3)</f>
        <v>3.1339999999999999</v>
      </c>
      <c r="F24" s="122">
        <f t="shared" si="11"/>
        <v>3.1339999999999999</v>
      </c>
      <c r="I24" s="192">
        <f t="shared" si="5"/>
        <v>0.90199999999999991</v>
      </c>
      <c r="J24" s="192"/>
      <c r="K24" s="184">
        <f t="shared" si="0"/>
        <v>7901.5199999999995</v>
      </c>
      <c r="L24" s="193">
        <f t="shared" si="6"/>
        <v>39104.622479999991</v>
      </c>
      <c r="M24" s="184">
        <f t="shared" si="1"/>
        <v>21227.502599661184</v>
      </c>
      <c r="O24" s="193">
        <f t="shared" si="7"/>
        <v>39104.622479999991</v>
      </c>
      <c r="P24" s="184">
        <f t="shared" si="2"/>
        <v>24562.033336167529</v>
      </c>
      <c r="R24" s="193">
        <f t="shared" si="8"/>
        <v>24763.363679999999</v>
      </c>
      <c r="S24" s="184">
        <f t="shared" si="3"/>
        <v>17102.785227851178</v>
      </c>
      <c r="U24" s="193">
        <f t="shared" si="9"/>
        <v>24763.363679999999</v>
      </c>
      <c r="V24" s="184">
        <f t="shared" si="4"/>
        <v>17193.872260501492</v>
      </c>
      <c r="Z24" s="178"/>
      <c r="AA24" s="178"/>
      <c r="AB24" s="179"/>
      <c r="AC24" s="179"/>
    </row>
    <row r="25" spans="1:29" x14ac:dyDescent="0.2">
      <c r="A25" s="119"/>
      <c r="B25" s="339">
        <v>2031</v>
      </c>
      <c r="C25" s="122">
        <f>ROUND(INDEX('Tables 3 to 5'!AQ:AQ,MATCH(B25,'Tables 3 to 5'!B:B,0))/10,3)</f>
        <v>5.14</v>
      </c>
      <c r="D25" s="122">
        <f t="shared" si="10"/>
        <v>5.14</v>
      </c>
      <c r="E25" s="122">
        <f>ROUND(INDEX('Tables 3 to 5'!AR:AR,MATCH(B25,'Tables 3 to 5'!B:B,0))/10,3)</f>
        <v>3.2850000000000001</v>
      </c>
      <c r="F25" s="122">
        <f t="shared" si="11"/>
        <v>3.2850000000000001</v>
      </c>
      <c r="I25" s="192">
        <f t="shared" si="5"/>
        <v>0.89499999999999991</v>
      </c>
      <c r="J25" s="192"/>
      <c r="K25" s="184">
        <f t="shared" si="0"/>
        <v>7840.1999999999989</v>
      </c>
      <c r="L25" s="193">
        <f t="shared" si="6"/>
        <v>40298.62799999999</v>
      </c>
      <c r="M25" s="184">
        <f t="shared" si="1"/>
        <v>21062.76588325583</v>
      </c>
      <c r="O25" s="193">
        <f t="shared" si="7"/>
        <v>40298.62799999999</v>
      </c>
      <c r="P25" s="184">
        <f t="shared" si="2"/>
        <v>24371.418886773765</v>
      </c>
      <c r="R25" s="193">
        <f t="shared" si="8"/>
        <v>25755.057000000001</v>
      </c>
      <c r="S25" s="184">
        <f t="shared" si="3"/>
        <v>16970.058513222622</v>
      </c>
      <c r="U25" s="193">
        <f t="shared" si="9"/>
        <v>25755.057000000001</v>
      </c>
      <c r="V25" s="184">
        <f t="shared" si="4"/>
        <v>17060.438662027533</v>
      </c>
      <c r="Z25" s="178"/>
      <c r="AA25" s="178"/>
      <c r="AB25" s="179"/>
      <c r="AC25" s="179"/>
    </row>
    <row r="26" spans="1:29" x14ac:dyDescent="0.2">
      <c r="A26" s="119"/>
      <c r="B26" s="339">
        <v>2032</v>
      </c>
      <c r="C26" s="122">
        <f>ROUND(INDEX('Tables 3 to 5'!AQ:AQ,MATCH(B26,'Tables 3 to 5'!B:B,0))/10,3)</f>
        <v>5.3449999999999998</v>
      </c>
      <c r="D26" s="122">
        <f t="shared" si="10"/>
        <v>5.3449999999999998</v>
      </c>
      <c r="E26" s="122">
        <f>ROUND(INDEX('Tables 3 to 5'!AR:AR,MATCH(B26,'Tables 3 to 5'!B:B,0))/10,3)</f>
        <v>3.4489999999999998</v>
      </c>
      <c r="F26" s="122">
        <f t="shared" si="11"/>
        <v>3.4489999999999998</v>
      </c>
      <c r="I26" s="192">
        <f t="shared" si="5"/>
        <v>0.8879999999999999</v>
      </c>
      <c r="J26" s="192"/>
      <c r="K26" s="184">
        <f t="shared" si="0"/>
        <v>7778.8799999999992</v>
      </c>
      <c r="L26" s="193">
        <f t="shared" si="6"/>
        <v>41578.11359999999</v>
      </c>
      <c r="M26" s="184">
        <f t="shared" si="1"/>
        <v>20898.029166850476</v>
      </c>
      <c r="O26" s="193">
        <f t="shared" si="7"/>
        <v>41578.11359999999</v>
      </c>
      <c r="P26" s="184">
        <f t="shared" si="2"/>
        <v>24180.804437380004</v>
      </c>
      <c r="R26" s="193">
        <f t="shared" si="8"/>
        <v>26829.357119999997</v>
      </c>
      <c r="S26" s="184">
        <f t="shared" si="3"/>
        <v>16837.331798594067</v>
      </c>
      <c r="U26" s="193">
        <f t="shared" si="9"/>
        <v>26829.357119999997</v>
      </c>
      <c r="V26" s="184">
        <f t="shared" si="4"/>
        <v>16927.005063553574</v>
      </c>
      <c r="Z26" s="178"/>
      <c r="AA26" s="178"/>
      <c r="AB26" s="179"/>
      <c r="AC26" s="179"/>
    </row>
    <row r="27" spans="1:29" x14ac:dyDescent="0.2">
      <c r="A27" s="119"/>
      <c r="B27" s="339">
        <v>2033</v>
      </c>
      <c r="C27" s="122">
        <f>ROUND(INDEX('Tables 3 to 5'!AQ:AQ,MATCH(B27,'Tables 3 to 5'!B:B,0))/10,3)</f>
        <v>5.6239999999999997</v>
      </c>
      <c r="D27" s="122">
        <f t="shared" si="10"/>
        <v>5.6239999999999997</v>
      </c>
      <c r="E27" s="122">
        <f>ROUND(INDEX('Tables 3 to 5'!AR:AR,MATCH(B27,'Tables 3 to 5'!B:B,0))/10,3)</f>
        <v>3.6859999999999999</v>
      </c>
      <c r="F27" s="122">
        <f t="shared" si="11"/>
        <v>3.6859999999999999</v>
      </c>
      <c r="I27" s="192">
        <f t="shared" si="5"/>
        <v>0.88099999999999989</v>
      </c>
      <c r="J27" s="192"/>
      <c r="K27" s="184">
        <f t="shared" si="0"/>
        <v>7717.5599999999995</v>
      </c>
      <c r="L27" s="193">
        <f t="shared" si="6"/>
        <v>43403.55743999999</v>
      </c>
      <c r="M27" s="184">
        <f t="shared" si="1"/>
        <v>20733.292450445126</v>
      </c>
      <c r="O27" s="193">
        <f t="shared" si="7"/>
        <v>43403.55743999999</v>
      </c>
      <c r="P27" s="184">
        <f t="shared" si="2"/>
        <v>23990.189987986243</v>
      </c>
      <c r="R27" s="193">
        <f t="shared" si="8"/>
        <v>28446.926159999995</v>
      </c>
      <c r="S27" s="184">
        <f t="shared" si="3"/>
        <v>16704.605083965511</v>
      </c>
      <c r="U27" s="193">
        <f t="shared" si="9"/>
        <v>28446.926159999995</v>
      </c>
      <c r="V27" s="184">
        <f t="shared" si="4"/>
        <v>16793.571465079618</v>
      </c>
      <c r="Z27" s="178"/>
      <c r="AA27" s="178"/>
      <c r="AB27" s="179"/>
      <c r="AC27" s="179"/>
    </row>
    <row r="28" spans="1:29" x14ac:dyDescent="0.2">
      <c r="A28" s="119"/>
      <c r="B28" s="120"/>
      <c r="C28" s="122"/>
      <c r="D28" s="121"/>
      <c r="E28" s="122"/>
      <c r="F28" s="122"/>
      <c r="I28" s="192"/>
      <c r="J28" s="192"/>
      <c r="L28" s="193"/>
      <c r="O28" s="193"/>
      <c r="R28" s="193"/>
      <c r="U28" s="193"/>
      <c r="Z28" s="178"/>
      <c r="AA28" s="178"/>
      <c r="AB28" s="179"/>
      <c r="AC28" s="179"/>
    </row>
    <row r="29" spans="1:29" x14ac:dyDescent="0.2">
      <c r="A29" s="119"/>
      <c r="B29" s="120"/>
      <c r="C29" s="122"/>
      <c r="D29" s="121"/>
      <c r="E29" s="122"/>
      <c r="F29" s="122"/>
      <c r="H29" s="184" t="str">
        <f>'Table 6'!$P$38</f>
        <v>Discount Rate - 2015 IRP Page 141</v>
      </c>
      <c r="I29" s="192"/>
      <c r="J29" s="192"/>
      <c r="L29" s="193"/>
      <c r="O29" s="193"/>
      <c r="R29" s="193"/>
      <c r="U29" s="193"/>
      <c r="Z29" s="178"/>
      <c r="AA29" s="178"/>
      <c r="AB29" s="179"/>
      <c r="AC29" s="179"/>
    </row>
    <row r="30" spans="1:29" x14ac:dyDescent="0.2">
      <c r="A30" s="119"/>
      <c r="B30" s="120"/>
      <c r="C30" s="122"/>
      <c r="D30" s="121"/>
      <c r="E30" s="122"/>
      <c r="F30" s="122"/>
      <c r="H30" s="195">
        <f>'Table 6'!$P$39</f>
        <v>6.6600000000000006E-2</v>
      </c>
      <c r="I30" s="192"/>
      <c r="J30" s="192"/>
      <c r="L30" s="193"/>
      <c r="O30" s="193"/>
      <c r="R30" s="193"/>
      <c r="U30" s="193"/>
      <c r="Z30" s="178"/>
      <c r="AA30" s="178"/>
      <c r="AB30" s="179"/>
      <c r="AC30" s="179"/>
    </row>
    <row r="31" spans="1:29" hidden="1" x14ac:dyDescent="0.2">
      <c r="A31" s="119"/>
      <c r="B31" s="120"/>
      <c r="C31" s="122"/>
      <c r="D31" s="121"/>
      <c r="E31" s="122"/>
      <c r="F31" s="122"/>
      <c r="I31" s="192"/>
      <c r="J31" s="192"/>
      <c r="L31" s="193"/>
      <c r="O31" s="193"/>
      <c r="R31" s="193"/>
      <c r="U31" s="193"/>
      <c r="Z31" s="178"/>
      <c r="AA31" s="178"/>
      <c r="AB31" s="179"/>
      <c r="AC31" s="179"/>
    </row>
    <row r="32" spans="1:29" hidden="1" x14ac:dyDescent="0.2">
      <c r="A32" s="119"/>
      <c r="B32" s="120"/>
      <c r="C32" s="122"/>
      <c r="D32" s="121"/>
      <c r="E32" s="122"/>
      <c r="F32" s="122"/>
      <c r="I32" s="192"/>
      <c r="J32" s="192"/>
      <c r="L32" s="193"/>
      <c r="O32" s="193"/>
      <c r="R32" s="193"/>
      <c r="U32" s="193"/>
      <c r="Z32" s="178"/>
      <c r="AA32" s="178"/>
      <c r="AB32" s="179"/>
      <c r="AC32" s="179"/>
    </row>
    <row r="33" spans="1:34" ht="15.75" hidden="1" customHeight="1" x14ac:dyDescent="0.2">
      <c r="A33" s="119"/>
      <c r="B33" s="120"/>
      <c r="C33" s="119"/>
      <c r="D33" s="119"/>
      <c r="E33" s="119"/>
      <c r="F33" s="119"/>
      <c r="I33" s="192"/>
      <c r="J33" s="192"/>
      <c r="L33" s="193"/>
      <c r="O33" s="193"/>
      <c r="R33" s="193"/>
      <c r="U33" s="193"/>
      <c r="AB33" s="179"/>
      <c r="AC33" s="179"/>
    </row>
    <row r="34" spans="1:34" hidden="1" x14ac:dyDescent="0.2">
      <c r="A34" s="119"/>
      <c r="C34" s="117" t="s">
        <v>222</v>
      </c>
      <c r="D34" s="117"/>
      <c r="E34" s="117" t="s">
        <v>121</v>
      </c>
      <c r="F34" s="117"/>
      <c r="L34" s="193"/>
      <c r="O34" s="193"/>
      <c r="R34" s="193"/>
      <c r="U34" s="193"/>
    </row>
    <row r="35" spans="1:34" ht="14.25" hidden="1" x14ac:dyDescent="0.35">
      <c r="A35" s="119"/>
      <c r="B35" s="125"/>
      <c r="C35" s="118" t="s">
        <v>58</v>
      </c>
      <c r="D35" s="118" t="s">
        <v>59</v>
      </c>
      <c r="E35" s="118" t="s">
        <v>58</v>
      </c>
      <c r="F35" s="118" t="s">
        <v>59</v>
      </c>
      <c r="I35" s="196"/>
      <c r="J35" s="197" t="s">
        <v>192</v>
      </c>
      <c r="K35" s="198">
        <f>NPV($H$30,K11:K25)</f>
        <v>77638.169210376611</v>
      </c>
      <c r="L35" s="198">
        <f t="shared" ref="L35:V35" si="12">NPV($H$30,L11:L25)</f>
        <v>208575.62073451746</v>
      </c>
      <c r="M35" s="198">
        <f t="shared" si="12"/>
        <v>208575.62073451749</v>
      </c>
      <c r="N35" s="198"/>
      <c r="O35" s="198">
        <f t="shared" si="12"/>
        <v>241339.80554428586</v>
      </c>
      <c r="P35" s="198">
        <f t="shared" si="12"/>
        <v>241339.80554428595</v>
      </c>
      <c r="Q35" s="198"/>
      <c r="R35" s="198">
        <f t="shared" si="12"/>
        <v>168047.27868671337</v>
      </c>
      <c r="S35" s="198">
        <f t="shared" si="12"/>
        <v>168047.27868671343</v>
      </c>
      <c r="T35" s="198"/>
      <c r="U35" s="198">
        <f t="shared" si="12"/>
        <v>168942.27489678134</v>
      </c>
      <c r="V35" s="198">
        <f t="shared" si="12"/>
        <v>168942.27489678134</v>
      </c>
    </row>
    <row r="36" spans="1:34" ht="33.75" hidden="1" customHeight="1" x14ac:dyDescent="0.2">
      <c r="B36" s="126" t="s">
        <v>282</v>
      </c>
      <c r="C36" s="127">
        <f>-PMT('Table 6'!$P$39,COUNT(C11:C25),NPV('Table 6'!$P$39,C11:C25))</f>
        <v>2.7165739681475816</v>
      </c>
      <c r="D36" s="127">
        <f>-PMT('Table 6'!$P$39,COUNT(D11:D25),NPV('Table 6'!$P$39,D11:D25))</f>
        <v>3.1362205159632959</v>
      </c>
      <c r="E36" s="127">
        <f>-PMT('Table 6'!$P$39,COUNT(E11:E25),NPV('Table 6'!$P$39,E11:E25))</f>
        <v>2.1809822774143779</v>
      </c>
      <c r="F36" s="127">
        <f>-PMT('Table 6'!$P$39,COUNT(F11:F25),NPV('Table 6'!$P$39,F11:F25))</f>
        <v>2.1942619056639825</v>
      </c>
      <c r="I36" s="199"/>
      <c r="J36" s="199"/>
      <c r="K36" s="197"/>
      <c r="Z36" s="127"/>
    </row>
    <row r="37" spans="1:34" hidden="1" x14ac:dyDescent="0.2">
      <c r="A37" s="125"/>
      <c r="I37" s="200"/>
      <c r="J37" s="200" t="s">
        <v>283</v>
      </c>
      <c r="K37" s="201">
        <f>-PMT($H$30,COUNT(K11:K25),NPV($H$30,K11:K25))</f>
        <v>8342.1113445299852</v>
      </c>
      <c r="L37" s="201">
        <f>-PMT($H$30,COUNT(L11:L25),NPV($H$30,L11:L25))</f>
        <v>22411.155100875949</v>
      </c>
      <c r="M37" s="203">
        <f>L37/K37</f>
        <v>2.6865087476411103</v>
      </c>
      <c r="N37" s="202"/>
      <c r="O37" s="201">
        <f>-PMT($H$30,COUNT(O11:O25),NPV($H$30,O11:O25))</f>
        <v>25931.620363976403</v>
      </c>
      <c r="P37" s="203">
        <f>O37/K37</f>
        <v>3.1085200488219393</v>
      </c>
      <c r="Q37" s="202"/>
      <c r="R37" s="201">
        <f>-PMT($H$30,COUNT(R11:R25),NPV($H$30,R11:R25))</f>
        <v>18056.442136742953</v>
      </c>
      <c r="S37" s="203">
        <f>R37/K37</f>
        <v>2.164493063088011</v>
      </c>
      <c r="T37" s="202"/>
      <c r="U37" s="201">
        <f>-PMT($H$30,COUNT(U11:U25),NPV($H$30,U11:U25))</f>
        <v>18152.608212183091</v>
      </c>
      <c r="V37" s="203">
        <f>U37/K37</f>
        <v>2.1760208492165423</v>
      </c>
    </row>
    <row r="38" spans="1:34" x14ac:dyDescent="0.2">
      <c r="K38" s="204"/>
      <c r="L38" s="205"/>
      <c r="M38" s="206"/>
      <c r="O38" s="205"/>
      <c r="P38" s="206"/>
      <c r="R38" s="205"/>
      <c r="S38" s="206"/>
      <c r="U38" s="205"/>
      <c r="V38" s="206"/>
    </row>
    <row r="39" spans="1:34" x14ac:dyDescent="0.2">
      <c r="C39" s="117" t="s">
        <v>222</v>
      </c>
      <c r="D39" s="117"/>
      <c r="E39" s="117" t="s">
        <v>121</v>
      </c>
      <c r="F39" s="117"/>
      <c r="L39" s="207"/>
      <c r="O39" s="207"/>
      <c r="R39" s="207"/>
      <c r="U39" s="207"/>
    </row>
    <row r="40" spans="1:34" ht="33" customHeight="1" x14ac:dyDescent="0.35">
      <c r="A40" s="129"/>
      <c r="B40" s="126" t="s">
        <v>284</v>
      </c>
      <c r="C40" s="118" t="s">
        <v>58</v>
      </c>
      <c r="D40" s="118" t="s">
        <v>59</v>
      </c>
      <c r="E40" s="118" t="s">
        <v>58</v>
      </c>
      <c r="F40" s="118" t="s">
        <v>59</v>
      </c>
      <c r="AB40" s="169"/>
      <c r="AC40" s="179"/>
      <c r="AD40" s="179"/>
      <c r="AE40" s="180"/>
      <c r="AF40" s="180"/>
      <c r="AG40" s="179"/>
    </row>
    <row r="41" spans="1:34" x14ac:dyDescent="0.2">
      <c r="A41" s="129"/>
      <c r="B41" s="127"/>
      <c r="C41" s="127">
        <f>M37</f>
        <v>2.6865087476411103</v>
      </c>
      <c r="D41" s="127">
        <f>P37</f>
        <v>3.1085200488219393</v>
      </c>
      <c r="E41" s="127">
        <f>S37</f>
        <v>2.164493063088011</v>
      </c>
      <c r="F41" s="127">
        <f>V37</f>
        <v>2.1760208492165423</v>
      </c>
      <c r="AB41" s="169"/>
    </row>
    <row r="42" spans="1:34" x14ac:dyDescent="0.2">
      <c r="A42" s="119"/>
      <c r="B42" s="125"/>
      <c r="C42" s="119"/>
      <c r="D42" s="119"/>
      <c r="E42" s="119"/>
      <c r="F42" s="119"/>
      <c r="AB42" s="175"/>
      <c r="AC42" s="171"/>
      <c r="AD42" s="171"/>
      <c r="AE42" s="170"/>
      <c r="AF42" s="172"/>
      <c r="AG42" s="171"/>
      <c r="AH42" s="171"/>
    </row>
    <row r="43" spans="1:34" x14ac:dyDescent="0.2">
      <c r="A43" s="128"/>
      <c r="B43" s="144" t="s">
        <v>305</v>
      </c>
      <c r="AB43" s="181"/>
      <c r="AC43" s="181"/>
      <c r="AD43" s="173"/>
      <c r="AE43" s="181"/>
      <c r="AF43" s="182"/>
    </row>
    <row r="44" spans="1:34" x14ac:dyDescent="0.2">
      <c r="A44" s="129"/>
      <c r="B44" s="144" t="s">
        <v>183</v>
      </c>
    </row>
    <row r="45" spans="1:34" x14ac:dyDescent="0.2">
      <c r="B45" s="144" t="s">
        <v>193</v>
      </c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H44"/>
  <sheetViews>
    <sheetView showGridLines="0" workbookViewId="0">
      <selection activeCell="B39" sqref="B39"/>
    </sheetView>
  </sheetViews>
  <sheetFormatPr defaultRowHeight="12" x14ac:dyDescent="0.2"/>
  <cols>
    <col min="1" max="1" width="2.83203125" style="114" customWidth="1"/>
    <col min="2" max="2" width="19.6640625" style="114" customWidth="1"/>
    <col min="3" max="6" width="18.83203125" style="114" customWidth="1"/>
    <col min="7" max="7" width="4.6640625" style="114" customWidth="1"/>
    <col min="8" max="16384" width="9.33203125" style="114"/>
  </cols>
  <sheetData>
    <row r="1" spans="1:7" x14ac:dyDescent="0.2">
      <c r="A1" s="2"/>
      <c r="B1" s="2"/>
      <c r="C1" s="2"/>
      <c r="D1" s="2"/>
      <c r="E1" s="2"/>
      <c r="F1" s="2"/>
      <c r="G1" s="116"/>
    </row>
    <row r="2" spans="1:7" x14ac:dyDescent="0.2">
      <c r="A2" s="2"/>
      <c r="B2" s="2" t="s">
        <v>100</v>
      </c>
      <c r="C2" s="2"/>
      <c r="D2" s="2"/>
      <c r="E2" s="2"/>
      <c r="F2" s="2"/>
      <c r="G2" s="116"/>
    </row>
    <row r="3" spans="1:7" x14ac:dyDescent="0.2">
      <c r="G3" s="116"/>
    </row>
    <row r="4" spans="1:7" x14ac:dyDescent="0.2">
      <c r="A4" s="115"/>
      <c r="B4" s="143" t="s">
        <v>145</v>
      </c>
      <c r="C4" s="115"/>
      <c r="D4" s="115"/>
      <c r="E4" s="115"/>
      <c r="F4" s="115"/>
      <c r="G4" s="116"/>
    </row>
    <row r="5" spans="1:7" x14ac:dyDescent="0.2">
      <c r="A5" s="115"/>
      <c r="B5" s="115"/>
    </row>
    <row r="6" spans="1:7" x14ac:dyDescent="0.2">
      <c r="A6" s="115"/>
      <c r="B6" s="116" t="s">
        <v>122</v>
      </c>
      <c r="C6" s="117" t="s">
        <v>223</v>
      </c>
      <c r="D6" s="117"/>
      <c r="E6" s="117" t="s">
        <v>147</v>
      </c>
      <c r="F6" s="117"/>
    </row>
    <row r="7" spans="1:7" ht="14.25" x14ac:dyDescent="0.35">
      <c r="A7" s="115"/>
      <c r="B7" s="116" t="s">
        <v>120</v>
      </c>
      <c r="C7" s="118" t="s">
        <v>58</v>
      </c>
      <c r="D7" s="118" t="s">
        <v>59</v>
      </c>
      <c r="E7" s="118" t="s">
        <v>58</v>
      </c>
      <c r="F7" s="118" t="s">
        <v>59</v>
      </c>
    </row>
    <row r="8" spans="1:7" x14ac:dyDescent="0.2">
      <c r="A8" s="119"/>
      <c r="B8" s="120"/>
      <c r="C8" s="121"/>
      <c r="D8" s="121"/>
      <c r="E8" s="121"/>
      <c r="F8" s="121"/>
    </row>
    <row r="9" spans="1:7" x14ac:dyDescent="0.2">
      <c r="A9" s="119"/>
      <c r="B9" s="120"/>
      <c r="C9" s="121"/>
      <c r="D9" s="121"/>
      <c r="E9" s="121"/>
      <c r="F9" s="121"/>
    </row>
    <row r="10" spans="1:7" x14ac:dyDescent="0.2">
      <c r="A10" s="119"/>
      <c r="B10" s="339">
        <v>2016</v>
      </c>
      <c r="C10" s="122">
        <f>ROUND(INDEX('Table 2B Wind'!$C$66:$C$78,MATCH($B10,'Table 2B Wind'!$A$66:$A$78,0))/10,3)</f>
        <v>1.8420000000000001</v>
      </c>
      <c r="D10" s="122">
        <f>ROUND(INDEX('Table 2B Wind'!$G$66:$G$78,MATCH($B10,'Table 2B Wind'!$A$66:$A$78,0))/10,3)</f>
        <v>2.3159999999999998</v>
      </c>
      <c r="E10" s="122">
        <f>ROUND(INDEX('Table 2B Wind'!$D$66:$D$78,MATCH($B10,'Table 2B Wind'!$A$66:$A$78,0))/10,3)</f>
        <v>1.6240000000000001</v>
      </c>
      <c r="F10" s="122">
        <f>ROUND(INDEX('Table 2B Wind'!$H$66:$H$78,MATCH($B10,'Table 2B Wind'!$A$66:$A$78,0))/10,3)</f>
        <v>1.532</v>
      </c>
    </row>
    <row r="11" spans="1:7" x14ac:dyDescent="0.2">
      <c r="A11" s="119"/>
      <c r="B11" s="339">
        <v>2017</v>
      </c>
      <c r="C11" s="122">
        <f>ROUND(INDEX('Table 2B Wind'!$C$66:$C$78,MATCH($B11,'Table 2B Wind'!$A$66:$A$78,0))/10,3)</f>
        <v>2.028</v>
      </c>
      <c r="D11" s="122">
        <f>ROUND(INDEX('Table 2B Wind'!$G$66:$G$78,MATCH($B11,'Table 2B Wind'!$A$66:$A$78,0))/10,3)</f>
        <v>2.177</v>
      </c>
      <c r="E11" s="122">
        <f>ROUND(INDEX('Table 2B Wind'!$D$66:$D$78,MATCH($B11,'Table 2B Wind'!$A$66:$A$78,0))/10,3)</f>
        <v>1.7809999999999999</v>
      </c>
      <c r="F11" s="122">
        <f>ROUND(INDEX('Table 2B Wind'!$H$66:$H$78,MATCH($B11,'Table 2B Wind'!$A$66:$A$78,0))/10,3)</f>
        <v>1.5629999999999999</v>
      </c>
    </row>
    <row r="12" spans="1:7" x14ac:dyDescent="0.2">
      <c r="A12" s="119"/>
      <c r="B12" s="339">
        <v>2018</v>
      </c>
      <c r="C12" s="122">
        <f>ROUND(INDEX('Table 2B Wind'!$C$66:$C$78,MATCH($B12,'Table 2B Wind'!$A$66:$A$78,0))/10,3)</f>
        <v>1.917</v>
      </c>
      <c r="D12" s="122">
        <f>ROUND(INDEX('Table 2B Wind'!$G$66:$G$78,MATCH($B12,'Table 2B Wind'!$A$66:$A$78,0))/10,3)</f>
        <v>2.3490000000000002</v>
      </c>
      <c r="E12" s="122">
        <f>ROUND(INDEX('Table 2B Wind'!$D$66:$D$78,MATCH($B12,'Table 2B Wind'!$A$66:$A$78,0))/10,3)</f>
        <v>1.7030000000000001</v>
      </c>
      <c r="F12" s="122">
        <f>ROUND(INDEX('Table 2B Wind'!$H$66:$H$78,MATCH($B12,'Table 2B Wind'!$A$66:$A$78,0))/10,3)</f>
        <v>1.6930000000000001</v>
      </c>
    </row>
    <row r="13" spans="1:7" x14ac:dyDescent="0.2">
      <c r="A13" s="119"/>
      <c r="B13" s="339">
        <v>2019</v>
      </c>
      <c r="C13" s="122">
        <f>ROUND(INDEX('Table 2B Wind'!$C$66:$C$78,MATCH($B13,'Table 2B Wind'!$A$66:$A$78,0))/10,3)</f>
        <v>1.81</v>
      </c>
      <c r="D13" s="122">
        <f>ROUND(INDEX('Table 2B Wind'!$G$66:$G$78,MATCH($B13,'Table 2B Wind'!$A$66:$A$78,0))/10,3)</f>
        <v>2.3580000000000001</v>
      </c>
      <c r="E13" s="122">
        <f>ROUND(INDEX('Table 2B Wind'!$D$66:$D$78,MATCH($B13,'Table 2B Wind'!$A$66:$A$78,0))/10,3)</f>
        <v>1.4990000000000001</v>
      </c>
      <c r="F13" s="122">
        <f>ROUND(INDEX('Table 2B Wind'!$H$66:$H$78,MATCH($B13,'Table 2B Wind'!$A$66:$A$78,0))/10,3)</f>
        <v>1.6020000000000001</v>
      </c>
    </row>
    <row r="14" spans="1:7" x14ac:dyDescent="0.2">
      <c r="A14" s="119"/>
      <c r="B14" s="339">
        <v>2020</v>
      </c>
      <c r="C14" s="122">
        <f>ROUND(INDEX('Table 2B Wind'!$C$66:$C$78,MATCH($B14,'Table 2B Wind'!$A$66:$A$78,0))/10,3)</f>
        <v>1.87</v>
      </c>
      <c r="D14" s="122">
        <f>ROUND(INDEX('Table 2B Wind'!$G$66:$G$78,MATCH($B14,'Table 2B Wind'!$A$66:$A$78,0))/10,3)</f>
        <v>2.375</v>
      </c>
      <c r="E14" s="122">
        <f>ROUND(INDEX('Table 2B Wind'!$D$66:$D$78,MATCH($B14,'Table 2B Wind'!$A$66:$A$78,0))/10,3)</f>
        <v>1.577</v>
      </c>
      <c r="F14" s="122">
        <f>ROUND(INDEX('Table 2B Wind'!$H$66:$H$78,MATCH($B14,'Table 2B Wind'!$A$66:$A$78,0))/10,3)</f>
        <v>1.4790000000000001</v>
      </c>
    </row>
    <row r="15" spans="1:7" x14ac:dyDescent="0.2">
      <c r="A15" s="119"/>
      <c r="B15" s="339">
        <v>2021</v>
      </c>
      <c r="C15" s="122">
        <f>ROUND(INDEX('Table 2B Wind'!$C$66:$C$78,MATCH($B15,'Table 2B Wind'!$A$66:$A$78,0))/10,3)</f>
        <v>2.0049999999999999</v>
      </c>
      <c r="D15" s="122">
        <f>ROUND(INDEX('Table 2B Wind'!$G$66:$G$78,MATCH($B15,'Table 2B Wind'!$A$66:$A$78,0))/10,3)</f>
        <v>2.5840000000000001</v>
      </c>
      <c r="E15" s="122">
        <f>ROUND(INDEX('Table 2B Wind'!$D$66:$D$78,MATCH($B15,'Table 2B Wind'!$A$66:$A$78,0))/10,3)</f>
        <v>1.742</v>
      </c>
      <c r="F15" s="122">
        <f>ROUND(INDEX('Table 2B Wind'!$H$66:$H$78,MATCH($B15,'Table 2B Wind'!$A$66:$A$78,0))/10,3)</f>
        <v>1.6539999999999999</v>
      </c>
    </row>
    <row r="16" spans="1:7" x14ac:dyDescent="0.2">
      <c r="A16" s="119"/>
      <c r="B16" s="339">
        <v>2022</v>
      </c>
      <c r="C16" s="122">
        <f>ROUND(INDEX('Table 2B Wind'!$C$66:$C$78,MATCH($B16,'Table 2B Wind'!$A$66:$A$78,0))/10,3)</f>
        <v>2.1</v>
      </c>
      <c r="D16" s="122">
        <f>ROUND(INDEX('Table 2B Wind'!$G$66:$G$78,MATCH($B16,'Table 2B Wind'!$A$66:$A$78,0))/10,3)</f>
        <v>2.7719999999999998</v>
      </c>
      <c r="E16" s="122">
        <f>ROUND(INDEX('Table 2B Wind'!$D$66:$D$78,MATCH($B16,'Table 2B Wind'!$A$66:$A$78,0))/10,3)</f>
        <v>1.871</v>
      </c>
      <c r="F16" s="122">
        <f>ROUND(INDEX('Table 2B Wind'!$H$66:$H$78,MATCH($B16,'Table 2B Wind'!$A$66:$A$78,0))/10,3)</f>
        <v>1.8879999999999999</v>
      </c>
    </row>
    <row r="17" spans="1:8" x14ac:dyDescent="0.2">
      <c r="A17" s="119"/>
      <c r="B17" s="339">
        <v>2023</v>
      </c>
      <c r="C17" s="122">
        <f>ROUND(INDEX('Table 2B Wind'!$C$66:$C$78,MATCH($B17,'Table 2B Wind'!$A$66:$A$78,0))/10,3)</f>
        <v>2.42</v>
      </c>
      <c r="D17" s="122">
        <f>ROUND(INDEX('Table 2B Wind'!$G$66:$G$78,MATCH($B17,'Table 2B Wind'!$A$66:$A$78,0))/10,3)</f>
        <v>3.01</v>
      </c>
      <c r="E17" s="122">
        <f>ROUND(INDEX('Table 2B Wind'!$D$66:$D$78,MATCH($B17,'Table 2B Wind'!$A$66:$A$78,0))/10,3)</f>
        <v>2.1880000000000002</v>
      </c>
      <c r="F17" s="122">
        <f>ROUND(INDEX('Table 2B Wind'!$H$66:$H$78,MATCH($B17,'Table 2B Wind'!$A$66:$A$78,0))/10,3)</f>
        <v>2.2450000000000001</v>
      </c>
    </row>
    <row r="18" spans="1:8" x14ac:dyDescent="0.2">
      <c r="A18" s="119"/>
      <c r="B18" s="339">
        <v>2024</v>
      </c>
      <c r="C18" s="122">
        <f>ROUND(INDEX('Table 2B Wind'!$C$66:$C$78,MATCH($B18,'Table 2B Wind'!$A$66:$A$78,0))/10,3)</f>
        <v>2.6019999999999999</v>
      </c>
      <c r="D18" s="122">
        <f>ROUND(INDEX('Table 2B Wind'!$G$66:$G$78,MATCH($B18,'Table 2B Wind'!$A$66:$A$78,0))/10,3)</f>
        <v>3.34</v>
      </c>
      <c r="E18" s="122">
        <f>ROUND(INDEX('Table 2B Wind'!$D$66:$D$78,MATCH($B18,'Table 2B Wind'!$A$66:$A$78,0))/10,3)</f>
        <v>2.359</v>
      </c>
      <c r="F18" s="122">
        <f>ROUND(INDEX('Table 2B Wind'!$H$66:$H$78,MATCH($B18,'Table 2B Wind'!$A$66:$A$78,0))/10,3)</f>
        <v>2.6779999999999999</v>
      </c>
    </row>
    <row r="19" spans="1:8" x14ac:dyDescent="0.2">
      <c r="A19" s="119"/>
      <c r="B19" s="339">
        <v>2025</v>
      </c>
      <c r="C19" s="122">
        <f>ROUND(INDEX('Table 2B Wind'!$C$66:$C$78,MATCH($B19,'Table 2B Wind'!$A$66:$A$78,0))/10,3)</f>
        <v>3.109</v>
      </c>
      <c r="D19" s="122">
        <f>ROUND(INDEX('Table 2B Wind'!$G$66:$G$78,MATCH($B19,'Table 2B Wind'!$A$66:$A$78,0))/10,3)</f>
        <v>3.278</v>
      </c>
      <c r="E19" s="122">
        <f>ROUND(INDEX('Table 2B Wind'!$D$66:$D$78,MATCH($B19,'Table 2B Wind'!$A$66:$A$78,0))/10,3)</f>
        <v>2.819</v>
      </c>
      <c r="F19" s="122">
        <f>ROUND(INDEX('Table 2B Wind'!$H$66:$H$78,MATCH($B19,'Table 2B Wind'!$A$66:$A$78,0))/10,3)</f>
        <v>2.5990000000000002</v>
      </c>
    </row>
    <row r="20" spans="1:8" x14ac:dyDescent="0.2">
      <c r="A20" s="119"/>
      <c r="B20" s="339">
        <v>2026</v>
      </c>
      <c r="C20" s="122">
        <f>ROUND(INDEX('Table 2B Wind'!$C$66:$C$78,MATCH($B20,'Table 2B Wind'!$A$66:$A$78,0))/10,3)</f>
        <v>2.7029999999999998</v>
      </c>
      <c r="D20" s="122">
        <f>ROUND(INDEX('Table 2B Wind'!$G$66:$G$78,MATCH($B20,'Table 2B Wind'!$A$66:$A$78,0))/10,3)</f>
        <v>3.4060000000000001</v>
      </c>
      <c r="E20" s="122">
        <f>ROUND(INDEX('Table 2B Wind'!$D$66:$D$78,MATCH($B20,'Table 2B Wind'!$A$66:$A$78,0))/10,3)</f>
        <v>2.4540000000000002</v>
      </c>
      <c r="F20" s="122">
        <f>ROUND(INDEX('Table 2B Wind'!$H$66:$H$78,MATCH($B20,'Table 2B Wind'!$A$66:$A$78,0))/10,3)</f>
        <v>2.7120000000000002</v>
      </c>
      <c r="H20" s="123"/>
    </row>
    <row r="21" spans="1:8" x14ac:dyDescent="0.2">
      <c r="A21" s="119"/>
      <c r="B21" s="339">
        <v>2027</v>
      </c>
      <c r="C21" s="122">
        <f>ROUND(INDEX('Table 2B Wind'!$C$66:$C$78,MATCH($B21,'Table 2B Wind'!$A$66:$A$78,0))/10,3)</f>
        <v>3.3069999999999999</v>
      </c>
      <c r="D21" s="122">
        <f>ROUND(INDEX('Table 2B Wind'!$G$66:$G$78,MATCH($B21,'Table 2B Wind'!$A$66:$A$78,0))/10,3)</f>
        <v>4.0990000000000002</v>
      </c>
      <c r="E21" s="122">
        <f>ROUND(INDEX('Table 2B Wind'!$D$66:$D$78,MATCH($B21,'Table 2B Wind'!$A$66:$A$78,0))/10,3)</f>
        <v>3.024</v>
      </c>
      <c r="F21" s="122">
        <f>ROUND(INDEX('Table 2B Wind'!$H$66:$H$78,MATCH($B21,'Table 2B Wind'!$A$66:$A$78,0))/10,3)</f>
        <v>3.3130000000000002</v>
      </c>
    </row>
    <row r="22" spans="1:8" x14ac:dyDescent="0.2">
      <c r="A22" s="119"/>
      <c r="B22" s="339">
        <v>2028</v>
      </c>
      <c r="C22" s="122">
        <f>ROUND(INDEX('Tables 3 to 5'!AA:AA,MATCH(B22,'Tables 3 to 5'!B:B,0))/10,3)</f>
        <v>3.1429999999999998</v>
      </c>
      <c r="D22" s="122">
        <f t="shared" ref="D22:D27" si="0">C22</f>
        <v>3.1429999999999998</v>
      </c>
      <c r="E22" s="122">
        <f>ROUND(INDEX('Tables 3 to 5'!AB:AB,MATCH(B22,'Tables 3 to 5'!B:B,0))/10,3)</f>
        <v>2.6829999999999998</v>
      </c>
      <c r="F22" s="122">
        <f t="shared" ref="F22:F27" si="1">E22</f>
        <v>2.6829999999999998</v>
      </c>
    </row>
    <row r="23" spans="1:8" x14ac:dyDescent="0.2">
      <c r="A23" s="119"/>
      <c r="B23" s="339">
        <v>2029</v>
      </c>
      <c r="C23" s="122">
        <f>ROUND(INDEX('Tables 3 to 5'!AA:AA,MATCH(B23,'Tables 3 to 5'!B:B,0))/10,3)</f>
        <v>3.3769999999999998</v>
      </c>
      <c r="D23" s="122">
        <f t="shared" si="0"/>
        <v>3.3769999999999998</v>
      </c>
      <c r="E23" s="122">
        <f>ROUND(INDEX('Tables 3 to 5'!AB:AB,MATCH(B23,'Tables 3 to 5'!B:B,0))/10,3)</f>
        <v>2.907</v>
      </c>
      <c r="F23" s="122">
        <f t="shared" si="1"/>
        <v>2.907</v>
      </c>
    </row>
    <row r="24" spans="1:8" x14ac:dyDescent="0.2">
      <c r="A24" s="119"/>
      <c r="B24" s="339">
        <v>2030</v>
      </c>
      <c r="C24" s="122">
        <f>ROUND(INDEX('Tables 3 to 5'!AA:AA,MATCH(B24,'Tables 3 to 5'!B:B,0))/10,3)</f>
        <v>3.6179999999999999</v>
      </c>
      <c r="D24" s="122">
        <f t="shared" si="0"/>
        <v>3.6179999999999999</v>
      </c>
      <c r="E24" s="122">
        <f>ROUND(INDEX('Tables 3 to 5'!AB:AB,MATCH(B24,'Tables 3 to 5'!B:B,0))/10,3)</f>
        <v>3.1379999999999999</v>
      </c>
      <c r="F24" s="122">
        <f t="shared" si="1"/>
        <v>3.1379999999999999</v>
      </c>
    </row>
    <row r="25" spans="1:8" x14ac:dyDescent="0.2">
      <c r="A25" s="119"/>
      <c r="B25" s="339">
        <v>2031</v>
      </c>
      <c r="C25" s="122">
        <f>ROUND(INDEX('Tables 3 to 5'!AA:AA,MATCH(B25,'Tables 3 to 5'!B:B,0))/10,3)</f>
        <v>3.7789999999999999</v>
      </c>
      <c r="D25" s="122">
        <f t="shared" si="0"/>
        <v>3.7789999999999999</v>
      </c>
      <c r="E25" s="122">
        <f>ROUND(INDEX('Tables 3 to 5'!AB:AB,MATCH(B25,'Tables 3 to 5'!B:B,0))/10,3)</f>
        <v>3.2879999999999998</v>
      </c>
      <c r="F25" s="122">
        <f t="shared" si="1"/>
        <v>3.2879999999999998</v>
      </c>
    </row>
    <row r="26" spans="1:8" x14ac:dyDescent="0.2">
      <c r="A26" s="119"/>
      <c r="B26" s="339">
        <v>2032</v>
      </c>
      <c r="C26" s="122">
        <f>ROUND(INDEX('Tables 3 to 5'!AA:AA,MATCH(B26,'Tables 3 to 5'!B:B,0))/10,3)</f>
        <v>3.9540000000000002</v>
      </c>
      <c r="D26" s="122">
        <f t="shared" si="0"/>
        <v>3.9540000000000002</v>
      </c>
      <c r="E26" s="122">
        <f>ROUND(INDEX('Tables 3 to 5'!AB:AB,MATCH(B26,'Tables 3 to 5'!B:B,0))/10,3)</f>
        <v>3.4529999999999998</v>
      </c>
      <c r="F26" s="122">
        <f t="shared" si="1"/>
        <v>3.4529999999999998</v>
      </c>
    </row>
    <row r="27" spans="1:8" x14ac:dyDescent="0.2">
      <c r="A27" s="119"/>
      <c r="B27" s="339">
        <v>2033</v>
      </c>
      <c r="C27" s="122">
        <f>ROUND(INDEX('Tables 3 to 5'!AA:AA,MATCH(B27,'Tables 3 to 5'!B:B,0))/10,3)</f>
        <v>4.2030000000000003</v>
      </c>
      <c r="D27" s="122">
        <f t="shared" si="0"/>
        <v>4.2030000000000003</v>
      </c>
      <c r="E27" s="122">
        <f>ROUND(INDEX('Tables 3 to 5'!AB:AB,MATCH(B27,'Tables 3 to 5'!B:B,0))/10,3)</f>
        <v>3.69</v>
      </c>
      <c r="F27" s="122">
        <f t="shared" si="1"/>
        <v>3.69</v>
      </c>
    </row>
    <row r="28" spans="1:8" x14ac:dyDescent="0.2">
      <c r="A28" s="119"/>
      <c r="B28" s="120"/>
      <c r="C28" s="122"/>
      <c r="D28" s="121"/>
      <c r="E28" s="122"/>
      <c r="F28" s="122"/>
    </row>
    <row r="29" spans="1:8" x14ac:dyDescent="0.2">
      <c r="A29" s="119"/>
      <c r="B29" s="120"/>
      <c r="C29" s="122"/>
      <c r="D29" s="121"/>
      <c r="E29" s="122"/>
      <c r="F29" s="122"/>
      <c r="H29" s="114" t="str">
        <f>'Table 6'!$P$38</f>
        <v>Discount Rate - 2015 IRP Page 141</v>
      </c>
    </row>
    <row r="30" spans="1:8" hidden="1" x14ac:dyDescent="0.2">
      <c r="A30" s="119"/>
      <c r="B30" s="120"/>
      <c r="C30" s="122"/>
      <c r="D30" s="121"/>
      <c r="E30" s="122"/>
      <c r="F30" s="122"/>
      <c r="H30" s="124">
        <f>'Table 6'!$P$39</f>
        <v>6.6600000000000006E-2</v>
      </c>
    </row>
    <row r="31" spans="1:8" hidden="1" x14ac:dyDescent="0.2">
      <c r="A31" s="119"/>
      <c r="B31" s="120"/>
      <c r="C31" s="122"/>
      <c r="D31" s="121"/>
      <c r="E31" s="122"/>
      <c r="F31" s="122"/>
    </row>
    <row r="32" spans="1:8" x14ac:dyDescent="0.2">
      <c r="A32" s="119"/>
      <c r="B32" s="120"/>
      <c r="C32" s="122"/>
      <c r="D32" s="121"/>
      <c r="E32" s="122"/>
      <c r="F32" s="122"/>
    </row>
    <row r="33" spans="1:6" x14ac:dyDescent="0.2">
      <c r="A33" s="119"/>
      <c r="B33" s="120"/>
      <c r="C33" s="119"/>
      <c r="D33" s="119"/>
      <c r="E33" s="119"/>
      <c r="F33" s="119"/>
    </row>
    <row r="34" spans="1:6" x14ac:dyDescent="0.2">
      <c r="A34" s="119"/>
      <c r="C34" s="117" t="s">
        <v>222</v>
      </c>
      <c r="D34" s="117"/>
      <c r="E34" s="117" t="s">
        <v>121</v>
      </c>
      <c r="F34" s="117"/>
    </row>
    <row r="35" spans="1:6" ht="14.25" x14ac:dyDescent="0.35">
      <c r="A35" s="119"/>
      <c r="B35" s="125"/>
      <c r="C35" s="118" t="s">
        <v>58</v>
      </c>
      <c r="D35" s="118" t="s">
        <v>59</v>
      </c>
      <c r="E35" s="118" t="s">
        <v>58</v>
      </c>
      <c r="F35" s="118" t="s">
        <v>59</v>
      </c>
    </row>
    <row r="36" spans="1:6" ht="24" x14ac:dyDescent="0.2">
      <c r="B36" s="126" t="s">
        <v>282</v>
      </c>
      <c r="C36" s="127">
        <f>-PMT('Table 6'!$P$39,COUNT(C11:C25),NPV('Table 6'!$P$39,C11:C25))</f>
        <v>2.4816498502567468</v>
      </c>
      <c r="D36" s="127">
        <f>-PMT('Table 6'!$P$39,COUNT(D11:D25),NPV('Table 6'!$P$39,D11:D25))</f>
        <v>2.9014094081021726</v>
      </c>
      <c r="E36" s="127">
        <f>-PMT('Table 6'!$P$39,COUNT(E11:E25),NPV('Table 6'!$P$39,E11:E25))</f>
        <v>2.1839901618431985</v>
      </c>
      <c r="F36" s="127">
        <f>-PMT('Table 6'!$P$39,COUNT(F11:F25),NPV('Table 6'!$P$39,F11:F25))</f>
        <v>2.1974184847933667</v>
      </c>
    </row>
    <row r="37" spans="1:6" x14ac:dyDescent="0.2">
      <c r="A37" s="125"/>
    </row>
    <row r="38" spans="1:6" x14ac:dyDescent="0.2">
      <c r="A38" s="128"/>
      <c r="B38" s="144" t="s">
        <v>306</v>
      </c>
    </row>
    <row r="39" spans="1:6" x14ac:dyDescent="0.2">
      <c r="A39" s="129"/>
      <c r="B39" s="144" t="s">
        <v>181</v>
      </c>
    </row>
    <row r="40" spans="1:6" x14ac:dyDescent="0.2">
      <c r="A40" s="129"/>
      <c r="B40" s="119"/>
      <c r="C40" s="130"/>
      <c r="D40" s="130"/>
      <c r="E40" s="130"/>
      <c r="F40" s="130"/>
    </row>
    <row r="41" spans="1:6" x14ac:dyDescent="0.2">
      <c r="A41" s="129"/>
      <c r="B41" s="126"/>
      <c r="C41" s="130"/>
      <c r="D41" s="130"/>
      <c r="E41" s="130"/>
      <c r="F41" s="130"/>
    </row>
    <row r="42" spans="1:6" x14ac:dyDescent="0.2">
      <c r="A42" s="119"/>
      <c r="B42" s="125"/>
      <c r="C42" s="119"/>
      <c r="D42" s="119"/>
      <c r="E42" s="119"/>
      <c r="F42" s="119"/>
    </row>
    <row r="43" spans="1:6" x14ac:dyDescent="0.2">
      <c r="A43" s="128"/>
    </row>
    <row r="44" spans="1:6" x14ac:dyDescent="0.2">
      <c r="A44" s="128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  <pageSetUpPr fitToPage="1"/>
  </sheetPr>
  <dimension ref="B1:AO228"/>
  <sheetViews>
    <sheetView topLeftCell="M1" workbookViewId="0">
      <selection activeCell="AH8" sqref="AH8"/>
    </sheetView>
  </sheetViews>
  <sheetFormatPr defaultColWidth="8.83203125" defaultRowHeight="12.75" x14ac:dyDescent="0.2"/>
  <cols>
    <col min="1" max="1" width="1.5" style="212" customWidth="1"/>
    <col min="2" max="2" width="25.83203125" style="212" bestFit="1" customWidth="1"/>
    <col min="3" max="4" width="18.83203125" style="212" customWidth="1"/>
    <col min="5" max="5" width="7.83203125" style="212" bestFit="1" customWidth="1"/>
    <col min="6" max="6" width="3" style="212" customWidth="1"/>
    <col min="7" max="7" width="8.1640625" style="212" customWidth="1"/>
    <col min="8" max="9" width="21.1640625" style="212" customWidth="1"/>
    <col min="10" max="12" width="8.83203125" style="212"/>
    <col min="13" max="13" width="14" style="255" bestFit="1" customWidth="1"/>
    <col min="14" max="14" width="9" style="258" bestFit="1" customWidth="1"/>
    <col min="15" max="15" width="7.83203125" style="258" bestFit="1" customWidth="1"/>
    <col min="16" max="16" width="9" style="258" bestFit="1" customWidth="1"/>
    <col min="17" max="17" width="10.33203125" style="258" customWidth="1"/>
    <col min="18" max="18" width="3.1640625" style="212" customWidth="1"/>
    <col min="19" max="19" width="10" style="132" customWidth="1"/>
    <col min="20" max="20" width="10.83203125" style="212" customWidth="1"/>
    <col min="21" max="21" width="10.1640625" style="212" customWidth="1"/>
    <col min="22" max="22" width="3.1640625" style="212" customWidth="1"/>
    <col min="23" max="23" width="8.83203125" style="212"/>
    <col min="24" max="24" width="10.1640625" style="212" customWidth="1"/>
    <col min="25" max="25" width="9.6640625" style="212" customWidth="1"/>
    <col min="26" max="26" width="8.83203125" style="212"/>
    <col min="27" max="27" width="9.83203125" style="212" customWidth="1"/>
    <col min="28" max="28" width="8.83203125" style="212"/>
    <col min="29" max="29" width="10.5" style="212" customWidth="1"/>
    <col min="30" max="16384" width="8.83203125" style="212"/>
  </cols>
  <sheetData>
    <row r="1" spans="2:41" ht="15.75" x14ac:dyDescent="0.25">
      <c r="B1" s="1" t="s">
        <v>202</v>
      </c>
      <c r="C1" s="211"/>
      <c r="D1" s="211"/>
      <c r="E1" s="211"/>
      <c r="F1" s="211"/>
      <c r="G1" s="211"/>
      <c r="H1" s="211"/>
      <c r="I1" s="211"/>
      <c r="M1" s="213" t="s">
        <v>203</v>
      </c>
      <c r="N1" s="214"/>
      <c r="O1" s="213"/>
      <c r="P1" s="214"/>
      <c r="Q1" s="215"/>
    </row>
    <row r="2" spans="2:41" ht="15.75" x14ac:dyDescent="0.25">
      <c r="B2" s="1" t="s">
        <v>204</v>
      </c>
      <c r="C2" s="211"/>
      <c r="D2" s="211"/>
      <c r="E2" s="211"/>
      <c r="F2" s="211"/>
      <c r="G2" s="211"/>
      <c r="H2" s="211"/>
      <c r="I2" s="211"/>
      <c r="M2" s="216"/>
      <c r="N2" s="217"/>
      <c r="O2" s="217"/>
      <c r="P2" s="217"/>
      <c r="Q2" s="217"/>
    </row>
    <row r="3" spans="2:41" x14ac:dyDescent="0.2">
      <c r="B3" s="211"/>
      <c r="C3" s="211"/>
      <c r="D3" s="211"/>
      <c r="E3" s="211"/>
      <c r="F3" s="211"/>
      <c r="G3" s="211"/>
      <c r="H3" s="211"/>
      <c r="I3" s="211"/>
      <c r="M3" s="218" t="str">
        <f>"Official Forward Price Curve dated "&amp;TEXT(C4,"mmmm YYYY")</f>
        <v>Official Forward Price Curve dated March 2017</v>
      </c>
      <c r="N3" s="219"/>
      <c r="O3" s="219"/>
      <c r="P3" s="219"/>
      <c r="Q3" s="219"/>
    </row>
    <row r="4" spans="2:41" ht="13.5" thickBot="1" x14ac:dyDescent="0.25">
      <c r="B4" s="220" t="s">
        <v>205</v>
      </c>
      <c r="C4" s="221">
        <v>42825</v>
      </c>
      <c r="D4" s="221"/>
      <c r="E4" s="211"/>
      <c r="F4" s="222"/>
      <c r="G4" s="211"/>
      <c r="H4" s="211"/>
      <c r="I4" s="211"/>
      <c r="M4" s="223"/>
      <c r="N4" s="224"/>
      <c r="O4" s="224"/>
      <c r="P4" s="224"/>
      <c r="Q4" s="224"/>
    </row>
    <row r="5" spans="2:41" ht="13.5" thickBot="1" x14ac:dyDescent="0.25">
      <c r="B5" s="220"/>
      <c r="C5" s="225"/>
      <c r="D5" s="225"/>
      <c r="F5" s="222"/>
      <c r="G5" s="453"/>
      <c r="H5" s="454" t="s">
        <v>302</v>
      </c>
      <c r="I5" s="455"/>
      <c r="M5" s="226"/>
      <c r="N5" s="227" t="s">
        <v>203</v>
      </c>
      <c r="O5" s="227"/>
      <c r="P5" s="227"/>
      <c r="Q5" s="227"/>
      <c r="W5" s="226"/>
      <c r="X5" s="227" t="s">
        <v>203</v>
      </c>
      <c r="Y5" s="227"/>
      <c r="Z5" s="227"/>
      <c r="AA5" s="227"/>
      <c r="AD5" s="212" t="s">
        <v>44</v>
      </c>
      <c r="AE5" s="212" t="s">
        <v>45</v>
      </c>
      <c r="AF5" s="212" t="s">
        <v>46</v>
      </c>
      <c r="AG5" s="212" t="s">
        <v>47</v>
      </c>
      <c r="AH5" s="212" t="s">
        <v>48</v>
      </c>
      <c r="AI5" s="212" t="s">
        <v>49</v>
      </c>
      <c r="AJ5" s="212" t="s">
        <v>50</v>
      </c>
      <c r="AK5" s="212" t="s">
        <v>51</v>
      </c>
      <c r="AL5" s="212" t="s">
        <v>52</v>
      </c>
      <c r="AM5" s="212" t="s">
        <v>53</v>
      </c>
      <c r="AN5" s="212" t="s">
        <v>54</v>
      </c>
      <c r="AO5" s="212" t="s">
        <v>55</v>
      </c>
    </row>
    <row r="6" spans="2:41" x14ac:dyDescent="0.2">
      <c r="B6" s="228" t="s">
        <v>206</v>
      </c>
      <c r="G6" s="229" t="s">
        <v>2</v>
      </c>
      <c r="H6" s="230" t="str">
        <f>C7</f>
        <v>IRP - Wyo NE</v>
      </c>
      <c r="I6" s="230" t="str">
        <f>D7</f>
        <v>Pacific NW</v>
      </c>
      <c r="M6" s="231"/>
      <c r="N6" s="227" t="s">
        <v>103</v>
      </c>
      <c r="O6" s="227"/>
      <c r="P6" s="227" t="s">
        <v>104</v>
      </c>
      <c r="Q6" s="227"/>
      <c r="W6" s="231"/>
      <c r="X6" s="227" t="s">
        <v>103</v>
      </c>
      <c r="Y6" s="227"/>
      <c r="Z6" s="227" t="s">
        <v>104</v>
      </c>
      <c r="AA6" s="227"/>
      <c r="AC6" s="212" t="s">
        <v>215</v>
      </c>
      <c r="AD6" s="212">
        <v>1</v>
      </c>
      <c r="AE6" s="212">
        <v>2</v>
      </c>
      <c r="AF6" s="212">
        <v>3</v>
      </c>
      <c r="AG6" s="212">
        <v>4</v>
      </c>
      <c r="AH6" s="212">
        <v>5</v>
      </c>
      <c r="AI6" s="212">
        <v>6</v>
      </c>
      <c r="AJ6" s="212">
        <v>7</v>
      </c>
      <c r="AK6" s="212">
        <v>8</v>
      </c>
      <c r="AL6" s="212">
        <v>9</v>
      </c>
      <c r="AM6" s="212">
        <v>10</v>
      </c>
      <c r="AN6" s="212">
        <v>11</v>
      </c>
      <c r="AO6" s="212">
        <v>12</v>
      </c>
    </row>
    <row r="7" spans="2:41" ht="39" thickBot="1" x14ac:dyDescent="0.25">
      <c r="B7" s="232" t="s">
        <v>112</v>
      </c>
      <c r="C7" s="461" t="str">
        <f>C225</f>
        <v>IRP - Wyo NE</v>
      </c>
      <c r="D7" s="461" t="str">
        <f>D225</f>
        <v>Pacific NW</v>
      </c>
      <c r="E7" s="233" t="s">
        <v>2</v>
      </c>
      <c r="G7" s="234"/>
      <c r="H7" s="235" t="s">
        <v>37</v>
      </c>
      <c r="I7" s="235" t="s">
        <v>37</v>
      </c>
      <c r="K7" s="212" t="s">
        <v>112</v>
      </c>
      <c r="L7" s="212" t="s">
        <v>2</v>
      </c>
      <c r="M7" s="236" t="s">
        <v>207</v>
      </c>
      <c r="N7" s="237" t="s">
        <v>208</v>
      </c>
      <c r="O7" s="237" t="s">
        <v>209</v>
      </c>
      <c r="P7" s="237" t="s">
        <v>208</v>
      </c>
      <c r="Q7" s="238" t="s">
        <v>209</v>
      </c>
      <c r="S7" s="132" t="s">
        <v>213</v>
      </c>
      <c r="T7" s="262" t="s">
        <v>212</v>
      </c>
      <c r="U7" s="262" t="s">
        <v>214</v>
      </c>
      <c r="V7" s="262"/>
      <c r="W7" s="236" t="s">
        <v>2</v>
      </c>
      <c r="X7" s="237" t="s">
        <v>208</v>
      </c>
      <c r="Y7" s="237" t="s">
        <v>209</v>
      </c>
      <c r="Z7" s="237" t="s">
        <v>208</v>
      </c>
      <c r="AA7" s="238" t="s">
        <v>209</v>
      </c>
      <c r="AD7" s="212" t="s">
        <v>44</v>
      </c>
      <c r="AE7" s="212" t="s">
        <v>45</v>
      </c>
      <c r="AF7" s="212" t="s">
        <v>46</v>
      </c>
      <c r="AG7" s="212" t="s">
        <v>47</v>
      </c>
      <c r="AH7" s="212" t="s">
        <v>48</v>
      </c>
      <c r="AI7" s="212" t="s">
        <v>49</v>
      </c>
      <c r="AJ7" s="212" t="s">
        <v>50</v>
      </c>
      <c r="AK7" s="212" t="s">
        <v>51</v>
      </c>
      <c r="AL7" s="212" t="s">
        <v>52</v>
      </c>
      <c r="AM7" s="212" t="s">
        <v>53</v>
      </c>
      <c r="AN7" s="212" t="s">
        <v>54</v>
      </c>
      <c r="AO7" s="212" t="s">
        <v>55</v>
      </c>
    </row>
    <row r="8" spans="2:41" x14ac:dyDescent="0.2">
      <c r="B8" s="239">
        <v>42370</v>
      </c>
      <c r="C8" s="462">
        <v>2.2757987901986261</v>
      </c>
      <c r="D8" s="462">
        <v>2.3298075132707226</v>
      </c>
      <c r="E8" s="240">
        <f t="shared" ref="E8:E71" si="0">YEAR(B8)</f>
        <v>2016</v>
      </c>
      <c r="G8" s="241">
        <f>YEAR(B8)</f>
        <v>2016</v>
      </c>
      <c r="H8" s="242">
        <f t="shared" ref="H8:H25" si="1">ROUND(AVERAGEIF($E$8:$E$223,$G8,$C$8:$C$223),2)</f>
        <v>2.35</v>
      </c>
      <c r="I8" s="242">
        <f t="shared" ref="I8:I25" si="2">ROUND(AVERAGEIF($E$8:$E$223,$G8,$D$8:$D$223),2)</f>
        <v>2.29</v>
      </c>
      <c r="K8" s="35">
        <f>MONTH(M8)</f>
        <v>1</v>
      </c>
      <c r="L8" s="264">
        <f>YEAR(M8)</f>
        <v>2016</v>
      </c>
      <c r="M8" s="243">
        <f t="shared" ref="M8:M71" si="3">B8</f>
        <v>42370</v>
      </c>
      <c r="N8" s="464">
        <v>22.762000000000008</v>
      </c>
      <c r="O8" s="464">
        <v>21.312800000000003</v>
      </c>
      <c r="P8" s="464">
        <v>21.876976744186056</v>
      </c>
      <c r="Q8" s="465">
        <v>19.874418604651169</v>
      </c>
      <c r="S8" s="261">
        <v>20.647741935483875</v>
      </c>
      <c r="T8" s="263">
        <f>O8/S8</f>
        <v>1.0322097237845269</v>
      </c>
      <c r="U8" s="263">
        <f>Q8/S8</f>
        <v>0.96254683280868969</v>
      </c>
      <c r="W8" s="241">
        <f>G8</f>
        <v>2016</v>
      </c>
      <c r="X8" s="244">
        <f t="shared" ref="X8:X25" si="4">ROUND(AVERAGEIF($E$8:$E$223,$W8,N$8:N$223),2)</f>
        <v>22.59</v>
      </c>
      <c r="Y8" s="244">
        <f t="shared" ref="Y8:Y25" si="5">ROUND(AVERAGEIF($E$8:$E$223,$W8,O$8:O$223),2)</f>
        <v>25.29</v>
      </c>
      <c r="Z8" s="244">
        <f t="shared" ref="Z8:Z25" si="6">ROUND(AVERAGEIF($E$8:$E$223,$W8,P$8:P$223),2)</f>
        <v>17.2</v>
      </c>
      <c r="AA8" s="244">
        <f t="shared" ref="AA8:AA25" si="7">ROUND(AVERAGEIF($E$8:$E$223,$W8,Q$8:Q$223),2)</f>
        <v>19.87</v>
      </c>
      <c r="AC8" s="212">
        <v>2015</v>
      </c>
      <c r="AD8" s="250">
        <f t="shared" ref="AD8:AO21" si="8">SUMIFS($T:$T,$L:$L,$AC8,$K:$K,AD$6)</f>
        <v>0</v>
      </c>
      <c r="AE8" s="250">
        <f t="shared" si="8"/>
        <v>0</v>
      </c>
      <c r="AF8" s="250">
        <f t="shared" si="8"/>
        <v>0</v>
      </c>
      <c r="AG8" s="250">
        <f t="shared" si="8"/>
        <v>0</v>
      </c>
      <c r="AH8" s="250">
        <f t="shared" si="8"/>
        <v>0</v>
      </c>
      <c r="AI8" s="250">
        <f t="shared" si="8"/>
        <v>0</v>
      </c>
      <c r="AJ8" s="250">
        <f t="shared" si="8"/>
        <v>0</v>
      </c>
      <c r="AK8" s="250">
        <f t="shared" si="8"/>
        <v>0</v>
      </c>
      <c r="AL8" s="250">
        <f t="shared" si="8"/>
        <v>0</v>
      </c>
      <c r="AM8" s="250">
        <f t="shared" si="8"/>
        <v>0</v>
      </c>
      <c r="AN8" s="250">
        <f t="shared" si="8"/>
        <v>0</v>
      </c>
      <c r="AO8" s="250">
        <f t="shared" si="8"/>
        <v>0</v>
      </c>
    </row>
    <row r="9" spans="2:41" x14ac:dyDescent="0.2">
      <c r="B9" s="245">
        <f t="shared" ref="B9:B72" si="9">EDATE(B8,1)</f>
        <v>42401</v>
      </c>
      <c r="C9" s="462">
        <v>1.8289735727586562</v>
      </c>
      <c r="D9" s="462">
        <v>1.7801560017459626</v>
      </c>
      <c r="E9" s="246">
        <f t="shared" si="0"/>
        <v>2016</v>
      </c>
      <c r="G9" s="241">
        <f t="shared" ref="G9:G25" si="10">G8+1</f>
        <v>2017</v>
      </c>
      <c r="H9" s="242">
        <f t="shared" si="1"/>
        <v>2.97</v>
      </c>
      <c r="I9" s="242">
        <f t="shared" si="2"/>
        <v>2.97</v>
      </c>
      <c r="K9" s="35">
        <f t="shared" ref="K9:K72" si="11">MONTH(M9)</f>
        <v>2</v>
      </c>
      <c r="L9" s="264">
        <f t="shared" ref="L9:L72" si="12">YEAR(M9)</f>
        <v>2016</v>
      </c>
      <c r="M9" s="243">
        <f t="shared" si="3"/>
        <v>42401</v>
      </c>
      <c r="N9" s="464">
        <v>16.699199999999998</v>
      </c>
      <c r="O9" s="464">
        <v>18.904399999999999</v>
      </c>
      <c r="P9" s="464">
        <v>15.720540540540544</v>
      </c>
      <c r="Q9" s="465">
        <v>16.943513513513512</v>
      </c>
      <c r="S9" s="261">
        <v>18.07045977011494</v>
      </c>
      <c r="T9" s="263">
        <f t="shared" ref="T9:T72" si="13">O9/S9</f>
        <v>1.0461493642383264</v>
      </c>
      <c r="U9" s="263">
        <f t="shared" ref="U9:U72" si="14">Q9/S9</f>
        <v>0.93763599427253197</v>
      </c>
      <c r="W9" s="241">
        <f t="shared" ref="W9:W25" si="15">W8+1</f>
        <v>2017</v>
      </c>
      <c r="X9" s="244">
        <f t="shared" si="4"/>
        <v>22.9</v>
      </c>
      <c r="Y9" s="244">
        <f t="shared" si="5"/>
        <v>27.13</v>
      </c>
      <c r="Z9" s="244">
        <f t="shared" si="6"/>
        <v>15.62</v>
      </c>
      <c r="AA9" s="244">
        <f t="shared" si="7"/>
        <v>22.19</v>
      </c>
      <c r="AC9" s="212">
        <f>AC8+1</f>
        <v>2016</v>
      </c>
      <c r="AD9" s="250">
        <f t="shared" si="8"/>
        <v>1.0322097237845269</v>
      </c>
      <c r="AE9" s="250">
        <f t="shared" si="8"/>
        <v>1.0461493642383264</v>
      </c>
      <c r="AF9" s="250">
        <f t="shared" si="8"/>
        <v>1.0582872078986791</v>
      </c>
      <c r="AG9" s="250">
        <f t="shared" si="8"/>
        <v>1.0598535572136416</v>
      </c>
      <c r="AH9" s="250">
        <f t="shared" si="8"/>
        <v>1.090888355645365</v>
      </c>
      <c r="AI9" s="250">
        <f t="shared" si="8"/>
        <v>1.1825927692019103</v>
      </c>
      <c r="AJ9" s="250">
        <f t="shared" si="8"/>
        <v>1.2497040083354163</v>
      </c>
      <c r="AK9" s="250">
        <f t="shared" si="8"/>
        <v>1.1770087157039755</v>
      </c>
      <c r="AL9" s="250">
        <f t="shared" si="8"/>
        <v>1.0731044780146881</v>
      </c>
      <c r="AM9" s="250">
        <f t="shared" si="8"/>
        <v>1.0617535855678759</v>
      </c>
      <c r="AN9" s="250">
        <f t="shared" si="8"/>
        <v>1.0431658975961671</v>
      </c>
      <c r="AO9" s="250">
        <f t="shared" si="8"/>
        <v>1.0344417590574111</v>
      </c>
    </row>
    <row r="10" spans="2:41" x14ac:dyDescent="0.2">
      <c r="B10" s="245">
        <f t="shared" si="9"/>
        <v>42430</v>
      </c>
      <c r="C10" s="462">
        <v>1.5765269848510393</v>
      </c>
      <c r="D10" s="462">
        <v>1.4752546345447117</v>
      </c>
      <c r="E10" s="246">
        <f t="shared" si="0"/>
        <v>2016</v>
      </c>
      <c r="G10" s="241">
        <f t="shared" si="10"/>
        <v>2018</v>
      </c>
      <c r="H10" s="242">
        <f t="shared" si="1"/>
        <v>2.7</v>
      </c>
      <c r="I10" s="242">
        <f t="shared" si="2"/>
        <v>2.72</v>
      </c>
      <c r="K10" s="35">
        <f t="shared" si="11"/>
        <v>3</v>
      </c>
      <c r="L10" s="264">
        <f t="shared" si="12"/>
        <v>2016</v>
      </c>
      <c r="M10" s="243">
        <f t="shared" si="3"/>
        <v>42430</v>
      </c>
      <c r="N10" s="464">
        <v>13.031851851851851</v>
      </c>
      <c r="O10" s="464">
        <v>17.09888888888889</v>
      </c>
      <c r="P10" s="464">
        <v>9.3648717948717941</v>
      </c>
      <c r="Q10" s="465">
        <v>14.848974358974358</v>
      </c>
      <c r="S10" s="261">
        <v>16.157134624012148</v>
      </c>
      <c r="T10" s="263">
        <f t="shared" si="13"/>
        <v>1.0582872078986791</v>
      </c>
      <c r="U10" s="263">
        <f t="shared" si="14"/>
        <v>0.91903513243656154</v>
      </c>
      <c r="W10" s="241">
        <f t="shared" si="15"/>
        <v>2018</v>
      </c>
      <c r="X10" s="244">
        <f t="shared" si="4"/>
        <v>24.29</v>
      </c>
      <c r="Y10" s="244">
        <f t="shared" si="5"/>
        <v>26.33</v>
      </c>
      <c r="Z10" s="244">
        <f t="shared" si="6"/>
        <v>18.489999999999998</v>
      </c>
      <c r="AA10" s="244">
        <f t="shared" si="7"/>
        <v>21.86</v>
      </c>
      <c r="AC10" s="212">
        <f t="shared" ref="AC10:AC21" si="16">AC9+1</f>
        <v>2017</v>
      </c>
      <c r="AD10" s="250">
        <f t="shared" si="8"/>
        <v>1.0469368779574213</v>
      </c>
      <c r="AE10" s="250">
        <f t="shared" si="8"/>
        <v>1.0206114370736361</v>
      </c>
      <c r="AF10" s="250">
        <f t="shared" si="8"/>
        <v>1.0497826037249922</v>
      </c>
      <c r="AG10" s="250">
        <f t="shared" si="8"/>
        <v>1.1014925373134326</v>
      </c>
      <c r="AH10" s="250">
        <f t="shared" si="8"/>
        <v>1.1059979317476731</v>
      </c>
      <c r="AI10" s="250">
        <f t="shared" si="8"/>
        <v>1.1407221267028169</v>
      </c>
      <c r="AJ10" s="250">
        <f t="shared" si="8"/>
        <v>1.1783349821170384</v>
      </c>
      <c r="AK10" s="250">
        <f t="shared" si="8"/>
        <v>1.1451838064215913</v>
      </c>
      <c r="AL10" s="250">
        <f t="shared" si="8"/>
        <v>1.0753473835367657</v>
      </c>
      <c r="AM10" s="250">
        <f t="shared" si="8"/>
        <v>1.0429724347552667</v>
      </c>
      <c r="AN10" s="250">
        <f t="shared" si="8"/>
        <v>1.0525547445255474</v>
      </c>
      <c r="AO10" s="250">
        <f t="shared" si="8"/>
        <v>1.0365141704702261</v>
      </c>
    </row>
    <row r="11" spans="2:41" x14ac:dyDescent="0.2">
      <c r="B11" s="245">
        <f t="shared" si="9"/>
        <v>42461</v>
      </c>
      <c r="C11" s="462">
        <v>1.7513146360624383</v>
      </c>
      <c r="D11" s="462">
        <v>1.582454852320675</v>
      </c>
      <c r="E11" s="246">
        <f t="shared" si="0"/>
        <v>2016</v>
      </c>
      <c r="G11" s="241">
        <f t="shared" si="10"/>
        <v>2019</v>
      </c>
      <c r="H11" s="242">
        <f t="shared" si="1"/>
        <v>2.48</v>
      </c>
      <c r="I11" s="242">
        <f t="shared" si="2"/>
        <v>2.5</v>
      </c>
      <c r="K11" s="35">
        <f t="shared" si="11"/>
        <v>4</v>
      </c>
      <c r="L11" s="264">
        <f t="shared" si="12"/>
        <v>2016</v>
      </c>
      <c r="M11" s="243">
        <f t="shared" si="3"/>
        <v>42461</v>
      </c>
      <c r="N11" s="464">
        <v>12.137307692307694</v>
      </c>
      <c r="O11" s="464">
        <v>18.735384615384621</v>
      </c>
      <c r="P11" s="464">
        <v>6.0455263157894752</v>
      </c>
      <c r="Q11" s="465">
        <v>16.229473684210529</v>
      </c>
      <c r="S11" s="261">
        <v>17.67733333333334</v>
      </c>
      <c r="T11" s="263">
        <f t="shared" si="13"/>
        <v>1.0598535572136416</v>
      </c>
      <c r="U11" s="263">
        <f t="shared" si="14"/>
        <v>0.91809513223396377</v>
      </c>
      <c r="W11" s="241">
        <f t="shared" si="15"/>
        <v>2019</v>
      </c>
      <c r="X11" s="244">
        <f t="shared" si="4"/>
        <v>25.11</v>
      </c>
      <c r="Y11" s="244">
        <f t="shared" si="5"/>
        <v>27.03</v>
      </c>
      <c r="Z11" s="244">
        <f t="shared" si="6"/>
        <v>19.18</v>
      </c>
      <c r="AA11" s="244">
        <f t="shared" si="7"/>
        <v>21.46</v>
      </c>
      <c r="AC11" s="212">
        <f t="shared" si="16"/>
        <v>2018</v>
      </c>
      <c r="AD11" s="250">
        <f t="shared" si="8"/>
        <v>1.0426737265640282</v>
      </c>
      <c r="AE11" s="250">
        <f t="shared" si="8"/>
        <v>1.0246238030095758</v>
      </c>
      <c r="AF11" s="250">
        <f t="shared" si="8"/>
        <v>1.0495914460553082</v>
      </c>
      <c r="AG11" s="250">
        <f t="shared" si="8"/>
        <v>1.0665390843515381</v>
      </c>
      <c r="AH11" s="250">
        <f t="shared" si="8"/>
        <v>1.1101471832177296</v>
      </c>
      <c r="AI11" s="250">
        <f t="shared" si="8"/>
        <v>1.1073738360517886</v>
      </c>
      <c r="AJ11" s="250">
        <f t="shared" si="8"/>
        <v>1.1766998517263292</v>
      </c>
      <c r="AK11" s="250">
        <f t="shared" si="8"/>
        <v>1.1372440753583497</v>
      </c>
      <c r="AL11" s="250">
        <f t="shared" si="8"/>
        <v>1.113901308670709</v>
      </c>
      <c r="AM11" s="250">
        <f t="shared" si="8"/>
        <v>1.0392222594703318</v>
      </c>
      <c r="AN11" s="250">
        <f t="shared" si="8"/>
        <v>1.0488633202282285</v>
      </c>
      <c r="AO11" s="250">
        <f t="shared" si="8"/>
        <v>1.0347666768041659</v>
      </c>
    </row>
    <row r="12" spans="2:41" x14ac:dyDescent="0.2">
      <c r="B12" s="245">
        <f t="shared" si="9"/>
        <v>42491</v>
      </c>
      <c r="C12" s="462">
        <v>1.8004724578470166</v>
      </c>
      <c r="D12" s="462">
        <v>1.6893828501429151</v>
      </c>
      <c r="E12" s="246">
        <f t="shared" si="0"/>
        <v>2016</v>
      </c>
      <c r="G12" s="241">
        <f t="shared" si="10"/>
        <v>2020</v>
      </c>
      <c r="H12" s="242">
        <f t="shared" si="1"/>
        <v>2.48</v>
      </c>
      <c r="I12" s="242">
        <f t="shared" si="2"/>
        <v>2.5</v>
      </c>
      <c r="K12" s="35">
        <f t="shared" si="11"/>
        <v>5</v>
      </c>
      <c r="L12" s="264">
        <f t="shared" si="12"/>
        <v>2016</v>
      </c>
      <c r="M12" s="243">
        <f t="shared" si="3"/>
        <v>42491</v>
      </c>
      <c r="N12" s="464">
        <v>14.577199999999998</v>
      </c>
      <c r="O12" s="464">
        <v>18.575600000000001</v>
      </c>
      <c r="P12" s="464">
        <v>10.147674418604652</v>
      </c>
      <c r="Q12" s="465">
        <v>15.22837209302325</v>
      </c>
      <c r="S12" s="261">
        <v>17.027956989247311</v>
      </c>
      <c r="T12" s="263">
        <f t="shared" si="13"/>
        <v>1.090888355645365</v>
      </c>
      <c r="U12" s="263">
        <f t="shared" si="14"/>
        <v>0.89431586552864506</v>
      </c>
      <c r="W12" s="241">
        <f t="shared" si="15"/>
        <v>2020</v>
      </c>
      <c r="X12" s="244">
        <f t="shared" si="4"/>
        <v>27.21</v>
      </c>
      <c r="Y12" s="244">
        <f t="shared" si="5"/>
        <v>28.64</v>
      </c>
      <c r="Z12" s="244">
        <f t="shared" si="6"/>
        <v>20.99</v>
      </c>
      <c r="AA12" s="244">
        <f t="shared" si="7"/>
        <v>22.01</v>
      </c>
      <c r="AC12" s="212">
        <f t="shared" si="16"/>
        <v>2019</v>
      </c>
      <c r="AD12" s="250">
        <f t="shared" si="8"/>
        <v>1.0218121209880791</v>
      </c>
      <c r="AE12" s="250">
        <f t="shared" si="8"/>
        <v>1.0340264650283553</v>
      </c>
      <c r="AF12" s="250">
        <f t="shared" si="8"/>
        <v>1.0260665272600102</v>
      </c>
      <c r="AG12" s="250">
        <f t="shared" si="8"/>
        <v>1.1374916706626728</v>
      </c>
      <c r="AH12" s="250">
        <f t="shared" si="8"/>
        <v>1.2863633427927077</v>
      </c>
      <c r="AI12" s="250">
        <f t="shared" si="8"/>
        <v>1.3037523157597262</v>
      </c>
      <c r="AJ12" s="250">
        <f t="shared" si="8"/>
        <v>1.1281573801891434</v>
      </c>
      <c r="AK12" s="250">
        <f t="shared" si="8"/>
        <v>1.1096950980818581</v>
      </c>
      <c r="AL12" s="250">
        <f t="shared" si="8"/>
        <v>1.1480388916260766</v>
      </c>
      <c r="AM12" s="250">
        <f t="shared" si="8"/>
        <v>1.0454052752017344</v>
      </c>
      <c r="AN12" s="250">
        <f t="shared" si="8"/>
        <v>1.056922294861034</v>
      </c>
      <c r="AO12" s="250">
        <f t="shared" si="8"/>
        <v>1.0417533049307999</v>
      </c>
    </row>
    <row r="13" spans="2:41" x14ac:dyDescent="0.2">
      <c r="B13" s="245">
        <f t="shared" si="9"/>
        <v>42522</v>
      </c>
      <c r="C13" s="462">
        <v>2.3647654677733372</v>
      </c>
      <c r="D13" s="462">
        <v>2.2756194092827</v>
      </c>
      <c r="E13" s="246">
        <f t="shared" si="0"/>
        <v>2016</v>
      </c>
      <c r="G13" s="241">
        <f t="shared" si="10"/>
        <v>2021</v>
      </c>
      <c r="H13" s="242">
        <f t="shared" si="1"/>
        <v>2.5299999999999998</v>
      </c>
      <c r="I13" s="242">
        <f t="shared" si="2"/>
        <v>2.52</v>
      </c>
      <c r="K13" s="35">
        <f t="shared" si="11"/>
        <v>6</v>
      </c>
      <c r="L13" s="264">
        <f t="shared" si="12"/>
        <v>2016</v>
      </c>
      <c r="M13" s="243">
        <f t="shared" si="3"/>
        <v>42522</v>
      </c>
      <c r="N13" s="464">
        <v>21.705384615384617</v>
      </c>
      <c r="O13" s="464">
        <v>30.120769230769227</v>
      </c>
      <c r="P13" s="464">
        <v>15.579210526315791</v>
      </c>
      <c r="Q13" s="465">
        <v>19.106052631578947</v>
      </c>
      <c r="S13" s="261">
        <v>25.470111111111109</v>
      </c>
      <c r="T13" s="263">
        <f t="shared" si="13"/>
        <v>1.1825927692019103</v>
      </c>
      <c r="U13" s="263">
        <f t="shared" si="14"/>
        <v>0.75013621056580715</v>
      </c>
      <c r="W13" s="241">
        <f t="shared" si="15"/>
        <v>2021</v>
      </c>
      <c r="X13" s="244">
        <f t="shared" si="4"/>
        <v>28.78</v>
      </c>
      <c r="Y13" s="244">
        <f t="shared" si="5"/>
        <v>30.1</v>
      </c>
      <c r="Z13" s="244">
        <f t="shared" si="6"/>
        <v>23.04</v>
      </c>
      <c r="AA13" s="244">
        <f t="shared" si="7"/>
        <v>23.79</v>
      </c>
      <c r="AC13" s="212">
        <f t="shared" si="16"/>
        <v>2020</v>
      </c>
      <c r="AD13" s="250">
        <f t="shared" si="8"/>
        <v>1.0490210038355223</v>
      </c>
      <c r="AE13" s="250">
        <f t="shared" si="8"/>
        <v>1.051604520494154</v>
      </c>
      <c r="AF13" s="250">
        <f t="shared" si="8"/>
        <v>1.0462687896540515</v>
      </c>
      <c r="AG13" s="250">
        <f t="shared" si="8"/>
        <v>1.1101611536984326</v>
      </c>
      <c r="AH13" s="250">
        <f t="shared" si="8"/>
        <v>1.2457320118533646</v>
      </c>
      <c r="AI13" s="250">
        <f t="shared" si="8"/>
        <v>1.2344292295731893</v>
      </c>
      <c r="AJ13" s="250">
        <f t="shared" si="8"/>
        <v>1.1802720935360909</v>
      </c>
      <c r="AK13" s="250">
        <f t="shared" si="8"/>
        <v>1.1693631669535285</v>
      </c>
      <c r="AL13" s="250">
        <f t="shared" si="8"/>
        <v>1.1995715365874149</v>
      </c>
      <c r="AM13" s="250">
        <f t="shared" si="8"/>
        <v>1.0388778701418206</v>
      </c>
      <c r="AN13" s="250">
        <f t="shared" si="8"/>
        <v>1.0522692317415721</v>
      </c>
      <c r="AO13" s="250">
        <f t="shared" si="8"/>
        <v>1.0334563638528396</v>
      </c>
    </row>
    <row r="14" spans="2:41" x14ac:dyDescent="0.2">
      <c r="B14" s="245">
        <f t="shared" si="9"/>
        <v>42552</v>
      </c>
      <c r="C14" s="462">
        <v>2.6063456138089238</v>
      </c>
      <c r="D14" s="462">
        <v>2.548999020008166</v>
      </c>
      <c r="E14" s="246">
        <f t="shared" si="0"/>
        <v>2016</v>
      </c>
      <c r="G14" s="241">
        <f t="shared" si="10"/>
        <v>2022</v>
      </c>
      <c r="H14" s="242">
        <f t="shared" si="1"/>
        <v>2.5499999999999998</v>
      </c>
      <c r="I14" s="242">
        <f t="shared" si="2"/>
        <v>2.5299999999999998</v>
      </c>
      <c r="K14" s="35">
        <f t="shared" si="11"/>
        <v>7</v>
      </c>
      <c r="L14" s="264">
        <f t="shared" si="12"/>
        <v>2016</v>
      </c>
      <c r="M14" s="243">
        <f t="shared" si="3"/>
        <v>42552</v>
      </c>
      <c r="N14" s="464">
        <v>31.152000000000008</v>
      </c>
      <c r="O14" s="464">
        <v>41.399199999999993</v>
      </c>
      <c r="P14" s="464">
        <v>21.513255813953482</v>
      </c>
      <c r="Q14" s="465">
        <v>23.508604651162791</v>
      </c>
      <c r="S14" s="261">
        <v>33.12720430107526</v>
      </c>
      <c r="T14" s="263">
        <f t="shared" si="13"/>
        <v>1.2497040083354163</v>
      </c>
      <c r="U14" s="263">
        <f t="shared" si="14"/>
        <v>0.70964650193556289</v>
      </c>
      <c r="W14" s="241">
        <f t="shared" si="15"/>
        <v>2022</v>
      </c>
      <c r="X14" s="244">
        <f t="shared" si="4"/>
        <v>30.74</v>
      </c>
      <c r="Y14" s="244">
        <f t="shared" si="5"/>
        <v>31.49</v>
      </c>
      <c r="Z14" s="244">
        <f t="shared" si="6"/>
        <v>24.58</v>
      </c>
      <c r="AA14" s="244">
        <f t="shared" si="7"/>
        <v>25.76</v>
      </c>
      <c r="AC14" s="212">
        <f t="shared" si="16"/>
        <v>2021</v>
      </c>
      <c r="AD14" s="250">
        <f t="shared" si="8"/>
        <v>1.0371446593326705</v>
      </c>
      <c r="AE14" s="250">
        <f t="shared" si="8"/>
        <v>1.03823388952403</v>
      </c>
      <c r="AF14" s="250">
        <f t="shared" si="8"/>
        <v>1.0299492586099435</v>
      </c>
      <c r="AG14" s="250">
        <f t="shared" si="8"/>
        <v>1.1014723811310136</v>
      </c>
      <c r="AH14" s="250">
        <f t="shared" si="8"/>
        <v>1.2269893936962633</v>
      </c>
      <c r="AI14" s="250">
        <f t="shared" si="8"/>
        <v>1.2181413969619987</v>
      </c>
      <c r="AJ14" s="250">
        <f t="shared" si="8"/>
        <v>1.1724741726492733</v>
      </c>
      <c r="AK14" s="250">
        <f t="shared" si="8"/>
        <v>1.1619291476674849</v>
      </c>
      <c r="AL14" s="250">
        <f t="shared" si="8"/>
        <v>1.189735059997624</v>
      </c>
      <c r="AM14" s="250">
        <f t="shared" si="8"/>
        <v>1.0304177400793302</v>
      </c>
      <c r="AN14" s="250">
        <f t="shared" si="8"/>
        <v>1.0383179843081831</v>
      </c>
      <c r="AO14" s="250">
        <f t="shared" si="8"/>
        <v>1.0240302184805623</v>
      </c>
    </row>
    <row r="15" spans="2:41" x14ac:dyDescent="0.2">
      <c r="B15" s="245">
        <f t="shared" si="9"/>
        <v>42583</v>
      </c>
      <c r="C15" s="462">
        <v>2.6355990076984344</v>
      </c>
      <c r="D15" s="462">
        <v>2.6322983258472838</v>
      </c>
      <c r="E15" s="246">
        <f t="shared" si="0"/>
        <v>2016</v>
      </c>
      <c r="G15" s="241">
        <f t="shared" si="10"/>
        <v>2023</v>
      </c>
      <c r="H15" s="242">
        <f t="shared" si="1"/>
        <v>2.99</v>
      </c>
      <c r="I15" s="242">
        <f t="shared" si="2"/>
        <v>2.91</v>
      </c>
      <c r="K15" s="35">
        <f t="shared" si="11"/>
        <v>8</v>
      </c>
      <c r="L15" s="264">
        <f t="shared" si="12"/>
        <v>2016</v>
      </c>
      <c r="M15" s="243">
        <f t="shared" si="3"/>
        <v>42583</v>
      </c>
      <c r="N15" s="464">
        <v>35.272222222222226</v>
      </c>
      <c r="O15" s="464">
        <v>36.613703703703706</v>
      </c>
      <c r="P15" s="464">
        <v>23.480256410256413</v>
      </c>
      <c r="Q15" s="465">
        <v>23.483333333333341</v>
      </c>
      <c r="S15" s="261">
        <v>31.107419354838715</v>
      </c>
      <c r="T15" s="263">
        <f t="shared" si="13"/>
        <v>1.1770087157039755</v>
      </c>
      <c r="U15" s="263">
        <f t="shared" si="14"/>
        <v>0.75491100902526465</v>
      </c>
      <c r="W15" s="241">
        <f t="shared" si="15"/>
        <v>2023</v>
      </c>
      <c r="X15" s="244">
        <f t="shared" si="4"/>
        <v>33.5</v>
      </c>
      <c r="Y15" s="244">
        <f t="shared" si="5"/>
        <v>33.869999999999997</v>
      </c>
      <c r="Z15" s="244">
        <f t="shared" si="6"/>
        <v>27.47</v>
      </c>
      <c r="AA15" s="244">
        <f t="shared" si="7"/>
        <v>28.81</v>
      </c>
      <c r="AC15" s="212">
        <f t="shared" si="16"/>
        <v>2022</v>
      </c>
      <c r="AD15" s="250">
        <f t="shared" si="8"/>
        <v>1.0408974802939028</v>
      </c>
      <c r="AE15" s="250">
        <f t="shared" si="8"/>
        <v>1.0416127731185936</v>
      </c>
      <c r="AF15" s="250">
        <f t="shared" si="8"/>
        <v>1.0337670579409786</v>
      </c>
      <c r="AG15" s="250">
        <f t="shared" si="8"/>
        <v>1.0832715671425348</v>
      </c>
      <c r="AH15" s="250">
        <f t="shared" si="8"/>
        <v>1.1968782518210197</v>
      </c>
      <c r="AI15" s="250">
        <f t="shared" si="8"/>
        <v>1.1922165305959778</v>
      </c>
      <c r="AJ15" s="250">
        <f t="shared" si="8"/>
        <v>1.1584978650414219</v>
      </c>
      <c r="AK15" s="250">
        <f t="shared" si="8"/>
        <v>1.1318297612841672</v>
      </c>
      <c r="AL15" s="250">
        <f t="shared" si="8"/>
        <v>1.163485415662874</v>
      </c>
      <c r="AM15" s="250">
        <f t="shared" si="8"/>
        <v>1.0120526804935008</v>
      </c>
      <c r="AN15" s="250">
        <f t="shared" si="8"/>
        <v>1.0189990225179579</v>
      </c>
      <c r="AO15" s="250">
        <f t="shared" si="8"/>
        <v>1.0071421399989875</v>
      </c>
    </row>
    <row r="16" spans="2:41" x14ac:dyDescent="0.2">
      <c r="B16" s="245">
        <f t="shared" si="9"/>
        <v>42614</v>
      </c>
      <c r="C16" s="462">
        <v>2.7681537930798932</v>
      </c>
      <c r="D16" s="462">
        <v>2.7264210970464138</v>
      </c>
      <c r="E16" s="246">
        <f t="shared" si="0"/>
        <v>2016</v>
      </c>
      <c r="G16" s="241">
        <f t="shared" si="10"/>
        <v>2024</v>
      </c>
      <c r="H16" s="242">
        <f t="shared" si="1"/>
        <v>3.61</v>
      </c>
      <c r="I16" s="242">
        <f t="shared" si="2"/>
        <v>3.5</v>
      </c>
      <c r="K16" s="35">
        <f t="shared" si="11"/>
        <v>9</v>
      </c>
      <c r="L16" s="264">
        <f t="shared" si="12"/>
        <v>2016</v>
      </c>
      <c r="M16" s="243">
        <f t="shared" si="3"/>
        <v>42614</v>
      </c>
      <c r="N16" s="464">
        <v>28.012800000000002</v>
      </c>
      <c r="O16" s="464">
        <v>26.511999999999993</v>
      </c>
      <c r="P16" s="464">
        <v>23.994250000000005</v>
      </c>
      <c r="Q16" s="465">
        <v>22.448250000000002</v>
      </c>
      <c r="S16" s="261">
        <v>24.705888888888886</v>
      </c>
      <c r="T16" s="263">
        <f t="shared" si="13"/>
        <v>1.0731044780146881</v>
      </c>
      <c r="U16" s="263">
        <f t="shared" si="14"/>
        <v>0.90861940248163975</v>
      </c>
      <c r="W16" s="241">
        <f t="shared" si="15"/>
        <v>2024</v>
      </c>
      <c r="X16" s="244">
        <f t="shared" si="4"/>
        <v>37.1</v>
      </c>
      <c r="Y16" s="244">
        <f t="shared" si="5"/>
        <v>36.76</v>
      </c>
      <c r="Z16" s="244">
        <f t="shared" si="6"/>
        <v>30.79</v>
      </c>
      <c r="AA16" s="244">
        <f t="shared" si="7"/>
        <v>32.08</v>
      </c>
      <c r="AC16" s="212">
        <f t="shared" si="16"/>
        <v>2023</v>
      </c>
      <c r="AD16" s="250">
        <f t="shared" si="8"/>
        <v>1.0443763193276756</v>
      </c>
      <c r="AE16" s="250">
        <f t="shared" si="8"/>
        <v>1.0447383569162394</v>
      </c>
      <c r="AF16" s="250">
        <f t="shared" si="8"/>
        <v>1.0372799204741716</v>
      </c>
      <c r="AG16" s="250">
        <f t="shared" si="8"/>
        <v>1.0182704771310414</v>
      </c>
      <c r="AH16" s="250">
        <f t="shared" si="8"/>
        <v>1.1077125953156113</v>
      </c>
      <c r="AI16" s="250">
        <f t="shared" si="8"/>
        <v>1.1125596138289171</v>
      </c>
      <c r="AJ16" s="250">
        <f t="shared" si="8"/>
        <v>1.1352839462425834</v>
      </c>
      <c r="AK16" s="250">
        <f t="shared" si="8"/>
        <v>1.1187121218015115</v>
      </c>
      <c r="AL16" s="250">
        <f t="shared" si="8"/>
        <v>1.1213907479916054</v>
      </c>
      <c r="AM16" s="250">
        <f t="shared" si="8"/>
        <v>1.034159366591217</v>
      </c>
      <c r="AN16" s="250">
        <f t="shared" si="8"/>
        <v>1.0373889317843668</v>
      </c>
      <c r="AO16" s="250">
        <f t="shared" si="8"/>
        <v>1.0274165095850143</v>
      </c>
    </row>
    <row r="17" spans="2:41" x14ac:dyDescent="0.2">
      <c r="B17" s="245">
        <f t="shared" si="9"/>
        <v>42644</v>
      </c>
      <c r="C17" s="462">
        <v>2.7499682086675996</v>
      </c>
      <c r="D17" s="462">
        <v>2.6567164556962028</v>
      </c>
      <c r="E17" s="246">
        <f t="shared" si="0"/>
        <v>2016</v>
      </c>
      <c r="G17" s="241">
        <f t="shared" si="10"/>
        <v>2025</v>
      </c>
      <c r="H17" s="242">
        <f t="shared" si="1"/>
        <v>3.81</v>
      </c>
      <c r="I17" s="242">
        <f t="shared" si="2"/>
        <v>3.78</v>
      </c>
      <c r="K17" s="35">
        <f t="shared" si="11"/>
        <v>10</v>
      </c>
      <c r="L17" s="264">
        <f t="shared" si="12"/>
        <v>2016</v>
      </c>
      <c r="M17" s="243">
        <f t="shared" si="3"/>
        <v>42644</v>
      </c>
      <c r="N17" s="464">
        <v>22.980000000000004</v>
      </c>
      <c r="O17" s="464">
        <v>26.233076923076926</v>
      </c>
      <c r="P17" s="464">
        <v>19.065121951219513</v>
      </c>
      <c r="Q17" s="465">
        <v>22.772195121951214</v>
      </c>
      <c r="S17" s="261">
        <v>24.707311827956989</v>
      </c>
      <c r="T17" s="263">
        <f t="shared" si="13"/>
        <v>1.0617535855678759</v>
      </c>
      <c r="U17" s="263">
        <f t="shared" si="14"/>
        <v>0.92167837927976692</v>
      </c>
      <c r="W17" s="241">
        <f t="shared" si="15"/>
        <v>2025</v>
      </c>
      <c r="X17" s="244">
        <f t="shared" si="4"/>
        <v>39.49</v>
      </c>
      <c r="Y17" s="244">
        <f t="shared" si="5"/>
        <v>39.08</v>
      </c>
      <c r="Z17" s="244">
        <f t="shared" si="6"/>
        <v>33.18</v>
      </c>
      <c r="AA17" s="244">
        <f t="shared" si="7"/>
        <v>33.950000000000003</v>
      </c>
      <c r="AC17" s="212">
        <f t="shared" si="16"/>
        <v>2024</v>
      </c>
      <c r="AD17" s="250">
        <f t="shared" si="8"/>
        <v>1.0427650522701359</v>
      </c>
      <c r="AE17" s="250">
        <f t="shared" si="8"/>
        <v>1.0409755031912569</v>
      </c>
      <c r="AF17" s="250">
        <f t="shared" si="8"/>
        <v>1.030461370652747</v>
      </c>
      <c r="AG17" s="250">
        <f t="shared" si="8"/>
        <v>1.0283165974327906</v>
      </c>
      <c r="AH17" s="250">
        <f t="shared" si="8"/>
        <v>1.0422134461554409</v>
      </c>
      <c r="AI17" s="250">
        <f t="shared" si="8"/>
        <v>1.0472288931740872</v>
      </c>
      <c r="AJ17" s="250">
        <f t="shared" si="8"/>
        <v>1.1094998055987644</v>
      </c>
      <c r="AK17" s="250">
        <f t="shared" si="8"/>
        <v>1.1082844062574178</v>
      </c>
      <c r="AL17" s="250">
        <f t="shared" si="8"/>
        <v>1.0906853458943715</v>
      </c>
      <c r="AM17" s="250">
        <f t="shared" si="8"/>
        <v>1.0495764771541469</v>
      </c>
      <c r="AN17" s="250">
        <f t="shared" si="8"/>
        <v>1.0516272157865829</v>
      </c>
      <c r="AO17" s="250">
        <f t="shared" si="8"/>
        <v>1.0435151322795673</v>
      </c>
    </row>
    <row r="18" spans="2:41" x14ac:dyDescent="0.2">
      <c r="B18" s="245">
        <f t="shared" si="9"/>
        <v>42675</v>
      </c>
      <c r="C18" s="462">
        <v>2.3066994090924613</v>
      </c>
      <c r="D18" s="462">
        <v>2.2516531645569624</v>
      </c>
      <c r="E18" s="246">
        <f t="shared" si="0"/>
        <v>2016</v>
      </c>
      <c r="G18" s="241">
        <f t="shared" si="10"/>
        <v>2026</v>
      </c>
      <c r="H18" s="242">
        <f t="shared" si="1"/>
        <v>3.81</v>
      </c>
      <c r="I18" s="242">
        <f t="shared" si="2"/>
        <v>3.77</v>
      </c>
      <c r="K18" s="35">
        <f t="shared" si="11"/>
        <v>11</v>
      </c>
      <c r="L18" s="264">
        <f t="shared" si="12"/>
        <v>2016</v>
      </c>
      <c r="M18" s="243">
        <f t="shared" si="3"/>
        <v>42675</v>
      </c>
      <c r="N18" s="464">
        <v>19.059200000000001</v>
      </c>
      <c r="O18" s="464">
        <v>19.753999999999998</v>
      </c>
      <c r="P18" s="464">
        <v>14.816249999999997</v>
      </c>
      <c r="Q18" s="465">
        <v>17.917999999999999</v>
      </c>
      <c r="S18" s="261">
        <v>18.936585298196945</v>
      </c>
      <c r="T18" s="263">
        <f t="shared" si="13"/>
        <v>1.0431658975961671</v>
      </c>
      <c r="U18" s="263">
        <f t="shared" si="14"/>
        <v>0.94621071950633406</v>
      </c>
      <c r="W18" s="241">
        <f t="shared" si="15"/>
        <v>2026</v>
      </c>
      <c r="X18" s="244">
        <f t="shared" si="4"/>
        <v>40.270000000000003</v>
      </c>
      <c r="Y18" s="244">
        <f t="shared" si="5"/>
        <v>39.840000000000003</v>
      </c>
      <c r="Z18" s="244">
        <f t="shared" si="6"/>
        <v>33.950000000000003</v>
      </c>
      <c r="AA18" s="244">
        <f t="shared" si="7"/>
        <v>34.69</v>
      </c>
      <c r="AC18" s="212">
        <f t="shared" si="16"/>
        <v>2025</v>
      </c>
      <c r="AD18" s="250">
        <f t="shared" si="8"/>
        <v>1.0432219062640422</v>
      </c>
      <c r="AE18" s="250">
        <f t="shared" si="8"/>
        <v>1.0385566554190986</v>
      </c>
      <c r="AF18" s="250">
        <f t="shared" si="8"/>
        <v>1.023233453438954</v>
      </c>
      <c r="AG18" s="250">
        <f t="shared" si="8"/>
        <v>1.0385692229049448</v>
      </c>
      <c r="AH18" s="250">
        <f t="shared" si="8"/>
        <v>1.0378683319275606</v>
      </c>
      <c r="AI18" s="250">
        <f t="shared" si="8"/>
        <v>1.0570728156433797</v>
      </c>
      <c r="AJ18" s="250">
        <f t="shared" si="8"/>
        <v>1.1089360340823042</v>
      </c>
      <c r="AK18" s="250">
        <f t="shared" si="8"/>
        <v>1.1177796868804597</v>
      </c>
      <c r="AL18" s="250">
        <f t="shared" si="8"/>
        <v>1.0966394020380665</v>
      </c>
      <c r="AM18" s="250">
        <f t="shared" si="8"/>
        <v>1.0507779253204983</v>
      </c>
      <c r="AN18" s="250">
        <f t="shared" si="8"/>
        <v>1.0532909254614515</v>
      </c>
      <c r="AO18" s="250">
        <f t="shared" si="8"/>
        <v>1.0467593020494077</v>
      </c>
    </row>
    <row r="19" spans="2:41" x14ac:dyDescent="0.2">
      <c r="B19" s="247">
        <f t="shared" si="9"/>
        <v>42705</v>
      </c>
      <c r="C19" s="463">
        <v>3.5518748027461844</v>
      </c>
      <c r="D19" s="463">
        <v>3.5696605144957116</v>
      </c>
      <c r="E19" s="248">
        <f t="shared" si="0"/>
        <v>2016</v>
      </c>
      <c r="G19" s="241">
        <f t="shared" si="10"/>
        <v>2027</v>
      </c>
      <c r="H19" s="242">
        <f t="shared" si="1"/>
        <v>3.95</v>
      </c>
      <c r="I19" s="242">
        <f t="shared" si="2"/>
        <v>3.92</v>
      </c>
      <c r="K19" s="35">
        <f t="shared" si="11"/>
        <v>12</v>
      </c>
      <c r="L19" s="264">
        <f t="shared" si="12"/>
        <v>2016</v>
      </c>
      <c r="M19" s="249">
        <f t="shared" si="3"/>
        <v>42705</v>
      </c>
      <c r="N19" s="466">
        <v>33.740384615384599</v>
      </c>
      <c r="O19" s="466">
        <v>28.173076923076927</v>
      </c>
      <c r="P19" s="466">
        <v>24.741219512195123</v>
      </c>
      <c r="Q19" s="467">
        <v>26.045365853658534</v>
      </c>
      <c r="S19" s="261">
        <v>27.23505376344086</v>
      </c>
      <c r="T19" s="263">
        <f t="shared" si="13"/>
        <v>1.0344417590574111</v>
      </c>
      <c r="U19" s="263">
        <f t="shared" si="14"/>
        <v>0.95631776900035681</v>
      </c>
      <c r="W19" s="241">
        <f t="shared" si="15"/>
        <v>2027</v>
      </c>
      <c r="X19" s="244">
        <f t="shared" si="4"/>
        <v>41.36</v>
      </c>
      <c r="Y19" s="244">
        <f t="shared" si="5"/>
        <v>40.83</v>
      </c>
      <c r="Z19" s="244">
        <f t="shared" si="6"/>
        <v>35.1</v>
      </c>
      <c r="AA19" s="244">
        <f t="shared" si="7"/>
        <v>35.89</v>
      </c>
      <c r="AC19" s="212">
        <f t="shared" si="16"/>
        <v>2026</v>
      </c>
      <c r="AD19" s="250">
        <f t="shared" si="8"/>
        <v>1.0451316234268251</v>
      </c>
      <c r="AE19" s="250">
        <f t="shared" si="8"/>
        <v>1.0402829349846534</v>
      </c>
      <c r="AF19" s="250">
        <f t="shared" si="8"/>
        <v>1.0216809954760395</v>
      </c>
      <c r="AG19" s="250">
        <f t="shared" si="8"/>
        <v>1.0316161573735918</v>
      </c>
      <c r="AH19" s="250">
        <f t="shared" si="8"/>
        <v>1.0427923878894922</v>
      </c>
      <c r="AI19" s="250">
        <f t="shared" si="8"/>
        <v>1.0573563358272515</v>
      </c>
      <c r="AJ19" s="250">
        <f t="shared" si="8"/>
        <v>1.1079544819453597</v>
      </c>
      <c r="AK19" s="250">
        <f t="shared" si="8"/>
        <v>1.1140859925334585</v>
      </c>
      <c r="AL19" s="250">
        <f t="shared" si="8"/>
        <v>1.0907399933231698</v>
      </c>
      <c r="AM19" s="250">
        <f t="shared" si="8"/>
        <v>1.047535433497804</v>
      </c>
      <c r="AN19" s="250">
        <f t="shared" si="8"/>
        <v>1.0536659828750967</v>
      </c>
      <c r="AO19" s="250">
        <f t="shared" si="8"/>
        <v>1.0453301669322412</v>
      </c>
    </row>
    <row r="20" spans="2:41" x14ac:dyDescent="0.2">
      <c r="B20" s="239">
        <f>EDATE(B19,1)</f>
        <v>42736</v>
      </c>
      <c r="C20" s="462">
        <v>3.2801653137385181</v>
      </c>
      <c r="D20" s="462">
        <v>3.3525923233973045</v>
      </c>
      <c r="E20" s="240">
        <f t="shared" si="0"/>
        <v>2017</v>
      </c>
      <c r="G20" s="241">
        <f t="shared" si="10"/>
        <v>2028</v>
      </c>
      <c r="H20" s="242">
        <f t="shared" si="1"/>
        <v>4.1500000000000004</v>
      </c>
      <c r="I20" s="242">
        <f t="shared" si="2"/>
        <v>4.1500000000000004</v>
      </c>
      <c r="K20" s="35">
        <f t="shared" si="11"/>
        <v>1</v>
      </c>
      <c r="L20" s="264">
        <f t="shared" si="12"/>
        <v>2017</v>
      </c>
      <c r="M20" s="243">
        <f t="shared" si="3"/>
        <v>42736</v>
      </c>
      <c r="N20" s="468">
        <v>33.589199999999998</v>
      </c>
      <c r="O20" s="468">
        <v>27.16879999999999</v>
      </c>
      <c r="P20" s="468">
        <v>25.916046511627908</v>
      </c>
      <c r="Q20" s="469">
        <v>24.534418604651165</v>
      </c>
      <c r="S20" s="261">
        <v>25.950752688172038</v>
      </c>
      <c r="T20" s="263">
        <f t="shared" si="13"/>
        <v>1.0469368779574213</v>
      </c>
      <c r="U20" s="263">
        <f t="shared" si="14"/>
        <v>0.94542223493323119</v>
      </c>
      <c r="W20" s="241">
        <f t="shared" si="15"/>
        <v>2028</v>
      </c>
      <c r="X20" s="244">
        <f t="shared" si="4"/>
        <v>43.71</v>
      </c>
      <c r="Y20" s="244">
        <f t="shared" si="5"/>
        <v>42.66</v>
      </c>
      <c r="Z20" s="244">
        <f t="shared" si="6"/>
        <v>37.19</v>
      </c>
      <c r="AA20" s="244">
        <f t="shared" si="7"/>
        <v>37.74</v>
      </c>
      <c r="AC20" s="212">
        <f t="shared" si="16"/>
        <v>2027</v>
      </c>
      <c r="AD20" s="250">
        <f t="shared" si="8"/>
        <v>1.0389383113640791</v>
      </c>
      <c r="AE20" s="250">
        <f t="shared" si="8"/>
        <v>1.0373145222957858</v>
      </c>
      <c r="AF20" s="250">
        <f t="shared" si="8"/>
        <v>1.0153045580619369</v>
      </c>
      <c r="AG20" s="250">
        <f t="shared" si="8"/>
        <v>1.034022870976911</v>
      </c>
      <c r="AH20" s="250">
        <f t="shared" si="8"/>
        <v>1.0373534632767589</v>
      </c>
      <c r="AI20" s="250">
        <f t="shared" si="8"/>
        <v>1.0521496327211322</v>
      </c>
      <c r="AJ20" s="250">
        <f t="shared" si="8"/>
        <v>1.1009008861129939</v>
      </c>
      <c r="AK20" s="250">
        <f t="shared" si="8"/>
        <v>1.1106517023196738</v>
      </c>
      <c r="AL20" s="250">
        <f t="shared" si="8"/>
        <v>1.0828697013663471</v>
      </c>
      <c r="AM20" s="250">
        <f t="shared" si="8"/>
        <v>1.0493061118892084</v>
      </c>
      <c r="AN20" s="250">
        <f t="shared" si="8"/>
        <v>1.0546086301036273</v>
      </c>
      <c r="AO20" s="250">
        <f t="shared" si="8"/>
        <v>1.0383148262163437</v>
      </c>
    </row>
    <row r="21" spans="2:41" x14ac:dyDescent="0.2">
      <c r="B21" s="245">
        <f t="shared" si="9"/>
        <v>42767</v>
      </c>
      <c r="C21" s="462">
        <v>2.6686241769502144</v>
      </c>
      <c r="D21" s="462">
        <v>2.6476748643761301</v>
      </c>
      <c r="E21" s="246">
        <f t="shared" si="0"/>
        <v>2017</v>
      </c>
      <c r="G21" s="241">
        <f t="shared" si="10"/>
        <v>2029</v>
      </c>
      <c r="H21" s="242">
        <f t="shared" si="1"/>
        <v>4.47</v>
      </c>
      <c r="I21" s="242">
        <f t="shared" si="2"/>
        <v>4.51</v>
      </c>
      <c r="K21" s="35">
        <f t="shared" si="11"/>
        <v>2</v>
      </c>
      <c r="L21" s="264">
        <f t="shared" si="12"/>
        <v>2017</v>
      </c>
      <c r="M21" s="243">
        <f t="shared" si="3"/>
        <v>42767</v>
      </c>
      <c r="N21" s="464">
        <v>23.01958333333333</v>
      </c>
      <c r="O21" s="464">
        <v>21.639999999999997</v>
      </c>
      <c r="P21" s="464">
        <v>17.753055555555555</v>
      </c>
      <c r="Q21" s="465">
        <v>20.62027777777778</v>
      </c>
      <c r="S21" s="261">
        <v>21.202976190476193</v>
      </c>
      <c r="T21" s="263">
        <f t="shared" si="13"/>
        <v>1.0206114370736361</v>
      </c>
      <c r="U21" s="263">
        <f t="shared" si="14"/>
        <v>0.97251808390181815</v>
      </c>
      <c r="W21" s="241">
        <f t="shared" si="15"/>
        <v>2029</v>
      </c>
      <c r="X21" s="244">
        <f t="shared" si="4"/>
        <v>45.85</v>
      </c>
      <c r="Y21" s="244">
        <f t="shared" si="5"/>
        <v>44.88</v>
      </c>
      <c r="Z21" s="244">
        <f t="shared" si="6"/>
        <v>39.29</v>
      </c>
      <c r="AA21" s="244">
        <f t="shared" si="7"/>
        <v>40.020000000000003</v>
      </c>
      <c r="AC21" s="212">
        <f t="shared" si="16"/>
        <v>2028</v>
      </c>
      <c r="AD21" s="250">
        <f t="shared" si="8"/>
        <v>1.0377416754787037</v>
      </c>
      <c r="AE21" s="250">
        <f t="shared" si="8"/>
        <v>1.0344989384819103</v>
      </c>
      <c r="AF21" s="250">
        <f t="shared" si="8"/>
        <v>1.0174550607522104</v>
      </c>
      <c r="AG21" s="250">
        <f t="shared" si="8"/>
        <v>1.0340391159141369</v>
      </c>
      <c r="AH21" s="250">
        <f t="shared" si="8"/>
        <v>1.0363076290492632</v>
      </c>
      <c r="AI21" s="250">
        <f t="shared" si="8"/>
        <v>1.0524142982457114</v>
      </c>
      <c r="AJ21" s="250">
        <f t="shared" si="8"/>
        <v>1.1023908430713529</v>
      </c>
      <c r="AK21" s="250">
        <f t="shared" si="8"/>
        <v>1.1028693014728852</v>
      </c>
      <c r="AL21" s="250">
        <f t="shared" si="8"/>
        <v>1.0716792820550924</v>
      </c>
      <c r="AM21" s="250">
        <f t="shared" si="8"/>
        <v>1.0466881117988391</v>
      </c>
      <c r="AN21" s="250">
        <f t="shared" si="8"/>
        <v>1.0508363389682134</v>
      </c>
      <c r="AO21" s="250">
        <f t="shared" si="8"/>
        <v>1.0338654677029686</v>
      </c>
    </row>
    <row r="22" spans="2:41" x14ac:dyDescent="0.2">
      <c r="B22" s="245">
        <f t="shared" si="9"/>
        <v>42795</v>
      </c>
      <c r="C22" s="462">
        <v>2.6203938538123621</v>
      </c>
      <c r="D22" s="462">
        <v>2.5227025724785621</v>
      </c>
      <c r="E22" s="246">
        <f t="shared" si="0"/>
        <v>2017</v>
      </c>
      <c r="G22" s="241">
        <f t="shared" si="10"/>
        <v>2030</v>
      </c>
      <c r="H22" s="242">
        <f t="shared" si="1"/>
        <v>4.8099999999999996</v>
      </c>
      <c r="I22" s="242">
        <f t="shared" si="2"/>
        <v>4.88</v>
      </c>
      <c r="K22" s="35">
        <f t="shared" si="11"/>
        <v>3</v>
      </c>
      <c r="L22" s="264">
        <f t="shared" si="12"/>
        <v>2017</v>
      </c>
      <c r="M22" s="243">
        <f t="shared" si="3"/>
        <v>42795</v>
      </c>
      <c r="N22" s="464">
        <v>13.16888888888889</v>
      </c>
      <c r="O22" s="464">
        <v>20.801851851851854</v>
      </c>
      <c r="P22" s="464">
        <v>7.3612820512820534</v>
      </c>
      <c r="Q22" s="465">
        <v>18.445128205128196</v>
      </c>
      <c r="S22" s="261">
        <v>19.815390137005206</v>
      </c>
      <c r="T22" s="263">
        <f t="shared" si="13"/>
        <v>1.0497826037249922</v>
      </c>
      <c r="U22" s="263">
        <f t="shared" si="14"/>
        <v>0.93084860189968965</v>
      </c>
      <c r="W22" s="241">
        <f t="shared" si="15"/>
        <v>2030</v>
      </c>
      <c r="X22" s="244">
        <f t="shared" si="4"/>
        <v>48.25</v>
      </c>
      <c r="Y22" s="244">
        <f t="shared" si="5"/>
        <v>47.33</v>
      </c>
      <c r="Z22" s="244">
        <f t="shared" si="6"/>
        <v>41.83</v>
      </c>
      <c r="AA22" s="244">
        <f t="shared" si="7"/>
        <v>42.63</v>
      </c>
    </row>
    <row r="23" spans="2:41" x14ac:dyDescent="0.2">
      <c r="B23" s="245">
        <f t="shared" si="9"/>
        <v>42826</v>
      </c>
      <c r="C23" s="462">
        <v>2.7065013013628447</v>
      </c>
      <c r="D23" s="462">
        <v>2.6035518987341768</v>
      </c>
      <c r="E23" s="246">
        <f t="shared" si="0"/>
        <v>2017</v>
      </c>
      <c r="G23" s="241">
        <f t="shared" si="10"/>
        <v>2031</v>
      </c>
      <c r="H23" s="242">
        <f t="shared" si="1"/>
        <v>5.04</v>
      </c>
      <c r="I23" s="242">
        <f t="shared" si="2"/>
        <v>5.1100000000000003</v>
      </c>
      <c r="K23" s="35">
        <f t="shared" si="11"/>
        <v>4</v>
      </c>
      <c r="L23" s="264">
        <f t="shared" si="12"/>
        <v>2017</v>
      </c>
      <c r="M23" s="243">
        <f t="shared" si="3"/>
        <v>42826</v>
      </c>
      <c r="N23" s="464">
        <v>9.25</v>
      </c>
      <c r="O23" s="464">
        <v>20.5</v>
      </c>
      <c r="P23" s="464">
        <v>-0.15</v>
      </c>
      <c r="Q23" s="465">
        <v>16.25</v>
      </c>
      <c r="S23" s="261">
        <v>18.611111111111114</v>
      </c>
      <c r="T23" s="263">
        <f t="shared" si="13"/>
        <v>1.1014925373134326</v>
      </c>
      <c r="U23" s="263">
        <f t="shared" si="14"/>
        <v>0.87313432835820881</v>
      </c>
      <c r="W23" s="241">
        <f t="shared" si="15"/>
        <v>2031</v>
      </c>
      <c r="X23" s="244">
        <f t="shared" si="4"/>
        <v>50.32</v>
      </c>
      <c r="Y23" s="244">
        <f t="shared" si="5"/>
        <v>49.33</v>
      </c>
      <c r="Z23" s="244">
        <f t="shared" si="6"/>
        <v>43.73</v>
      </c>
      <c r="AA23" s="244">
        <f t="shared" si="7"/>
        <v>44.41</v>
      </c>
    </row>
    <row r="24" spans="2:41" x14ac:dyDescent="0.2">
      <c r="B24" s="245">
        <f t="shared" si="9"/>
        <v>42856</v>
      </c>
      <c r="C24" s="462">
        <v>2.8345881955118353</v>
      </c>
      <c r="D24" s="462">
        <v>2.8310962025316453</v>
      </c>
      <c r="E24" s="246">
        <f t="shared" si="0"/>
        <v>2017</v>
      </c>
      <c r="G24" s="241">
        <f t="shared" si="10"/>
        <v>2032</v>
      </c>
      <c r="H24" s="242">
        <f t="shared" si="1"/>
        <v>5.28</v>
      </c>
      <c r="I24" s="242">
        <f t="shared" si="2"/>
        <v>5.38</v>
      </c>
      <c r="K24" s="35">
        <f t="shared" si="11"/>
        <v>5</v>
      </c>
      <c r="L24" s="264">
        <f t="shared" si="12"/>
        <v>2017</v>
      </c>
      <c r="M24" s="243">
        <f t="shared" si="3"/>
        <v>42856</v>
      </c>
      <c r="N24" s="464">
        <v>11.5</v>
      </c>
      <c r="O24" s="464">
        <v>23</v>
      </c>
      <c r="P24" s="464">
        <v>3.35</v>
      </c>
      <c r="Q24" s="465">
        <v>18</v>
      </c>
      <c r="S24" s="261">
        <v>20.795698924731184</v>
      </c>
      <c r="T24" s="263">
        <f t="shared" si="13"/>
        <v>1.1059979317476731</v>
      </c>
      <c r="U24" s="263">
        <f t="shared" si="14"/>
        <v>0.86556359875904854</v>
      </c>
      <c r="W24" s="241">
        <f t="shared" si="15"/>
        <v>2032</v>
      </c>
      <c r="X24" s="244">
        <f t="shared" si="4"/>
        <v>52.51</v>
      </c>
      <c r="Y24" s="244">
        <f t="shared" si="5"/>
        <v>51.66</v>
      </c>
      <c r="Z24" s="244">
        <f t="shared" si="6"/>
        <v>45.82</v>
      </c>
      <c r="AA24" s="244">
        <f t="shared" si="7"/>
        <v>46.63</v>
      </c>
      <c r="AC24" s="212" t="s">
        <v>216</v>
      </c>
      <c r="AD24" s="212">
        <v>1</v>
      </c>
      <c r="AE24" s="212">
        <v>2</v>
      </c>
      <c r="AF24" s="212">
        <v>3</v>
      </c>
      <c r="AG24" s="212">
        <v>4</v>
      </c>
      <c r="AH24" s="212">
        <v>5</v>
      </c>
      <c r="AI24" s="212">
        <v>6</v>
      </c>
      <c r="AJ24" s="212">
        <v>7</v>
      </c>
      <c r="AK24" s="212">
        <v>8</v>
      </c>
      <c r="AL24" s="212">
        <v>9</v>
      </c>
      <c r="AM24" s="212">
        <v>10</v>
      </c>
      <c r="AN24" s="212">
        <v>11</v>
      </c>
      <c r="AO24" s="212">
        <v>12</v>
      </c>
    </row>
    <row r="25" spans="2:41" x14ac:dyDescent="0.2">
      <c r="B25" s="245">
        <f t="shared" si="9"/>
        <v>42887</v>
      </c>
      <c r="C25" s="462">
        <v>2.9027304231990985</v>
      </c>
      <c r="D25" s="462">
        <v>2.9055265822784806</v>
      </c>
      <c r="E25" s="246">
        <f t="shared" si="0"/>
        <v>2017</v>
      </c>
      <c r="G25" s="241">
        <f t="shared" si="10"/>
        <v>2033</v>
      </c>
      <c r="H25" s="242">
        <f t="shared" si="1"/>
        <v>5.62</v>
      </c>
      <c r="I25" s="242">
        <f t="shared" si="2"/>
        <v>5.76</v>
      </c>
      <c r="K25" s="35">
        <f t="shared" si="11"/>
        <v>6</v>
      </c>
      <c r="L25" s="264">
        <f t="shared" si="12"/>
        <v>2017</v>
      </c>
      <c r="M25" s="243">
        <f t="shared" si="3"/>
        <v>42887</v>
      </c>
      <c r="N25" s="464">
        <v>14.75</v>
      </c>
      <c r="O25" s="464">
        <v>28.75</v>
      </c>
      <c r="P25" s="464">
        <v>4.25</v>
      </c>
      <c r="Q25" s="465">
        <v>20.350000000000001</v>
      </c>
      <c r="S25" s="261">
        <v>25.203333333333337</v>
      </c>
      <c r="T25" s="263">
        <f t="shared" si="13"/>
        <v>1.1407221267028169</v>
      </c>
      <c r="U25" s="263">
        <f t="shared" si="14"/>
        <v>0.8074328792487766</v>
      </c>
      <c r="W25" s="241">
        <f t="shared" si="15"/>
        <v>2033</v>
      </c>
      <c r="X25" s="244">
        <f t="shared" si="4"/>
        <v>55.22</v>
      </c>
      <c r="Y25" s="244">
        <f t="shared" si="5"/>
        <v>54.43</v>
      </c>
      <c r="Z25" s="244">
        <f t="shared" si="6"/>
        <v>48.63</v>
      </c>
      <c r="AA25" s="244">
        <f t="shared" si="7"/>
        <v>49.46</v>
      </c>
      <c r="AD25" s="212" t="s">
        <v>44</v>
      </c>
      <c r="AE25" s="212" t="s">
        <v>45</v>
      </c>
      <c r="AF25" s="212" t="s">
        <v>46</v>
      </c>
      <c r="AG25" s="212" t="s">
        <v>47</v>
      </c>
      <c r="AH25" s="212" t="s">
        <v>48</v>
      </c>
      <c r="AI25" s="212" t="s">
        <v>49</v>
      </c>
      <c r="AJ25" s="212" t="s">
        <v>50</v>
      </c>
      <c r="AK25" s="212" t="s">
        <v>51</v>
      </c>
      <c r="AL25" s="212" t="s">
        <v>52</v>
      </c>
      <c r="AM25" s="212" t="s">
        <v>53</v>
      </c>
      <c r="AN25" s="212" t="s">
        <v>54</v>
      </c>
      <c r="AO25" s="212" t="s">
        <v>55</v>
      </c>
    </row>
    <row r="26" spans="2:41" x14ac:dyDescent="0.2">
      <c r="B26" s="245">
        <f t="shared" si="9"/>
        <v>42917</v>
      </c>
      <c r="C26" s="462">
        <v>3.0379901834204324</v>
      </c>
      <c r="D26" s="462">
        <v>3.0381848101265816</v>
      </c>
      <c r="E26" s="246">
        <f t="shared" si="0"/>
        <v>2017</v>
      </c>
      <c r="G26" s="241"/>
      <c r="H26" s="242"/>
      <c r="I26" s="242"/>
      <c r="K26" s="35">
        <f t="shared" si="11"/>
        <v>7</v>
      </c>
      <c r="L26" s="264">
        <f t="shared" si="12"/>
        <v>2017</v>
      </c>
      <c r="M26" s="243">
        <f t="shared" si="3"/>
        <v>42917</v>
      </c>
      <c r="N26" s="464">
        <v>25.99</v>
      </c>
      <c r="O26" s="464">
        <v>38.295000000000002</v>
      </c>
      <c r="P26" s="464">
        <v>13.26</v>
      </c>
      <c r="Q26" s="465">
        <v>25.76</v>
      </c>
      <c r="S26" s="261">
        <v>32.499247311827958</v>
      </c>
      <c r="T26" s="263">
        <f t="shared" si="13"/>
        <v>1.1783349821170384</v>
      </c>
      <c r="U26" s="263">
        <f t="shared" si="14"/>
        <v>0.79263374172437417</v>
      </c>
      <c r="W26" s="241"/>
      <c r="X26" s="244"/>
      <c r="Y26" s="244"/>
      <c r="Z26" s="244"/>
      <c r="AA26" s="244"/>
      <c r="AC26" s="212">
        <f>AC8</f>
        <v>2015</v>
      </c>
      <c r="AD26" s="250">
        <f t="shared" ref="AD26:AO39" si="17">SUMIFS($U:$U,$L:$L,$AC26,$K:$K,AD$6)</f>
        <v>0</v>
      </c>
      <c r="AE26" s="250">
        <f t="shared" si="17"/>
        <v>0</v>
      </c>
      <c r="AF26" s="250">
        <f t="shared" si="17"/>
        <v>0</v>
      </c>
      <c r="AG26" s="250">
        <f t="shared" si="17"/>
        <v>0</v>
      </c>
      <c r="AH26" s="250">
        <f t="shared" si="17"/>
        <v>0</v>
      </c>
      <c r="AI26" s="250">
        <f t="shared" si="17"/>
        <v>0</v>
      </c>
      <c r="AJ26" s="250">
        <f t="shared" si="17"/>
        <v>0</v>
      </c>
      <c r="AK26" s="250">
        <f t="shared" si="17"/>
        <v>0</v>
      </c>
      <c r="AL26" s="250">
        <f t="shared" si="17"/>
        <v>0</v>
      </c>
      <c r="AM26" s="250">
        <f t="shared" si="17"/>
        <v>0</v>
      </c>
      <c r="AN26" s="250">
        <f t="shared" si="17"/>
        <v>0</v>
      </c>
      <c r="AO26" s="250">
        <f t="shared" si="17"/>
        <v>0</v>
      </c>
    </row>
    <row r="27" spans="2:41" x14ac:dyDescent="0.2">
      <c r="B27" s="245">
        <f t="shared" si="9"/>
        <v>42948</v>
      </c>
      <c r="C27" s="462">
        <v>3.0630952146736345</v>
      </c>
      <c r="D27" s="462">
        <v>3.0880075949367085</v>
      </c>
      <c r="E27" s="246">
        <f t="shared" si="0"/>
        <v>2017</v>
      </c>
      <c r="G27" s="241"/>
      <c r="H27" s="251" t="s">
        <v>210</v>
      </c>
      <c r="I27" s="251" t="s">
        <v>210</v>
      </c>
      <c r="K27" s="35">
        <f t="shared" si="11"/>
        <v>8</v>
      </c>
      <c r="L27" s="264">
        <f t="shared" si="12"/>
        <v>2017</v>
      </c>
      <c r="M27" s="243">
        <f t="shared" si="3"/>
        <v>42948</v>
      </c>
      <c r="N27" s="464">
        <v>31.074999999999999</v>
      </c>
      <c r="O27" s="464">
        <v>36.914999999999999</v>
      </c>
      <c r="P27" s="464">
        <v>22.23</v>
      </c>
      <c r="Q27" s="465">
        <v>25.754999999999999</v>
      </c>
      <c r="S27" s="261">
        <v>32.234999999999999</v>
      </c>
      <c r="T27" s="263">
        <f t="shared" si="13"/>
        <v>1.1451838064215913</v>
      </c>
      <c r="U27" s="263">
        <f t="shared" si="14"/>
        <v>0.79897626803164257</v>
      </c>
      <c r="W27" s="241"/>
      <c r="X27" s="244"/>
      <c r="Y27" s="244"/>
      <c r="Z27" s="244"/>
      <c r="AA27" s="244"/>
      <c r="AC27" s="212">
        <f>AC26+1</f>
        <v>2016</v>
      </c>
      <c r="AD27" s="250">
        <f t="shared" si="17"/>
        <v>0.96254683280868969</v>
      </c>
      <c r="AE27" s="250">
        <f t="shared" si="17"/>
        <v>0.93763599427253197</v>
      </c>
      <c r="AF27" s="250">
        <f t="shared" si="17"/>
        <v>0.91903513243656154</v>
      </c>
      <c r="AG27" s="250">
        <f t="shared" si="17"/>
        <v>0.91809513223396377</v>
      </c>
      <c r="AH27" s="250">
        <f t="shared" si="17"/>
        <v>0.89431586552864506</v>
      </c>
      <c r="AI27" s="250">
        <f t="shared" si="17"/>
        <v>0.75013621056580715</v>
      </c>
      <c r="AJ27" s="250">
        <f t="shared" si="17"/>
        <v>0.70964650193556289</v>
      </c>
      <c r="AK27" s="250">
        <f t="shared" si="17"/>
        <v>0.75491100902526465</v>
      </c>
      <c r="AL27" s="250">
        <f t="shared" si="17"/>
        <v>0.90861940248163975</v>
      </c>
      <c r="AM27" s="250">
        <f t="shared" si="17"/>
        <v>0.92167837927976692</v>
      </c>
      <c r="AN27" s="250">
        <f t="shared" si="17"/>
        <v>0.94621071950633406</v>
      </c>
      <c r="AO27" s="250">
        <f t="shared" si="17"/>
        <v>0.95631776900035681</v>
      </c>
    </row>
    <row r="28" spans="2:41" x14ac:dyDescent="0.2">
      <c r="B28" s="245">
        <f t="shared" si="9"/>
        <v>42979</v>
      </c>
      <c r="C28" s="462">
        <v>3.0400395737268164</v>
      </c>
      <c r="D28" s="462">
        <v>3.0778810126582274</v>
      </c>
      <c r="E28" s="246">
        <f t="shared" si="0"/>
        <v>2017</v>
      </c>
      <c r="G28" s="241"/>
      <c r="H28" s="253">
        <f>ROUND(AVERAGE(H8:H25)-AVERAGE(C8:C223),2)</f>
        <v>0</v>
      </c>
      <c r="I28" s="253">
        <f>ROUND(AVERAGE(I8:I25)-AVERAGE(D8:D223),2)</f>
        <v>0</v>
      </c>
      <c r="K28" s="35">
        <f t="shared" si="11"/>
        <v>9</v>
      </c>
      <c r="L28" s="264">
        <f t="shared" si="12"/>
        <v>2017</v>
      </c>
      <c r="M28" s="243">
        <f t="shared" si="3"/>
        <v>42979</v>
      </c>
      <c r="N28" s="464">
        <v>27.684999999999999</v>
      </c>
      <c r="O28" s="464">
        <v>28.29</v>
      </c>
      <c r="P28" s="464">
        <v>23.01</v>
      </c>
      <c r="Q28" s="465">
        <v>23.83</v>
      </c>
      <c r="S28" s="261">
        <v>26.307777777777776</v>
      </c>
      <c r="T28" s="263">
        <f t="shared" si="13"/>
        <v>1.0753473835367657</v>
      </c>
      <c r="U28" s="263">
        <f t="shared" si="14"/>
        <v>0.90581577057904294</v>
      </c>
      <c r="W28" s="241"/>
      <c r="X28" s="244"/>
      <c r="Y28" s="244"/>
      <c r="Z28" s="244"/>
      <c r="AA28" s="244"/>
      <c r="AC28" s="212">
        <f t="shared" ref="AC28:AC39" si="18">AC27+1</f>
        <v>2017</v>
      </c>
      <c r="AD28" s="250">
        <f t="shared" si="17"/>
        <v>0.94542223493323119</v>
      </c>
      <c r="AE28" s="250">
        <f t="shared" si="17"/>
        <v>0.97251808390181815</v>
      </c>
      <c r="AF28" s="250">
        <f t="shared" si="17"/>
        <v>0.93084860189968965</v>
      </c>
      <c r="AG28" s="250">
        <f t="shared" si="17"/>
        <v>0.87313432835820881</v>
      </c>
      <c r="AH28" s="250">
        <f t="shared" si="17"/>
        <v>0.86556359875904854</v>
      </c>
      <c r="AI28" s="250">
        <f t="shared" si="17"/>
        <v>0.8074328792487766</v>
      </c>
      <c r="AJ28" s="250">
        <f t="shared" si="17"/>
        <v>0.79263374172437417</v>
      </c>
      <c r="AK28" s="250">
        <f t="shared" si="17"/>
        <v>0.79897626803164257</v>
      </c>
      <c r="AL28" s="250">
        <f t="shared" si="17"/>
        <v>0.90581577057904294</v>
      </c>
      <c r="AM28" s="250">
        <f t="shared" si="17"/>
        <v>0.94549837543234461</v>
      </c>
      <c r="AN28" s="250">
        <f t="shared" si="17"/>
        <v>0.93451122177501877</v>
      </c>
      <c r="AO28" s="250">
        <f t="shared" si="17"/>
        <v>0.95754166224392334</v>
      </c>
    </row>
    <row r="29" spans="2:41" x14ac:dyDescent="0.2">
      <c r="B29" s="245">
        <f t="shared" si="9"/>
        <v>43009</v>
      </c>
      <c r="C29" s="462">
        <v>3.0246691464289372</v>
      </c>
      <c r="D29" s="462">
        <v>3.0452734177215186</v>
      </c>
      <c r="E29" s="246">
        <f t="shared" si="0"/>
        <v>2017</v>
      </c>
      <c r="G29" s="241"/>
      <c r="H29" s="242"/>
      <c r="I29" s="242"/>
      <c r="K29" s="35">
        <f t="shared" si="11"/>
        <v>10</v>
      </c>
      <c r="L29" s="264">
        <f t="shared" si="12"/>
        <v>2017</v>
      </c>
      <c r="M29" s="243">
        <f t="shared" si="3"/>
        <v>43009</v>
      </c>
      <c r="N29" s="464">
        <v>25.2</v>
      </c>
      <c r="O29" s="464">
        <v>26.215</v>
      </c>
      <c r="P29" s="464">
        <v>20.925000000000001</v>
      </c>
      <c r="Q29" s="465">
        <v>23.765000000000001</v>
      </c>
      <c r="S29" s="261">
        <v>25.134892473118281</v>
      </c>
      <c r="T29" s="263">
        <f t="shared" si="13"/>
        <v>1.0429724347552667</v>
      </c>
      <c r="U29" s="263">
        <f t="shared" si="14"/>
        <v>0.94549837543234461</v>
      </c>
      <c r="W29" s="241"/>
      <c r="X29" s="244"/>
      <c r="Y29" s="244"/>
      <c r="Z29" s="244"/>
      <c r="AA29" s="244"/>
      <c r="AC29" s="212">
        <f t="shared" si="18"/>
        <v>2018</v>
      </c>
      <c r="AD29" s="250">
        <f t="shared" si="17"/>
        <v>0.94587722484562309</v>
      </c>
      <c r="AE29" s="250">
        <f t="shared" si="17"/>
        <v>0.96716826265389877</v>
      </c>
      <c r="AF29" s="250">
        <f t="shared" si="17"/>
        <v>0.93111413281063293</v>
      </c>
      <c r="AG29" s="250">
        <f t="shared" si="17"/>
        <v>0.91682614456057698</v>
      </c>
      <c r="AH29" s="250">
        <f t="shared" si="17"/>
        <v>0.86030113347995252</v>
      </c>
      <c r="AI29" s="250">
        <f t="shared" si="17"/>
        <v>0.85306738224492074</v>
      </c>
      <c r="AJ29" s="250">
        <f t="shared" si="17"/>
        <v>0.79453505613217534</v>
      </c>
      <c r="AK29" s="250">
        <f t="shared" si="17"/>
        <v>0.80996974181151582</v>
      </c>
      <c r="AL29" s="250">
        <f t="shared" si="17"/>
        <v>0.86982707580490382</v>
      </c>
      <c r="AM29" s="250">
        <f t="shared" si="17"/>
        <v>0.94569225611800201</v>
      </c>
      <c r="AN29" s="250">
        <f t="shared" si="17"/>
        <v>0.93911112744146008</v>
      </c>
      <c r="AO29" s="250">
        <f t="shared" si="17"/>
        <v>0.95957363162306331</v>
      </c>
    </row>
    <row r="30" spans="2:41" x14ac:dyDescent="0.2">
      <c r="B30" s="245">
        <f t="shared" si="9"/>
        <v>43040</v>
      </c>
      <c r="C30" s="462">
        <v>3.0876878983502407</v>
      </c>
      <c r="D30" s="462">
        <v>3.1196025316455689</v>
      </c>
      <c r="E30" s="246">
        <f t="shared" si="0"/>
        <v>2017</v>
      </c>
      <c r="G30" s="241"/>
      <c r="K30" s="35">
        <f t="shared" si="11"/>
        <v>11</v>
      </c>
      <c r="L30" s="264">
        <f t="shared" si="12"/>
        <v>2017</v>
      </c>
      <c r="M30" s="243">
        <f t="shared" si="3"/>
        <v>43040</v>
      </c>
      <c r="N30" s="464">
        <v>27.44</v>
      </c>
      <c r="O30" s="464">
        <v>25.947500000000002</v>
      </c>
      <c r="P30" s="464">
        <v>23.58</v>
      </c>
      <c r="Q30" s="465">
        <v>23.037500000000001</v>
      </c>
      <c r="S30" s="261">
        <v>24.651924410540918</v>
      </c>
      <c r="T30" s="263">
        <f t="shared" si="13"/>
        <v>1.0525547445255474</v>
      </c>
      <c r="U30" s="263">
        <f t="shared" si="14"/>
        <v>0.93451122177501877</v>
      </c>
      <c r="W30" s="241"/>
      <c r="X30" s="244"/>
      <c r="Y30" s="244"/>
      <c r="Z30" s="244"/>
      <c r="AA30" s="244"/>
      <c r="AC30" s="212">
        <f t="shared" si="18"/>
        <v>2019</v>
      </c>
      <c r="AD30" s="250">
        <f t="shared" si="17"/>
        <v>0.97233584655170469</v>
      </c>
      <c r="AE30" s="250">
        <f t="shared" si="17"/>
        <v>0.95463137996219283</v>
      </c>
      <c r="AF30" s="250">
        <f t="shared" si="17"/>
        <v>0.9668389133328309</v>
      </c>
      <c r="AG30" s="250">
        <f t="shared" si="17"/>
        <v>0.81185350330371098</v>
      </c>
      <c r="AH30" s="250">
        <f t="shared" si="17"/>
        <v>0.63680746767754115</v>
      </c>
      <c r="AI30" s="250">
        <f t="shared" si="17"/>
        <v>0.62030960530034229</v>
      </c>
      <c r="AJ30" s="250">
        <f t="shared" si="17"/>
        <v>0.83745893244303726</v>
      </c>
      <c r="AK30" s="250">
        <f t="shared" si="17"/>
        <v>0.84811447957896569</v>
      </c>
      <c r="AL30" s="250">
        <f t="shared" si="17"/>
        <v>0.83081269528448398</v>
      </c>
      <c r="AM30" s="250">
        <f t="shared" si="17"/>
        <v>0.93713115741298314</v>
      </c>
      <c r="AN30" s="250">
        <f t="shared" si="17"/>
        <v>0.92906879145042498</v>
      </c>
      <c r="AO30" s="250">
        <f t="shared" si="17"/>
        <v>0.95144964542930266</v>
      </c>
    </row>
    <row r="31" spans="2:41" x14ac:dyDescent="0.2">
      <c r="B31" s="247">
        <f t="shared" si="9"/>
        <v>43070</v>
      </c>
      <c r="C31" s="463">
        <v>3.3576950712163134</v>
      </c>
      <c r="D31" s="463">
        <v>3.3619316455696198</v>
      </c>
      <c r="E31" s="248">
        <f t="shared" si="0"/>
        <v>2017</v>
      </c>
      <c r="G31" s="241"/>
      <c r="K31" s="35">
        <f t="shared" si="11"/>
        <v>12</v>
      </c>
      <c r="L31" s="264">
        <f t="shared" si="12"/>
        <v>2017</v>
      </c>
      <c r="M31" s="249">
        <f t="shared" si="3"/>
        <v>43070</v>
      </c>
      <c r="N31" s="466">
        <v>32.11</v>
      </c>
      <c r="O31" s="466">
        <v>28.087499999999999</v>
      </c>
      <c r="P31" s="466">
        <v>25.995000000000001</v>
      </c>
      <c r="Q31" s="467">
        <v>25.947500000000002</v>
      </c>
      <c r="S31" s="261">
        <v>27.098037634408598</v>
      </c>
      <c r="T31" s="263">
        <f t="shared" si="13"/>
        <v>1.0365141704702261</v>
      </c>
      <c r="U31" s="263">
        <f t="shared" si="14"/>
        <v>0.95754166224392334</v>
      </c>
      <c r="W31" s="241"/>
      <c r="X31" s="244"/>
      <c r="Y31" s="244"/>
      <c r="Z31" s="244"/>
      <c r="AA31" s="244"/>
      <c r="AC31" s="212">
        <f t="shared" si="18"/>
        <v>2020</v>
      </c>
      <c r="AD31" s="250">
        <f t="shared" si="17"/>
        <v>0.93782701952567893</v>
      </c>
      <c r="AE31" s="250">
        <f t="shared" si="17"/>
        <v>0.93026416149438629</v>
      </c>
      <c r="AF31" s="250">
        <f t="shared" si="17"/>
        <v>0.9411381758529499</v>
      </c>
      <c r="AG31" s="250">
        <f t="shared" si="17"/>
        <v>0.84925315809688151</v>
      </c>
      <c r="AH31" s="250">
        <f t="shared" si="17"/>
        <v>0.71426510249608766</v>
      </c>
      <c r="AI31" s="250">
        <f t="shared" si="17"/>
        <v>0.67920210689984584</v>
      </c>
      <c r="AJ31" s="250">
        <f t="shared" si="17"/>
        <v>0.77136222283227496</v>
      </c>
      <c r="AK31" s="250">
        <f t="shared" si="17"/>
        <v>0.785197934595525</v>
      </c>
      <c r="AL31" s="250">
        <f t="shared" si="17"/>
        <v>0.75053557926573122</v>
      </c>
      <c r="AM31" s="250">
        <f t="shared" si="17"/>
        <v>0.94616910288055611</v>
      </c>
      <c r="AN31" s="250">
        <f t="shared" si="17"/>
        <v>0.94044099409862414</v>
      </c>
      <c r="AO31" s="250">
        <f t="shared" si="17"/>
        <v>0.95756753852810583</v>
      </c>
    </row>
    <row r="32" spans="2:41" x14ac:dyDescent="0.2">
      <c r="B32" s="239">
        <f t="shared" si="9"/>
        <v>43101</v>
      </c>
      <c r="C32" s="462">
        <v>3.4232755610205965</v>
      </c>
      <c r="D32" s="462">
        <v>3.3685139240506325</v>
      </c>
      <c r="E32" s="240">
        <f t="shared" si="0"/>
        <v>2018</v>
      </c>
      <c r="K32" s="35">
        <f t="shared" si="11"/>
        <v>1</v>
      </c>
      <c r="L32" s="264">
        <f t="shared" si="12"/>
        <v>2018</v>
      </c>
      <c r="M32" s="243">
        <f t="shared" si="3"/>
        <v>43101</v>
      </c>
      <c r="N32" s="468">
        <v>30.2225</v>
      </c>
      <c r="O32" s="468">
        <v>28.087499999999999</v>
      </c>
      <c r="P32" s="468">
        <v>25.125</v>
      </c>
      <c r="Q32" s="469">
        <v>25.48</v>
      </c>
      <c r="S32" s="261">
        <v>26.937956989247308</v>
      </c>
      <c r="T32" s="263">
        <f t="shared" si="13"/>
        <v>1.0426737265640282</v>
      </c>
      <c r="U32" s="263">
        <f t="shared" si="14"/>
        <v>0.94587722484562309</v>
      </c>
      <c r="W32" s="241"/>
      <c r="X32" s="244"/>
      <c r="Y32" s="244"/>
      <c r="Z32" s="244"/>
      <c r="AA32" s="244"/>
      <c r="AC32" s="212">
        <f t="shared" si="18"/>
        <v>2021</v>
      </c>
      <c r="AD32" s="250">
        <f t="shared" si="17"/>
        <v>0.9568085356596856</v>
      </c>
      <c r="AE32" s="250">
        <f t="shared" si="17"/>
        <v>0.94902148063462655</v>
      </c>
      <c r="AF32" s="250">
        <f t="shared" si="17"/>
        <v>0.95839845749358332</v>
      </c>
      <c r="AG32" s="250">
        <f t="shared" si="17"/>
        <v>0.86114305739966523</v>
      </c>
      <c r="AH32" s="250">
        <f t="shared" si="17"/>
        <v>0.73605884453922876</v>
      </c>
      <c r="AI32" s="250">
        <f t="shared" si="17"/>
        <v>0.70149071994673817</v>
      </c>
      <c r="AJ32" s="250">
        <f t="shared" si="17"/>
        <v>0.78125226883506804</v>
      </c>
      <c r="AK32" s="250">
        <f t="shared" si="17"/>
        <v>0.79462644686075057</v>
      </c>
      <c r="AL32" s="250">
        <f t="shared" si="17"/>
        <v>0.76283117500297015</v>
      </c>
      <c r="AM32" s="250">
        <f t="shared" si="17"/>
        <v>0.96142140282621513</v>
      </c>
      <c r="AN32" s="250">
        <f t="shared" si="17"/>
        <v>0.95225173294930454</v>
      </c>
      <c r="AO32" s="250">
        <f t="shared" si="17"/>
        <v>0.96952264973196955</v>
      </c>
    </row>
    <row r="33" spans="2:41" x14ac:dyDescent="0.2">
      <c r="B33" s="245">
        <f t="shared" si="9"/>
        <v>43132</v>
      </c>
      <c r="C33" s="462">
        <v>3.3664049800184443</v>
      </c>
      <c r="D33" s="462">
        <v>3.3151468354430378</v>
      </c>
      <c r="E33" s="246">
        <f t="shared" si="0"/>
        <v>2018</v>
      </c>
      <c r="K33" s="35">
        <f t="shared" si="11"/>
        <v>2</v>
      </c>
      <c r="L33" s="264">
        <f t="shared" si="12"/>
        <v>2018</v>
      </c>
      <c r="M33" s="243">
        <f t="shared" si="3"/>
        <v>43132</v>
      </c>
      <c r="N33" s="464">
        <v>27.285</v>
      </c>
      <c r="O33" s="464">
        <v>26.215</v>
      </c>
      <c r="P33" s="464">
        <v>23.432500000000001</v>
      </c>
      <c r="Q33" s="465">
        <v>24.745000000000001</v>
      </c>
      <c r="S33" s="261">
        <v>25.585000000000001</v>
      </c>
      <c r="T33" s="263">
        <f t="shared" si="13"/>
        <v>1.0246238030095758</v>
      </c>
      <c r="U33" s="263">
        <f t="shared" si="14"/>
        <v>0.96716826265389877</v>
      </c>
      <c r="W33" s="241"/>
      <c r="X33" s="244"/>
      <c r="Y33" s="244"/>
      <c r="Z33" s="244"/>
      <c r="AA33" s="244"/>
      <c r="AC33" s="212">
        <f t="shared" si="18"/>
        <v>2022</v>
      </c>
      <c r="AD33" s="250">
        <f t="shared" si="17"/>
        <v>0.952444790355927</v>
      </c>
      <c r="AE33" s="250">
        <f t="shared" si="17"/>
        <v>0.94451630250854179</v>
      </c>
      <c r="AF33" s="250">
        <f t="shared" si="17"/>
        <v>0.95309527642925151</v>
      </c>
      <c r="AG33" s="250">
        <f t="shared" si="17"/>
        <v>0.88604943443653117</v>
      </c>
      <c r="AH33" s="250">
        <f t="shared" si="17"/>
        <v>0.77107180020811639</v>
      </c>
      <c r="AI33" s="250">
        <f t="shared" si="17"/>
        <v>0.73696685286866204</v>
      </c>
      <c r="AJ33" s="250">
        <f t="shared" si="17"/>
        <v>0.81570015692857945</v>
      </c>
      <c r="AK33" s="250">
        <f t="shared" si="17"/>
        <v>0.81746648437576841</v>
      </c>
      <c r="AL33" s="250">
        <f t="shared" si="17"/>
        <v>0.79564323042140761</v>
      </c>
      <c r="AM33" s="250">
        <f t="shared" si="17"/>
        <v>0.98471367352043815</v>
      </c>
      <c r="AN33" s="250">
        <f t="shared" si="17"/>
        <v>0.97632520558509928</v>
      </c>
      <c r="AO33" s="250">
        <f t="shared" si="17"/>
        <v>0.99094167609884531</v>
      </c>
    </row>
    <row r="34" spans="2:41" x14ac:dyDescent="0.2">
      <c r="B34" s="245">
        <f t="shared" si="9"/>
        <v>43160</v>
      </c>
      <c r="C34" s="462">
        <v>3.1030583256481199</v>
      </c>
      <c r="D34" s="462">
        <v>3.1774253164556958</v>
      </c>
      <c r="E34" s="246">
        <f t="shared" si="0"/>
        <v>2018</v>
      </c>
      <c r="K34" s="35">
        <f t="shared" si="11"/>
        <v>3</v>
      </c>
      <c r="L34" s="264">
        <f t="shared" si="12"/>
        <v>2018</v>
      </c>
      <c r="M34" s="243">
        <f t="shared" si="3"/>
        <v>43160</v>
      </c>
      <c r="N34" s="464">
        <v>24.342500000000001</v>
      </c>
      <c r="O34" s="464">
        <v>25.447500000000002</v>
      </c>
      <c r="P34" s="464">
        <v>19.7925</v>
      </c>
      <c r="Q34" s="465">
        <v>22.574999999999999</v>
      </c>
      <c r="S34" s="261">
        <v>24.245148048452222</v>
      </c>
      <c r="T34" s="263">
        <f t="shared" si="13"/>
        <v>1.0495914460553082</v>
      </c>
      <c r="U34" s="263">
        <f t="shared" si="14"/>
        <v>0.93111413281063293</v>
      </c>
      <c r="W34" s="241"/>
      <c r="X34" s="244"/>
      <c r="Y34" s="244"/>
      <c r="Z34" s="244"/>
      <c r="AA34" s="244"/>
      <c r="AC34" s="212">
        <f t="shared" si="18"/>
        <v>2023</v>
      </c>
      <c r="AD34" s="250">
        <f t="shared" si="17"/>
        <v>0.94839962868874939</v>
      </c>
      <c r="AE34" s="250">
        <f t="shared" si="17"/>
        <v>0.94034885744501395</v>
      </c>
      <c r="AF34" s="250">
        <f t="shared" si="17"/>
        <v>0.94821567316771005</v>
      </c>
      <c r="AG34" s="250">
        <f t="shared" si="17"/>
        <v>0.97716190358619837</v>
      </c>
      <c r="AH34" s="250">
        <f t="shared" si="17"/>
        <v>0.86338890350215169</v>
      </c>
      <c r="AI34" s="250">
        <f t="shared" si="17"/>
        <v>0.84597105476042922</v>
      </c>
      <c r="AJ34" s="250">
        <f t="shared" si="17"/>
        <v>0.84269308576443813</v>
      </c>
      <c r="AK34" s="250">
        <f t="shared" si="17"/>
        <v>0.83562936981329172</v>
      </c>
      <c r="AL34" s="250">
        <f t="shared" si="17"/>
        <v>0.84826156501049332</v>
      </c>
      <c r="AM34" s="250">
        <f t="shared" si="17"/>
        <v>0.95667592529894419</v>
      </c>
      <c r="AN34" s="250">
        <f t="shared" si="17"/>
        <v>0.95340943079829699</v>
      </c>
      <c r="AO34" s="250">
        <f t="shared" si="17"/>
        <v>0.96812033769184414</v>
      </c>
    </row>
    <row r="35" spans="2:41" x14ac:dyDescent="0.2">
      <c r="B35" s="245">
        <f t="shared" si="9"/>
        <v>43191</v>
      </c>
      <c r="C35" s="462">
        <v>2.499512880418076</v>
      </c>
      <c r="D35" s="462">
        <v>2.4420329113924049</v>
      </c>
      <c r="E35" s="246">
        <f t="shared" si="0"/>
        <v>2018</v>
      </c>
      <c r="K35" s="35">
        <f t="shared" si="11"/>
        <v>4</v>
      </c>
      <c r="L35" s="264">
        <f t="shared" si="12"/>
        <v>2018</v>
      </c>
      <c r="M35" s="243">
        <f t="shared" si="3"/>
        <v>43191</v>
      </c>
      <c r="N35" s="464">
        <v>17.785</v>
      </c>
      <c r="O35" s="464">
        <v>20.125</v>
      </c>
      <c r="P35" s="464">
        <v>12.4</v>
      </c>
      <c r="Q35" s="465">
        <v>17.3</v>
      </c>
      <c r="S35" s="261">
        <v>18.869444444444447</v>
      </c>
      <c r="T35" s="263">
        <f t="shared" si="13"/>
        <v>1.0665390843515381</v>
      </c>
      <c r="U35" s="263">
        <f t="shared" si="14"/>
        <v>0.91682614456057698</v>
      </c>
      <c r="X35" s="250"/>
      <c r="Y35" s="250"/>
      <c r="Z35" s="250"/>
      <c r="AA35" s="250"/>
      <c r="AC35" s="212">
        <f t="shared" si="18"/>
        <v>2024</v>
      </c>
      <c r="AD35" s="250">
        <f t="shared" si="17"/>
        <v>0.9457613971208032</v>
      </c>
      <c r="AE35" s="250">
        <f t="shared" si="17"/>
        <v>0.94462769839019323</v>
      </c>
      <c r="AF35" s="250">
        <f t="shared" si="17"/>
        <v>0.96124791990353875</v>
      </c>
      <c r="AG35" s="250">
        <f t="shared" si="17"/>
        <v>0.96125097193407594</v>
      </c>
      <c r="AH35" s="250">
        <f t="shared" si="17"/>
        <v>0.94646099511992898</v>
      </c>
      <c r="AI35" s="250">
        <f t="shared" si="17"/>
        <v>0.94096388353239102</v>
      </c>
      <c r="AJ35" s="250">
        <f t="shared" si="17"/>
        <v>0.86112219777717691</v>
      </c>
      <c r="AK35" s="250">
        <f t="shared" si="17"/>
        <v>0.85006774518203709</v>
      </c>
      <c r="AL35" s="250">
        <f t="shared" si="17"/>
        <v>0.89635960469214693</v>
      </c>
      <c r="AM35" s="250">
        <f t="shared" si="17"/>
        <v>0.93135564701733486</v>
      </c>
      <c r="AN35" s="250">
        <f t="shared" si="17"/>
        <v>0.93566702082668796</v>
      </c>
      <c r="AO35" s="250">
        <f t="shared" si="17"/>
        <v>0.94940100897724733</v>
      </c>
    </row>
    <row r="36" spans="2:41" x14ac:dyDescent="0.2">
      <c r="B36" s="245">
        <f t="shared" si="9"/>
        <v>43221</v>
      </c>
      <c r="C36" s="462">
        <v>2.3622037298903575</v>
      </c>
      <c r="D36" s="462">
        <v>2.3876531645569616</v>
      </c>
      <c r="E36" s="246">
        <f t="shared" si="0"/>
        <v>2018</v>
      </c>
      <c r="K36" s="35">
        <f t="shared" si="11"/>
        <v>5</v>
      </c>
      <c r="L36" s="264">
        <f t="shared" si="12"/>
        <v>2018</v>
      </c>
      <c r="M36" s="243">
        <f t="shared" si="3"/>
        <v>43221</v>
      </c>
      <c r="N36" s="464">
        <v>16.059999999999999</v>
      </c>
      <c r="O36" s="464">
        <v>22.05</v>
      </c>
      <c r="P36" s="464">
        <v>9.4499999999999993</v>
      </c>
      <c r="Q36" s="465">
        <v>17.087499999999999</v>
      </c>
      <c r="S36" s="261">
        <v>19.8622311827957</v>
      </c>
      <c r="T36" s="263">
        <f t="shared" si="13"/>
        <v>1.1101471832177296</v>
      </c>
      <c r="U36" s="263">
        <f t="shared" si="14"/>
        <v>0.86030113347995252</v>
      </c>
      <c r="X36" s="252" t="s">
        <v>210</v>
      </c>
      <c r="Y36" s="252"/>
      <c r="Z36" s="252"/>
      <c r="AA36" s="252"/>
      <c r="AC36" s="212">
        <f t="shared" si="18"/>
        <v>2025</v>
      </c>
      <c r="AD36" s="250">
        <f t="shared" si="17"/>
        <v>0.94518197254316605</v>
      </c>
      <c r="AE36" s="250">
        <f t="shared" si="17"/>
        <v>0.94859112610786844</v>
      </c>
      <c r="AF36" s="250">
        <f t="shared" si="17"/>
        <v>0.97044306840793637</v>
      </c>
      <c r="AG36" s="250">
        <f t="shared" si="17"/>
        <v>0.9472210633932332</v>
      </c>
      <c r="AH36" s="250">
        <f t="shared" si="17"/>
        <v>0.95197187170163056</v>
      </c>
      <c r="AI36" s="250">
        <f t="shared" si="17"/>
        <v>0.92865898044577533</v>
      </c>
      <c r="AJ36" s="250">
        <f t="shared" si="17"/>
        <v>0.86183722506634575</v>
      </c>
      <c r="AK36" s="250">
        <f t="shared" si="17"/>
        <v>0.85062088493210031</v>
      </c>
      <c r="AL36" s="250">
        <f t="shared" si="17"/>
        <v>0.87920074745241694</v>
      </c>
      <c r="AM36" s="250">
        <f t="shared" si="17"/>
        <v>0.92969210340238684</v>
      </c>
      <c r="AN36" s="250">
        <f t="shared" si="17"/>
        <v>0.93927680896974075</v>
      </c>
      <c r="AO36" s="250">
        <f t="shared" si="17"/>
        <v>0.9406955193519706</v>
      </c>
    </row>
    <row r="37" spans="2:41" x14ac:dyDescent="0.2">
      <c r="B37" s="245">
        <f t="shared" si="9"/>
        <v>43252</v>
      </c>
      <c r="C37" s="462">
        <v>2.3857717184137717</v>
      </c>
      <c r="D37" s="462">
        <v>2.4108430379746832</v>
      </c>
      <c r="E37" s="246">
        <f t="shared" si="0"/>
        <v>2018</v>
      </c>
      <c r="K37" s="35">
        <f t="shared" si="11"/>
        <v>6</v>
      </c>
      <c r="L37" s="264">
        <f t="shared" si="12"/>
        <v>2018</v>
      </c>
      <c r="M37" s="243">
        <f t="shared" si="3"/>
        <v>43252</v>
      </c>
      <c r="N37" s="464">
        <v>17.324999999999999</v>
      </c>
      <c r="O37" s="464">
        <v>24.875</v>
      </c>
      <c r="P37" s="464">
        <v>8.4</v>
      </c>
      <c r="Q37" s="465">
        <v>19.162500000000001</v>
      </c>
      <c r="S37" s="261">
        <v>22.463055555555556</v>
      </c>
      <c r="T37" s="263">
        <f t="shared" si="13"/>
        <v>1.1073738360517886</v>
      </c>
      <c r="U37" s="263">
        <f t="shared" si="14"/>
        <v>0.85306738224492074</v>
      </c>
      <c r="X37" s="253">
        <f>ROUND(AVERAGE(X8:X34)-AVERAGE(N8:N223),2)</f>
        <v>0</v>
      </c>
      <c r="Y37" s="253">
        <f>ROUND(AVERAGE(Y8:Y34)-AVERAGE(O8:O223),2)</f>
        <v>0</v>
      </c>
      <c r="Z37" s="253">
        <f>ROUND(AVERAGE(Z8:Z34)-AVERAGE(P8:P223),2)</f>
        <v>0</v>
      </c>
      <c r="AA37" s="253">
        <f>ROUND(AVERAGE(AA8:AA34)-AVERAGE(Q8:Q223),2)</f>
        <v>0</v>
      </c>
      <c r="AC37" s="212">
        <f t="shared" si="18"/>
        <v>2026</v>
      </c>
      <c r="AD37" s="250">
        <f t="shared" si="17"/>
        <v>0.94275989223914869</v>
      </c>
      <c r="AE37" s="250">
        <f t="shared" si="17"/>
        <v>0.9462894200204619</v>
      </c>
      <c r="AF37" s="250">
        <f t="shared" si="17"/>
        <v>0.97241806080112403</v>
      </c>
      <c r="AG37" s="250">
        <f t="shared" si="17"/>
        <v>0.95673578464666365</v>
      </c>
      <c r="AH37" s="250">
        <f t="shared" si="17"/>
        <v>0.95024140943082269</v>
      </c>
      <c r="AI37" s="250">
        <f t="shared" si="17"/>
        <v>0.92151238255218204</v>
      </c>
      <c r="AJ37" s="250">
        <f t="shared" si="17"/>
        <v>0.86308212045954391</v>
      </c>
      <c r="AK37" s="250">
        <f t="shared" si="17"/>
        <v>0.85530557044536948</v>
      </c>
      <c r="AL37" s="250">
        <f t="shared" si="17"/>
        <v>0.88657500834603775</v>
      </c>
      <c r="AM37" s="250">
        <f t="shared" si="17"/>
        <v>0.93418170746457896</v>
      </c>
      <c r="AN37" s="250">
        <f t="shared" si="17"/>
        <v>0.938849443845587</v>
      </c>
      <c r="AO37" s="250">
        <f t="shared" si="17"/>
        <v>0.94250808096398664</v>
      </c>
    </row>
    <row r="38" spans="2:41" x14ac:dyDescent="0.2">
      <c r="B38" s="245">
        <f t="shared" si="9"/>
        <v>43282</v>
      </c>
      <c r="C38" s="462">
        <v>2.4626238549031663</v>
      </c>
      <c r="D38" s="462">
        <v>2.4786911392405062</v>
      </c>
      <c r="E38" s="246">
        <f t="shared" si="0"/>
        <v>2018</v>
      </c>
      <c r="K38" s="35">
        <f t="shared" si="11"/>
        <v>7</v>
      </c>
      <c r="L38" s="264">
        <f t="shared" si="12"/>
        <v>2018</v>
      </c>
      <c r="M38" s="243">
        <f t="shared" si="3"/>
        <v>43282</v>
      </c>
      <c r="N38" s="464">
        <v>25.55</v>
      </c>
      <c r="O38" s="464">
        <v>33.6</v>
      </c>
      <c r="P38" s="464">
        <v>15.324999999999999</v>
      </c>
      <c r="Q38" s="465">
        <v>22.6875</v>
      </c>
      <c r="S38" s="261">
        <v>28.554435483870968</v>
      </c>
      <c r="T38" s="263">
        <f t="shared" si="13"/>
        <v>1.1766998517263292</v>
      </c>
      <c r="U38" s="263">
        <f t="shared" si="14"/>
        <v>0.79453505613217534</v>
      </c>
      <c r="AC38" s="212">
        <f t="shared" si="18"/>
        <v>2027</v>
      </c>
      <c r="AD38" s="250">
        <f t="shared" si="17"/>
        <v>0.95472289376269892</v>
      </c>
      <c r="AE38" s="250">
        <f t="shared" si="17"/>
        <v>0.95024730360561882</v>
      </c>
      <c r="AF38" s="250">
        <f t="shared" si="17"/>
        <v>0.97874093542521945</v>
      </c>
      <c r="AG38" s="250">
        <f t="shared" si="17"/>
        <v>0.95344238708422668</v>
      </c>
      <c r="AH38" s="250">
        <f t="shared" si="17"/>
        <v>0.95656574037586162</v>
      </c>
      <c r="AI38" s="250">
        <f t="shared" si="17"/>
        <v>0.92863734469739789</v>
      </c>
      <c r="AJ38" s="250">
        <f t="shared" si="17"/>
        <v>0.87202814444205645</v>
      </c>
      <c r="AK38" s="250">
        <f t="shared" si="17"/>
        <v>0.85966125559455975</v>
      </c>
      <c r="AL38" s="250">
        <f t="shared" si="17"/>
        <v>0.89641287329206587</v>
      </c>
      <c r="AM38" s="250">
        <f t="shared" si="17"/>
        <v>0.93746541906734515</v>
      </c>
      <c r="AN38" s="250">
        <f t="shared" si="17"/>
        <v>0.93195186279921838</v>
      </c>
      <c r="AO38" s="250">
        <f t="shared" si="17"/>
        <v>0.95140558626219807</v>
      </c>
    </row>
    <row r="39" spans="2:41" x14ac:dyDescent="0.2">
      <c r="B39" s="245">
        <f t="shared" si="9"/>
        <v>43313</v>
      </c>
      <c r="C39" s="462">
        <v>2.4656979403627419</v>
      </c>
      <c r="D39" s="462">
        <v>2.494286075949367</v>
      </c>
      <c r="E39" s="246">
        <f t="shared" si="0"/>
        <v>2018</v>
      </c>
      <c r="K39" s="35">
        <f t="shared" si="11"/>
        <v>8</v>
      </c>
      <c r="L39" s="264">
        <f t="shared" si="12"/>
        <v>2018</v>
      </c>
      <c r="M39" s="243">
        <f t="shared" si="3"/>
        <v>43313</v>
      </c>
      <c r="N39" s="464">
        <v>29</v>
      </c>
      <c r="O39" s="464">
        <v>33.22</v>
      </c>
      <c r="P39" s="464">
        <v>21.65</v>
      </c>
      <c r="Q39" s="465">
        <v>23.66</v>
      </c>
      <c r="S39" s="261">
        <v>29.210967741935484</v>
      </c>
      <c r="T39" s="263">
        <f t="shared" si="13"/>
        <v>1.1372440753583497</v>
      </c>
      <c r="U39" s="263">
        <f t="shared" si="14"/>
        <v>0.80996974181151582</v>
      </c>
      <c r="AC39" s="212">
        <f t="shared" si="18"/>
        <v>2028</v>
      </c>
      <c r="AD39" s="250">
        <f t="shared" si="17"/>
        <v>0.95611433083871655</v>
      </c>
      <c r="AE39" s="250">
        <f t="shared" si="17"/>
        <v>0.95337981286228346</v>
      </c>
      <c r="AF39" s="250">
        <f t="shared" si="17"/>
        <v>0.97575374197763676</v>
      </c>
      <c r="AG39" s="250">
        <f t="shared" si="17"/>
        <v>0.95745110510732867</v>
      </c>
      <c r="AH39" s="250">
        <f t="shared" si="17"/>
        <v>0.95395129974239823</v>
      </c>
      <c r="AI39" s="250">
        <f t="shared" si="17"/>
        <v>0.928275170821658</v>
      </c>
      <c r="AJ39" s="250">
        <f t="shared" si="17"/>
        <v>0.88094088014959004</v>
      </c>
      <c r="AK39" s="250">
        <f t="shared" si="17"/>
        <v>0.85756558257600524</v>
      </c>
      <c r="AL39" s="250">
        <f t="shared" si="17"/>
        <v>0.91040089743113439</v>
      </c>
      <c r="AM39" s="250">
        <f t="shared" si="17"/>
        <v>0.94078580942586254</v>
      </c>
      <c r="AN39" s="250">
        <f t="shared" si="17"/>
        <v>0.93665253711126051</v>
      </c>
      <c r="AO39" s="250">
        <f t="shared" si="17"/>
        <v>0.96062154918259468</v>
      </c>
    </row>
    <row r="40" spans="2:41" x14ac:dyDescent="0.2">
      <c r="B40" s="245">
        <f t="shared" si="9"/>
        <v>43344</v>
      </c>
      <c r="C40" s="462">
        <v>2.4462287324520955</v>
      </c>
      <c r="D40" s="462">
        <v>2.4751468354430375</v>
      </c>
      <c r="E40" s="246">
        <f t="shared" si="0"/>
        <v>2018</v>
      </c>
      <c r="K40" s="35">
        <f t="shared" si="11"/>
        <v>9</v>
      </c>
      <c r="L40" s="264">
        <f t="shared" si="12"/>
        <v>2018</v>
      </c>
      <c r="M40" s="243">
        <f t="shared" si="3"/>
        <v>43344</v>
      </c>
      <c r="N40" s="464">
        <v>25.55</v>
      </c>
      <c r="O40" s="464">
        <v>27.28</v>
      </c>
      <c r="P40" s="464">
        <v>21.175000000000001</v>
      </c>
      <c r="Q40" s="465">
        <v>21.302499999999998</v>
      </c>
      <c r="S40" s="261">
        <v>24.490500000000001</v>
      </c>
      <c r="T40" s="263">
        <f t="shared" si="13"/>
        <v>1.113901308670709</v>
      </c>
      <c r="U40" s="263">
        <f t="shared" si="14"/>
        <v>0.86982707580490382</v>
      </c>
    </row>
    <row r="41" spans="2:41" x14ac:dyDescent="0.2">
      <c r="B41" s="245">
        <f t="shared" si="9"/>
        <v>43374</v>
      </c>
      <c r="C41" s="462">
        <v>2.4031915360180345</v>
      </c>
      <c r="D41" s="462">
        <v>2.488210126582278</v>
      </c>
      <c r="E41" s="246">
        <f t="shared" si="0"/>
        <v>2018</v>
      </c>
      <c r="K41" s="35">
        <f t="shared" si="11"/>
        <v>10</v>
      </c>
      <c r="L41" s="264">
        <f t="shared" si="12"/>
        <v>2018</v>
      </c>
      <c r="M41" s="243">
        <f t="shared" si="3"/>
        <v>43374</v>
      </c>
      <c r="N41" s="464">
        <v>24.047499999999999</v>
      </c>
      <c r="O41" s="464">
        <v>24.5</v>
      </c>
      <c r="P41" s="464">
        <v>19.574999999999999</v>
      </c>
      <c r="Q41" s="465">
        <v>22.295000000000002</v>
      </c>
      <c r="S41" s="261">
        <v>23.575322580645164</v>
      </c>
      <c r="T41" s="263">
        <f t="shared" si="13"/>
        <v>1.0392222594703318</v>
      </c>
      <c r="U41" s="263">
        <f t="shared" si="14"/>
        <v>0.94569225611800201</v>
      </c>
    </row>
    <row r="42" spans="2:41" x14ac:dyDescent="0.2">
      <c r="B42" s="245">
        <f t="shared" si="9"/>
        <v>43405</v>
      </c>
      <c r="C42" s="462">
        <v>2.6265750794138745</v>
      </c>
      <c r="D42" s="462">
        <v>2.7124126582278478</v>
      </c>
      <c r="E42" s="246">
        <f t="shared" si="0"/>
        <v>2018</v>
      </c>
      <c r="K42" s="35">
        <f t="shared" si="11"/>
        <v>11</v>
      </c>
      <c r="L42" s="264">
        <f t="shared" si="12"/>
        <v>2018</v>
      </c>
      <c r="M42" s="243">
        <f t="shared" si="3"/>
        <v>43405</v>
      </c>
      <c r="N42" s="464">
        <v>25.592500000000001</v>
      </c>
      <c r="O42" s="464">
        <v>24.25</v>
      </c>
      <c r="P42" s="464">
        <v>22.47</v>
      </c>
      <c r="Q42" s="465">
        <v>21.712499999999999</v>
      </c>
      <c r="S42" s="261">
        <v>23.12026699029126</v>
      </c>
      <c r="T42" s="263">
        <f t="shared" si="13"/>
        <v>1.0488633202282285</v>
      </c>
      <c r="U42" s="263">
        <f t="shared" si="14"/>
        <v>0.93911112744146008</v>
      </c>
    </row>
    <row r="43" spans="2:41" x14ac:dyDescent="0.2">
      <c r="B43" s="247">
        <f t="shared" si="9"/>
        <v>43435</v>
      </c>
      <c r="C43" s="463">
        <v>2.8658413976841892</v>
      </c>
      <c r="D43" s="463">
        <v>2.8617797468354427</v>
      </c>
      <c r="E43" s="248">
        <f t="shared" si="0"/>
        <v>2018</v>
      </c>
      <c r="K43" s="35">
        <f t="shared" si="11"/>
        <v>12</v>
      </c>
      <c r="L43" s="264">
        <f t="shared" si="12"/>
        <v>2018</v>
      </c>
      <c r="M43" s="249">
        <f t="shared" si="3"/>
        <v>43435</v>
      </c>
      <c r="N43" s="466">
        <v>28.66</v>
      </c>
      <c r="O43" s="466">
        <v>26.25</v>
      </c>
      <c r="P43" s="466">
        <v>23.055</v>
      </c>
      <c r="Q43" s="467">
        <v>24.342500000000001</v>
      </c>
      <c r="S43" s="261">
        <v>25.368037634408598</v>
      </c>
      <c r="T43" s="263">
        <f t="shared" si="13"/>
        <v>1.0347666768041659</v>
      </c>
      <c r="U43" s="263">
        <f t="shared" si="14"/>
        <v>0.95957363162306331</v>
      </c>
    </row>
    <row r="44" spans="2:41" x14ac:dyDescent="0.2">
      <c r="B44" s="239">
        <f t="shared" si="9"/>
        <v>43466</v>
      </c>
      <c r="C44" s="462">
        <v>2.9088785941182498</v>
      </c>
      <c r="D44" s="462">
        <v>2.944210126582278</v>
      </c>
      <c r="E44" s="240">
        <f t="shared" si="0"/>
        <v>2019</v>
      </c>
      <c r="K44" s="35">
        <f t="shared" si="11"/>
        <v>1</v>
      </c>
      <c r="L44" s="264">
        <f t="shared" si="12"/>
        <v>2019</v>
      </c>
      <c r="M44" s="243">
        <f t="shared" si="3"/>
        <v>43466</v>
      </c>
      <c r="N44" s="468">
        <v>29.137499999999999</v>
      </c>
      <c r="O44" s="468">
        <v>27.344000000000001</v>
      </c>
      <c r="P44" s="468">
        <v>24.745999999999999</v>
      </c>
      <c r="Q44" s="469">
        <v>26.02</v>
      </c>
      <c r="S44" s="261">
        <v>26.760301075268817</v>
      </c>
      <c r="T44" s="263">
        <f t="shared" si="13"/>
        <v>1.0218121209880791</v>
      </c>
      <c r="U44" s="263">
        <f t="shared" si="14"/>
        <v>0.97233584655170469</v>
      </c>
    </row>
    <row r="45" spans="2:41" x14ac:dyDescent="0.2">
      <c r="B45" s="245">
        <f t="shared" si="9"/>
        <v>43497</v>
      </c>
      <c r="C45" s="462">
        <v>2.8919711240905834</v>
      </c>
      <c r="D45" s="462">
        <v>2.9175772151898731</v>
      </c>
      <c r="E45" s="246">
        <f t="shared" si="0"/>
        <v>2019</v>
      </c>
      <c r="K45" s="35">
        <f t="shared" si="11"/>
        <v>2</v>
      </c>
      <c r="L45" s="264">
        <f t="shared" si="12"/>
        <v>2019</v>
      </c>
      <c r="M45" s="243">
        <f t="shared" si="3"/>
        <v>43497</v>
      </c>
      <c r="N45" s="464">
        <v>28.305</v>
      </c>
      <c r="O45" s="464">
        <v>27.896999999999998</v>
      </c>
      <c r="P45" s="464">
        <v>24.0365</v>
      </c>
      <c r="Q45" s="465">
        <v>25.754999999999999</v>
      </c>
      <c r="S45" s="261">
        <v>26.978999999999999</v>
      </c>
      <c r="T45" s="263">
        <f t="shared" si="13"/>
        <v>1.0340264650283553</v>
      </c>
      <c r="U45" s="263">
        <f t="shared" si="14"/>
        <v>0.95463137996219283</v>
      </c>
    </row>
    <row r="46" spans="2:41" x14ac:dyDescent="0.2">
      <c r="B46" s="245">
        <f t="shared" si="9"/>
        <v>43525</v>
      </c>
      <c r="C46" s="462">
        <v>2.7669583154011681</v>
      </c>
      <c r="D46" s="462">
        <v>2.8451721518987338</v>
      </c>
      <c r="E46" s="246">
        <f t="shared" si="0"/>
        <v>2019</v>
      </c>
      <c r="K46" s="35">
        <f t="shared" si="11"/>
        <v>3</v>
      </c>
      <c r="L46" s="264">
        <f t="shared" si="12"/>
        <v>2019</v>
      </c>
      <c r="M46" s="243">
        <f t="shared" si="3"/>
        <v>43525</v>
      </c>
      <c r="N46" s="464">
        <v>25.807500000000001</v>
      </c>
      <c r="O46" s="464">
        <v>25.709</v>
      </c>
      <c r="P46" s="464">
        <v>22.6175</v>
      </c>
      <c r="Q46" s="465">
        <v>24.225000000000001</v>
      </c>
      <c r="S46" s="261">
        <v>25.055880215343205</v>
      </c>
      <c r="T46" s="263">
        <f t="shared" si="13"/>
        <v>1.0260665272600102</v>
      </c>
      <c r="U46" s="263">
        <f t="shared" si="14"/>
        <v>0.9668389133328309</v>
      </c>
    </row>
    <row r="47" spans="2:41" x14ac:dyDescent="0.2">
      <c r="B47" s="245">
        <f t="shared" si="9"/>
        <v>43556</v>
      </c>
      <c r="C47" s="462">
        <v>2.2945738497796904</v>
      </c>
      <c r="D47" s="462">
        <v>2.2182354430379743</v>
      </c>
      <c r="E47" s="246">
        <f t="shared" si="0"/>
        <v>2019</v>
      </c>
      <c r="K47" s="35">
        <f t="shared" si="11"/>
        <v>4</v>
      </c>
      <c r="L47" s="264">
        <f t="shared" si="12"/>
        <v>2019</v>
      </c>
      <c r="M47" s="243">
        <f t="shared" si="3"/>
        <v>43556</v>
      </c>
      <c r="N47" s="464">
        <v>21.35</v>
      </c>
      <c r="O47" s="464">
        <v>20.295000000000002</v>
      </c>
      <c r="P47" s="464">
        <v>14.933</v>
      </c>
      <c r="Q47" s="465">
        <v>14.484999999999999</v>
      </c>
      <c r="S47" s="261">
        <v>17.841888888888889</v>
      </c>
      <c r="T47" s="263">
        <f t="shared" si="13"/>
        <v>1.1374916706626728</v>
      </c>
      <c r="U47" s="263">
        <f t="shared" si="14"/>
        <v>0.81185350330371098</v>
      </c>
    </row>
    <row r="48" spans="2:41" x14ac:dyDescent="0.2">
      <c r="B48" s="245">
        <f t="shared" si="9"/>
        <v>43586</v>
      </c>
      <c r="C48" s="462">
        <v>2.1977401578030538</v>
      </c>
      <c r="D48" s="462">
        <v>2.1861341772151897</v>
      </c>
      <c r="E48" s="246">
        <f t="shared" si="0"/>
        <v>2019</v>
      </c>
      <c r="K48" s="35">
        <f t="shared" si="11"/>
        <v>5</v>
      </c>
      <c r="L48" s="264">
        <f t="shared" si="12"/>
        <v>2019</v>
      </c>
      <c r="M48" s="243">
        <f t="shared" si="3"/>
        <v>43586</v>
      </c>
      <c r="N48" s="464">
        <v>16.45</v>
      </c>
      <c r="O48" s="464">
        <v>20.988</v>
      </c>
      <c r="P48" s="464">
        <v>9.2650000000000006</v>
      </c>
      <c r="Q48" s="465">
        <v>10.39</v>
      </c>
      <c r="S48" s="261">
        <v>16.315763440860216</v>
      </c>
      <c r="T48" s="263">
        <f t="shared" si="13"/>
        <v>1.2863633427927077</v>
      </c>
      <c r="U48" s="263">
        <f t="shared" si="14"/>
        <v>0.63680746767754115</v>
      </c>
    </row>
    <row r="49" spans="2:21" x14ac:dyDescent="0.2">
      <c r="B49" s="245">
        <f t="shared" si="9"/>
        <v>43617</v>
      </c>
      <c r="C49" s="462">
        <v>2.2151599754073161</v>
      </c>
      <c r="D49" s="462">
        <v>2.2182354430379743</v>
      </c>
      <c r="E49" s="246">
        <f t="shared" si="0"/>
        <v>2019</v>
      </c>
      <c r="K49" s="35">
        <f t="shared" si="11"/>
        <v>6</v>
      </c>
      <c r="L49" s="264">
        <f t="shared" si="12"/>
        <v>2019</v>
      </c>
      <c r="M49" s="243">
        <f t="shared" si="3"/>
        <v>43617</v>
      </c>
      <c r="N49" s="464">
        <v>15.75</v>
      </c>
      <c r="O49" s="464">
        <v>23.067</v>
      </c>
      <c r="P49" s="464">
        <v>8.5020000000000007</v>
      </c>
      <c r="Q49" s="465">
        <v>10.975</v>
      </c>
      <c r="S49" s="261">
        <v>17.692777777777778</v>
      </c>
      <c r="T49" s="263">
        <f t="shared" si="13"/>
        <v>1.3037523157597262</v>
      </c>
      <c r="U49" s="263">
        <f t="shared" si="14"/>
        <v>0.62030960530034229</v>
      </c>
    </row>
    <row r="50" spans="2:21" x14ac:dyDescent="0.2">
      <c r="B50" s="245">
        <f t="shared" si="9"/>
        <v>43647</v>
      </c>
      <c r="C50" s="462">
        <v>2.2792034224818116</v>
      </c>
      <c r="D50" s="462">
        <v>2.3062354430379743</v>
      </c>
      <c r="E50" s="246">
        <f t="shared" si="0"/>
        <v>2019</v>
      </c>
      <c r="K50" s="35">
        <f t="shared" si="11"/>
        <v>7</v>
      </c>
      <c r="L50" s="264">
        <f t="shared" si="12"/>
        <v>2019</v>
      </c>
      <c r="M50" s="243">
        <f t="shared" si="3"/>
        <v>43647</v>
      </c>
      <c r="N50" s="464">
        <v>27.05</v>
      </c>
      <c r="O50" s="464">
        <v>34.200000000000003</v>
      </c>
      <c r="P50" s="464">
        <v>15.875</v>
      </c>
      <c r="Q50" s="465">
        <v>25.387499999999999</v>
      </c>
      <c r="S50" s="261">
        <v>30.314919354838715</v>
      </c>
      <c r="T50" s="263">
        <f t="shared" si="13"/>
        <v>1.1281573801891434</v>
      </c>
      <c r="U50" s="263">
        <f t="shared" si="14"/>
        <v>0.83745893244303726</v>
      </c>
    </row>
    <row r="51" spans="2:21" x14ac:dyDescent="0.2">
      <c r="B51" s="245">
        <f t="shared" si="9"/>
        <v>43678</v>
      </c>
      <c r="C51" s="462">
        <v>2.2914997643201147</v>
      </c>
      <c r="D51" s="462">
        <v>2.3284126582278479</v>
      </c>
      <c r="E51" s="246">
        <f t="shared" si="0"/>
        <v>2019</v>
      </c>
      <c r="K51" s="35">
        <f t="shared" si="11"/>
        <v>8</v>
      </c>
      <c r="L51" s="264">
        <f t="shared" si="12"/>
        <v>2019</v>
      </c>
      <c r="M51" s="243">
        <f t="shared" si="3"/>
        <v>43678</v>
      </c>
      <c r="N51" s="464">
        <v>30.2</v>
      </c>
      <c r="O51" s="464">
        <v>32.92</v>
      </c>
      <c r="P51" s="464">
        <v>17.8</v>
      </c>
      <c r="Q51" s="465">
        <v>25.16</v>
      </c>
      <c r="S51" s="261">
        <v>29.665806451612905</v>
      </c>
      <c r="T51" s="263">
        <f t="shared" si="13"/>
        <v>1.1096950980818581</v>
      </c>
      <c r="U51" s="263">
        <f t="shared" si="14"/>
        <v>0.84811447957896569</v>
      </c>
    </row>
    <row r="52" spans="2:21" x14ac:dyDescent="0.2">
      <c r="B52" s="245">
        <f t="shared" si="9"/>
        <v>43709</v>
      </c>
      <c r="C52" s="462">
        <v>2.2822775079413873</v>
      </c>
      <c r="D52" s="462">
        <v>2.3343873417721515</v>
      </c>
      <c r="E52" s="246">
        <f t="shared" si="0"/>
        <v>2019</v>
      </c>
      <c r="K52" s="35">
        <f t="shared" si="11"/>
        <v>9</v>
      </c>
      <c r="L52" s="264">
        <f t="shared" si="12"/>
        <v>2019</v>
      </c>
      <c r="M52" s="243">
        <f t="shared" si="3"/>
        <v>43709</v>
      </c>
      <c r="N52" s="464">
        <v>27.05</v>
      </c>
      <c r="O52" s="464">
        <v>30.68</v>
      </c>
      <c r="P52" s="464">
        <v>19.725000000000001</v>
      </c>
      <c r="Q52" s="465">
        <v>22.202500000000001</v>
      </c>
      <c r="S52" s="261">
        <v>26.723833333333332</v>
      </c>
      <c r="T52" s="263">
        <f t="shared" si="13"/>
        <v>1.1480388916260766</v>
      </c>
      <c r="U52" s="263">
        <f t="shared" si="14"/>
        <v>0.83081269528448398</v>
      </c>
    </row>
    <row r="53" spans="2:21" x14ac:dyDescent="0.2">
      <c r="B53" s="245">
        <f t="shared" si="9"/>
        <v>43739</v>
      </c>
      <c r="C53" s="462">
        <v>2.3232653140690647</v>
      </c>
      <c r="D53" s="462">
        <v>2.3595012658227845</v>
      </c>
      <c r="E53" s="246">
        <f t="shared" si="0"/>
        <v>2019</v>
      </c>
      <c r="K53" s="35">
        <f t="shared" si="11"/>
        <v>10</v>
      </c>
      <c r="L53" s="264">
        <f t="shared" si="12"/>
        <v>2019</v>
      </c>
      <c r="M53" s="243">
        <f t="shared" si="3"/>
        <v>43739</v>
      </c>
      <c r="N53" s="464">
        <v>24.947500000000002</v>
      </c>
      <c r="O53" s="464">
        <v>26.6</v>
      </c>
      <c r="P53" s="464">
        <v>22.024999999999999</v>
      </c>
      <c r="Q53" s="465">
        <v>23.844999999999999</v>
      </c>
      <c r="S53" s="261">
        <v>25.444677419354839</v>
      </c>
      <c r="T53" s="263">
        <f t="shared" si="13"/>
        <v>1.0454052752017344</v>
      </c>
      <c r="U53" s="263">
        <f t="shared" si="14"/>
        <v>0.93713115741298314</v>
      </c>
    </row>
    <row r="54" spans="2:21" x14ac:dyDescent="0.2">
      <c r="B54" s="245">
        <f t="shared" si="9"/>
        <v>43770</v>
      </c>
      <c r="C54" s="462">
        <v>2.5358895583563892</v>
      </c>
      <c r="D54" s="462">
        <v>2.615906329113924</v>
      </c>
      <c r="E54" s="246">
        <f t="shared" si="0"/>
        <v>2019</v>
      </c>
      <c r="K54" s="35">
        <f t="shared" si="11"/>
        <v>11</v>
      </c>
      <c r="L54" s="264">
        <f t="shared" si="12"/>
        <v>2019</v>
      </c>
      <c r="M54" s="243">
        <f t="shared" si="3"/>
        <v>43770</v>
      </c>
      <c r="N54" s="464">
        <v>26.4925</v>
      </c>
      <c r="O54" s="464">
        <v>26.35</v>
      </c>
      <c r="P54" s="464">
        <v>25.07</v>
      </c>
      <c r="Q54" s="465">
        <v>23.162500000000001</v>
      </c>
      <c r="S54" s="261">
        <v>24.930877253814149</v>
      </c>
      <c r="T54" s="263">
        <f t="shared" si="13"/>
        <v>1.056922294861034</v>
      </c>
      <c r="U54" s="263">
        <f t="shared" si="14"/>
        <v>0.92906879145042498</v>
      </c>
    </row>
    <row r="55" spans="2:21" x14ac:dyDescent="0.2">
      <c r="B55" s="247">
        <f t="shared" si="9"/>
        <v>43800</v>
      </c>
      <c r="C55" s="463">
        <v>2.7608101444820168</v>
      </c>
      <c r="D55" s="463">
        <v>2.7661848101265822</v>
      </c>
      <c r="E55" s="248">
        <f t="shared" si="0"/>
        <v>2019</v>
      </c>
      <c r="K55" s="35">
        <f t="shared" si="11"/>
        <v>12</v>
      </c>
      <c r="L55" s="264">
        <f t="shared" si="12"/>
        <v>2019</v>
      </c>
      <c r="M55" s="249">
        <f t="shared" si="3"/>
        <v>43800</v>
      </c>
      <c r="N55" s="466">
        <v>28.81</v>
      </c>
      <c r="O55" s="466">
        <v>28.35</v>
      </c>
      <c r="P55" s="466">
        <v>25.504999999999999</v>
      </c>
      <c r="Q55" s="467">
        <v>25.892499999999998</v>
      </c>
      <c r="S55" s="261">
        <v>27.213736559139782</v>
      </c>
      <c r="T55" s="263">
        <f t="shared" si="13"/>
        <v>1.0417533049307999</v>
      </c>
      <c r="U55" s="263">
        <f t="shared" si="14"/>
        <v>0.95144964542930266</v>
      </c>
    </row>
    <row r="56" spans="2:21" x14ac:dyDescent="0.2">
      <c r="B56" s="239">
        <f t="shared" si="9"/>
        <v>43831</v>
      </c>
      <c r="C56" s="462">
        <v>2.8525203606926941</v>
      </c>
      <c r="D56" s="462">
        <v>2.8536784810126576</v>
      </c>
      <c r="E56" s="240">
        <f t="shared" si="0"/>
        <v>2020</v>
      </c>
      <c r="K56" s="35">
        <f t="shared" si="11"/>
        <v>1</v>
      </c>
      <c r="L56" s="264">
        <f t="shared" si="12"/>
        <v>2020</v>
      </c>
      <c r="M56" s="243">
        <f t="shared" si="3"/>
        <v>43831</v>
      </c>
      <c r="N56" s="468">
        <v>30.737500000000001</v>
      </c>
      <c r="O56" s="468">
        <v>29.943999999999999</v>
      </c>
      <c r="P56" s="468">
        <v>27.045999999999999</v>
      </c>
      <c r="Q56" s="469">
        <v>26.77</v>
      </c>
      <c r="S56" s="261">
        <v>28.544709677419355</v>
      </c>
      <c r="T56" s="263">
        <f t="shared" si="13"/>
        <v>1.0490210038355223</v>
      </c>
      <c r="U56" s="263">
        <f t="shared" si="14"/>
        <v>0.93782701952567893</v>
      </c>
    </row>
    <row r="57" spans="2:21" x14ac:dyDescent="0.2">
      <c r="B57" s="245">
        <f t="shared" si="9"/>
        <v>43862</v>
      </c>
      <c r="C57" s="462">
        <v>2.8407363664309866</v>
      </c>
      <c r="D57" s="462">
        <v>2.8321088607594933</v>
      </c>
      <c r="E57" s="246">
        <f t="shared" si="0"/>
        <v>2020</v>
      </c>
      <c r="K57" s="35">
        <f t="shared" si="11"/>
        <v>2</v>
      </c>
      <c r="L57" s="264">
        <f t="shared" si="12"/>
        <v>2020</v>
      </c>
      <c r="M57" s="243">
        <f t="shared" si="3"/>
        <v>43862</v>
      </c>
      <c r="N57" s="464">
        <v>29.905000000000001</v>
      </c>
      <c r="O57" s="464">
        <v>29.396999999999998</v>
      </c>
      <c r="P57" s="464">
        <v>26.336500000000001</v>
      </c>
      <c r="Q57" s="465">
        <v>26.004999999999999</v>
      </c>
      <c r="S57" s="261">
        <v>27.954425287356322</v>
      </c>
      <c r="T57" s="263">
        <f t="shared" si="13"/>
        <v>1.051604520494154</v>
      </c>
      <c r="U57" s="263">
        <f t="shared" si="14"/>
        <v>0.93026416149438629</v>
      </c>
    </row>
    <row r="58" spans="2:21" x14ac:dyDescent="0.2">
      <c r="B58" s="245">
        <f t="shared" si="9"/>
        <v>43891</v>
      </c>
      <c r="C58" s="462">
        <v>2.7382668511117942</v>
      </c>
      <c r="D58" s="462">
        <v>2.7717544303797466</v>
      </c>
      <c r="E58" s="246">
        <f t="shared" si="0"/>
        <v>2020</v>
      </c>
      <c r="K58" s="35">
        <f t="shared" si="11"/>
        <v>3</v>
      </c>
      <c r="L58" s="264">
        <f t="shared" si="12"/>
        <v>2020</v>
      </c>
      <c r="M58" s="243">
        <f t="shared" si="3"/>
        <v>43891</v>
      </c>
      <c r="N58" s="464">
        <v>27.407499999999999</v>
      </c>
      <c r="O58" s="464">
        <v>27.209</v>
      </c>
      <c r="P58" s="464">
        <v>24.9175</v>
      </c>
      <c r="Q58" s="465">
        <v>24.475000000000001</v>
      </c>
      <c r="S58" s="261">
        <v>26.005745625841183</v>
      </c>
      <c r="T58" s="263">
        <f t="shared" si="13"/>
        <v>1.0462687896540515</v>
      </c>
      <c r="U58" s="263">
        <f t="shared" si="14"/>
        <v>0.9411381758529499</v>
      </c>
    </row>
    <row r="59" spans="2:21" x14ac:dyDescent="0.2">
      <c r="B59" s="245">
        <f t="shared" si="9"/>
        <v>43922</v>
      </c>
      <c r="C59" s="462">
        <v>2.2156723229839121</v>
      </c>
      <c r="D59" s="462">
        <v>2.2187417721518985</v>
      </c>
      <c r="E59" s="246">
        <f t="shared" si="0"/>
        <v>2020</v>
      </c>
      <c r="K59" s="35">
        <f t="shared" si="11"/>
        <v>4</v>
      </c>
      <c r="L59" s="264">
        <f t="shared" si="12"/>
        <v>2020</v>
      </c>
      <c r="M59" s="243">
        <f t="shared" si="3"/>
        <v>43922</v>
      </c>
      <c r="N59" s="464">
        <v>24.7</v>
      </c>
      <c r="O59" s="464">
        <v>23.445</v>
      </c>
      <c r="P59" s="464">
        <v>16.283000000000001</v>
      </c>
      <c r="Q59" s="465">
        <v>17.934999999999999</v>
      </c>
      <c r="S59" s="261">
        <v>21.118555555555556</v>
      </c>
      <c r="T59" s="263">
        <f t="shared" si="13"/>
        <v>1.1101611536984326</v>
      </c>
      <c r="U59" s="263">
        <f t="shared" si="14"/>
        <v>0.84925315809688151</v>
      </c>
    </row>
    <row r="60" spans="2:21" x14ac:dyDescent="0.2">
      <c r="B60" s="245">
        <f t="shared" si="9"/>
        <v>43952</v>
      </c>
      <c r="C60" s="462">
        <v>2.2146476278307206</v>
      </c>
      <c r="D60" s="462">
        <v>2.2002101265822782</v>
      </c>
      <c r="E60" s="246">
        <f t="shared" si="0"/>
        <v>2020</v>
      </c>
      <c r="K60" s="35">
        <f t="shared" si="11"/>
        <v>5</v>
      </c>
      <c r="L60" s="264">
        <f t="shared" si="12"/>
        <v>2020</v>
      </c>
      <c r="M60" s="243">
        <f t="shared" si="3"/>
        <v>43952</v>
      </c>
      <c r="N60" s="464">
        <v>19.8</v>
      </c>
      <c r="O60" s="464">
        <v>24.138000000000002</v>
      </c>
      <c r="P60" s="464">
        <v>10.615</v>
      </c>
      <c r="Q60" s="465">
        <v>13.84</v>
      </c>
      <c r="S60" s="261">
        <v>19.376559139784948</v>
      </c>
      <c r="T60" s="263">
        <f t="shared" si="13"/>
        <v>1.2457320118533646</v>
      </c>
      <c r="U60" s="263">
        <f t="shared" si="14"/>
        <v>0.71426510249608766</v>
      </c>
    </row>
    <row r="61" spans="2:21" x14ac:dyDescent="0.2">
      <c r="B61" s="245">
        <f t="shared" si="9"/>
        <v>43983</v>
      </c>
      <c r="C61" s="462">
        <v>2.2407773542371148</v>
      </c>
      <c r="D61" s="462">
        <v>2.2409189873417721</v>
      </c>
      <c r="E61" s="246">
        <f t="shared" si="0"/>
        <v>2020</v>
      </c>
      <c r="K61" s="35">
        <f t="shared" si="11"/>
        <v>6</v>
      </c>
      <c r="L61" s="264">
        <f t="shared" si="12"/>
        <v>2020</v>
      </c>
      <c r="M61" s="243">
        <f t="shared" si="3"/>
        <v>43983</v>
      </c>
      <c r="N61" s="464">
        <v>19.100000000000001</v>
      </c>
      <c r="O61" s="464">
        <v>26.216999999999999</v>
      </c>
      <c r="P61" s="464">
        <v>9.8520000000000003</v>
      </c>
      <c r="Q61" s="465">
        <v>14.425000000000001</v>
      </c>
      <c r="S61" s="261">
        <v>21.238155555555558</v>
      </c>
      <c r="T61" s="263">
        <f t="shared" si="13"/>
        <v>1.2344292295731893</v>
      </c>
      <c r="U61" s="263">
        <f t="shared" si="14"/>
        <v>0.67920210689984584</v>
      </c>
    </row>
    <row r="62" spans="2:21" x14ac:dyDescent="0.2">
      <c r="B62" s="245">
        <f t="shared" si="9"/>
        <v>44013</v>
      </c>
      <c r="C62" s="462">
        <v>2.3073825391945899</v>
      </c>
      <c r="D62" s="462">
        <v>2.3238556962025312</v>
      </c>
      <c r="E62" s="246">
        <f t="shared" si="0"/>
        <v>2020</v>
      </c>
      <c r="K62" s="35">
        <f t="shared" si="11"/>
        <v>7</v>
      </c>
      <c r="L62" s="264">
        <f t="shared" si="12"/>
        <v>2020</v>
      </c>
      <c r="M62" s="243">
        <f t="shared" si="3"/>
        <v>44013</v>
      </c>
      <c r="N62" s="464">
        <v>28.9</v>
      </c>
      <c r="O62" s="464">
        <v>35.25</v>
      </c>
      <c r="P62" s="464">
        <v>18.725000000000001</v>
      </c>
      <c r="Q62" s="465">
        <v>23.037500000000001</v>
      </c>
      <c r="S62" s="261">
        <v>29.865994623655915</v>
      </c>
      <c r="T62" s="263">
        <f t="shared" si="13"/>
        <v>1.1802720935360909</v>
      </c>
      <c r="U62" s="263">
        <f t="shared" si="14"/>
        <v>0.77136222283227496</v>
      </c>
    </row>
    <row r="63" spans="2:21" x14ac:dyDescent="0.2">
      <c r="B63" s="245">
        <f t="shared" si="9"/>
        <v>44044</v>
      </c>
      <c r="C63" s="462">
        <v>2.3350493083307713</v>
      </c>
      <c r="D63" s="462">
        <v>2.3711468354430378</v>
      </c>
      <c r="E63" s="246">
        <f t="shared" si="0"/>
        <v>2020</v>
      </c>
      <c r="K63" s="35">
        <f t="shared" si="11"/>
        <v>8</v>
      </c>
      <c r="L63" s="264">
        <f t="shared" si="12"/>
        <v>2020</v>
      </c>
      <c r="M63" s="243">
        <f t="shared" si="3"/>
        <v>44044</v>
      </c>
      <c r="N63" s="464">
        <v>32.049999999999997</v>
      </c>
      <c r="O63" s="464">
        <v>33.97</v>
      </c>
      <c r="P63" s="464">
        <v>20.65</v>
      </c>
      <c r="Q63" s="465">
        <v>22.81</v>
      </c>
      <c r="S63" s="261">
        <v>29.049999999999997</v>
      </c>
      <c r="T63" s="263">
        <f t="shared" si="13"/>
        <v>1.1693631669535285</v>
      </c>
      <c r="U63" s="263">
        <f t="shared" si="14"/>
        <v>0.785197934595525</v>
      </c>
    </row>
    <row r="64" spans="2:21" x14ac:dyDescent="0.2">
      <c r="B64" s="245">
        <f t="shared" si="9"/>
        <v>44075</v>
      </c>
      <c r="C64" s="462">
        <v>2.329413484988216</v>
      </c>
      <c r="D64" s="462">
        <v>2.3781341772151898</v>
      </c>
      <c r="E64" s="246">
        <f t="shared" si="0"/>
        <v>2020</v>
      </c>
      <c r="K64" s="35">
        <f t="shared" si="11"/>
        <v>9</v>
      </c>
      <c r="L64" s="264">
        <f t="shared" si="12"/>
        <v>2020</v>
      </c>
      <c r="M64" s="243">
        <f t="shared" si="3"/>
        <v>44075</v>
      </c>
      <c r="N64" s="464">
        <v>28.9</v>
      </c>
      <c r="O64" s="464">
        <v>31.73</v>
      </c>
      <c r="P64" s="464">
        <v>22.574999999999999</v>
      </c>
      <c r="Q64" s="465">
        <v>19.852499999999999</v>
      </c>
      <c r="S64" s="261">
        <v>26.451111111111114</v>
      </c>
      <c r="T64" s="263">
        <f t="shared" si="13"/>
        <v>1.1995715365874149</v>
      </c>
      <c r="U64" s="263">
        <f t="shared" si="14"/>
        <v>0.75053557926573122</v>
      </c>
    </row>
    <row r="65" spans="2:21" x14ac:dyDescent="0.2">
      <c r="B65" s="245">
        <f t="shared" si="9"/>
        <v>44105</v>
      </c>
      <c r="C65" s="462">
        <v>2.3678395532329133</v>
      </c>
      <c r="D65" s="462">
        <v>2.4007164556962022</v>
      </c>
      <c r="E65" s="246">
        <f t="shared" si="0"/>
        <v>2020</v>
      </c>
      <c r="K65" s="35">
        <f t="shared" si="11"/>
        <v>10</v>
      </c>
      <c r="L65" s="264">
        <f t="shared" si="12"/>
        <v>2020</v>
      </c>
      <c r="M65" s="243">
        <f t="shared" si="3"/>
        <v>44105</v>
      </c>
      <c r="N65" s="464">
        <v>26.547499999999999</v>
      </c>
      <c r="O65" s="464">
        <v>26.95</v>
      </c>
      <c r="P65" s="464">
        <v>22.774999999999999</v>
      </c>
      <c r="Q65" s="465">
        <v>24.545000000000002</v>
      </c>
      <c r="S65" s="261">
        <v>25.941451612903226</v>
      </c>
      <c r="T65" s="263">
        <f t="shared" si="13"/>
        <v>1.0388778701418206</v>
      </c>
      <c r="U65" s="263">
        <f t="shared" si="14"/>
        <v>0.94616910288055611</v>
      </c>
    </row>
    <row r="66" spans="2:21" x14ac:dyDescent="0.2">
      <c r="B66" s="245">
        <f t="shared" si="9"/>
        <v>44136</v>
      </c>
      <c r="C66" s="462">
        <v>2.5727785838712984</v>
      </c>
      <c r="D66" s="462">
        <v>2.6521594936708857</v>
      </c>
      <c r="E66" s="246">
        <f t="shared" si="0"/>
        <v>2020</v>
      </c>
      <c r="K66" s="35">
        <f t="shared" si="11"/>
        <v>11</v>
      </c>
      <c r="L66" s="264">
        <f t="shared" si="12"/>
        <v>2020</v>
      </c>
      <c r="M66" s="243">
        <f t="shared" si="3"/>
        <v>44136</v>
      </c>
      <c r="N66" s="464">
        <v>28.092500000000001</v>
      </c>
      <c r="O66" s="464">
        <v>26.7</v>
      </c>
      <c r="P66" s="464">
        <v>25.82</v>
      </c>
      <c r="Q66" s="465">
        <v>23.862500000000001</v>
      </c>
      <c r="S66" s="261">
        <v>25.373734396671288</v>
      </c>
      <c r="T66" s="263">
        <f t="shared" si="13"/>
        <v>1.0522692317415721</v>
      </c>
      <c r="U66" s="263">
        <f t="shared" si="14"/>
        <v>0.94044099409862414</v>
      </c>
    </row>
    <row r="67" spans="2:21" x14ac:dyDescent="0.2">
      <c r="B67" s="247">
        <f t="shared" si="9"/>
        <v>44166</v>
      </c>
      <c r="C67" s="463">
        <v>2.7715694435905318</v>
      </c>
      <c r="D67" s="463">
        <v>2.7919063291139237</v>
      </c>
      <c r="E67" s="248">
        <f t="shared" si="0"/>
        <v>2020</v>
      </c>
      <c r="K67" s="35">
        <f t="shared" si="11"/>
        <v>12</v>
      </c>
      <c r="L67" s="264">
        <f t="shared" si="12"/>
        <v>2020</v>
      </c>
      <c r="M67" s="249">
        <f t="shared" si="3"/>
        <v>44166</v>
      </c>
      <c r="N67" s="466">
        <v>30.41</v>
      </c>
      <c r="O67" s="466">
        <v>28.7</v>
      </c>
      <c r="P67" s="466">
        <v>26.254999999999999</v>
      </c>
      <c r="Q67" s="467">
        <v>26.592500000000001</v>
      </c>
      <c r="S67" s="261">
        <v>27.770887096774196</v>
      </c>
      <c r="T67" s="263">
        <f t="shared" si="13"/>
        <v>1.0334563638528396</v>
      </c>
      <c r="U67" s="263">
        <f t="shared" si="14"/>
        <v>0.95756753852810583</v>
      </c>
    </row>
    <row r="68" spans="2:21" x14ac:dyDescent="0.2">
      <c r="B68" s="239">
        <f t="shared" si="9"/>
        <v>44197</v>
      </c>
      <c r="C68" s="462">
        <v>2.8996563377395228</v>
      </c>
      <c r="D68" s="462">
        <v>2.8873999999999995</v>
      </c>
      <c r="E68" s="240">
        <f t="shared" si="0"/>
        <v>2021</v>
      </c>
      <c r="K68" s="35">
        <f t="shared" si="11"/>
        <v>1</v>
      </c>
      <c r="L68" s="264">
        <f t="shared" si="12"/>
        <v>2021</v>
      </c>
      <c r="M68" s="243">
        <f t="shared" si="3"/>
        <v>44197</v>
      </c>
      <c r="N68" s="468">
        <v>32.087499999999999</v>
      </c>
      <c r="O68" s="468">
        <v>31.294</v>
      </c>
      <c r="P68" s="468">
        <v>26.946000000000002</v>
      </c>
      <c r="Q68" s="469">
        <v>28.87</v>
      </c>
      <c r="S68" s="261">
        <v>30.173225806451612</v>
      </c>
      <c r="T68" s="263">
        <f t="shared" si="13"/>
        <v>1.0371446593326705</v>
      </c>
      <c r="U68" s="263">
        <f t="shared" si="14"/>
        <v>0.9568085356596856</v>
      </c>
    </row>
    <row r="69" spans="2:21" x14ac:dyDescent="0.2">
      <c r="B69" s="245">
        <f t="shared" si="9"/>
        <v>44228</v>
      </c>
      <c r="C69" s="462">
        <v>2.9027304231990985</v>
      </c>
      <c r="D69" s="462">
        <v>2.8928683544303793</v>
      </c>
      <c r="E69" s="246">
        <f t="shared" si="0"/>
        <v>2021</v>
      </c>
      <c r="K69" s="35">
        <f t="shared" si="11"/>
        <v>2</v>
      </c>
      <c r="L69" s="264">
        <f t="shared" si="12"/>
        <v>2021</v>
      </c>
      <c r="M69" s="243">
        <f t="shared" si="3"/>
        <v>44228</v>
      </c>
      <c r="N69" s="464">
        <v>31.254999999999999</v>
      </c>
      <c r="O69" s="464">
        <v>30.747</v>
      </c>
      <c r="P69" s="464">
        <v>26.236499999999999</v>
      </c>
      <c r="Q69" s="465">
        <v>28.105</v>
      </c>
      <c r="S69" s="261">
        <v>29.614714285714289</v>
      </c>
      <c r="T69" s="263">
        <f t="shared" si="13"/>
        <v>1.03823388952403</v>
      </c>
      <c r="U69" s="263">
        <f t="shared" si="14"/>
        <v>0.94902148063462655</v>
      </c>
    </row>
    <row r="70" spans="2:21" x14ac:dyDescent="0.2">
      <c r="B70" s="245">
        <f t="shared" si="9"/>
        <v>44256</v>
      </c>
      <c r="C70" s="462">
        <v>2.8125572497182088</v>
      </c>
      <c r="D70" s="462">
        <v>2.7943367088607594</v>
      </c>
      <c r="E70" s="246">
        <f t="shared" si="0"/>
        <v>2021</v>
      </c>
      <c r="K70" s="35">
        <f t="shared" si="11"/>
        <v>3</v>
      </c>
      <c r="L70" s="264">
        <f t="shared" si="12"/>
        <v>2021</v>
      </c>
      <c r="M70" s="243">
        <f t="shared" si="3"/>
        <v>44256</v>
      </c>
      <c r="N70" s="464">
        <v>28.7575</v>
      </c>
      <c r="O70" s="464">
        <v>28.559000000000001</v>
      </c>
      <c r="P70" s="464">
        <v>24.817499999999999</v>
      </c>
      <c r="Q70" s="465">
        <v>26.574999999999999</v>
      </c>
      <c r="S70" s="261">
        <v>27.728550471063258</v>
      </c>
      <c r="T70" s="263">
        <f t="shared" si="13"/>
        <v>1.0299492586099435</v>
      </c>
      <c r="U70" s="263">
        <f t="shared" si="14"/>
        <v>0.95839845749358332</v>
      </c>
    </row>
    <row r="71" spans="2:21" x14ac:dyDescent="0.2">
      <c r="B71" s="245">
        <f t="shared" si="9"/>
        <v>44287</v>
      </c>
      <c r="C71" s="462">
        <v>2.3360740034839638</v>
      </c>
      <c r="D71" s="462">
        <v>2.2338303797468351</v>
      </c>
      <c r="E71" s="246">
        <f t="shared" si="0"/>
        <v>2021</v>
      </c>
      <c r="K71" s="35">
        <f t="shared" si="11"/>
        <v>4</v>
      </c>
      <c r="L71" s="264">
        <f t="shared" si="12"/>
        <v>2021</v>
      </c>
      <c r="M71" s="243">
        <f t="shared" si="3"/>
        <v>44287</v>
      </c>
      <c r="N71" s="464">
        <v>26.25</v>
      </c>
      <c r="O71" s="464">
        <v>24.795000000000002</v>
      </c>
      <c r="P71" s="464">
        <v>17.283000000000001</v>
      </c>
      <c r="Q71" s="465">
        <v>19.385000000000002</v>
      </c>
      <c r="S71" s="261">
        <v>22.510777777777783</v>
      </c>
      <c r="T71" s="263">
        <f t="shared" si="13"/>
        <v>1.1014723811310136</v>
      </c>
      <c r="U71" s="263">
        <f t="shared" si="14"/>
        <v>0.86114305739966523</v>
      </c>
    </row>
    <row r="72" spans="2:21" x14ac:dyDescent="0.2">
      <c r="B72" s="245">
        <f t="shared" si="9"/>
        <v>44317</v>
      </c>
      <c r="C72" s="462">
        <v>2.2479502203094577</v>
      </c>
      <c r="D72" s="462">
        <v>2.2152987341772152</v>
      </c>
      <c r="E72" s="246">
        <f t="shared" ref="E72:E135" si="19">YEAR(B72)</f>
        <v>2021</v>
      </c>
      <c r="K72" s="35">
        <f t="shared" si="11"/>
        <v>5</v>
      </c>
      <c r="L72" s="264">
        <f t="shared" si="12"/>
        <v>2021</v>
      </c>
      <c r="M72" s="243">
        <f t="shared" ref="M72:M135" si="20">B72</f>
        <v>44317</v>
      </c>
      <c r="N72" s="464">
        <v>21.35</v>
      </c>
      <c r="O72" s="464">
        <v>25.488</v>
      </c>
      <c r="P72" s="464">
        <v>11.615</v>
      </c>
      <c r="Q72" s="465">
        <v>15.29</v>
      </c>
      <c r="S72" s="261">
        <v>20.772795698924732</v>
      </c>
      <c r="T72" s="263">
        <f t="shared" si="13"/>
        <v>1.2269893936962633</v>
      </c>
      <c r="U72" s="263">
        <f t="shared" si="14"/>
        <v>0.73605884453922876</v>
      </c>
    </row>
    <row r="73" spans="2:21" x14ac:dyDescent="0.2">
      <c r="B73" s="245">
        <f t="shared" ref="B73:B136" si="21">EDATE(B72,1)</f>
        <v>44348</v>
      </c>
      <c r="C73" s="462">
        <v>2.2848392458243674</v>
      </c>
      <c r="D73" s="462">
        <v>2.2489189873417721</v>
      </c>
      <c r="E73" s="246">
        <f t="shared" si="19"/>
        <v>2021</v>
      </c>
      <c r="K73" s="35">
        <f t="shared" ref="K73:K136" si="22">MONTH(M73)</f>
        <v>6</v>
      </c>
      <c r="L73" s="264">
        <f t="shared" ref="L73:L136" si="23">YEAR(M73)</f>
        <v>2021</v>
      </c>
      <c r="M73" s="243">
        <f t="shared" si="20"/>
        <v>44348</v>
      </c>
      <c r="N73" s="464">
        <v>20.65</v>
      </c>
      <c r="O73" s="464">
        <v>27.567</v>
      </c>
      <c r="P73" s="464">
        <v>10.852</v>
      </c>
      <c r="Q73" s="465">
        <v>15.875</v>
      </c>
      <c r="S73" s="261">
        <v>22.630377777777781</v>
      </c>
      <c r="T73" s="263">
        <f t="shared" ref="T73:T136" si="24">O73/S73</f>
        <v>1.2181413969619987</v>
      </c>
      <c r="U73" s="263">
        <f t="shared" ref="U73:U136" si="25">Q73/S73</f>
        <v>0.70149071994673817</v>
      </c>
    </row>
    <row r="74" spans="2:21" x14ac:dyDescent="0.2">
      <c r="B74" s="245">
        <f t="shared" si="21"/>
        <v>44378</v>
      </c>
      <c r="C74" s="462">
        <v>2.328388789835024</v>
      </c>
      <c r="D74" s="462">
        <v>2.3268936708860757</v>
      </c>
      <c r="E74" s="246">
        <f t="shared" si="19"/>
        <v>2021</v>
      </c>
      <c r="K74" s="35">
        <f t="shared" si="22"/>
        <v>7</v>
      </c>
      <c r="L74" s="264">
        <f t="shared" si="23"/>
        <v>2021</v>
      </c>
      <c r="M74" s="243">
        <f t="shared" si="20"/>
        <v>44378</v>
      </c>
      <c r="N74" s="464">
        <v>30.8</v>
      </c>
      <c r="O74" s="464">
        <v>36.9</v>
      </c>
      <c r="P74" s="464">
        <v>22.175000000000001</v>
      </c>
      <c r="Q74" s="465">
        <v>24.587499999999999</v>
      </c>
      <c r="S74" s="261">
        <v>31.471908602150535</v>
      </c>
      <c r="T74" s="263">
        <f t="shared" si="24"/>
        <v>1.1724741726492733</v>
      </c>
      <c r="U74" s="263">
        <f t="shared" si="25"/>
        <v>0.78125226883506804</v>
      </c>
    </row>
    <row r="75" spans="2:21" x14ac:dyDescent="0.2">
      <c r="B75" s="245">
        <f t="shared" si="21"/>
        <v>44409</v>
      </c>
      <c r="C75" s="462">
        <v>2.3540061686648222</v>
      </c>
      <c r="D75" s="462">
        <v>2.3720582278481008</v>
      </c>
      <c r="E75" s="246">
        <f t="shared" si="19"/>
        <v>2021</v>
      </c>
      <c r="K75" s="35">
        <f t="shared" si="22"/>
        <v>8</v>
      </c>
      <c r="L75" s="264">
        <f t="shared" si="23"/>
        <v>2021</v>
      </c>
      <c r="M75" s="243">
        <f t="shared" si="20"/>
        <v>44409</v>
      </c>
      <c r="N75" s="464">
        <v>33.950000000000003</v>
      </c>
      <c r="O75" s="464">
        <v>35.619999999999997</v>
      </c>
      <c r="P75" s="464">
        <v>24.1</v>
      </c>
      <c r="Q75" s="465">
        <v>24.36</v>
      </c>
      <c r="S75" s="261">
        <v>30.655913978494624</v>
      </c>
      <c r="T75" s="263">
        <f t="shared" si="24"/>
        <v>1.1619291476674849</v>
      </c>
      <c r="U75" s="263">
        <f t="shared" si="25"/>
        <v>0.79462644686075057</v>
      </c>
    </row>
    <row r="76" spans="2:21" x14ac:dyDescent="0.2">
      <c r="B76" s="245">
        <f t="shared" si="21"/>
        <v>44440</v>
      </c>
      <c r="C76" s="462">
        <v>2.3693765959627009</v>
      </c>
      <c r="D76" s="462">
        <v>2.3821848101265823</v>
      </c>
      <c r="E76" s="246">
        <f t="shared" si="19"/>
        <v>2021</v>
      </c>
      <c r="K76" s="35">
        <f t="shared" si="22"/>
        <v>9</v>
      </c>
      <c r="L76" s="264">
        <f t="shared" si="23"/>
        <v>2021</v>
      </c>
      <c r="M76" s="243">
        <f t="shared" si="20"/>
        <v>44440</v>
      </c>
      <c r="N76" s="464">
        <v>30.8</v>
      </c>
      <c r="O76" s="464">
        <v>33.380000000000003</v>
      </c>
      <c r="P76" s="464">
        <v>26.024999999999999</v>
      </c>
      <c r="Q76" s="465">
        <v>21.4025</v>
      </c>
      <c r="S76" s="261">
        <v>28.056666666666668</v>
      </c>
      <c r="T76" s="263">
        <f t="shared" si="24"/>
        <v>1.189735059997624</v>
      </c>
      <c r="U76" s="263">
        <f t="shared" si="25"/>
        <v>0.76283117500297015</v>
      </c>
    </row>
    <row r="77" spans="2:21" x14ac:dyDescent="0.2">
      <c r="B77" s="245">
        <f t="shared" si="21"/>
        <v>44470</v>
      </c>
      <c r="C77" s="462">
        <v>2.3898704990265398</v>
      </c>
      <c r="D77" s="462">
        <v>2.4047670886075947</v>
      </c>
      <c r="E77" s="246">
        <f t="shared" si="19"/>
        <v>2021</v>
      </c>
      <c r="K77" s="35">
        <f t="shared" si="22"/>
        <v>10</v>
      </c>
      <c r="L77" s="264">
        <f t="shared" si="23"/>
        <v>2021</v>
      </c>
      <c r="M77" s="243">
        <f t="shared" si="20"/>
        <v>44470</v>
      </c>
      <c r="N77" s="464">
        <v>27.997499999999999</v>
      </c>
      <c r="O77" s="464">
        <v>28.45</v>
      </c>
      <c r="P77" s="464">
        <v>26.625</v>
      </c>
      <c r="Q77" s="465">
        <v>26.545000000000002</v>
      </c>
      <c r="S77" s="261">
        <v>27.610161290322583</v>
      </c>
      <c r="T77" s="263">
        <f t="shared" si="24"/>
        <v>1.0304177400793302</v>
      </c>
      <c r="U77" s="263">
        <f t="shared" si="25"/>
        <v>0.96142140282621513</v>
      </c>
    </row>
    <row r="78" spans="2:21" x14ac:dyDescent="0.2">
      <c r="B78" s="245">
        <f t="shared" si="21"/>
        <v>44501</v>
      </c>
      <c r="C78" s="462">
        <v>2.6183775181883386</v>
      </c>
      <c r="D78" s="462">
        <v>2.6591468354430376</v>
      </c>
      <c r="E78" s="246">
        <f t="shared" si="19"/>
        <v>2021</v>
      </c>
      <c r="K78" s="35">
        <f t="shared" si="22"/>
        <v>11</v>
      </c>
      <c r="L78" s="264">
        <f t="shared" si="23"/>
        <v>2021</v>
      </c>
      <c r="M78" s="243">
        <f t="shared" si="20"/>
        <v>44501</v>
      </c>
      <c r="N78" s="464">
        <v>29.5425</v>
      </c>
      <c r="O78" s="464">
        <v>28.2</v>
      </c>
      <c r="P78" s="464">
        <v>29.67</v>
      </c>
      <c r="Q78" s="465">
        <v>25.862500000000001</v>
      </c>
      <c r="S78" s="261">
        <v>27.159309986130374</v>
      </c>
      <c r="T78" s="263">
        <f t="shared" si="24"/>
        <v>1.0383179843081831</v>
      </c>
      <c r="U78" s="263">
        <f t="shared" si="25"/>
        <v>0.95225173294930454</v>
      </c>
    </row>
    <row r="79" spans="2:21" x14ac:dyDescent="0.2">
      <c r="B79" s="247">
        <f t="shared" si="21"/>
        <v>44531</v>
      </c>
      <c r="C79" s="463">
        <v>2.8176807254841685</v>
      </c>
      <c r="D79" s="463">
        <v>2.8019316455696197</v>
      </c>
      <c r="E79" s="248">
        <f t="shared" si="19"/>
        <v>2021</v>
      </c>
      <c r="K79" s="35">
        <f t="shared" si="22"/>
        <v>12</v>
      </c>
      <c r="L79" s="264">
        <f t="shared" si="23"/>
        <v>2021</v>
      </c>
      <c r="M79" s="249">
        <f t="shared" si="20"/>
        <v>44531</v>
      </c>
      <c r="N79" s="466">
        <v>31.86</v>
      </c>
      <c r="O79" s="466">
        <v>30.2</v>
      </c>
      <c r="P79" s="466">
        <v>30.105</v>
      </c>
      <c r="Q79" s="467">
        <v>28.592500000000001</v>
      </c>
      <c r="S79" s="261">
        <v>29.491317204301076</v>
      </c>
      <c r="T79" s="263">
        <f t="shared" si="24"/>
        <v>1.0240302184805623</v>
      </c>
      <c r="U79" s="263">
        <f t="shared" si="25"/>
        <v>0.96952264973196955</v>
      </c>
    </row>
    <row r="80" spans="2:21" x14ac:dyDescent="0.2">
      <c r="B80" s="239">
        <f t="shared" si="21"/>
        <v>44562</v>
      </c>
      <c r="C80" s="462">
        <v>2.9432058817501794</v>
      </c>
      <c r="D80" s="462">
        <v>2.9024886075949361</v>
      </c>
      <c r="E80" s="240">
        <f t="shared" si="19"/>
        <v>2022</v>
      </c>
      <c r="K80" s="35">
        <f t="shared" si="22"/>
        <v>1</v>
      </c>
      <c r="L80" s="264">
        <f t="shared" si="23"/>
        <v>2022</v>
      </c>
      <c r="M80" s="243">
        <f t="shared" si="20"/>
        <v>44562</v>
      </c>
      <c r="N80" s="468">
        <v>33.4375</v>
      </c>
      <c r="O80" s="468">
        <v>32.643999999999998</v>
      </c>
      <c r="P80" s="468">
        <v>25.795999999999999</v>
      </c>
      <c r="Q80" s="469">
        <v>29.87</v>
      </c>
      <c r="S80" s="261">
        <v>31.361397849462364</v>
      </c>
      <c r="T80" s="263">
        <f t="shared" si="24"/>
        <v>1.0408974802939028</v>
      </c>
      <c r="U80" s="263">
        <f t="shared" si="25"/>
        <v>0.952444790355927</v>
      </c>
    </row>
    <row r="81" spans="2:21" x14ac:dyDescent="0.2">
      <c r="B81" s="245">
        <f t="shared" si="21"/>
        <v>44593</v>
      </c>
      <c r="C81" s="462">
        <v>2.9396194487140077</v>
      </c>
      <c r="D81" s="462">
        <v>2.9040075949367083</v>
      </c>
      <c r="E81" s="246">
        <f t="shared" si="19"/>
        <v>2022</v>
      </c>
      <c r="K81" s="35">
        <f t="shared" si="22"/>
        <v>2</v>
      </c>
      <c r="L81" s="264">
        <f t="shared" si="23"/>
        <v>2022</v>
      </c>
      <c r="M81" s="243">
        <f t="shared" si="20"/>
        <v>44593</v>
      </c>
      <c r="N81" s="464">
        <v>32.604999999999997</v>
      </c>
      <c r="O81" s="464">
        <v>32.097000000000001</v>
      </c>
      <c r="P81" s="464">
        <v>25.086500000000001</v>
      </c>
      <c r="Q81" s="465">
        <v>29.105</v>
      </c>
      <c r="S81" s="261">
        <v>30.814714285714288</v>
      </c>
      <c r="T81" s="263">
        <f t="shared" si="24"/>
        <v>1.0416127731185936</v>
      </c>
      <c r="U81" s="263">
        <f t="shared" si="25"/>
        <v>0.94451630250854179</v>
      </c>
    </row>
    <row r="82" spans="2:21" x14ac:dyDescent="0.2">
      <c r="B82" s="245">
        <f t="shared" si="21"/>
        <v>44621</v>
      </c>
      <c r="C82" s="462">
        <v>2.8438104518905627</v>
      </c>
      <c r="D82" s="462">
        <v>2.8024379746835439</v>
      </c>
      <c r="E82" s="246">
        <f t="shared" si="19"/>
        <v>2022</v>
      </c>
      <c r="K82" s="35">
        <f t="shared" si="22"/>
        <v>3</v>
      </c>
      <c r="L82" s="264">
        <f t="shared" si="23"/>
        <v>2022</v>
      </c>
      <c r="M82" s="243">
        <f t="shared" si="20"/>
        <v>44621</v>
      </c>
      <c r="N82" s="464">
        <v>30.107500000000002</v>
      </c>
      <c r="O82" s="464">
        <v>29.908999999999999</v>
      </c>
      <c r="P82" s="464">
        <v>23.6675</v>
      </c>
      <c r="Q82" s="465">
        <v>27.574999999999999</v>
      </c>
      <c r="S82" s="261">
        <v>28.932049798115749</v>
      </c>
      <c r="T82" s="263">
        <f t="shared" si="24"/>
        <v>1.0337670579409786</v>
      </c>
      <c r="U82" s="263">
        <f t="shared" si="25"/>
        <v>0.95309527642925151</v>
      </c>
    </row>
    <row r="83" spans="2:21" x14ac:dyDescent="0.2">
      <c r="B83" s="245">
        <f t="shared" si="21"/>
        <v>44652</v>
      </c>
      <c r="C83" s="462">
        <v>2.3340246131775797</v>
      </c>
      <c r="D83" s="462">
        <v>2.2368683544303796</v>
      </c>
      <c r="E83" s="246">
        <f t="shared" si="19"/>
        <v>2022</v>
      </c>
      <c r="K83" s="35">
        <f t="shared" si="22"/>
        <v>4</v>
      </c>
      <c r="L83" s="264">
        <f t="shared" si="23"/>
        <v>2022</v>
      </c>
      <c r="M83" s="243">
        <f t="shared" si="20"/>
        <v>44652</v>
      </c>
      <c r="N83" s="464">
        <v>28.2</v>
      </c>
      <c r="O83" s="464">
        <v>26.145</v>
      </c>
      <c r="P83" s="464">
        <v>18.283000000000001</v>
      </c>
      <c r="Q83" s="465">
        <v>21.385000000000002</v>
      </c>
      <c r="S83" s="261">
        <v>24.135222222222225</v>
      </c>
      <c r="T83" s="263">
        <f t="shared" si="24"/>
        <v>1.0832715671425348</v>
      </c>
      <c r="U83" s="263">
        <f t="shared" si="25"/>
        <v>0.88604943443653117</v>
      </c>
    </row>
    <row r="84" spans="2:21" x14ac:dyDescent="0.2">
      <c r="B84" s="245">
        <f t="shared" si="21"/>
        <v>44682</v>
      </c>
      <c r="C84" s="462">
        <v>2.2494872630392457</v>
      </c>
      <c r="D84" s="462">
        <v>2.2192481012658223</v>
      </c>
      <c r="E84" s="246">
        <f t="shared" si="19"/>
        <v>2022</v>
      </c>
      <c r="K84" s="35">
        <f t="shared" si="22"/>
        <v>5</v>
      </c>
      <c r="L84" s="264">
        <f t="shared" si="23"/>
        <v>2022</v>
      </c>
      <c r="M84" s="243">
        <f t="shared" si="20"/>
        <v>44682</v>
      </c>
      <c r="N84" s="464">
        <v>23.3</v>
      </c>
      <c r="O84" s="464">
        <v>26.838000000000001</v>
      </c>
      <c r="P84" s="464">
        <v>12.615</v>
      </c>
      <c r="Q84" s="465">
        <v>17.29</v>
      </c>
      <c r="S84" s="261">
        <v>22.423333333333336</v>
      </c>
      <c r="T84" s="263">
        <f t="shared" si="24"/>
        <v>1.1968782518210197</v>
      </c>
      <c r="U84" s="263">
        <f t="shared" si="25"/>
        <v>0.77107180020811639</v>
      </c>
    </row>
    <row r="85" spans="2:21" x14ac:dyDescent="0.2">
      <c r="B85" s="245">
        <f t="shared" si="21"/>
        <v>44713</v>
      </c>
      <c r="C85" s="462">
        <v>2.2807404652115997</v>
      </c>
      <c r="D85" s="462">
        <v>2.2549949367088606</v>
      </c>
      <c r="E85" s="246">
        <f t="shared" si="19"/>
        <v>2022</v>
      </c>
      <c r="K85" s="35">
        <f t="shared" si="22"/>
        <v>6</v>
      </c>
      <c r="L85" s="264">
        <f t="shared" si="23"/>
        <v>2022</v>
      </c>
      <c r="M85" s="243">
        <f t="shared" si="20"/>
        <v>44713</v>
      </c>
      <c r="N85" s="464">
        <v>22.6</v>
      </c>
      <c r="O85" s="464">
        <v>28.917000000000002</v>
      </c>
      <c r="P85" s="464">
        <v>11.852</v>
      </c>
      <c r="Q85" s="465">
        <v>17.875</v>
      </c>
      <c r="S85" s="261">
        <v>24.254822222222224</v>
      </c>
      <c r="T85" s="263">
        <f t="shared" si="24"/>
        <v>1.1922165305959778</v>
      </c>
      <c r="U85" s="263">
        <f t="shared" si="25"/>
        <v>0.73696685286866204</v>
      </c>
    </row>
    <row r="86" spans="2:21" x14ac:dyDescent="0.2">
      <c r="B86" s="245">
        <f t="shared" si="21"/>
        <v>44743</v>
      </c>
      <c r="C86" s="462">
        <v>2.3340246131775797</v>
      </c>
      <c r="D86" s="462">
        <v>2.3348936708860757</v>
      </c>
      <c r="E86" s="246">
        <f t="shared" si="19"/>
        <v>2022</v>
      </c>
      <c r="K86" s="35">
        <f t="shared" si="22"/>
        <v>7</v>
      </c>
      <c r="L86" s="264">
        <f t="shared" si="23"/>
        <v>2022</v>
      </c>
      <c r="M86" s="243">
        <f t="shared" si="20"/>
        <v>44743</v>
      </c>
      <c r="N86" s="464">
        <v>33.1</v>
      </c>
      <c r="O86" s="464">
        <v>38.4</v>
      </c>
      <c r="P86" s="464">
        <v>26.574999999999999</v>
      </c>
      <c r="Q86" s="465">
        <v>27.037500000000001</v>
      </c>
      <c r="S86" s="261">
        <v>33.14637096774193</v>
      </c>
      <c r="T86" s="263">
        <f t="shared" si="24"/>
        <v>1.1584978650414219</v>
      </c>
      <c r="U86" s="263">
        <f t="shared" si="25"/>
        <v>0.81570015692857945</v>
      </c>
    </row>
    <row r="87" spans="2:21" x14ac:dyDescent="0.2">
      <c r="B87" s="245">
        <f t="shared" si="21"/>
        <v>44774</v>
      </c>
      <c r="C87" s="462">
        <v>2.3627160774669536</v>
      </c>
      <c r="D87" s="462">
        <v>2.3831974683544299</v>
      </c>
      <c r="E87" s="246">
        <f t="shared" si="19"/>
        <v>2022</v>
      </c>
      <c r="K87" s="35">
        <f t="shared" si="22"/>
        <v>8</v>
      </c>
      <c r="L87" s="264">
        <f t="shared" si="23"/>
        <v>2022</v>
      </c>
      <c r="M87" s="243">
        <f t="shared" si="20"/>
        <v>44774</v>
      </c>
      <c r="N87" s="464">
        <v>36.25</v>
      </c>
      <c r="O87" s="464">
        <v>37.119999999999997</v>
      </c>
      <c r="P87" s="464">
        <v>28.5</v>
      </c>
      <c r="Q87" s="465">
        <v>26.81</v>
      </c>
      <c r="S87" s="261">
        <v>32.796451612903226</v>
      </c>
      <c r="T87" s="263">
        <f t="shared" si="24"/>
        <v>1.1318297612841672</v>
      </c>
      <c r="U87" s="263">
        <f t="shared" si="25"/>
        <v>0.81746648437576841</v>
      </c>
    </row>
    <row r="88" spans="2:21" x14ac:dyDescent="0.2">
      <c r="B88" s="245">
        <f t="shared" si="21"/>
        <v>44805</v>
      </c>
      <c r="C88" s="462">
        <v>2.3704012911158929</v>
      </c>
      <c r="D88" s="462">
        <v>2.3932227848101264</v>
      </c>
      <c r="E88" s="246">
        <f t="shared" si="19"/>
        <v>2022</v>
      </c>
      <c r="K88" s="35">
        <f t="shared" si="22"/>
        <v>9</v>
      </c>
      <c r="L88" s="264">
        <f t="shared" si="23"/>
        <v>2022</v>
      </c>
      <c r="M88" s="243">
        <f t="shared" si="20"/>
        <v>44805</v>
      </c>
      <c r="N88" s="464">
        <v>33.1</v>
      </c>
      <c r="O88" s="464">
        <v>34.880000000000003</v>
      </c>
      <c r="P88" s="464">
        <v>30.425000000000001</v>
      </c>
      <c r="Q88" s="465">
        <v>23.852499999999999</v>
      </c>
      <c r="S88" s="261">
        <v>29.978888888888889</v>
      </c>
      <c r="T88" s="263">
        <f t="shared" si="24"/>
        <v>1.163485415662874</v>
      </c>
      <c r="U88" s="263">
        <f t="shared" si="25"/>
        <v>0.79564323042140761</v>
      </c>
    </row>
    <row r="89" spans="2:21" x14ac:dyDescent="0.2">
      <c r="B89" s="245">
        <f t="shared" si="21"/>
        <v>44835</v>
      </c>
      <c r="C89" s="462">
        <v>2.3965310175222871</v>
      </c>
      <c r="D89" s="462">
        <v>2.4138810126582277</v>
      </c>
      <c r="E89" s="246">
        <f t="shared" si="19"/>
        <v>2022</v>
      </c>
      <c r="K89" s="35">
        <f t="shared" si="22"/>
        <v>10</v>
      </c>
      <c r="L89" s="264">
        <f t="shared" si="23"/>
        <v>2022</v>
      </c>
      <c r="M89" s="243">
        <f t="shared" si="20"/>
        <v>44835</v>
      </c>
      <c r="N89" s="464">
        <v>30.247499999999999</v>
      </c>
      <c r="O89" s="464">
        <v>29.8</v>
      </c>
      <c r="P89" s="464">
        <v>28.524999999999999</v>
      </c>
      <c r="Q89" s="465">
        <v>28.995000000000001</v>
      </c>
      <c r="S89" s="261">
        <v>29.445107526881721</v>
      </c>
      <c r="T89" s="263">
        <f t="shared" si="24"/>
        <v>1.0120526804935008</v>
      </c>
      <c r="U89" s="263">
        <f t="shared" si="25"/>
        <v>0.98471367352043815</v>
      </c>
    </row>
    <row r="90" spans="2:21" x14ac:dyDescent="0.2">
      <c r="B90" s="245">
        <f t="shared" si="21"/>
        <v>44866</v>
      </c>
      <c r="C90" s="462">
        <v>2.6521924582436727</v>
      </c>
      <c r="D90" s="462">
        <v>2.6722101265822782</v>
      </c>
      <c r="E90" s="246">
        <f t="shared" si="19"/>
        <v>2022</v>
      </c>
      <c r="K90" s="35">
        <f t="shared" si="22"/>
        <v>11</v>
      </c>
      <c r="L90" s="264">
        <f t="shared" si="23"/>
        <v>2022</v>
      </c>
      <c r="M90" s="243">
        <f t="shared" si="20"/>
        <v>44866</v>
      </c>
      <c r="N90" s="464">
        <v>31.7925</v>
      </c>
      <c r="O90" s="464">
        <v>29.55</v>
      </c>
      <c r="P90" s="464">
        <v>31.57</v>
      </c>
      <c r="Q90" s="465">
        <v>28.3125</v>
      </c>
      <c r="S90" s="261">
        <v>28.999046463245492</v>
      </c>
      <c r="T90" s="263">
        <f t="shared" si="24"/>
        <v>1.0189990225179579</v>
      </c>
      <c r="U90" s="263">
        <f t="shared" si="25"/>
        <v>0.97632520558509928</v>
      </c>
    </row>
    <row r="91" spans="2:21" x14ac:dyDescent="0.2">
      <c r="B91" s="247">
        <f t="shared" si="21"/>
        <v>44896</v>
      </c>
      <c r="C91" s="463">
        <v>2.839199323701199</v>
      </c>
      <c r="D91" s="463">
        <v>2.8180329113924047</v>
      </c>
      <c r="E91" s="248">
        <f t="shared" si="19"/>
        <v>2022</v>
      </c>
      <c r="K91" s="35">
        <f t="shared" si="22"/>
        <v>12</v>
      </c>
      <c r="L91" s="264">
        <f t="shared" si="23"/>
        <v>2022</v>
      </c>
      <c r="M91" s="249">
        <f t="shared" si="20"/>
        <v>44896</v>
      </c>
      <c r="N91" s="466">
        <v>34.11</v>
      </c>
      <c r="O91" s="466">
        <v>31.55</v>
      </c>
      <c r="P91" s="466">
        <v>32.005000000000003</v>
      </c>
      <c r="Q91" s="467">
        <v>31.0425</v>
      </c>
      <c r="S91" s="261">
        <v>31.326263440860213</v>
      </c>
      <c r="T91" s="263">
        <f t="shared" si="24"/>
        <v>1.0071421399989875</v>
      </c>
      <c r="U91" s="263">
        <f t="shared" si="25"/>
        <v>0.99094167609884531</v>
      </c>
    </row>
    <row r="92" spans="2:21" x14ac:dyDescent="0.2">
      <c r="B92" s="239">
        <f t="shared" si="21"/>
        <v>44927</v>
      </c>
      <c r="C92" s="462">
        <v>2.9729220411927453</v>
      </c>
      <c r="D92" s="462">
        <v>2.9366151898734172</v>
      </c>
      <c r="E92" s="240">
        <f t="shared" si="19"/>
        <v>2023</v>
      </c>
      <c r="K92" s="35">
        <f t="shared" si="22"/>
        <v>1</v>
      </c>
      <c r="L92" s="264">
        <f t="shared" si="23"/>
        <v>2023</v>
      </c>
      <c r="M92" s="243">
        <f t="shared" si="20"/>
        <v>44927</v>
      </c>
      <c r="N92" s="468">
        <v>34.787500000000001</v>
      </c>
      <c r="O92" s="468">
        <v>33.994</v>
      </c>
      <c r="P92" s="468">
        <v>29.245999999999999</v>
      </c>
      <c r="Q92" s="469">
        <v>30.87</v>
      </c>
      <c r="S92" s="261">
        <v>32.549569892473116</v>
      </c>
      <c r="T92" s="263">
        <f t="shared" si="24"/>
        <v>1.0443763193276756</v>
      </c>
      <c r="U92" s="263">
        <f t="shared" si="25"/>
        <v>0.94839962868874939</v>
      </c>
    </row>
    <row r="93" spans="2:21" x14ac:dyDescent="0.2">
      <c r="B93" s="245">
        <f t="shared" si="21"/>
        <v>44958</v>
      </c>
      <c r="C93" s="462">
        <v>2.9749714314991293</v>
      </c>
      <c r="D93" s="462">
        <v>2.936108860759493</v>
      </c>
      <c r="E93" s="246">
        <f t="shared" si="19"/>
        <v>2023</v>
      </c>
      <c r="K93" s="35">
        <f t="shared" si="22"/>
        <v>2</v>
      </c>
      <c r="L93" s="264">
        <f t="shared" si="23"/>
        <v>2023</v>
      </c>
      <c r="M93" s="243">
        <f t="shared" si="20"/>
        <v>44958</v>
      </c>
      <c r="N93" s="464">
        <v>33.954999999999998</v>
      </c>
      <c r="O93" s="464">
        <v>33.447000000000003</v>
      </c>
      <c r="P93" s="464">
        <v>28.5365</v>
      </c>
      <c r="Q93" s="465">
        <v>30.105</v>
      </c>
      <c r="S93" s="261">
        <v>32.014714285714291</v>
      </c>
      <c r="T93" s="263">
        <f t="shared" si="24"/>
        <v>1.0447383569162394</v>
      </c>
      <c r="U93" s="263">
        <f t="shared" si="25"/>
        <v>0.94034885744501395</v>
      </c>
    </row>
    <row r="94" spans="2:21" x14ac:dyDescent="0.2">
      <c r="B94" s="245">
        <f t="shared" si="21"/>
        <v>44986</v>
      </c>
      <c r="C94" s="462">
        <v>2.8781377395224923</v>
      </c>
      <c r="D94" s="462">
        <v>2.8336278481012656</v>
      </c>
      <c r="E94" s="246">
        <f t="shared" si="19"/>
        <v>2023</v>
      </c>
      <c r="K94" s="35">
        <f t="shared" si="22"/>
        <v>3</v>
      </c>
      <c r="L94" s="264">
        <f t="shared" si="23"/>
        <v>2023</v>
      </c>
      <c r="M94" s="243">
        <f t="shared" si="20"/>
        <v>44986</v>
      </c>
      <c r="N94" s="464">
        <v>31.4575</v>
      </c>
      <c r="O94" s="464">
        <v>31.259</v>
      </c>
      <c r="P94" s="464">
        <v>27.1175</v>
      </c>
      <c r="Q94" s="465">
        <v>28.574999999999999</v>
      </c>
      <c r="S94" s="261">
        <v>30.135549125168239</v>
      </c>
      <c r="T94" s="263">
        <f t="shared" si="24"/>
        <v>1.0372799204741716</v>
      </c>
      <c r="U94" s="263">
        <f t="shared" si="25"/>
        <v>0.94821567316771005</v>
      </c>
    </row>
    <row r="95" spans="2:21" x14ac:dyDescent="0.2">
      <c r="B95" s="245">
        <f t="shared" si="21"/>
        <v>45017</v>
      </c>
      <c r="C95" s="462">
        <v>2.3821852853776004</v>
      </c>
      <c r="D95" s="462">
        <v>2.2790962025316452</v>
      </c>
      <c r="E95" s="246">
        <f t="shared" si="19"/>
        <v>2023</v>
      </c>
      <c r="K95" s="35">
        <f t="shared" si="22"/>
        <v>4</v>
      </c>
      <c r="L95" s="264">
        <f t="shared" si="23"/>
        <v>2023</v>
      </c>
      <c r="M95" s="243">
        <f t="shared" si="20"/>
        <v>45017</v>
      </c>
      <c r="N95" s="464">
        <v>26.65</v>
      </c>
      <c r="O95" s="464">
        <v>27.495000000000001</v>
      </c>
      <c r="P95" s="464">
        <v>19.283000000000001</v>
      </c>
      <c r="Q95" s="465">
        <v>26.385000000000002</v>
      </c>
      <c r="S95" s="261">
        <v>27.001666666666669</v>
      </c>
      <c r="T95" s="263">
        <f t="shared" si="24"/>
        <v>1.0182704771310414</v>
      </c>
      <c r="U95" s="263">
        <f t="shared" si="25"/>
        <v>0.97716190358619837</v>
      </c>
    </row>
    <row r="96" spans="2:21" x14ac:dyDescent="0.2">
      <c r="B96" s="245">
        <f t="shared" si="21"/>
        <v>45047</v>
      </c>
      <c r="C96" s="462">
        <v>2.9037551183522905</v>
      </c>
      <c r="D96" s="462">
        <v>2.8091215189873413</v>
      </c>
      <c r="E96" s="246">
        <f t="shared" si="19"/>
        <v>2023</v>
      </c>
      <c r="K96" s="35">
        <f t="shared" si="22"/>
        <v>5</v>
      </c>
      <c r="L96" s="264">
        <f t="shared" si="23"/>
        <v>2023</v>
      </c>
      <c r="M96" s="243">
        <f t="shared" si="20"/>
        <v>45047</v>
      </c>
      <c r="N96" s="464">
        <v>24.381119999999999</v>
      </c>
      <c r="O96" s="464">
        <v>27.516439999999999</v>
      </c>
      <c r="P96" s="464">
        <v>16.246410000000001</v>
      </c>
      <c r="Q96" s="465">
        <v>21.44725</v>
      </c>
      <c r="S96" s="261">
        <v>24.840775591397847</v>
      </c>
      <c r="T96" s="263">
        <f t="shared" si="24"/>
        <v>1.1077125953156113</v>
      </c>
      <c r="U96" s="263">
        <f t="shared" si="25"/>
        <v>0.86338890350215169</v>
      </c>
    </row>
    <row r="97" spans="2:21" x14ac:dyDescent="0.2">
      <c r="B97" s="245">
        <f t="shared" si="21"/>
        <v>45078</v>
      </c>
      <c r="C97" s="462">
        <v>2.9311144789425145</v>
      </c>
      <c r="D97" s="462">
        <v>2.7562607594936703</v>
      </c>
      <c r="E97" s="246">
        <f t="shared" si="19"/>
        <v>2023</v>
      </c>
      <c r="K97" s="35">
        <f t="shared" si="22"/>
        <v>6</v>
      </c>
      <c r="L97" s="264">
        <f t="shared" si="23"/>
        <v>2023</v>
      </c>
      <c r="M97" s="243">
        <f t="shared" si="20"/>
        <v>45078</v>
      </c>
      <c r="N97" s="464">
        <v>25.15775</v>
      </c>
      <c r="O97" s="464">
        <v>29.345040000000001</v>
      </c>
      <c r="P97" s="464">
        <v>16.913409999999999</v>
      </c>
      <c r="Q97" s="465">
        <v>22.313459999999999</v>
      </c>
      <c r="S97" s="261">
        <v>26.376150666666668</v>
      </c>
      <c r="T97" s="263">
        <f t="shared" si="24"/>
        <v>1.1125596138289171</v>
      </c>
      <c r="U97" s="263">
        <f t="shared" si="25"/>
        <v>0.84597105476042922</v>
      </c>
    </row>
    <row r="98" spans="2:21" x14ac:dyDescent="0.2">
      <c r="B98" s="245">
        <f t="shared" si="21"/>
        <v>45108</v>
      </c>
      <c r="C98" s="462">
        <v>2.9655442360897633</v>
      </c>
      <c r="D98" s="462">
        <v>2.8668430379746832</v>
      </c>
      <c r="E98" s="246">
        <f t="shared" si="19"/>
        <v>2023</v>
      </c>
      <c r="K98" s="35">
        <f t="shared" si="22"/>
        <v>7</v>
      </c>
      <c r="L98" s="264">
        <f t="shared" si="23"/>
        <v>2023</v>
      </c>
      <c r="M98" s="243">
        <f t="shared" si="20"/>
        <v>45108</v>
      </c>
      <c r="N98" s="464">
        <v>37.81062</v>
      </c>
      <c r="O98" s="464">
        <v>40.845889999999997</v>
      </c>
      <c r="P98" s="464">
        <v>29.465420000000002</v>
      </c>
      <c r="Q98" s="465">
        <v>30.31889</v>
      </c>
      <c r="S98" s="261">
        <v>35.978567419354832</v>
      </c>
      <c r="T98" s="263">
        <f t="shared" si="24"/>
        <v>1.1352839462425834</v>
      </c>
      <c r="U98" s="263">
        <f t="shared" si="25"/>
        <v>0.84269308576443813</v>
      </c>
    </row>
    <row r="99" spans="2:21" x14ac:dyDescent="0.2">
      <c r="B99" s="245">
        <f t="shared" si="21"/>
        <v>45139</v>
      </c>
      <c r="C99" s="462">
        <v>3.0059172251255251</v>
      </c>
      <c r="D99" s="462">
        <v>2.9617291139240502</v>
      </c>
      <c r="E99" s="246">
        <f t="shared" si="19"/>
        <v>2023</v>
      </c>
      <c r="K99" s="35">
        <f t="shared" si="22"/>
        <v>8</v>
      </c>
      <c r="L99" s="264">
        <f t="shared" si="23"/>
        <v>2023</v>
      </c>
      <c r="M99" s="243">
        <f t="shared" si="20"/>
        <v>45139</v>
      </c>
      <c r="N99" s="464">
        <v>41.045810000000003</v>
      </c>
      <c r="O99" s="464">
        <v>41.422020000000003</v>
      </c>
      <c r="P99" s="464">
        <v>31.43337</v>
      </c>
      <c r="Q99" s="465">
        <v>30.940449999999998</v>
      </c>
      <c r="S99" s="261">
        <v>37.026522903225811</v>
      </c>
      <c r="T99" s="263">
        <f t="shared" si="24"/>
        <v>1.1187121218015115</v>
      </c>
      <c r="U99" s="263">
        <f t="shared" si="25"/>
        <v>0.83562936981329172</v>
      </c>
    </row>
    <row r="100" spans="2:21" x14ac:dyDescent="0.2">
      <c r="B100" s="245">
        <f t="shared" si="21"/>
        <v>45170</v>
      </c>
      <c r="C100" s="462">
        <v>3.0019209140280769</v>
      </c>
      <c r="D100" s="462">
        <v>2.928210126582278</v>
      </c>
      <c r="E100" s="246">
        <f t="shared" si="19"/>
        <v>2023</v>
      </c>
      <c r="K100" s="35">
        <f t="shared" si="22"/>
        <v>9</v>
      </c>
      <c r="L100" s="264">
        <f t="shared" si="23"/>
        <v>2023</v>
      </c>
      <c r="M100" s="243">
        <f t="shared" si="20"/>
        <v>45170</v>
      </c>
      <c r="N100" s="464">
        <v>37.805439999999997</v>
      </c>
      <c r="O100" s="464">
        <v>36.799570000000003</v>
      </c>
      <c r="P100" s="464">
        <v>32.317419999999998</v>
      </c>
      <c r="Q100" s="465">
        <v>27.836559999999999</v>
      </c>
      <c r="S100" s="261">
        <v>32.816009999999999</v>
      </c>
      <c r="T100" s="263">
        <f t="shared" si="24"/>
        <v>1.1213907479916054</v>
      </c>
      <c r="U100" s="263">
        <f t="shared" si="25"/>
        <v>0.84826156501049332</v>
      </c>
    </row>
    <row r="101" spans="2:21" x14ac:dyDescent="0.2">
      <c r="B101" s="245">
        <f t="shared" si="21"/>
        <v>45200</v>
      </c>
      <c r="C101" s="462">
        <v>3.0683211599549134</v>
      </c>
      <c r="D101" s="462">
        <v>3.0027417721518983</v>
      </c>
      <c r="E101" s="246">
        <f t="shared" si="19"/>
        <v>2023</v>
      </c>
      <c r="K101" s="35">
        <f t="shared" si="22"/>
        <v>10</v>
      </c>
      <c r="L101" s="264">
        <f t="shared" si="23"/>
        <v>2023</v>
      </c>
      <c r="M101" s="243">
        <f t="shared" si="20"/>
        <v>45200</v>
      </c>
      <c r="N101" s="464">
        <v>34.953229999999998</v>
      </c>
      <c r="O101" s="464">
        <v>33.82931</v>
      </c>
      <c r="P101" s="464">
        <v>31.223379999999999</v>
      </c>
      <c r="Q101" s="465">
        <v>31.29468</v>
      </c>
      <c r="S101" s="261">
        <v>32.711892473118283</v>
      </c>
      <c r="T101" s="263">
        <f t="shared" si="24"/>
        <v>1.034159366591217</v>
      </c>
      <c r="U101" s="263">
        <f t="shared" si="25"/>
        <v>0.95667592529894419</v>
      </c>
    </row>
    <row r="102" spans="2:21" x14ac:dyDescent="0.2">
      <c r="B102" s="245">
        <f t="shared" si="21"/>
        <v>45231</v>
      </c>
      <c r="C102" s="462">
        <v>3.2521514704375449</v>
      </c>
      <c r="D102" s="462">
        <v>3.2283620253164553</v>
      </c>
      <c r="E102" s="246">
        <f t="shared" si="19"/>
        <v>2023</v>
      </c>
      <c r="K102" s="35">
        <f t="shared" si="22"/>
        <v>11</v>
      </c>
      <c r="L102" s="264">
        <f t="shared" si="23"/>
        <v>2023</v>
      </c>
      <c r="M102" s="243">
        <f t="shared" si="20"/>
        <v>45231</v>
      </c>
      <c r="N102" s="464">
        <v>36.208689999999997</v>
      </c>
      <c r="O102" s="464">
        <v>34.468989999999998</v>
      </c>
      <c r="P102" s="464">
        <v>33.504669999999997</v>
      </c>
      <c r="Q102" s="465">
        <v>31.678629999999998</v>
      </c>
      <c r="S102" s="261">
        <v>33.226679930651869</v>
      </c>
      <c r="T102" s="263">
        <f t="shared" si="24"/>
        <v>1.0373889317843668</v>
      </c>
      <c r="U102" s="263">
        <f t="shared" si="25"/>
        <v>0.95340943079829699</v>
      </c>
    </row>
    <row r="103" spans="2:21" x14ac:dyDescent="0.2">
      <c r="B103" s="247">
        <f t="shared" si="21"/>
        <v>45261</v>
      </c>
      <c r="C103" s="463">
        <v>3.4835276360282816</v>
      </c>
      <c r="D103" s="463">
        <v>3.4297797468354427</v>
      </c>
      <c r="E103" s="248">
        <f t="shared" si="19"/>
        <v>2023</v>
      </c>
      <c r="K103" s="35">
        <f t="shared" si="22"/>
        <v>12</v>
      </c>
      <c r="L103" s="264">
        <f t="shared" si="23"/>
        <v>2023</v>
      </c>
      <c r="M103" s="249">
        <f t="shared" si="20"/>
        <v>45261</v>
      </c>
      <c r="N103" s="466">
        <v>37.810809999999996</v>
      </c>
      <c r="O103" s="466">
        <v>35.99586</v>
      </c>
      <c r="P103" s="466">
        <v>34.312820000000002</v>
      </c>
      <c r="Q103" s="467">
        <v>33.918399999999998</v>
      </c>
      <c r="S103" s="261">
        <v>35.035313978494621</v>
      </c>
      <c r="T103" s="263">
        <f t="shared" si="24"/>
        <v>1.0274165095850143</v>
      </c>
      <c r="U103" s="263">
        <f t="shared" si="25"/>
        <v>0.96812033769184414</v>
      </c>
    </row>
    <row r="104" spans="2:21" x14ac:dyDescent="0.2">
      <c r="B104" s="239">
        <f t="shared" si="21"/>
        <v>45292</v>
      </c>
      <c r="C104" s="462">
        <v>3.5482883697100114</v>
      </c>
      <c r="D104" s="462">
        <v>3.5392481012658221</v>
      </c>
      <c r="E104" s="240">
        <f t="shared" si="19"/>
        <v>2024</v>
      </c>
      <c r="K104" s="35">
        <f t="shared" si="22"/>
        <v>1</v>
      </c>
      <c r="L104" s="264">
        <f t="shared" si="23"/>
        <v>2024</v>
      </c>
      <c r="M104" s="243">
        <f t="shared" si="20"/>
        <v>45292</v>
      </c>
      <c r="N104" s="468">
        <v>37.534379999999999</v>
      </c>
      <c r="O104" s="468">
        <v>37.102440000000001</v>
      </c>
      <c r="P104" s="468">
        <v>32.576239999999999</v>
      </c>
      <c r="Q104" s="469">
        <v>33.650970000000001</v>
      </c>
      <c r="S104" s="261">
        <v>35.580824193548388</v>
      </c>
      <c r="T104" s="263">
        <f t="shared" si="24"/>
        <v>1.0427650522701359</v>
      </c>
      <c r="U104" s="263">
        <f t="shared" si="25"/>
        <v>0.9457613971208032</v>
      </c>
    </row>
    <row r="105" spans="2:21" x14ac:dyDescent="0.2">
      <c r="B105" s="245">
        <f t="shared" si="21"/>
        <v>45323</v>
      </c>
      <c r="C105" s="462">
        <v>3.5595600163951229</v>
      </c>
      <c r="D105" s="462">
        <v>3.571855696202531</v>
      </c>
      <c r="E105" s="246">
        <f t="shared" si="19"/>
        <v>2024</v>
      </c>
      <c r="K105" s="35">
        <f t="shared" si="22"/>
        <v>2</v>
      </c>
      <c r="L105" s="264">
        <f t="shared" si="23"/>
        <v>2024</v>
      </c>
      <c r="M105" s="243">
        <f t="shared" si="20"/>
        <v>45323</v>
      </c>
      <c r="N105" s="464">
        <v>38.163879999999999</v>
      </c>
      <c r="O105" s="464">
        <v>37.490989999999996</v>
      </c>
      <c r="P105" s="464">
        <v>33.378909999999998</v>
      </c>
      <c r="Q105" s="465">
        <v>34.021000000000001</v>
      </c>
      <c r="S105" s="261">
        <v>36.015247126436783</v>
      </c>
      <c r="T105" s="263">
        <f t="shared" si="24"/>
        <v>1.0409755031912569</v>
      </c>
      <c r="U105" s="263">
        <f t="shared" si="25"/>
        <v>0.94462769839019323</v>
      </c>
    </row>
    <row r="106" spans="2:21" x14ac:dyDescent="0.2">
      <c r="B106" s="245">
        <f t="shared" si="21"/>
        <v>45352</v>
      </c>
      <c r="C106" s="462">
        <v>3.4273743416333642</v>
      </c>
      <c r="D106" s="462">
        <v>3.52719746835443</v>
      </c>
      <c r="E106" s="246">
        <f t="shared" si="19"/>
        <v>2024</v>
      </c>
      <c r="K106" s="35">
        <f t="shared" si="22"/>
        <v>3</v>
      </c>
      <c r="L106" s="264">
        <f t="shared" si="23"/>
        <v>2024</v>
      </c>
      <c r="M106" s="243">
        <f t="shared" si="20"/>
        <v>45352</v>
      </c>
      <c r="N106" s="464">
        <v>34.856079999999999</v>
      </c>
      <c r="O106" s="464">
        <v>34.389580000000002</v>
      </c>
      <c r="P106" s="464">
        <v>31.532450000000001</v>
      </c>
      <c r="Q106" s="465">
        <v>32.079720000000002</v>
      </c>
      <c r="S106" s="261">
        <v>33.372992893674301</v>
      </c>
      <c r="T106" s="263">
        <f t="shared" si="24"/>
        <v>1.030461370652747</v>
      </c>
      <c r="U106" s="263">
        <f t="shared" si="25"/>
        <v>0.96124791990353875</v>
      </c>
    </row>
    <row r="107" spans="2:21" x14ac:dyDescent="0.2">
      <c r="B107" s="245">
        <f t="shared" si="21"/>
        <v>45383</v>
      </c>
      <c r="C107" s="462">
        <v>3.0219024695153194</v>
      </c>
      <c r="D107" s="462">
        <v>2.8877037974683541</v>
      </c>
      <c r="E107" s="246">
        <f t="shared" si="19"/>
        <v>2024</v>
      </c>
      <c r="K107" s="35">
        <f t="shared" si="22"/>
        <v>4</v>
      </c>
      <c r="L107" s="264">
        <f t="shared" si="23"/>
        <v>2024</v>
      </c>
      <c r="M107" s="243">
        <f t="shared" si="20"/>
        <v>45383</v>
      </c>
      <c r="N107" s="464">
        <v>28.775749999999999</v>
      </c>
      <c r="O107" s="464">
        <v>28.771129999999999</v>
      </c>
      <c r="P107" s="464">
        <v>23.180800000000001</v>
      </c>
      <c r="Q107" s="465">
        <v>26.89471</v>
      </c>
      <c r="S107" s="261">
        <v>27.978863777777779</v>
      </c>
      <c r="T107" s="263">
        <f t="shared" si="24"/>
        <v>1.0283165974327906</v>
      </c>
      <c r="U107" s="263">
        <f t="shared" si="25"/>
        <v>0.96125097193407594</v>
      </c>
    </row>
    <row r="108" spans="2:21" x14ac:dyDescent="0.2">
      <c r="B108" s="245">
        <f t="shared" si="21"/>
        <v>45413</v>
      </c>
      <c r="C108" s="462">
        <v>3.5580229736653348</v>
      </c>
      <c r="D108" s="462">
        <v>3.3988936708860757</v>
      </c>
      <c r="E108" s="246">
        <f t="shared" si="19"/>
        <v>2024</v>
      </c>
      <c r="K108" s="35">
        <f t="shared" si="22"/>
        <v>5</v>
      </c>
      <c r="L108" s="264">
        <f t="shared" si="23"/>
        <v>2024</v>
      </c>
      <c r="M108" s="243">
        <f t="shared" si="20"/>
        <v>45413</v>
      </c>
      <c r="N108" s="464">
        <v>25.462250000000001</v>
      </c>
      <c r="O108" s="464">
        <v>28.194880000000001</v>
      </c>
      <c r="P108" s="464">
        <v>19.877829999999999</v>
      </c>
      <c r="Q108" s="465">
        <v>25.604500000000002</v>
      </c>
      <c r="S108" s="261">
        <v>27.05288451612903</v>
      </c>
      <c r="T108" s="263">
        <f t="shared" si="24"/>
        <v>1.0422134461554409</v>
      </c>
      <c r="U108" s="263">
        <f t="shared" si="25"/>
        <v>0.94646099511992898</v>
      </c>
    </row>
    <row r="109" spans="2:21" x14ac:dyDescent="0.2">
      <c r="B109" s="245">
        <f t="shared" si="21"/>
        <v>45444</v>
      </c>
      <c r="C109" s="462">
        <v>3.5813860231581107</v>
      </c>
      <c r="D109" s="462">
        <v>3.2575265822784805</v>
      </c>
      <c r="E109" s="246">
        <f t="shared" si="19"/>
        <v>2024</v>
      </c>
      <c r="K109" s="35">
        <f t="shared" si="22"/>
        <v>6</v>
      </c>
      <c r="L109" s="264">
        <f t="shared" si="23"/>
        <v>2024</v>
      </c>
      <c r="M109" s="243">
        <f t="shared" si="20"/>
        <v>45444</v>
      </c>
      <c r="N109" s="464">
        <v>27.715499999999999</v>
      </c>
      <c r="O109" s="464">
        <v>29.773070000000001</v>
      </c>
      <c r="P109" s="464">
        <v>21.974820000000001</v>
      </c>
      <c r="Q109" s="465">
        <v>26.751919999999998</v>
      </c>
      <c r="S109" s="261">
        <v>28.430336666666665</v>
      </c>
      <c r="T109" s="263">
        <f t="shared" si="24"/>
        <v>1.0472288931740872</v>
      </c>
      <c r="U109" s="263">
        <f t="shared" si="25"/>
        <v>0.94096388353239102</v>
      </c>
    </row>
    <row r="110" spans="2:21" x14ac:dyDescent="0.2">
      <c r="B110" s="245">
        <f t="shared" si="21"/>
        <v>45474</v>
      </c>
      <c r="C110" s="462">
        <v>3.5969613894866277</v>
      </c>
      <c r="D110" s="462">
        <v>3.3988936708860757</v>
      </c>
      <c r="E110" s="246">
        <f t="shared" si="19"/>
        <v>2024</v>
      </c>
      <c r="K110" s="35">
        <f t="shared" si="22"/>
        <v>7</v>
      </c>
      <c r="L110" s="264">
        <f t="shared" si="23"/>
        <v>2024</v>
      </c>
      <c r="M110" s="243">
        <f t="shared" si="20"/>
        <v>45474</v>
      </c>
      <c r="N110" s="464">
        <v>42.521239999999999</v>
      </c>
      <c r="O110" s="464">
        <v>43.29177</v>
      </c>
      <c r="P110" s="464">
        <v>32.355840000000001</v>
      </c>
      <c r="Q110" s="465">
        <v>33.600279999999998</v>
      </c>
      <c r="S110" s="261">
        <v>39.019177634408599</v>
      </c>
      <c r="T110" s="263">
        <f t="shared" si="24"/>
        <v>1.1094998055987644</v>
      </c>
      <c r="U110" s="263">
        <f t="shared" si="25"/>
        <v>0.86112219777717691</v>
      </c>
    </row>
    <row r="111" spans="2:21" x14ac:dyDescent="0.2">
      <c r="B111" s="245">
        <f t="shared" si="21"/>
        <v>45505</v>
      </c>
      <c r="C111" s="462">
        <v>3.6490159032687779</v>
      </c>
      <c r="D111" s="462">
        <v>3.5402607594936701</v>
      </c>
      <c r="E111" s="246">
        <f t="shared" si="19"/>
        <v>2024</v>
      </c>
      <c r="K111" s="35">
        <f t="shared" si="22"/>
        <v>8</v>
      </c>
      <c r="L111" s="264">
        <f t="shared" si="23"/>
        <v>2024</v>
      </c>
      <c r="M111" s="243">
        <f t="shared" si="20"/>
        <v>45505</v>
      </c>
      <c r="N111" s="464">
        <v>45.841630000000002</v>
      </c>
      <c r="O111" s="464">
        <v>45.724040000000002</v>
      </c>
      <c r="P111" s="464">
        <v>34.366750000000003</v>
      </c>
      <c r="Q111" s="465">
        <v>35.070900000000002</v>
      </c>
      <c r="S111" s="261">
        <v>41.256594193548388</v>
      </c>
      <c r="T111" s="263">
        <f t="shared" si="24"/>
        <v>1.1082844062574178</v>
      </c>
      <c r="U111" s="263">
        <f t="shared" si="25"/>
        <v>0.85006774518203709</v>
      </c>
    </row>
    <row r="112" spans="2:21" x14ac:dyDescent="0.2">
      <c r="B112" s="245">
        <f t="shared" si="21"/>
        <v>45536</v>
      </c>
      <c r="C112" s="462">
        <v>3.6334405369402605</v>
      </c>
      <c r="D112" s="462">
        <v>3.463096202531645</v>
      </c>
      <c r="E112" s="246">
        <f t="shared" si="19"/>
        <v>2024</v>
      </c>
      <c r="K112" s="35">
        <f t="shared" si="22"/>
        <v>9</v>
      </c>
      <c r="L112" s="264">
        <f t="shared" si="23"/>
        <v>2024</v>
      </c>
      <c r="M112" s="243">
        <f t="shared" si="20"/>
        <v>45536</v>
      </c>
      <c r="N112" s="464">
        <v>42.510869999999997</v>
      </c>
      <c r="O112" s="464">
        <v>38.719140000000003</v>
      </c>
      <c r="P112" s="464">
        <v>34.209850000000003</v>
      </c>
      <c r="Q112" s="465">
        <v>31.820609999999999</v>
      </c>
      <c r="S112" s="261">
        <v>35.499825999999999</v>
      </c>
      <c r="T112" s="263">
        <f t="shared" si="24"/>
        <v>1.0906853458943715</v>
      </c>
      <c r="U112" s="263">
        <f t="shared" si="25"/>
        <v>0.89635960469214693</v>
      </c>
    </row>
    <row r="113" spans="2:21" x14ac:dyDescent="0.2">
      <c r="B113" s="245">
        <f t="shared" si="21"/>
        <v>45566</v>
      </c>
      <c r="C113" s="462">
        <v>3.7401113023875396</v>
      </c>
      <c r="D113" s="462">
        <v>3.5917037974683539</v>
      </c>
      <c r="E113" s="246">
        <f t="shared" si="19"/>
        <v>2024</v>
      </c>
      <c r="K113" s="35">
        <f t="shared" si="22"/>
        <v>10</v>
      </c>
      <c r="L113" s="264">
        <f t="shared" si="23"/>
        <v>2024</v>
      </c>
      <c r="M113" s="243">
        <f t="shared" si="20"/>
        <v>45566</v>
      </c>
      <c r="N113" s="464">
        <v>39.65896</v>
      </c>
      <c r="O113" s="464">
        <v>37.858620000000002</v>
      </c>
      <c r="P113" s="464">
        <v>33.921770000000002</v>
      </c>
      <c r="Q113" s="465">
        <v>33.594349999999999</v>
      </c>
      <c r="S113" s="261">
        <v>36.070377741935488</v>
      </c>
      <c r="T113" s="263">
        <f t="shared" si="24"/>
        <v>1.0495764771541469</v>
      </c>
      <c r="U113" s="263">
        <f t="shared" si="25"/>
        <v>0.93135564701733486</v>
      </c>
    </row>
    <row r="114" spans="2:21" x14ac:dyDescent="0.2">
      <c r="B114" s="245">
        <f t="shared" si="21"/>
        <v>45597</v>
      </c>
      <c r="C114" s="462">
        <v>3.8522129521467368</v>
      </c>
      <c r="D114" s="462">
        <v>3.7845139240506325</v>
      </c>
      <c r="E114" s="246">
        <f t="shared" si="19"/>
        <v>2024</v>
      </c>
      <c r="K114" s="35">
        <f t="shared" si="22"/>
        <v>11</v>
      </c>
      <c r="L114" s="264">
        <f t="shared" si="23"/>
        <v>2024</v>
      </c>
      <c r="M114" s="243">
        <f t="shared" si="20"/>
        <v>45597</v>
      </c>
      <c r="N114" s="464">
        <v>40.624870000000001</v>
      </c>
      <c r="O114" s="464">
        <v>39.387979999999999</v>
      </c>
      <c r="P114" s="464">
        <v>35.439329999999998</v>
      </c>
      <c r="Q114" s="465">
        <v>35.04477</v>
      </c>
      <c r="S114" s="261">
        <v>37.454317850208042</v>
      </c>
      <c r="T114" s="263">
        <f t="shared" si="24"/>
        <v>1.0516272157865829</v>
      </c>
      <c r="U114" s="263">
        <f t="shared" si="25"/>
        <v>0.93566702082668796</v>
      </c>
    </row>
    <row r="115" spans="2:21" x14ac:dyDescent="0.2">
      <c r="B115" s="247">
        <f t="shared" si="21"/>
        <v>45627</v>
      </c>
      <c r="C115" s="463">
        <v>4.1278559483553652</v>
      </c>
      <c r="D115" s="463">
        <v>4.0415265822784798</v>
      </c>
      <c r="E115" s="248">
        <f t="shared" si="19"/>
        <v>2024</v>
      </c>
      <c r="K115" s="35">
        <f t="shared" si="22"/>
        <v>12</v>
      </c>
      <c r="L115" s="264">
        <f t="shared" si="23"/>
        <v>2024</v>
      </c>
      <c r="M115" s="249">
        <f t="shared" si="20"/>
        <v>45627</v>
      </c>
      <c r="N115" s="466">
        <v>41.511629999999997</v>
      </c>
      <c r="O115" s="466">
        <v>40.44173</v>
      </c>
      <c r="P115" s="466">
        <v>36.620640000000002</v>
      </c>
      <c r="Q115" s="467">
        <v>36.794310000000003</v>
      </c>
      <c r="S115" s="261">
        <v>38.755288494623656</v>
      </c>
      <c r="T115" s="263">
        <f t="shared" si="24"/>
        <v>1.0435151322795673</v>
      </c>
      <c r="U115" s="263">
        <f t="shared" si="25"/>
        <v>0.94940100897724733</v>
      </c>
    </row>
    <row r="116" spans="2:21" x14ac:dyDescent="0.2">
      <c r="B116" s="239">
        <f t="shared" si="21"/>
        <v>45658</v>
      </c>
      <c r="C116" s="462">
        <v>4.1236546982272779</v>
      </c>
      <c r="D116" s="462">
        <v>4.141779746835442</v>
      </c>
      <c r="E116" s="240">
        <f t="shared" si="19"/>
        <v>2025</v>
      </c>
      <c r="K116" s="35">
        <f t="shared" si="22"/>
        <v>1</v>
      </c>
      <c r="L116" s="264">
        <f t="shared" si="23"/>
        <v>2025</v>
      </c>
      <c r="M116" s="243">
        <f t="shared" si="20"/>
        <v>45658</v>
      </c>
      <c r="N116" s="468">
        <v>40.281260000000003</v>
      </c>
      <c r="O116" s="468">
        <v>40.210889999999999</v>
      </c>
      <c r="P116" s="468">
        <v>35.906480000000002</v>
      </c>
      <c r="Q116" s="469">
        <v>36.431950000000001</v>
      </c>
      <c r="S116" s="261">
        <v>38.54490569892473</v>
      </c>
      <c r="T116" s="263">
        <f t="shared" si="24"/>
        <v>1.0432219062640422</v>
      </c>
      <c r="U116" s="263">
        <f t="shared" si="25"/>
        <v>0.94518197254316605</v>
      </c>
    </row>
    <row r="117" spans="2:21" x14ac:dyDescent="0.2">
      <c r="B117" s="245">
        <f t="shared" si="21"/>
        <v>45689</v>
      </c>
      <c r="C117" s="462">
        <v>4.144148601291116</v>
      </c>
      <c r="D117" s="462">
        <v>4.207703797468354</v>
      </c>
      <c r="E117" s="246">
        <f t="shared" si="19"/>
        <v>2025</v>
      </c>
      <c r="K117" s="35">
        <f t="shared" si="22"/>
        <v>2</v>
      </c>
      <c r="L117" s="264">
        <f t="shared" si="23"/>
        <v>2025</v>
      </c>
      <c r="M117" s="243">
        <f t="shared" si="20"/>
        <v>45689</v>
      </c>
      <c r="N117" s="464">
        <v>42.372750000000003</v>
      </c>
      <c r="O117" s="464">
        <v>41.534979999999997</v>
      </c>
      <c r="P117" s="464">
        <v>38.221319999999999</v>
      </c>
      <c r="Q117" s="465">
        <v>37.936990000000002</v>
      </c>
      <c r="S117" s="261">
        <v>39.992984285714286</v>
      </c>
      <c r="T117" s="263">
        <f t="shared" si="24"/>
        <v>1.0385566554190986</v>
      </c>
      <c r="U117" s="263">
        <f t="shared" si="25"/>
        <v>0.94859112610786844</v>
      </c>
    </row>
    <row r="118" spans="2:21" x14ac:dyDescent="0.2">
      <c r="B118" s="245">
        <f t="shared" si="21"/>
        <v>45717</v>
      </c>
      <c r="C118" s="462">
        <v>3.976508474228917</v>
      </c>
      <c r="D118" s="462">
        <v>4.2208683544303787</v>
      </c>
      <c r="E118" s="246">
        <f t="shared" si="19"/>
        <v>2025</v>
      </c>
      <c r="K118" s="35">
        <f t="shared" si="22"/>
        <v>3</v>
      </c>
      <c r="L118" s="264">
        <f t="shared" si="23"/>
        <v>2025</v>
      </c>
      <c r="M118" s="243">
        <f t="shared" si="20"/>
        <v>45717</v>
      </c>
      <c r="N118" s="464">
        <v>38.254660000000001</v>
      </c>
      <c r="O118" s="464">
        <v>37.520159999999997</v>
      </c>
      <c r="P118" s="464">
        <v>35.947400000000002</v>
      </c>
      <c r="Q118" s="465">
        <v>35.584429999999998</v>
      </c>
      <c r="S118" s="261">
        <v>36.668230376850602</v>
      </c>
      <c r="T118" s="263">
        <f t="shared" si="24"/>
        <v>1.023233453438954</v>
      </c>
      <c r="U118" s="263">
        <f t="shared" si="25"/>
        <v>0.97044306840793637</v>
      </c>
    </row>
    <row r="119" spans="2:21" x14ac:dyDescent="0.2">
      <c r="B119" s="245">
        <f t="shared" si="21"/>
        <v>45748</v>
      </c>
      <c r="C119" s="462">
        <v>3.6617221231683574</v>
      </c>
      <c r="D119" s="462">
        <v>3.496210126582278</v>
      </c>
      <c r="E119" s="246">
        <f t="shared" si="19"/>
        <v>2025</v>
      </c>
      <c r="K119" s="35">
        <f t="shared" si="22"/>
        <v>4</v>
      </c>
      <c r="L119" s="264">
        <f t="shared" si="23"/>
        <v>2025</v>
      </c>
      <c r="M119" s="243">
        <f t="shared" si="20"/>
        <v>45748</v>
      </c>
      <c r="N119" s="464">
        <v>30.901489999999999</v>
      </c>
      <c r="O119" s="464">
        <v>30.047260000000001</v>
      </c>
      <c r="P119" s="464">
        <v>27.078589999999998</v>
      </c>
      <c r="Q119" s="465">
        <v>27.404430000000001</v>
      </c>
      <c r="S119" s="261">
        <v>28.931398444444447</v>
      </c>
      <c r="T119" s="263">
        <f t="shared" si="24"/>
        <v>1.0385692229049448</v>
      </c>
      <c r="U119" s="263">
        <f t="shared" si="25"/>
        <v>0.9472210633932332</v>
      </c>
    </row>
    <row r="120" spans="2:21" x14ac:dyDescent="0.2">
      <c r="B120" s="245">
        <f t="shared" si="21"/>
        <v>45778</v>
      </c>
      <c r="C120" s="462">
        <v>3.6083355056870583</v>
      </c>
      <c r="D120" s="462">
        <v>3.5093746835443032</v>
      </c>
      <c r="E120" s="246">
        <f t="shared" si="19"/>
        <v>2025</v>
      </c>
      <c r="K120" s="35">
        <f t="shared" si="22"/>
        <v>5</v>
      </c>
      <c r="L120" s="264">
        <f t="shared" si="23"/>
        <v>2025</v>
      </c>
      <c r="M120" s="243">
        <f t="shared" si="20"/>
        <v>45778</v>
      </c>
      <c r="N120" s="464">
        <v>27.7499</v>
      </c>
      <c r="O120" s="464">
        <v>29.245290000000001</v>
      </c>
      <c r="P120" s="464">
        <v>22.343430000000001</v>
      </c>
      <c r="Q120" s="465">
        <v>26.82488</v>
      </c>
      <c r="S120" s="261">
        <v>28.17822752688172</v>
      </c>
      <c r="T120" s="263">
        <f t="shared" si="24"/>
        <v>1.0378683319275606</v>
      </c>
      <c r="U120" s="263">
        <f t="shared" si="25"/>
        <v>0.95197187170163056</v>
      </c>
    </row>
    <row r="121" spans="2:21" x14ac:dyDescent="0.2">
      <c r="B121" s="245">
        <f t="shared" si="21"/>
        <v>45809</v>
      </c>
      <c r="C121" s="462">
        <v>3.5924527308125835</v>
      </c>
      <c r="D121" s="462">
        <v>3.3776278481012652</v>
      </c>
      <c r="E121" s="246">
        <f t="shared" si="19"/>
        <v>2025</v>
      </c>
      <c r="K121" s="35">
        <f t="shared" si="22"/>
        <v>6</v>
      </c>
      <c r="L121" s="264">
        <f t="shared" si="23"/>
        <v>2025</v>
      </c>
      <c r="M121" s="243">
        <f t="shared" si="20"/>
        <v>45809</v>
      </c>
      <c r="N121" s="464">
        <v>30.001159999999999</v>
      </c>
      <c r="O121" s="464">
        <v>31.73939</v>
      </c>
      <c r="P121" s="464">
        <v>23.551349999999999</v>
      </c>
      <c r="Q121" s="465">
        <v>27.883669999999999</v>
      </c>
      <c r="S121" s="261">
        <v>30.025736666666667</v>
      </c>
      <c r="T121" s="263">
        <f t="shared" si="24"/>
        <v>1.0570728156433797</v>
      </c>
      <c r="U121" s="263">
        <f t="shared" si="25"/>
        <v>0.92865898044577533</v>
      </c>
    </row>
    <row r="122" spans="2:21" x14ac:dyDescent="0.2">
      <c r="B122" s="245">
        <f t="shared" si="21"/>
        <v>45839</v>
      </c>
      <c r="C122" s="462">
        <v>3.6083355056870583</v>
      </c>
      <c r="D122" s="462">
        <v>3.5358050632911389</v>
      </c>
      <c r="E122" s="246">
        <f t="shared" si="19"/>
        <v>2025</v>
      </c>
      <c r="K122" s="35">
        <f t="shared" si="22"/>
        <v>7</v>
      </c>
      <c r="L122" s="264">
        <f t="shared" si="23"/>
        <v>2025</v>
      </c>
      <c r="M122" s="243">
        <f t="shared" si="20"/>
        <v>45839</v>
      </c>
      <c r="N122" s="464">
        <v>44.81118</v>
      </c>
      <c r="O122" s="464">
        <v>45.251539999999999</v>
      </c>
      <c r="P122" s="464">
        <v>33.945819999999998</v>
      </c>
      <c r="Q122" s="465">
        <v>35.16836</v>
      </c>
      <c r="S122" s="261">
        <v>40.806267096774192</v>
      </c>
      <c r="T122" s="263">
        <f t="shared" si="24"/>
        <v>1.1089360340823042</v>
      </c>
      <c r="U122" s="263">
        <f t="shared" si="25"/>
        <v>0.86183722506634575</v>
      </c>
    </row>
    <row r="123" spans="2:21" x14ac:dyDescent="0.2">
      <c r="B123" s="245">
        <f t="shared" si="21"/>
        <v>45870</v>
      </c>
      <c r="C123" s="462">
        <v>3.6883641971513477</v>
      </c>
      <c r="D123" s="462">
        <v>3.627956962025316</v>
      </c>
      <c r="E123" s="246">
        <f t="shared" si="19"/>
        <v>2025</v>
      </c>
      <c r="K123" s="35">
        <f t="shared" si="22"/>
        <v>8</v>
      </c>
      <c r="L123" s="264">
        <f t="shared" si="23"/>
        <v>2025</v>
      </c>
      <c r="M123" s="243">
        <f t="shared" si="20"/>
        <v>45870</v>
      </c>
      <c r="N123" s="464">
        <v>49.030380000000001</v>
      </c>
      <c r="O123" s="464">
        <v>49.215580000000003</v>
      </c>
      <c r="P123" s="464">
        <v>36.974249999999998</v>
      </c>
      <c r="Q123" s="465">
        <v>37.452640000000002</v>
      </c>
      <c r="S123" s="261">
        <v>44.02976774193548</v>
      </c>
      <c r="T123" s="263">
        <f t="shared" si="24"/>
        <v>1.1177796868804597</v>
      </c>
      <c r="U123" s="263">
        <f t="shared" si="25"/>
        <v>0.85062088493210031</v>
      </c>
    </row>
    <row r="124" spans="2:21" x14ac:dyDescent="0.2">
      <c r="B124" s="245">
        <f t="shared" si="21"/>
        <v>45901</v>
      </c>
      <c r="C124" s="462">
        <v>3.6991234962598627</v>
      </c>
      <c r="D124" s="462">
        <v>3.548969620253164</v>
      </c>
      <c r="E124" s="246">
        <f t="shared" si="19"/>
        <v>2025</v>
      </c>
      <c r="K124" s="35">
        <f t="shared" si="22"/>
        <v>9</v>
      </c>
      <c r="L124" s="264">
        <f t="shared" si="23"/>
        <v>2025</v>
      </c>
      <c r="M124" s="243">
        <f t="shared" si="20"/>
        <v>45901</v>
      </c>
      <c r="N124" s="464">
        <v>44.774850000000001</v>
      </c>
      <c r="O124" s="464">
        <v>41.474600000000002</v>
      </c>
      <c r="P124" s="464">
        <v>35.113930000000003</v>
      </c>
      <c r="Q124" s="465">
        <v>33.251130000000003</v>
      </c>
      <c r="S124" s="261">
        <v>37.819724444444446</v>
      </c>
      <c r="T124" s="263">
        <f t="shared" si="24"/>
        <v>1.0966394020380665</v>
      </c>
      <c r="U124" s="263">
        <f t="shared" si="25"/>
        <v>0.87920074745241694</v>
      </c>
    </row>
    <row r="125" spans="2:21" x14ac:dyDescent="0.2">
      <c r="B125" s="245">
        <f t="shared" si="21"/>
        <v>45931</v>
      </c>
      <c r="C125" s="462">
        <v>3.7550718516241419</v>
      </c>
      <c r="D125" s="462">
        <v>3.6411215189873412</v>
      </c>
      <c r="E125" s="246">
        <f t="shared" si="19"/>
        <v>2025</v>
      </c>
      <c r="K125" s="35">
        <f t="shared" si="22"/>
        <v>10</v>
      </c>
      <c r="L125" s="264">
        <f t="shared" si="23"/>
        <v>2025</v>
      </c>
      <c r="M125" s="243">
        <f t="shared" si="20"/>
        <v>45931</v>
      </c>
      <c r="N125" s="464">
        <v>41.068420000000003</v>
      </c>
      <c r="O125" s="464">
        <v>39.378500000000003</v>
      </c>
      <c r="P125" s="464">
        <v>34.990020000000001</v>
      </c>
      <c r="Q125" s="465">
        <v>34.840739999999997</v>
      </c>
      <c r="S125" s="261">
        <v>37.475568387096779</v>
      </c>
      <c r="T125" s="263">
        <f t="shared" si="24"/>
        <v>1.0507779253204983</v>
      </c>
      <c r="U125" s="263">
        <f t="shared" si="25"/>
        <v>0.92969210340238684</v>
      </c>
    </row>
    <row r="126" spans="2:21" x14ac:dyDescent="0.2">
      <c r="B126" s="245">
        <f t="shared" si="21"/>
        <v>45962</v>
      </c>
      <c r="C126" s="462">
        <v>3.8437079823752436</v>
      </c>
      <c r="D126" s="462">
        <v>3.8651215189873414</v>
      </c>
      <c r="E126" s="246">
        <f t="shared" si="19"/>
        <v>2025</v>
      </c>
      <c r="K126" s="35">
        <f t="shared" si="22"/>
        <v>11</v>
      </c>
      <c r="L126" s="264">
        <f t="shared" si="23"/>
        <v>2025</v>
      </c>
      <c r="M126" s="243">
        <f t="shared" si="20"/>
        <v>45962</v>
      </c>
      <c r="N126" s="464">
        <v>41.786499999999997</v>
      </c>
      <c r="O126" s="464">
        <v>41.269849999999998</v>
      </c>
      <c r="P126" s="464">
        <v>36.866050000000001</v>
      </c>
      <c r="Q126" s="465">
        <v>36.802570000000003</v>
      </c>
      <c r="S126" s="261">
        <v>39.181814826629683</v>
      </c>
      <c r="T126" s="263">
        <f t="shared" si="24"/>
        <v>1.0532909254614515</v>
      </c>
      <c r="U126" s="263">
        <f t="shared" si="25"/>
        <v>0.93927680896974075</v>
      </c>
    </row>
    <row r="127" spans="2:21" x14ac:dyDescent="0.2">
      <c r="B127" s="247">
        <f t="shared" si="21"/>
        <v>45992</v>
      </c>
      <c r="C127" s="463">
        <v>3.9929035966799877</v>
      </c>
      <c r="D127" s="463">
        <v>4.1549443037974676</v>
      </c>
      <c r="E127" s="248">
        <f t="shared" si="19"/>
        <v>2025</v>
      </c>
      <c r="K127" s="35">
        <f t="shared" si="22"/>
        <v>12</v>
      </c>
      <c r="L127" s="264">
        <f t="shared" si="23"/>
        <v>2025</v>
      </c>
      <c r="M127" s="249">
        <f t="shared" si="20"/>
        <v>45992</v>
      </c>
      <c r="N127" s="466">
        <v>42.859740000000002</v>
      </c>
      <c r="O127" s="466">
        <v>42.077710000000003</v>
      </c>
      <c r="P127" s="466">
        <v>37.25705</v>
      </c>
      <c r="Q127" s="467">
        <v>37.814149999999998</v>
      </c>
      <c r="S127" s="261">
        <v>40.198076021505379</v>
      </c>
      <c r="T127" s="263">
        <f t="shared" si="24"/>
        <v>1.0467593020494077</v>
      </c>
      <c r="U127" s="263">
        <f t="shared" si="25"/>
        <v>0.9406955193519706</v>
      </c>
    </row>
    <row r="128" spans="2:21" x14ac:dyDescent="0.2">
      <c r="B128" s="239">
        <f t="shared" si="21"/>
        <v>46023</v>
      </c>
      <c r="C128" s="462">
        <v>4.0470075007685216</v>
      </c>
      <c r="D128" s="462">
        <v>4.2404126582278465</v>
      </c>
      <c r="E128" s="240">
        <f t="shared" si="19"/>
        <v>2026</v>
      </c>
      <c r="K128" s="35">
        <f t="shared" si="22"/>
        <v>1</v>
      </c>
      <c r="L128" s="264">
        <f t="shared" si="23"/>
        <v>2026</v>
      </c>
      <c r="M128" s="243">
        <f t="shared" si="20"/>
        <v>46023</v>
      </c>
      <c r="N128" s="468">
        <v>41.808280000000003</v>
      </c>
      <c r="O128" s="468">
        <v>41.613340000000001</v>
      </c>
      <c r="P128" s="468">
        <v>37.105319999999999</v>
      </c>
      <c r="Q128" s="469">
        <v>37.537269999999999</v>
      </c>
      <c r="S128" s="261">
        <v>39.816362903225809</v>
      </c>
      <c r="T128" s="263">
        <f t="shared" si="24"/>
        <v>1.0451316234268251</v>
      </c>
      <c r="U128" s="263">
        <f t="shared" si="25"/>
        <v>0.94275989223914869</v>
      </c>
    </row>
    <row r="129" spans="2:21" x14ac:dyDescent="0.2">
      <c r="B129" s="245">
        <f t="shared" si="21"/>
        <v>46054</v>
      </c>
      <c r="C129" s="462">
        <v>4.0947582949072654</v>
      </c>
      <c r="D129" s="462">
        <v>4.1729696202531636</v>
      </c>
      <c r="E129" s="246">
        <f t="shared" si="19"/>
        <v>2026</v>
      </c>
      <c r="K129" s="35">
        <f t="shared" si="22"/>
        <v>2</v>
      </c>
      <c r="L129" s="264">
        <f t="shared" si="23"/>
        <v>2026</v>
      </c>
      <c r="M129" s="243">
        <f t="shared" si="20"/>
        <v>46054</v>
      </c>
      <c r="N129" s="464">
        <v>43.239690000000003</v>
      </c>
      <c r="O129" s="464">
        <v>42.208739999999999</v>
      </c>
      <c r="P129" s="464">
        <v>38.921410000000002</v>
      </c>
      <c r="Q129" s="465">
        <v>38.395020000000002</v>
      </c>
      <c r="S129" s="261">
        <v>40.574288571428575</v>
      </c>
      <c r="T129" s="263">
        <f t="shared" si="24"/>
        <v>1.0402829349846534</v>
      </c>
      <c r="U129" s="263">
        <f t="shared" si="25"/>
        <v>0.9462894200204619</v>
      </c>
    </row>
    <row r="130" spans="2:21" x14ac:dyDescent="0.2">
      <c r="B130" s="245">
        <f t="shared" si="21"/>
        <v>46082</v>
      </c>
      <c r="C130" s="462">
        <v>3.8823389896505791</v>
      </c>
      <c r="D130" s="462">
        <v>4.0785898734177204</v>
      </c>
      <c r="E130" s="246">
        <f t="shared" si="19"/>
        <v>2026</v>
      </c>
      <c r="K130" s="35">
        <f t="shared" si="22"/>
        <v>3</v>
      </c>
      <c r="L130" s="264">
        <f t="shared" si="23"/>
        <v>2026</v>
      </c>
      <c r="M130" s="243">
        <f t="shared" si="20"/>
        <v>46082</v>
      </c>
      <c r="N130" s="464">
        <v>37.932279999999999</v>
      </c>
      <c r="O130" s="464">
        <v>37.074689999999997</v>
      </c>
      <c r="P130" s="464">
        <v>35.916890000000002</v>
      </c>
      <c r="Q130" s="465">
        <v>35.287039999999998</v>
      </c>
      <c r="S130" s="261">
        <v>36.28793152086137</v>
      </c>
      <c r="T130" s="263">
        <f t="shared" si="24"/>
        <v>1.0216809954760395</v>
      </c>
      <c r="U130" s="263">
        <f t="shared" si="25"/>
        <v>0.97241806080112403</v>
      </c>
    </row>
    <row r="131" spans="2:21" x14ac:dyDescent="0.2">
      <c r="B131" s="245">
        <f t="shared" si="21"/>
        <v>46113</v>
      </c>
      <c r="C131" s="462">
        <v>3.6281121221436625</v>
      </c>
      <c r="D131" s="462">
        <v>3.4580329113924044</v>
      </c>
      <c r="E131" s="246">
        <f t="shared" si="19"/>
        <v>2026</v>
      </c>
      <c r="K131" s="35">
        <f t="shared" si="22"/>
        <v>4</v>
      </c>
      <c r="L131" s="264">
        <f t="shared" si="23"/>
        <v>2026</v>
      </c>
      <c r="M131" s="243">
        <f t="shared" si="20"/>
        <v>46113</v>
      </c>
      <c r="N131" s="464">
        <v>30.649090000000001</v>
      </c>
      <c r="O131" s="464">
        <v>30.21058</v>
      </c>
      <c r="P131" s="464">
        <v>27.033799999999999</v>
      </c>
      <c r="Q131" s="465">
        <v>28.01773</v>
      </c>
      <c r="S131" s="261">
        <v>29.284710000000004</v>
      </c>
      <c r="T131" s="263">
        <f t="shared" si="24"/>
        <v>1.0316161573735918</v>
      </c>
      <c r="U131" s="263">
        <f t="shared" si="25"/>
        <v>0.95673578464666365</v>
      </c>
    </row>
    <row r="132" spans="2:21" x14ac:dyDescent="0.2">
      <c r="B132" s="245">
        <f t="shared" si="21"/>
        <v>46143</v>
      </c>
      <c r="C132" s="462">
        <v>3.5734958704785327</v>
      </c>
      <c r="D132" s="462">
        <v>3.5254759493670882</v>
      </c>
      <c r="E132" s="246">
        <f t="shared" si="19"/>
        <v>2026</v>
      </c>
      <c r="K132" s="35">
        <f t="shared" si="22"/>
        <v>5</v>
      </c>
      <c r="L132" s="264">
        <f t="shared" si="23"/>
        <v>2026</v>
      </c>
      <c r="M132" s="243">
        <f t="shared" si="20"/>
        <v>46143</v>
      </c>
      <c r="N132" s="464">
        <v>27.344709999999999</v>
      </c>
      <c r="O132" s="464">
        <v>30.22297</v>
      </c>
      <c r="P132" s="464">
        <v>22.433769999999999</v>
      </c>
      <c r="Q132" s="465">
        <v>27.540590000000002</v>
      </c>
      <c r="S132" s="261">
        <v>28.98272978494624</v>
      </c>
      <c r="T132" s="263">
        <f t="shared" si="24"/>
        <v>1.0427923878894922</v>
      </c>
      <c r="U132" s="263">
        <f t="shared" si="25"/>
        <v>0.95024140943082269</v>
      </c>
    </row>
    <row r="133" spans="2:21" x14ac:dyDescent="0.2">
      <c r="B133" s="245">
        <f t="shared" si="21"/>
        <v>46174</v>
      </c>
      <c r="C133" s="462">
        <v>3.5845625781330055</v>
      </c>
      <c r="D133" s="462">
        <v>3.4040582278481004</v>
      </c>
      <c r="E133" s="246">
        <f t="shared" si="19"/>
        <v>2026</v>
      </c>
      <c r="K133" s="35">
        <f t="shared" si="22"/>
        <v>6</v>
      </c>
      <c r="L133" s="264">
        <f t="shared" si="23"/>
        <v>2026</v>
      </c>
      <c r="M133" s="243">
        <f t="shared" si="20"/>
        <v>46174</v>
      </c>
      <c r="N133" s="464">
        <v>31.504259999999999</v>
      </c>
      <c r="O133" s="464">
        <v>33.4099</v>
      </c>
      <c r="P133" s="464">
        <v>24.53359</v>
      </c>
      <c r="Q133" s="465">
        <v>29.117560000000001</v>
      </c>
      <c r="S133" s="261">
        <v>31.597578666666667</v>
      </c>
      <c r="T133" s="263">
        <f t="shared" si="24"/>
        <v>1.0573563358272515</v>
      </c>
      <c r="U133" s="263">
        <f t="shared" si="25"/>
        <v>0.92151238255218204</v>
      </c>
    </row>
    <row r="134" spans="2:21" x14ac:dyDescent="0.2">
      <c r="B134" s="245">
        <f t="shared" si="21"/>
        <v>46204</v>
      </c>
      <c r="C134" s="462">
        <v>3.6281121221436625</v>
      </c>
      <c r="D134" s="462">
        <v>3.5929189873417715</v>
      </c>
      <c r="E134" s="246">
        <f t="shared" si="19"/>
        <v>2026</v>
      </c>
      <c r="K134" s="35">
        <f t="shared" si="22"/>
        <v>7</v>
      </c>
      <c r="L134" s="264">
        <f t="shared" si="23"/>
        <v>2026</v>
      </c>
      <c r="M134" s="243">
        <f t="shared" si="20"/>
        <v>46204</v>
      </c>
      <c r="N134" s="464">
        <v>46.828029999999998</v>
      </c>
      <c r="O134" s="464">
        <v>47.323050000000002</v>
      </c>
      <c r="P134" s="464">
        <v>35.75658</v>
      </c>
      <c r="Q134" s="465">
        <v>36.864040000000003</v>
      </c>
      <c r="S134" s="261">
        <v>42.712088602150537</v>
      </c>
      <c r="T134" s="263">
        <f t="shared" si="24"/>
        <v>1.1079544819453597</v>
      </c>
      <c r="U134" s="263">
        <f t="shared" si="25"/>
        <v>0.86308212045954391</v>
      </c>
    </row>
    <row r="135" spans="2:21" x14ac:dyDescent="0.2">
      <c r="B135" s="245">
        <f t="shared" si="21"/>
        <v>46235</v>
      </c>
      <c r="C135" s="462">
        <v>3.7373446254739218</v>
      </c>
      <c r="D135" s="462">
        <v>3.673830379746835</v>
      </c>
      <c r="E135" s="246">
        <f t="shared" si="19"/>
        <v>2026</v>
      </c>
      <c r="K135" s="35">
        <f t="shared" si="22"/>
        <v>8</v>
      </c>
      <c r="L135" s="264">
        <f t="shared" si="23"/>
        <v>2026</v>
      </c>
      <c r="M135" s="243">
        <f t="shared" si="20"/>
        <v>46235</v>
      </c>
      <c r="N135" s="464">
        <v>49.940330000000003</v>
      </c>
      <c r="O135" s="464">
        <v>50.034210000000002</v>
      </c>
      <c r="P135" s="464">
        <v>37.917549999999999</v>
      </c>
      <c r="Q135" s="465">
        <v>38.412239999999997</v>
      </c>
      <c r="S135" s="261">
        <v>44.910545806451616</v>
      </c>
      <c r="T135" s="263">
        <f t="shared" si="24"/>
        <v>1.1140859925334585</v>
      </c>
      <c r="U135" s="263">
        <f t="shared" si="25"/>
        <v>0.85530557044536948</v>
      </c>
    </row>
    <row r="136" spans="2:21" x14ac:dyDescent="0.2">
      <c r="B136" s="245">
        <f t="shared" si="21"/>
        <v>46266</v>
      </c>
      <c r="C136" s="462">
        <v>3.7347828875909417</v>
      </c>
      <c r="D136" s="462">
        <v>3.5658810126582274</v>
      </c>
      <c r="E136" s="246">
        <f t="shared" ref="E136:E199" si="26">YEAR(B136)</f>
        <v>2026</v>
      </c>
      <c r="K136" s="35">
        <f t="shared" si="22"/>
        <v>9</v>
      </c>
      <c r="L136" s="264">
        <f t="shared" si="23"/>
        <v>2026</v>
      </c>
      <c r="M136" s="243">
        <f t="shared" ref="M136:M199" si="27">B136</f>
        <v>46266</v>
      </c>
      <c r="N136" s="464">
        <v>45.198399999999999</v>
      </c>
      <c r="O136" s="464">
        <v>41.83155</v>
      </c>
      <c r="P136" s="464">
        <v>35.989429999999999</v>
      </c>
      <c r="Q136" s="465">
        <v>34.001510000000003</v>
      </c>
      <c r="S136" s="261">
        <v>38.351532222222225</v>
      </c>
      <c r="T136" s="263">
        <f t="shared" si="24"/>
        <v>1.0907399933231698</v>
      </c>
      <c r="U136" s="263">
        <f t="shared" si="25"/>
        <v>0.88657500834603775</v>
      </c>
    </row>
    <row r="137" spans="2:21" x14ac:dyDescent="0.2">
      <c r="B137" s="245">
        <f t="shared" ref="B137:B200" si="28">EDATE(B136,1)</f>
        <v>46296</v>
      </c>
      <c r="C137" s="462">
        <v>3.7782299620862796</v>
      </c>
      <c r="D137" s="462">
        <v>3.6333240506329112</v>
      </c>
      <c r="E137" s="246">
        <f t="shared" si="26"/>
        <v>2026</v>
      </c>
      <c r="K137" s="35">
        <f t="shared" ref="K137:K200" si="29">MONTH(M137)</f>
        <v>10</v>
      </c>
      <c r="L137" s="264">
        <f t="shared" ref="L137:L200" si="30">YEAR(M137)</f>
        <v>2026</v>
      </c>
      <c r="M137" s="243">
        <f t="shared" si="27"/>
        <v>46296</v>
      </c>
      <c r="N137" s="464">
        <v>42.443730000000002</v>
      </c>
      <c r="O137" s="464">
        <v>40.509039999999999</v>
      </c>
      <c r="P137" s="464">
        <v>36.347729999999999</v>
      </c>
      <c r="Q137" s="465">
        <v>36.12556</v>
      </c>
      <c r="S137" s="261">
        <v>38.670806451612904</v>
      </c>
      <c r="T137" s="263">
        <f t="shared" ref="T137:T200" si="31">O137/S137</f>
        <v>1.047535433497804</v>
      </c>
      <c r="U137" s="263">
        <f t="shared" ref="U137:U200" si="32">Q137/S137</f>
        <v>0.93418170746457896</v>
      </c>
    </row>
    <row r="138" spans="2:21" x14ac:dyDescent="0.2">
      <c r="B138" s="245">
        <f t="shared" si="28"/>
        <v>46327</v>
      </c>
      <c r="C138" s="462">
        <v>3.8831587457731325</v>
      </c>
      <c r="D138" s="462">
        <v>3.8087164556962021</v>
      </c>
      <c r="E138" s="246">
        <f t="shared" si="26"/>
        <v>2026</v>
      </c>
      <c r="K138" s="35">
        <f t="shared" si="29"/>
        <v>11</v>
      </c>
      <c r="L138" s="264">
        <f t="shared" si="30"/>
        <v>2026</v>
      </c>
      <c r="M138" s="243">
        <f t="shared" si="27"/>
        <v>46327</v>
      </c>
      <c r="N138" s="464">
        <v>42.974589999999999</v>
      </c>
      <c r="O138" s="464">
        <v>41.536999999999999</v>
      </c>
      <c r="P138" s="464">
        <v>37.694899999999997</v>
      </c>
      <c r="Q138" s="465">
        <v>37.010770000000001</v>
      </c>
      <c r="S138" s="261">
        <v>39.421411220527048</v>
      </c>
      <c r="T138" s="263">
        <f t="shared" si="31"/>
        <v>1.0536659828750967</v>
      </c>
      <c r="U138" s="263">
        <f t="shared" si="32"/>
        <v>0.938849443845587</v>
      </c>
    </row>
    <row r="139" spans="2:21" x14ac:dyDescent="0.2">
      <c r="B139" s="247">
        <f t="shared" si="28"/>
        <v>46357</v>
      </c>
      <c r="C139" s="463">
        <v>4.0905570447791781</v>
      </c>
      <c r="D139" s="463">
        <v>4.0785898734177204</v>
      </c>
      <c r="E139" s="248">
        <f t="shared" si="26"/>
        <v>2026</v>
      </c>
      <c r="K139" s="35">
        <f t="shared" si="29"/>
        <v>12</v>
      </c>
      <c r="L139" s="264">
        <f t="shared" si="30"/>
        <v>2026</v>
      </c>
      <c r="M139" s="249">
        <f t="shared" si="27"/>
        <v>46357</v>
      </c>
      <c r="N139" s="466">
        <v>43.399749999999997</v>
      </c>
      <c r="O139" s="466">
        <v>42.06662</v>
      </c>
      <c r="P139" s="466">
        <v>37.797449999999998</v>
      </c>
      <c r="Q139" s="467">
        <v>37.928809999999999</v>
      </c>
      <c r="S139" s="261">
        <v>40.242424193548388</v>
      </c>
      <c r="T139" s="263">
        <f t="shared" si="31"/>
        <v>1.0453301669322412</v>
      </c>
      <c r="U139" s="263">
        <f t="shared" si="32"/>
        <v>0.94250808096398664</v>
      </c>
    </row>
    <row r="140" spans="2:21" x14ac:dyDescent="0.2">
      <c r="B140" s="239">
        <f t="shared" si="28"/>
        <v>46388</v>
      </c>
      <c r="C140" s="462">
        <v>4.1640276872630393</v>
      </c>
      <c r="D140" s="462">
        <v>4.2765645569620245</v>
      </c>
      <c r="E140" s="240">
        <f t="shared" si="26"/>
        <v>2027</v>
      </c>
      <c r="K140" s="35">
        <f t="shared" si="29"/>
        <v>1</v>
      </c>
      <c r="L140" s="264">
        <f t="shared" si="30"/>
        <v>2027</v>
      </c>
      <c r="M140" s="243">
        <f t="shared" si="27"/>
        <v>46388</v>
      </c>
      <c r="N140" s="468">
        <v>42.224690000000002</v>
      </c>
      <c r="O140" s="468">
        <v>41.804430000000004</v>
      </c>
      <c r="P140" s="468">
        <v>38.15184</v>
      </c>
      <c r="Q140" s="469">
        <v>38.415799999999997</v>
      </c>
      <c r="S140" s="261">
        <v>40.237644086021504</v>
      </c>
      <c r="T140" s="263">
        <f t="shared" si="31"/>
        <v>1.0389383113640791</v>
      </c>
      <c r="U140" s="263">
        <f t="shared" si="32"/>
        <v>0.95472289376269892</v>
      </c>
    </row>
    <row r="141" spans="2:21" x14ac:dyDescent="0.2">
      <c r="B141" s="245">
        <f t="shared" si="28"/>
        <v>46419</v>
      </c>
      <c r="C141" s="462">
        <v>4.1985599139256076</v>
      </c>
      <c r="D141" s="462">
        <v>4.2626911392405056</v>
      </c>
      <c r="E141" s="246">
        <f t="shared" si="26"/>
        <v>2027</v>
      </c>
      <c r="K141" s="35">
        <f t="shared" si="29"/>
        <v>2</v>
      </c>
      <c r="L141" s="264">
        <f t="shared" si="30"/>
        <v>2027</v>
      </c>
      <c r="M141" s="243">
        <f t="shared" si="27"/>
        <v>46419</v>
      </c>
      <c r="N141" s="464">
        <v>43.899090000000001</v>
      </c>
      <c r="O141" s="464">
        <v>42.998399999999997</v>
      </c>
      <c r="P141" s="464">
        <v>40.04889</v>
      </c>
      <c r="Q141" s="465">
        <v>39.389319999999998</v>
      </c>
      <c r="S141" s="261">
        <v>41.451651428571431</v>
      </c>
      <c r="T141" s="263">
        <f t="shared" si="31"/>
        <v>1.0373145222957858</v>
      </c>
      <c r="U141" s="263">
        <f t="shared" si="32"/>
        <v>0.95024730360561882</v>
      </c>
    </row>
    <row r="142" spans="2:21" x14ac:dyDescent="0.2">
      <c r="B142" s="245">
        <f t="shared" si="28"/>
        <v>46447</v>
      </c>
      <c r="C142" s="462">
        <v>4.0509013423506506</v>
      </c>
      <c r="D142" s="462">
        <v>4.2488177215189866</v>
      </c>
      <c r="E142" s="246">
        <f t="shared" si="26"/>
        <v>2027</v>
      </c>
      <c r="K142" s="35">
        <f t="shared" si="29"/>
        <v>3</v>
      </c>
      <c r="L142" s="264">
        <f t="shared" si="30"/>
        <v>2027</v>
      </c>
      <c r="M142" s="243">
        <f t="shared" si="27"/>
        <v>46447</v>
      </c>
      <c r="N142" s="464">
        <v>39.207410000000003</v>
      </c>
      <c r="O142" s="464">
        <v>38.274799999999999</v>
      </c>
      <c r="P142" s="464">
        <v>37.099519999999998</v>
      </c>
      <c r="Q142" s="465">
        <v>36.896430000000002</v>
      </c>
      <c r="S142" s="261">
        <v>37.697851049798118</v>
      </c>
      <c r="T142" s="263">
        <f t="shared" si="31"/>
        <v>1.0153045580619369</v>
      </c>
      <c r="U142" s="263">
        <f t="shared" si="32"/>
        <v>0.97874093542521945</v>
      </c>
    </row>
    <row r="143" spans="2:21" x14ac:dyDescent="0.2">
      <c r="B143" s="245">
        <f t="shared" si="28"/>
        <v>46478</v>
      </c>
      <c r="C143" s="462">
        <v>3.7761805717798955</v>
      </c>
      <c r="D143" s="462">
        <v>3.68193164556962</v>
      </c>
      <c r="E143" s="246">
        <f t="shared" si="26"/>
        <v>2027</v>
      </c>
      <c r="K143" s="35">
        <f t="shared" si="29"/>
        <v>4</v>
      </c>
      <c r="L143" s="264">
        <f t="shared" si="30"/>
        <v>2027</v>
      </c>
      <c r="M143" s="243">
        <f t="shared" si="27"/>
        <v>46478</v>
      </c>
      <c r="N143" s="464">
        <v>32.047870000000003</v>
      </c>
      <c r="O143" s="464">
        <v>31.794280000000001</v>
      </c>
      <c r="P143" s="464">
        <v>28.535540000000001</v>
      </c>
      <c r="Q143" s="465">
        <v>29.316579999999998</v>
      </c>
      <c r="S143" s="261">
        <v>30.748140000000003</v>
      </c>
      <c r="T143" s="263">
        <f t="shared" si="31"/>
        <v>1.034022870976911</v>
      </c>
      <c r="U143" s="263">
        <f t="shared" si="32"/>
        <v>0.95344238708422668</v>
      </c>
    </row>
    <row r="144" spans="2:21" x14ac:dyDescent="0.2">
      <c r="B144" s="245">
        <f t="shared" si="28"/>
        <v>46508</v>
      </c>
      <c r="C144" s="462">
        <v>3.7482063940977564</v>
      </c>
      <c r="D144" s="462">
        <v>3.7234506329113919</v>
      </c>
      <c r="E144" s="246">
        <f t="shared" si="26"/>
        <v>2027</v>
      </c>
      <c r="K144" s="35">
        <f t="shared" si="29"/>
        <v>5</v>
      </c>
      <c r="L144" s="264">
        <f t="shared" si="30"/>
        <v>2027</v>
      </c>
      <c r="M144" s="243">
        <f t="shared" si="27"/>
        <v>46508</v>
      </c>
      <c r="N144" s="464">
        <v>28.80742</v>
      </c>
      <c r="O144" s="464">
        <v>31.86777</v>
      </c>
      <c r="P144" s="464">
        <v>23.792549999999999</v>
      </c>
      <c r="Q144" s="465">
        <v>29.385950000000001</v>
      </c>
      <c r="S144" s="261">
        <v>30.720261827956993</v>
      </c>
      <c r="T144" s="263">
        <f t="shared" si="31"/>
        <v>1.0373534632767589</v>
      </c>
      <c r="U144" s="263">
        <f t="shared" si="32"/>
        <v>0.95656574037586162</v>
      </c>
    </row>
    <row r="145" spans="2:21" x14ac:dyDescent="0.2">
      <c r="B145" s="245">
        <f t="shared" si="28"/>
        <v>46539</v>
      </c>
      <c r="C145" s="462">
        <v>3.731708802131366</v>
      </c>
      <c r="D145" s="462">
        <v>3.5851215189873415</v>
      </c>
      <c r="E145" s="246">
        <f t="shared" si="26"/>
        <v>2027</v>
      </c>
      <c r="K145" s="35">
        <f t="shared" si="29"/>
        <v>6</v>
      </c>
      <c r="L145" s="264">
        <f t="shared" si="30"/>
        <v>2027</v>
      </c>
      <c r="M145" s="243">
        <f t="shared" si="27"/>
        <v>46539</v>
      </c>
      <c r="N145" s="464">
        <v>33.06561</v>
      </c>
      <c r="O145" s="464">
        <v>34.589790000000001</v>
      </c>
      <c r="P145" s="464">
        <v>25.85106</v>
      </c>
      <c r="Q145" s="465">
        <v>30.52928</v>
      </c>
      <c r="S145" s="261">
        <v>32.875352444444445</v>
      </c>
      <c r="T145" s="263">
        <f t="shared" si="31"/>
        <v>1.0521496327211322</v>
      </c>
      <c r="U145" s="263">
        <f t="shared" si="32"/>
        <v>0.92863734469739789</v>
      </c>
    </row>
    <row r="146" spans="2:21" x14ac:dyDescent="0.2">
      <c r="B146" s="245">
        <f t="shared" si="28"/>
        <v>46569</v>
      </c>
      <c r="C146" s="462">
        <v>3.7902188953786249</v>
      </c>
      <c r="D146" s="462">
        <v>3.7372227848101263</v>
      </c>
      <c r="E146" s="246">
        <f t="shared" si="26"/>
        <v>2027</v>
      </c>
      <c r="K146" s="35">
        <f t="shared" si="29"/>
        <v>7</v>
      </c>
      <c r="L146" s="264">
        <f t="shared" si="30"/>
        <v>2027</v>
      </c>
      <c r="M146" s="243">
        <f t="shared" si="27"/>
        <v>46569</v>
      </c>
      <c r="N146" s="464">
        <v>47.915619999999997</v>
      </c>
      <c r="O146" s="464">
        <v>48.274889999999999</v>
      </c>
      <c r="P146" s="464">
        <v>37.140619999999998</v>
      </c>
      <c r="Q146" s="465">
        <v>38.23874</v>
      </c>
      <c r="S146" s="261">
        <v>43.850350752688172</v>
      </c>
      <c r="T146" s="263">
        <f t="shared" si="31"/>
        <v>1.1009008861129939</v>
      </c>
      <c r="U146" s="263">
        <f t="shared" si="32"/>
        <v>0.87202814444205645</v>
      </c>
    </row>
    <row r="147" spans="2:21" x14ac:dyDescent="0.2">
      <c r="B147" s="245">
        <f t="shared" si="28"/>
        <v>46600</v>
      </c>
      <c r="C147" s="462">
        <v>3.8602055743416335</v>
      </c>
      <c r="D147" s="462">
        <v>3.8340329113924048</v>
      </c>
      <c r="E147" s="246">
        <f t="shared" si="26"/>
        <v>2027</v>
      </c>
      <c r="K147" s="35">
        <f t="shared" si="29"/>
        <v>8</v>
      </c>
      <c r="L147" s="264">
        <f t="shared" si="30"/>
        <v>2027</v>
      </c>
      <c r="M147" s="243">
        <f t="shared" si="27"/>
        <v>46600</v>
      </c>
      <c r="N147" s="464">
        <v>51.280059999999999</v>
      </c>
      <c r="O147" s="464">
        <v>51.111879999999999</v>
      </c>
      <c r="P147" s="464">
        <v>39.174349999999997</v>
      </c>
      <c r="Q147" s="465">
        <v>39.561369999999997</v>
      </c>
      <c r="S147" s="261">
        <v>46.01971967741936</v>
      </c>
      <c r="T147" s="263">
        <f t="shared" si="31"/>
        <v>1.1106517023196738</v>
      </c>
      <c r="U147" s="263">
        <f t="shared" si="32"/>
        <v>0.85966125559455975</v>
      </c>
    </row>
    <row r="148" spans="2:21" x14ac:dyDescent="0.2">
      <c r="B148" s="245">
        <f t="shared" si="28"/>
        <v>46631</v>
      </c>
      <c r="C148" s="462">
        <v>3.8576438364586534</v>
      </c>
      <c r="D148" s="462">
        <v>3.7095772151898729</v>
      </c>
      <c r="E148" s="246">
        <f t="shared" si="26"/>
        <v>2027</v>
      </c>
      <c r="K148" s="35">
        <f t="shared" si="29"/>
        <v>9</v>
      </c>
      <c r="L148" s="264">
        <f t="shared" si="30"/>
        <v>2027</v>
      </c>
      <c r="M148" s="243">
        <f t="shared" si="27"/>
        <v>46631</v>
      </c>
      <c r="N148" s="464">
        <v>46.065190000000001</v>
      </c>
      <c r="O148" s="464">
        <v>42.398269999999997</v>
      </c>
      <c r="P148" s="464">
        <v>37.046790000000001</v>
      </c>
      <c r="Q148" s="465">
        <v>35.097810000000003</v>
      </c>
      <c r="S148" s="261">
        <v>39.153621111111114</v>
      </c>
      <c r="T148" s="263">
        <f t="shared" si="31"/>
        <v>1.0828697013663471</v>
      </c>
      <c r="U148" s="263">
        <f t="shared" si="32"/>
        <v>0.89641287329206587</v>
      </c>
    </row>
    <row r="149" spans="2:21" x14ac:dyDescent="0.2">
      <c r="B149" s="245">
        <f t="shared" si="28"/>
        <v>46661</v>
      </c>
      <c r="C149" s="462">
        <v>3.9721022850701919</v>
      </c>
      <c r="D149" s="462">
        <v>3.806387341772151</v>
      </c>
      <c r="E149" s="246">
        <f t="shared" si="26"/>
        <v>2027</v>
      </c>
      <c r="K149" s="35">
        <f t="shared" si="29"/>
        <v>10</v>
      </c>
      <c r="L149" s="264">
        <f t="shared" si="30"/>
        <v>2027</v>
      </c>
      <c r="M149" s="243">
        <f t="shared" si="27"/>
        <v>46661</v>
      </c>
      <c r="N149" s="464">
        <v>43.414380000000001</v>
      </c>
      <c r="O149" s="464">
        <v>41.716790000000003</v>
      </c>
      <c r="P149" s="464">
        <v>37.454039999999999</v>
      </c>
      <c r="Q149" s="465">
        <v>37.270389999999999</v>
      </c>
      <c r="S149" s="261">
        <v>39.756549139784951</v>
      </c>
      <c r="T149" s="263">
        <f t="shared" si="31"/>
        <v>1.0493061118892084</v>
      </c>
      <c r="U149" s="263">
        <f t="shared" si="32"/>
        <v>0.93746541906734515</v>
      </c>
    </row>
    <row r="150" spans="2:21" x14ac:dyDescent="0.2">
      <c r="B150" s="245">
        <f t="shared" si="28"/>
        <v>46692</v>
      </c>
      <c r="C150" s="462">
        <v>4.0521309765344808</v>
      </c>
      <c r="D150" s="462">
        <v>3.9584886075949361</v>
      </c>
      <c r="E150" s="246">
        <f t="shared" si="26"/>
        <v>2027</v>
      </c>
      <c r="K150" s="35">
        <f t="shared" si="29"/>
        <v>11</v>
      </c>
      <c r="L150" s="264">
        <f t="shared" si="30"/>
        <v>2027</v>
      </c>
      <c r="M150" s="243">
        <f t="shared" si="27"/>
        <v>46692</v>
      </c>
      <c r="N150" s="464">
        <v>44.084339999999997</v>
      </c>
      <c r="O150" s="464">
        <v>42.806150000000002</v>
      </c>
      <c r="P150" s="464">
        <v>38.383940000000003</v>
      </c>
      <c r="Q150" s="465">
        <v>37.827559999999998</v>
      </c>
      <c r="S150" s="261">
        <v>40.589607156726771</v>
      </c>
      <c r="T150" s="263">
        <f t="shared" si="31"/>
        <v>1.0546086301036273</v>
      </c>
      <c r="U150" s="263">
        <f t="shared" si="32"/>
        <v>0.93195186279921838</v>
      </c>
    </row>
    <row r="151" spans="2:21" x14ac:dyDescent="0.2">
      <c r="B151" s="247">
        <f t="shared" si="28"/>
        <v>46722</v>
      </c>
      <c r="C151" s="463">
        <v>4.2365761041090275</v>
      </c>
      <c r="D151" s="463">
        <v>4.19352658227848</v>
      </c>
      <c r="E151" s="248">
        <f t="shared" si="26"/>
        <v>2027</v>
      </c>
      <c r="K151" s="35">
        <f t="shared" si="29"/>
        <v>12</v>
      </c>
      <c r="L151" s="264">
        <f t="shared" si="30"/>
        <v>2027</v>
      </c>
      <c r="M151" s="249">
        <f t="shared" si="27"/>
        <v>46722</v>
      </c>
      <c r="N151" s="466">
        <v>44.34064</v>
      </c>
      <c r="O151" s="466">
        <v>42.329590000000003</v>
      </c>
      <c r="P151" s="466">
        <v>38.578960000000002</v>
      </c>
      <c r="Q151" s="467">
        <v>38.78651</v>
      </c>
      <c r="S151" s="261">
        <v>40.767586989247313</v>
      </c>
      <c r="T151" s="263">
        <f t="shared" si="31"/>
        <v>1.0383148262163437</v>
      </c>
      <c r="U151" s="263">
        <f t="shared" si="32"/>
        <v>0.95140558626219807</v>
      </c>
    </row>
    <row r="152" spans="2:21" x14ac:dyDescent="0.2">
      <c r="B152" s="239">
        <f t="shared" si="28"/>
        <v>46753</v>
      </c>
      <c r="C152" s="462">
        <v>4.3131208320524648</v>
      </c>
      <c r="D152" s="462">
        <v>4.3685139240506317</v>
      </c>
      <c r="E152" s="240">
        <f t="shared" si="26"/>
        <v>2028</v>
      </c>
      <c r="K152" s="35">
        <f t="shared" si="29"/>
        <v>1</v>
      </c>
      <c r="L152" s="264">
        <f t="shared" si="30"/>
        <v>2028</v>
      </c>
      <c r="M152" s="243">
        <f t="shared" si="27"/>
        <v>46753</v>
      </c>
      <c r="N152" s="468">
        <v>43.564190000000004</v>
      </c>
      <c r="O152" s="468">
        <v>42.903489999999998</v>
      </c>
      <c r="P152" s="468">
        <v>39.335990000000002</v>
      </c>
      <c r="Q152" s="469">
        <v>39.528759999999998</v>
      </c>
      <c r="S152" s="261">
        <v>41.343130967741935</v>
      </c>
      <c r="T152" s="263">
        <f t="shared" si="31"/>
        <v>1.0377416754787037</v>
      </c>
      <c r="U152" s="263">
        <f t="shared" si="32"/>
        <v>0.95611433083871655</v>
      </c>
    </row>
    <row r="153" spans="2:21" x14ac:dyDescent="0.2">
      <c r="B153" s="245">
        <f t="shared" si="28"/>
        <v>46784</v>
      </c>
      <c r="C153" s="462">
        <v>4.3336147351163037</v>
      </c>
      <c r="D153" s="462">
        <v>4.4676531645569604</v>
      </c>
      <c r="E153" s="246">
        <f t="shared" si="26"/>
        <v>2028</v>
      </c>
      <c r="K153" s="35">
        <f t="shared" si="29"/>
        <v>2</v>
      </c>
      <c r="L153" s="264">
        <f t="shared" si="30"/>
        <v>2028</v>
      </c>
      <c r="M153" s="243">
        <f t="shared" si="27"/>
        <v>46784</v>
      </c>
      <c r="N153" s="464">
        <v>46.05274</v>
      </c>
      <c r="O153" s="464">
        <v>44.579070000000002</v>
      </c>
      <c r="P153" s="464">
        <v>41.807589999999998</v>
      </c>
      <c r="Q153" s="465">
        <v>41.083449999999999</v>
      </c>
      <c r="S153" s="261">
        <v>43.092427011494252</v>
      </c>
      <c r="T153" s="263">
        <f t="shared" si="31"/>
        <v>1.0344989384819103</v>
      </c>
      <c r="U153" s="263">
        <f t="shared" si="32"/>
        <v>0.95337981286228346</v>
      </c>
    </row>
    <row r="154" spans="2:21" x14ac:dyDescent="0.2">
      <c r="B154" s="245">
        <f t="shared" si="28"/>
        <v>46813</v>
      </c>
      <c r="C154" s="462">
        <v>4.1537807357311198</v>
      </c>
      <c r="D154" s="462">
        <v>4.4392987341772141</v>
      </c>
      <c r="E154" s="246">
        <f t="shared" si="26"/>
        <v>2028</v>
      </c>
      <c r="K154" s="35">
        <f t="shared" si="29"/>
        <v>3</v>
      </c>
      <c r="L154" s="264">
        <f t="shared" si="30"/>
        <v>2028</v>
      </c>
      <c r="M154" s="243">
        <f t="shared" si="27"/>
        <v>46813</v>
      </c>
      <c r="N154" s="464">
        <v>40.681609999999999</v>
      </c>
      <c r="O154" s="464">
        <v>39.581409999999998</v>
      </c>
      <c r="P154" s="464">
        <v>38.347529999999999</v>
      </c>
      <c r="Q154" s="465">
        <v>37.959130000000002</v>
      </c>
      <c r="S154" s="261">
        <v>38.902366823687757</v>
      </c>
      <c r="T154" s="263">
        <f t="shared" si="31"/>
        <v>1.0174550607522104</v>
      </c>
      <c r="U154" s="263">
        <f t="shared" si="32"/>
        <v>0.97575374197763676</v>
      </c>
    </row>
    <row r="155" spans="2:21" x14ac:dyDescent="0.2">
      <c r="B155" s="245">
        <f t="shared" si="28"/>
        <v>46844</v>
      </c>
      <c r="C155" s="462">
        <v>3.9581664309867817</v>
      </c>
      <c r="D155" s="462">
        <v>3.8865898734177211</v>
      </c>
      <c r="E155" s="246">
        <f t="shared" si="26"/>
        <v>2028</v>
      </c>
      <c r="K155" s="35">
        <f t="shared" si="29"/>
        <v>4</v>
      </c>
      <c r="L155" s="264">
        <f t="shared" si="30"/>
        <v>2028</v>
      </c>
      <c r="M155" s="243">
        <f t="shared" si="27"/>
        <v>46844</v>
      </c>
      <c r="N155" s="464">
        <v>34.516449999999999</v>
      </c>
      <c r="O155" s="464">
        <v>33.334620000000001</v>
      </c>
      <c r="P155" s="464">
        <v>30.495180000000001</v>
      </c>
      <c r="Q155" s="465">
        <v>30.865629999999999</v>
      </c>
      <c r="S155" s="261">
        <v>32.237291111111112</v>
      </c>
      <c r="T155" s="263">
        <f t="shared" si="31"/>
        <v>1.0340391159141369</v>
      </c>
      <c r="U155" s="263">
        <f t="shared" si="32"/>
        <v>0.95745110510732867</v>
      </c>
    </row>
    <row r="156" spans="2:21" x14ac:dyDescent="0.2">
      <c r="B156" s="245">
        <f t="shared" si="28"/>
        <v>46874</v>
      </c>
      <c r="C156" s="462">
        <v>3.9151292345527207</v>
      </c>
      <c r="D156" s="462">
        <v>3.9716531645569617</v>
      </c>
      <c r="E156" s="246">
        <f t="shared" si="26"/>
        <v>2028</v>
      </c>
      <c r="K156" s="35">
        <f t="shared" si="29"/>
        <v>5</v>
      </c>
      <c r="L156" s="264">
        <f t="shared" si="30"/>
        <v>2028</v>
      </c>
      <c r="M156" s="243">
        <f t="shared" si="27"/>
        <v>46874</v>
      </c>
      <c r="N156" s="464">
        <v>32.105989999999998</v>
      </c>
      <c r="O156" s="464">
        <v>33.854770000000002</v>
      </c>
      <c r="P156" s="464">
        <v>26.271360000000001</v>
      </c>
      <c r="Q156" s="465">
        <v>31.164300000000001</v>
      </c>
      <c r="S156" s="261">
        <v>32.6686488172043</v>
      </c>
      <c r="T156" s="263">
        <f t="shared" si="31"/>
        <v>1.0363076290492632</v>
      </c>
      <c r="U156" s="263">
        <f t="shared" si="32"/>
        <v>0.95395129974239823</v>
      </c>
    </row>
    <row r="157" spans="2:21" x14ac:dyDescent="0.2">
      <c r="B157" s="245">
        <f t="shared" si="28"/>
        <v>46905</v>
      </c>
      <c r="C157" s="462">
        <v>3.8982217645250539</v>
      </c>
      <c r="D157" s="462">
        <v>3.8157037974683541</v>
      </c>
      <c r="E157" s="246">
        <f t="shared" si="26"/>
        <v>2028</v>
      </c>
      <c r="K157" s="35">
        <f t="shared" si="29"/>
        <v>6</v>
      </c>
      <c r="L157" s="264">
        <f t="shared" si="30"/>
        <v>2028</v>
      </c>
      <c r="M157" s="243">
        <f t="shared" si="27"/>
        <v>46905</v>
      </c>
      <c r="N157" s="464">
        <v>35.426009999999998</v>
      </c>
      <c r="O157" s="464">
        <v>36.423929999999999</v>
      </c>
      <c r="P157" s="464">
        <v>27.81183</v>
      </c>
      <c r="Q157" s="465">
        <v>32.127490000000002</v>
      </c>
      <c r="S157" s="261">
        <v>34.609877555555556</v>
      </c>
      <c r="T157" s="263">
        <f t="shared" si="31"/>
        <v>1.0524142982457114</v>
      </c>
      <c r="U157" s="263">
        <f t="shared" si="32"/>
        <v>0.928275170821658</v>
      </c>
    </row>
    <row r="158" spans="2:21" x14ac:dyDescent="0.2">
      <c r="B158" s="245">
        <f t="shared" si="28"/>
        <v>46935</v>
      </c>
      <c r="C158" s="462">
        <v>3.9725121631314688</v>
      </c>
      <c r="D158" s="462">
        <v>3.9858303797468349</v>
      </c>
      <c r="E158" s="246">
        <f t="shared" si="26"/>
        <v>2028</v>
      </c>
      <c r="K158" s="35">
        <f t="shared" si="29"/>
        <v>7</v>
      </c>
      <c r="L158" s="264">
        <f t="shared" si="30"/>
        <v>2028</v>
      </c>
      <c r="M158" s="243">
        <f t="shared" si="27"/>
        <v>46935</v>
      </c>
      <c r="N158" s="464">
        <v>50.502630000000003</v>
      </c>
      <c r="O158" s="464">
        <v>50.63223</v>
      </c>
      <c r="P158" s="464">
        <v>39.60698</v>
      </c>
      <c r="Q158" s="465">
        <v>40.461150000000004</v>
      </c>
      <c r="S158" s="261">
        <v>45.929472580645154</v>
      </c>
      <c r="T158" s="263">
        <f t="shared" si="31"/>
        <v>1.1023908430713529</v>
      </c>
      <c r="U158" s="263">
        <f t="shared" si="32"/>
        <v>0.88094088014959004</v>
      </c>
    </row>
    <row r="159" spans="2:21" x14ac:dyDescent="0.2">
      <c r="B159" s="245">
        <f t="shared" si="28"/>
        <v>46966</v>
      </c>
      <c r="C159" s="462">
        <v>4.072829818628958</v>
      </c>
      <c r="D159" s="462">
        <v>4.0991468354430367</v>
      </c>
      <c r="E159" s="246">
        <f t="shared" si="26"/>
        <v>2028</v>
      </c>
      <c r="K159" s="35">
        <f t="shared" si="29"/>
        <v>8</v>
      </c>
      <c r="L159" s="264">
        <f t="shared" si="30"/>
        <v>2028</v>
      </c>
      <c r="M159" s="243">
        <f t="shared" si="27"/>
        <v>46966</v>
      </c>
      <c r="N159" s="464">
        <v>53.675190000000001</v>
      </c>
      <c r="O159" s="464">
        <v>53.328249999999997</v>
      </c>
      <c r="P159" s="464">
        <v>41.134999999999998</v>
      </c>
      <c r="Q159" s="465">
        <v>41.466810000000002</v>
      </c>
      <c r="S159" s="261">
        <v>48.354097741935483</v>
      </c>
      <c r="T159" s="263">
        <f t="shared" si="31"/>
        <v>1.1028693014728852</v>
      </c>
      <c r="U159" s="263">
        <f t="shared" si="32"/>
        <v>0.85756558257600524</v>
      </c>
    </row>
    <row r="160" spans="2:21" x14ac:dyDescent="0.2">
      <c r="B160" s="245">
        <f t="shared" si="28"/>
        <v>46997</v>
      </c>
      <c r="C160" s="462">
        <v>4.0846138128906651</v>
      </c>
      <c r="D160" s="462">
        <v>3.9716531645569617</v>
      </c>
      <c r="E160" s="246">
        <f t="shared" si="26"/>
        <v>2028</v>
      </c>
      <c r="K160" s="35">
        <f t="shared" si="29"/>
        <v>9</v>
      </c>
      <c r="L160" s="264">
        <f t="shared" si="30"/>
        <v>2028</v>
      </c>
      <c r="M160" s="243">
        <f t="shared" si="27"/>
        <v>46997</v>
      </c>
      <c r="N160" s="464">
        <v>47.84064</v>
      </c>
      <c r="O160" s="464">
        <v>43.781739999999999</v>
      </c>
      <c r="P160" s="464">
        <v>39.511699999999998</v>
      </c>
      <c r="Q160" s="465">
        <v>37.192970000000003</v>
      </c>
      <c r="S160" s="261">
        <v>40.853397777777779</v>
      </c>
      <c r="T160" s="263">
        <f t="shared" si="31"/>
        <v>1.0716792820550924</v>
      </c>
      <c r="U160" s="263">
        <f t="shared" si="32"/>
        <v>0.91040089743113439</v>
      </c>
    </row>
    <row r="161" spans="2:21" x14ac:dyDescent="0.2">
      <c r="B161" s="245">
        <f t="shared" si="28"/>
        <v>47027</v>
      </c>
      <c r="C161" s="462">
        <v>4.1875956757864543</v>
      </c>
      <c r="D161" s="462">
        <v>4.0991468354430367</v>
      </c>
      <c r="E161" s="246">
        <f t="shared" si="26"/>
        <v>2028</v>
      </c>
      <c r="K161" s="35">
        <f t="shared" si="29"/>
        <v>10</v>
      </c>
      <c r="L161" s="264">
        <f t="shared" si="30"/>
        <v>2028</v>
      </c>
      <c r="M161" s="243">
        <f t="shared" si="27"/>
        <v>47027</v>
      </c>
      <c r="N161" s="464">
        <v>46.072319999999998</v>
      </c>
      <c r="O161" s="464">
        <v>43.199210000000001</v>
      </c>
      <c r="P161" s="464">
        <v>39.502800000000001</v>
      </c>
      <c r="Q161" s="465">
        <v>38.828380000000003</v>
      </c>
      <c r="S161" s="261">
        <v>41.27228494623656</v>
      </c>
      <c r="T161" s="263">
        <f t="shared" si="31"/>
        <v>1.0466881117988391</v>
      </c>
      <c r="U161" s="263">
        <f t="shared" si="32"/>
        <v>0.94078580942586254</v>
      </c>
    </row>
    <row r="162" spans="2:21" x14ac:dyDescent="0.2">
      <c r="B162" s="245">
        <f t="shared" si="28"/>
        <v>47058</v>
      </c>
      <c r="C162" s="462">
        <v>4.3131208320524648</v>
      </c>
      <c r="D162" s="462">
        <v>4.2550962025316439</v>
      </c>
      <c r="E162" s="246">
        <f t="shared" si="26"/>
        <v>2028</v>
      </c>
      <c r="K162" s="35">
        <f t="shared" si="29"/>
        <v>11</v>
      </c>
      <c r="L162" s="264">
        <f t="shared" si="30"/>
        <v>2028</v>
      </c>
      <c r="M162" s="243">
        <f t="shared" si="27"/>
        <v>47058</v>
      </c>
      <c r="N162" s="464">
        <v>47.063769999999998</v>
      </c>
      <c r="O162" s="464">
        <v>45.537210000000002</v>
      </c>
      <c r="P162" s="464">
        <v>40.952100000000002</v>
      </c>
      <c r="Q162" s="465">
        <v>40.58914</v>
      </c>
      <c r="S162" s="261">
        <v>43.334255117891821</v>
      </c>
      <c r="T162" s="263">
        <f t="shared" si="31"/>
        <v>1.0508363389682134</v>
      </c>
      <c r="U162" s="263">
        <f t="shared" si="32"/>
        <v>0.93665253711126051</v>
      </c>
    </row>
    <row r="163" spans="2:21" x14ac:dyDescent="0.2">
      <c r="B163" s="247">
        <f t="shared" si="28"/>
        <v>47088</v>
      </c>
      <c r="C163" s="463">
        <v>4.5594575468798038</v>
      </c>
      <c r="D163" s="463">
        <v>4.4960075949367084</v>
      </c>
      <c r="E163" s="248">
        <f t="shared" si="26"/>
        <v>2028</v>
      </c>
      <c r="K163" s="35">
        <f t="shared" si="29"/>
        <v>12</v>
      </c>
      <c r="L163" s="264">
        <f t="shared" si="30"/>
        <v>2028</v>
      </c>
      <c r="M163" s="249">
        <f t="shared" si="27"/>
        <v>47088</v>
      </c>
      <c r="N163" s="466">
        <v>47.073819999999998</v>
      </c>
      <c r="O163" s="466">
        <v>44.762540000000001</v>
      </c>
      <c r="P163" s="466">
        <v>41.51247</v>
      </c>
      <c r="Q163" s="467">
        <v>41.591349999999998</v>
      </c>
      <c r="S163" s="261">
        <v>43.296290860215052</v>
      </c>
      <c r="T163" s="263">
        <f t="shared" si="31"/>
        <v>1.0338654677029686</v>
      </c>
      <c r="U163" s="263">
        <f t="shared" si="32"/>
        <v>0.96062154918259468</v>
      </c>
    </row>
    <row r="164" spans="2:21" x14ac:dyDescent="0.2">
      <c r="B164" s="239">
        <f t="shared" si="28"/>
        <v>47119</v>
      </c>
      <c r="C164" s="462">
        <v>4.6726863613075116</v>
      </c>
      <c r="D164" s="462">
        <v>4.8110455696202523</v>
      </c>
      <c r="E164" s="240">
        <f t="shared" si="26"/>
        <v>2029</v>
      </c>
      <c r="K164" s="35">
        <f t="shared" si="29"/>
        <v>1</v>
      </c>
      <c r="L164" s="264">
        <f t="shared" si="30"/>
        <v>2029</v>
      </c>
      <c r="M164" s="243">
        <f t="shared" si="27"/>
        <v>47119</v>
      </c>
      <c r="N164" s="468">
        <v>46.013539999999999</v>
      </c>
      <c r="O164" s="468">
        <v>45.698979999999999</v>
      </c>
      <c r="P164" s="468">
        <v>41.735950000000003</v>
      </c>
      <c r="Q164" s="469">
        <v>42.126240000000003</v>
      </c>
      <c r="S164" s="261">
        <v>44.123901075268812</v>
      </c>
      <c r="T164" s="263">
        <f t="shared" si="31"/>
        <v>1.0356967286742016</v>
      </c>
      <c r="U164" s="263">
        <f t="shared" si="32"/>
        <v>0.95472610021808602</v>
      </c>
    </row>
    <row r="165" spans="2:21" x14ac:dyDescent="0.2">
      <c r="B165" s="245">
        <f t="shared" si="28"/>
        <v>47150</v>
      </c>
      <c r="C165" s="462">
        <v>4.7079358745773137</v>
      </c>
      <c r="D165" s="462">
        <v>4.898235443037974</v>
      </c>
      <c r="E165" s="246">
        <f t="shared" si="26"/>
        <v>2029</v>
      </c>
      <c r="K165" s="35">
        <f t="shared" si="29"/>
        <v>2</v>
      </c>
      <c r="L165" s="264">
        <f t="shared" si="30"/>
        <v>2029</v>
      </c>
      <c r="M165" s="243">
        <f t="shared" si="27"/>
        <v>47150</v>
      </c>
      <c r="N165" s="464">
        <v>48.83267</v>
      </c>
      <c r="O165" s="464">
        <v>46.930819999999997</v>
      </c>
      <c r="P165" s="464">
        <v>44.391860000000001</v>
      </c>
      <c r="Q165" s="465">
        <v>43.668660000000003</v>
      </c>
      <c r="S165" s="261">
        <v>45.53275142857143</v>
      </c>
      <c r="T165" s="263">
        <f t="shared" si="31"/>
        <v>1.0307046802041331</v>
      </c>
      <c r="U165" s="263">
        <f t="shared" si="32"/>
        <v>0.95906042639448918</v>
      </c>
    </row>
    <row r="166" spans="2:21" x14ac:dyDescent="0.2">
      <c r="B166" s="245">
        <f t="shared" si="28"/>
        <v>47178</v>
      </c>
      <c r="C166" s="462">
        <v>4.5678600471359774</v>
      </c>
      <c r="D166" s="462">
        <v>4.8110455696202523</v>
      </c>
      <c r="E166" s="246">
        <f t="shared" si="26"/>
        <v>2029</v>
      </c>
      <c r="K166" s="35">
        <f t="shared" si="29"/>
        <v>3</v>
      </c>
      <c r="L166" s="264">
        <f t="shared" si="30"/>
        <v>2029</v>
      </c>
      <c r="M166" s="243">
        <f t="shared" si="27"/>
        <v>47178</v>
      </c>
      <c r="N166" s="464">
        <v>43.390790000000003</v>
      </c>
      <c r="O166" s="464">
        <v>41.719340000000003</v>
      </c>
      <c r="P166" s="464">
        <v>41.279130000000002</v>
      </c>
      <c r="Q166" s="465">
        <v>40.748139999999999</v>
      </c>
      <c r="S166" s="261">
        <v>41.312821561238223</v>
      </c>
      <c r="T166" s="263">
        <f t="shared" si="31"/>
        <v>1.0098400066468274</v>
      </c>
      <c r="U166" s="263">
        <f t="shared" si="32"/>
        <v>0.9863315663298089</v>
      </c>
    </row>
    <row r="167" spans="2:21" x14ac:dyDescent="0.2">
      <c r="B167" s="245">
        <f t="shared" si="28"/>
        <v>47209</v>
      </c>
      <c r="C167" s="462">
        <v>4.2495897325545648</v>
      </c>
      <c r="D167" s="462">
        <v>4.2009189873417707</v>
      </c>
      <c r="E167" s="246">
        <f t="shared" si="26"/>
        <v>2029</v>
      </c>
      <c r="K167" s="35">
        <f t="shared" si="29"/>
        <v>4</v>
      </c>
      <c r="L167" s="264">
        <f t="shared" si="30"/>
        <v>2029</v>
      </c>
      <c r="M167" s="243">
        <f t="shared" si="27"/>
        <v>47209</v>
      </c>
      <c r="N167" s="464">
        <v>36.304310000000001</v>
      </c>
      <c r="O167" s="464">
        <v>34.60998</v>
      </c>
      <c r="P167" s="464">
        <v>32.094619999999999</v>
      </c>
      <c r="Q167" s="465">
        <v>32.036369999999998</v>
      </c>
      <c r="S167" s="261">
        <v>33.466153333333338</v>
      </c>
      <c r="T167" s="263">
        <f t="shared" si="31"/>
        <v>1.0341786119030112</v>
      </c>
      <c r="U167" s="263">
        <f t="shared" si="32"/>
        <v>0.95727673512123568</v>
      </c>
    </row>
    <row r="168" spans="2:21" x14ac:dyDescent="0.2">
      <c r="B168" s="245">
        <f t="shared" si="28"/>
        <v>47239</v>
      </c>
      <c r="C168" s="462">
        <v>4.2201809816579567</v>
      </c>
      <c r="D168" s="462">
        <v>4.2444632911392395</v>
      </c>
      <c r="E168" s="246">
        <f t="shared" si="26"/>
        <v>2029</v>
      </c>
      <c r="K168" s="35">
        <f t="shared" si="29"/>
        <v>5</v>
      </c>
      <c r="L168" s="264">
        <f t="shared" si="30"/>
        <v>2029</v>
      </c>
      <c r="M168" s="243">
        <f t="shared" si="27"/>
        <v>47239</v>
      </c>
      <c r="N168" s="464">
        <v>33.3444</v>
      </c>
      <c r="O168" s="464">
        <v>35.472020000000001</v>
      </c>
      <c r="P168" s="464">
        <v>27.07142</v>
      </c>
      <c r="Q168" s="465">
        <v>32.697450000000003</v>
      </c>
      <c r="S168" s="261">
        <v>34.248822473118281</v>
      </c>
      <c r="T168" s="263">
        <f t="shared" si="31"/>
        <v>1.0357150243002311</v>
      </c>
      <c r="U168" s="263">
        <f t="shared" si="32"/>
        <v>0.95470289600946301</v>
      </c>
    </row>
    <row r="169" spans="2:21" x14ac:dyDescent="0.2">
      <c r="B169" s="245">
        <f t="shared" si="28"/>
        <v>47270</v>
      </c>
      <c r="C169" s="462">
        <v>4.188210492878369</v>
      </c>
      <c r="D169" s="462">
        <v>4.1572734177215178</v>
      </c>
      <c r="E169" s="246">
        <f t="shared" si="26"/>
        <v>2029</v>
      </c>
      <c r="K169" s="35">
        <f t="shared" si="29"/>
        <v>6</v>
      </c>
      <c r="L169" s="264">
        <f t="shared" si="30"/>
        <v>2029</v>
      </c>
      <c r="M169" s="243">
        <f t="shared" si="27"/>
        <v>47270</v>
      </c>
      <c r="N169" s="464">
        <v>35.843829999999997</v>
      </c>
      <c r="O169" s="464">
        <v>36.53389</v>
      </c>
      <c r="P169" s="464">
        <v>28.541640000000001</v>
      </c>
      <c r="Q169" s="465">
        <v>32.972079999999998</v>
      </c>
      <c r="S169" s="261">
        <v>35.030014666666666</v>
      </c>
      <c r="T169" s="263">
        <f t="shared" si="31"/>
        <v>1.0429310506331122</v>
      </c>
      <c r="U169" s="263">
        <f t="shared" si="32"/>
        <v>0.94125224650205686</v>
      </c>
    </row>
    <row r="170" spans="2:21" x14ac:dyDescent="0.2">
      <c r="B170" s="245">
        <f t="shared" si="28"/>
        <v>47300</v>
      </c>
      <c r="C170" s="462">
        <v>4.2643453427605289</v>
      </c>
      <c r="D170" s="462">
        <v>4.1427924050632896</v>
      </c>
      <c r="E170" s="246">
        <f t="shared" si="26"/>
        <v>2029</v>
      </c>
      <c r="K170" s="35">
        <f t="shared" si="29"/>
        <v>7</v>
      </c>
      <c r="L170" s="264">
        <f t="shared" si="30"/>
        <v>2029</v>
      </c>
      <c r="M170" s="243">
        <f t="shared" si="27"/>
        <v>47300</v>
      </c>
      <c r="N170" s="464">
        <v>51.536810000000003</v>
      </c>
      <c r="O170" s="464">
        <v>52.336620000000003</v>
      </c>
      <c r="P170" s="464">
        <v>40.829929999999997</v>
      </c>
      <c r="Q170" s="465">
        <v>42.0974</v>
      </c>
      <c r="S170" s="261">
        <v>47.602356989247312</v>
      </c>
      <c r="T170" s="263">
        <f t="shared" si="31"/>
        <v>1.0994543823076259</v>
      </c>
      <c r="U170" s="263">
        <f t="shared" si="32"/>
        <v>0.88435536940973736</v>
      </c>
    </row>
    <row r="171" spans="2:21" x14ac:dyDescent="0.2">
      <c r="B171" s="245">
        <f t="shared" si="28"/>
        <v>47331</v>
      </c>
      <c r="C171" s="462">
        <v>4.367224736140999</v>
      </c>
      <c r="D171" s="462">
        <v>4.3170708860759479</v>
      </c>
      <c r="E171" s="246">
        <f t="shared" si="26"/>
        <v>2029</v>
      </c>
      <c r="K171" s="35">
        <f t="shared" si="29"/>
        <v>8</v>
      </c>
      <c r="L171" s="264">
        <f t="shared" si="30"/>
        <v>2029</v>
      </c>
      <c r="M171" s="243">
        <f t="shared" si="27"/>
        <v>47331</v>
      </c>
      <c r="N171" s="464">
        <v>55.97325</v>
      </c>
      <c r="O171" s="464">
        <v>55.870530000000002</v>
      </c>
      <c r="P171" s="464">
        <v>43.152459999999998</v>
      </c>
      <c r="Q171" s="465">
        <v>44.044060000000002</v>
      </c>
      <c r="S171" s="261">
        <v>50.911042580645166</v>
      </c>
      <c r="T171" s="263">
        <f t="shared" si="31"/>
        <v>1.0974147683481204</v>
      </c>
      <c r="U171" s="263">
        <f t="shared" si="32"/>
        <v>0.86511801305644875</v>
      </c>
    </row>
    <row r="172" spans="2:21" x14ac:dyDescent="0.2">
      <c r="B172" s="245">
        <f t="shared" si="28"/>
        <v>47362</v>
      </c>
      <c r="C172" s="462">
        <v>4.3793161389486635</v>
      </c>
      <c r="D172" s="462">
        <v>4.2444632911392395</v>
      </c>
      <c r="E172" s="246">
        <f t="shared" si="26"/>
        <v>2029</v>
      </c>
      <c r="K172" s="35">
        <f t="shared" si="29"/>
        <v>9</v>
      </c>
      <c r="L172" s="264">
        <f t="shared" si="30"/>
        <v>2029</v>
      </c>
      <c r="M172" s="243">
        <f t="shared" si="27"/>
        <v>47362</v>
      </c>
      <c r="N172" s="464">
        <v>50.979550000000003</v>
      </c>
      <c r="O172" s="464">
        <v>47.464649999999999</v>
      </c>
      <c r="P172" s="464">
        <v>42.257530000000003</v>
      </c>
      <c r="Q172" s="465">
        <v>40.037730000000003</v>
      </c>
      <c r="S172" s="261">
        <v>43.998753999999998</v>
      </c>
      <c r="T172" s="263">
        <f t="shared" si="31"/>
        <v>1.0787725943330122</v>
      </c>
      <c r="U172" s="263">
        <f t="shared" si="32"/>
        <v>0.90997417790512902</v>
      </c>
    </row>
    <row r="173" spans="2:21" x14ac:dyDescent="0.2">
      <c r="B173" s="245">
        <f t="shared" si="28"/>
        <v>47392</v>
      </c>
      <c r="C173" s="462">
        <v>4.4701041295214674</v>
      </c>
      <c r="D173" s="462">
        <v>4.4623873417721516</v>
      </c>
      <c r="E173" s="246">
        <f t="shared" si="26"/>
        <v>2029</v>
      </c>
      <c r="K173" s="35">
        <f t="shared" si="29"/>
        <v>10</v>
      </c>
      <c r="L173" s="264">
        <f t="shared" si="30"/>
        <v>2029</v>
      </c>
      <c r="M173" s="243">
        <f t="shared" si="27"/>
        <v>47392</v>
      </c>
      <c r="N173" s="464">
        <v>48.929560000000002</v>
      </c>
      <c r="O173" s="464">
        <v>46.40934</v>
      </c>
      <c r="P173" s="464">
        <v>41.990049999999997</v>
      </c>
      <c r="Q173" s="465">
        <v>41.611930000000001</v>
      </c>
      <c r="S173" s="261">
        <v>44.397522903225806</v>
      </c>
      <c r="T173" s="263">
        <f t="shared" si="31"/>
        <v>1.0453137239471535</v>
      </c>
      <c r="U173" s="263">
        <f t="shared" si="32"/>
        <v>0.93725792068855696</v>
      </c>
    </row>
    <row r="174" spans="2:21" x14ac:dyDescent="0.2">
      <c r="B174" s="245">
        <f t="shared" si="28"/>
        <v>47423</v>
      </c>
      <c r="C174" s="462">
        <v>4.6138688595142945</v>
      </c>
      <c r="D174" s="462">
        <v>4.8110455696202523</v>
      </c>
      <c r="E174" s="246">
        <f t="shared" si="26"/>
        <v>2029</v>
      </c>
      <c r="K174" s="35">
        <f t="shared" si="29"/>
        <v>11</v>
      </c>
      <c r="L174" s="264">
        <f t="shared" si="30"/>
        <v>2029</v>
      </c>
      <c r="M174" s="243">
        <f t="shared" si="27"/>
        <v>47423</v>
      </c>
      <c r="N174" s="464">
        <v>49.177280000000003</v>
      </c>
      <c r="O174" s="464">
        <v>47.137830000000001</v>
      </c>
      <c r="P174" s="464">
        <v>43.2089</v>
      </c>
      <c r="Q174" s="465">
        <v>42.793900000000001</v>
      </c>
      <c r="S174" s="261">
        <v>45.203847295423024</v>
      </c>
      <c r="T174" s="263">
        <f t="shared" si="31"/>
        <v>1.0427835863601989</v>
      </c>
      <c r="U174" s="263">
        <f t="shared" si="32"/>
        <v>0.94668711980037512</v>
      </c>
    </row>
    <row r="175" spans="2:21" x14ac:dyDescent="0.2">
      <c r="B175" s="247">
        <f t="shared" si="28"/>
        <v>47453</v>
      </c>
      <c r="C175" s="463">
        <v>4.925171247054001</v>
      </c>
      <c r="D175" s="463">
        <v>5.0725139240506323</v>
      </c>
      <c r="E175" s="248">
        <f t="shared" si="26"/>
        <v>2029</v>
      </c>
      <c r="K175" s="35">
        <f t="shared" si="29"/>
        <v>12</v>
      </c>
      <c r="L175" s="264">
        <f t="shared" si="30"/>
        <v>2029</v>
      </c>
      <c r="M175" s="249">
        <f t="shared" si="27"/>
        <v>47453</v>
      </c>
      <c r="N175" s="466">
        <v>49.858800000000002</v>
      </c>
      <c r="O175" s="466">
        <v>48.379190000000001</v>
      </c>
      <c r="P175" s="466">
        <v>44.928040000000003</v>
      </c>
      <c r="Q175" s="467">
        <v>45.398409999999998</v>
      </c>
      <c r="S175" s="261">
        <v>47.000979892473111</v>
      </c>
      <c r="T175" s="263">
        <f t="shared" si="31"/>
        <v>1.0293230079602576</v>
      </c>
      <c r="U175" s="263">
        <f t="shared" si="32"/>
        <v>0.96590347911597996</v>
      </c>
    </row>
    <row r="176" spans="2:21" x14ac:dyDescent="0.2">
      <c r="B176" s="239">
        <f t="shared" si="28"/>
        <v>47484</v>
      </c>
      <c r="C176" s="462">
        <v>4.9872677733374324</v>
      </c>
      <c r="D176" s="462">
        <v>5.2879063291139232</v>
      </c>
      <c r="E176" s="240">
        <f t="shared" si="26"/>
        <v>2030</v>
      </c>
      <c r="K176" s="35">
        <f t="shared" si="29"/>
        <v>1</v>
      </c>
      <c r="L176" s="264">
        <f t="shared" si="30"/>
        <v>2030</v>
      </c>
      <c r="M176" s="243">
        <f t="shared" si="27"/>
        <v>47484</v>
      </c>
      <c r="N176" s="468">
        <v>49.077979999999997</v>
      </c>
      <c r="O176" s="468">
        <v>49.03642</v>
      </c>
      <c r="P176" s="468">
        <v>45.008429999999997</v>
      </c>
      <c r="Q176" s="469">
        <v>45.785609999999998</v>
      </c>
      <c r="S176" s="261">
        <v>47.603267204301069</v>
      </c>
      <c r="T176" s="263">
        <f t="shared" si="31"/>
        <v>1.0301061855596634</v>
      </c>
      <c r="U176" s="263">
        <f t="shared" si="32"/>
        <v>0.96181654514384174</v>
      </c>
    </row>
    <row r="177" spans="2:21" x14ac:dyDescent="0.2">
      <c r="B177" s="245">
        <f t="shared" si="28"/>
        <v>47515</v>
      </c>
      <c r="C177" s="462">
        <v>5.0228246951531919</v>
      </c>
      <c r="D177" s="462">
        <v>5.3176784810126572</v>
      </c>
      <c r="E177" s="246">
        <f t="shared" si="26"/>
        <v>2030</v>
      </c>
      <c r="K177" s="35">
        <f t="shared" si="29"/>
        <v>2</v>
      </c>
      <c r="L177" s="264">
        <f t="shared" si="30"/>
        <v>2030</v>
      </c>
      <c r="M177" s="243">
        <f t="shared" si="27"/>
        <v>47515</v>
      </c>
      <c r="N177" s="464">
        <v>51.27073</v>
      </c>
      <c r="O177" s="464">
        <v>49.187330000000003</v>
      </c>
      <c r="P177" s="464">
        <v>46.869340000000001</v>
      </c>
      <c r="Q177" s="465">
        <v>45.823709999999998</v>
      </c>
      <c r="S177" s="261">
        <v>47.745778571428573</v>
      </c>
      <c r="T177" s="263">
        <f t="shared" si="31"/>
        <v>1.0301922279142404</v>
      </c>
      <c r="U177" s="263">
        <f t="shared" si="32"/>
        <v>0.95974369611434596</v>
      </c>
    </row>
    <row r="178" spans="2:21" x14ac:dyDescent="0.2">
      <c r="B178" s="245">
        <f t="shared" si="28"/>
        <v>47543</v>
      </c>
      <c r="C178" s="462">
        <v>4.8795723127369612</v>
      </c>
      <c r="D178" s="462">
        <v>5.1390455696202517</v>
      </c>
      <c r="E178" s="246">
        <f t="shared" si="26"/>
        <v>2030</v>
      </c>
      <c r="K178" s="35">
        <f t="shared" si="29"/>
        <v>3</v>
      </c>
      <c r="L178" s="264">
        <f t="shared" si="30"/>
        <v>2030</v>
      </c>
      <c r="M178" s="243">
        <f t="shared" si="27"/>
        <v>47543</v>
      </c>
      <c r="N178" s="464">
        <v>45.132629999999999</v>
      </c>
      <c r="O178" s="464">
        <v>43.368690000000001</v>
      </c>
      <c r="P178" s="464">
        <v>43.236939999999997</v>
      </c>
      <c r="Q178" s="465">
        <v>42.445129999999999</v>
      </c>
      <c r="S178" s="261">
        <v>42.962224158815609</v>
      </c>
      <c r="T178" s="263">
        <f t="shared" si="31"/>
        <v>1.0094610055494762</v>
      </c>
      <c r="U178" s="263">
        <f t="shared" si="32"/>
        <v>0.98796398070770031</v>
      </c>
    </row>
    <row r="179" spans="2:21" x14ac:dyDescent="0.2">
      <c r="B179" s="245">
        <f t="shared" si="28"/>
        <v>47574</v>
      </c>
      <c r="C179" s="462">
        <v>4.5682699251972538</v>
      </c>
      <c r="D179" s="462">
        <v>4.5731721518987332</v>
      </c>
      <c r="E179" s="246">
        <f t="shared" si="26"/>
        <v>2030</v>
      </c>
      <c r="K179" s="35">
        <f t="shared" si="29"/>
        <v>4</v>
      </c>
      <c r="L179" s="264">
        <f t="shared" si="30"/>
        <v>2030</v>
      </c>
      <c r="M179" s="243">
        <f t="shared" si="27"/>
        <v>47574</v>
      </c>
      <c r="N179" s="464">
        <v>38.514420000000001</v>
      </c>
      <c r="O179" s="464">
        <v>36.337800000000001</v>
      </c>
      <c r="P179" s="464">
        <v>34.733629999999998</v>
      </c>
      <c r="Q179" s="465">
        <v>34.403019999999998</v>
      </c>
      <c r="S179" s="261">
        <v>35.520892888888888</v>
      </c>
      <c r="T179" s="263">
        <f t="shared" si="31"/>
        <v>1.0229979328973076</v>
      </c>
      <c r="U179" s="263">
        <f t="shared" si="32"/>
        <v>0.9685291444563161</v>
      </c>
    </row>
    <row r="180" spans="2:21" x14ac:dyDescent="0.2">
      <c r="B180" s="245">
        <f t="shared" si="28"/>
        <v>47604</v>
      </c>
      <c r="C180" s="462">
        <v>4.5532069064453333</v>
      </c>
      <c r="D180" s="462">
        <v>4.5880582278480997</v>
      </c>
      <c r="E180" s="246">
        <f t="shared" si="26"/>
        <v>2030</v>
      </c>
      <c r="K180" s="35">
        <f t="shared" si="29"/>
        <v>5</v>
      </c>
      <c r="L180" s="264">
        <f t="shared" si="30"/>
        <v>2030</v>
      </c>
      <c r="M180" s="243">
        <f t="shared" si="27"/>
        <v>47604</v>
      </c>
      <c r="N180" s="464">
        <v>35.592509999999997</v>
      </c>
      <c r="O180" s="464">
        <v>37.906840000000003</v>
      </c>
      <c r="P180" s="464">
        <v>29.19773</v>
      </c>
      <c r="Q180" s="465">
        <v>35.059919999999998</v>
      </c>
      <c r="S180" s="261">
        <v>36.651746236559141</v>
      </c>
      <c r="T180" s="263">
        <f t="shared" si="31"/>
        <v>1.0342437644127564</v>
      </c>
      <c r="U180" s="263">
        <f t="shared" si="32"/>
        <v>0.95656888415943087</v>
      </c>
    </row>
    <row r="181" spans="2:21" x14ac:dyDescent="0.2">
      <c r="B181" s="245">
        <f t="shared" si="28"/>
        <v>47635</v>
      </c>
      <c r="C181" s="462">
        <v>4.52051913105851</v>
      </c>
      <c r="D181" s="462">
        <v>4.468868354430378</v>
      </c>
      <c r="E181" s="246">
        <f t="shared" si="26"/>
        <v>2030</v>
      </c>
      <c r="K181" s="35">
        <f t="shared" si="29"/>
        <v>6</v>
      </c>
      <c r="L181" s="264">
        <f t="shared" si="30"/>
        <v>2030</v>
      </c>
      <c r="M181" s="243">
        <f t="shared" si="27"/>
        <v>47635</v>
      </c>
      <c r="N181" s="464">
        <v>37.978819999999999</v>
      </c>
      <c r="O181" s="464">
        <v>38.896630000000002</v>
      </c>
      <c r="P181" s="464">
        <v>30.973500000000001</v>
      </c>
      <c r="Q181" s="465">
        <v>35.636130000000001</v>
      </c>
      <c r="S181" s="261">
        <v>37.447518888888894</v>
      </c>
      <c r="T181" s="263">
        <f t="shared" si="31"/>
        <v>1.0386971194382941</v>
      </c>
      <c r="U181" s="263">
        <f t="shared" si="32"/>
        <v>0.95162860070213218</v>
      </c>
    </row>
    <row r="182" spans="2:21" x14ac:dyDescent="0.2">
      <c r="B182" s="245">
        <f t="shared" si="28"/>
        <v>47665</v>
      </c>
      <c r="C182" s="462">
        <v>4.5983959627010975</v>
      </c>
      <c r="D182" s="462">
        <v>4.468868354430378</v>
      </c>
      <c r="E182" s="246">
        <f t="shared" si="26"/>
        <v>2030</v>
      </c>
      <c r="K182" s="35">
        <f t="shared" si="29"/>
        <v>7</v>
      </c>
      <c r="L182" s="264">
        <f t="shared" si="30"/>
        <v>2030</v>
      </c>
      <c r="M182" s="243">
        <f t="shared" si="27"/>
        <v>47665</v>
      </c>
      <c r="N182" s="464">
        <v>54.965159999999997</v>
      </c>
      <c r="O182" s="464">
        <v>55.459960000000002</v>
      </c>
      <c r="P182" s="464">
        <v>43.247869999999999</v>
      </c>
      <c r="Q182" s="465">
        <v>44.410739999999997</v>
      </c>
      <c r="S182" s="261">
        <v>50.58879849462366</v>
      </c>
      <c r="T182" s="263">
        <f t="shared" si="31"/>
        <v>1.0962893298581509</v>
      </c>
      <c r="U182" s="263">
        <f t="shared" si="32"/>
        <v>0.8778769474969792</v>
      </c>
    </row>
    <row r="183" spans="2:21" x14ac:dyDescent="0.2">
      <c r="B183" s="245">
        <f t="shared" si="28"/>
        <v>47696</v>
      </c>
      <c r="C183" s="462">
        <v>4.7339631314683883</v>
      </c>
      <c r="D183" s="462">
        <v>4.6624886075949359</v>
      </c>
      <c r="E183" s="246">
        <f t="shared" si="26"/>
        <v>2030</v>
      </c>
      <c r="K183" s="35">
        <f t="shared" si="29"/>
        <v>8</v>
      </c>
      <c r="L183" s="264">
        <f t="shared" si="30"/>
        <v>2030</v>
      </c>
      <c r="M183" s="243">
        <f t="shared" si="27"/>
        <v>47696</v>
      </c>
      <c r="N183" s="464">
        <v>58.432250000000003</v>
      </c>
      <c r="O183" s="464">
        <v>58.43103</v>
      </c>
      <c r="P183" s="464">
        <v>45.835900000000002</v>
      </c>
      <c r="Q183" s="465">
        <v>46.799630000000001</v>
      </c>
      <c r="S183" s="261">
        <v>53.553346129032263</v>
      </c>
      <c r="T183" s="263">
        <f t="shared" si="31"/>
        <v>1.0910808422542893</v>
      </c>
      <c r="U183" s="263">
        <f t="shared" si="32"/>
        <v>0.873888064570984</v>
      </c>
    </row>
    <row r="184" spans="2:21" x14ac:dyDescent="0.2">
      <c r="B184" s="245">
        <f t="shared" si="28"/>
        <v>47727</v>
      </c>
      <c r="C184" s="462">
        <v>4.8068189568603339</v>
      </c>
      <c r="D184" s="462">
        <v>4.5731721518987332</v>
      </c>
      <c r="E184" s="246">
        <f t="shared" si="26"/>
        <v>2030</v>
      </c>
      <c r="K184" s="35">
        <f t="shared" si="29"/>
        <v>9</v>
      </c>
      <c r="L184" s="264">
        <f t="shared" si="30"/>
        <v>2030</v>
      </c>
      <c r="M184" s="243">
        <f t="shared" si="27"/>
        <v>47727</v>
      </c>
      <c r="N184" s="464">
        <v>53.742460000000001</v>
      </c>
      <c r="O184" s="464">
        <v>50.254649999999998</v>
      </c>
      <c r="P184" s="464">
        <v>44.816299999999998</v>
      </c>
      <c r="Q184" s="465">
        <v>42.796169999999996</v>
      </c>
      <c r="S184" s="261">
        <v>46.774025999999999</v>
      </c>
      <c r="T184" s="263">
        <f t="shared" si="31"/>
        <v>1.0744136072443282</v>
      </c>
      <c r="U184" s="263">
        <f t="shared" si="32"/>
        <v>0.91495587743505336</v>
      </c>
    </row>
    <row r="185" spans="2:21" x14ac:dyDescent="0.2">
      <c r="B185" s="245">
        <f t="shared" si="28"/>
        <v>47757</v>
      </c>
      <c r="C185" s="462">
        <v>4.8696327697509991</v>
      </c>
      <c r="D185" s="462">
        <v>4.7666911392405051</v>
      </c>
      <c r="E185" s="246">
        <f t="shared" si="26"/>
        <v>2030</v>
      </c>
      <c r="K185" s="35">
        <f t="shared" si="29"/>
        <v>10</v>
      </c>
      <c r="L185" s="264">
        <f t="shared" si="30"/>
        <v>2030</v>
      </c>
      <c r="M185" s="243">
        <f t="shared" si="27"/>
        <v>47757</v>
      </c>
      <c r="N185" s="464">
        <v>50.643610000000002</v>
      </c>
      <c r="O185" s="464">
        <v>48.316339999999997</v>
      </c>
      <c r="P185" s="464">
        <v>44.219740000000002</v>
      </c>
      <c r="Q185" s="465">
        <v>44.196660000000001</v>
      </c>
      <c r="S185" s="261">
        <v>46.588732258064518</v>
      </c>
      <c r="T185" s="263">
        <f t="shared" si="31"/>
        <v>1.0370820938497727</v>
      </c>
      <c r="U185" s="263">
        <f t="shared" si="32"/>
        <v>0.94865556236185311</v>
      </c>
    </row>
    <row r="186" spans="2:21" x14ac:dyDescent="0.2">
      <c r="B186" s="245">
        <f t="shared" si="28"/>
        <v>47788</v>
      </c>
      <c r="C186" s="462">
        <v>5.0023307920893538</v>
      </c>
      <c r="D186" s="462">
        <v>5.2432481012658219</v>
      </c>
      <c r="E186" s="246">
        <f t="shared" si="26"/>
        <v>2030</v>
      </c>
      <c r="K186" s="35">
        <f t="shared" si="29"/>
        <v>11</v>
      </c>
      <c r="L186" s="264">
        <f t="shared" si="30"/>
        <v>2030</v>
      </c>
      <c r="M186" s="243">
        <f t="shared" si="27"/>
        <v>47788</v>
      </c>
      <c r="N186" s="464">
        <v>51.280239999999999</v>
      </c>
      <c r="O186" s="464">
        <v>49.44603</v>
      </c>
      <c r="P186" s="464">
        <v>45.9754</v>
      </c>
      <c r="Q186" s="465">
        <v>45.701540000000001</v>
      </c>
      <c r="S186" s="261">
        <v>47.778926962552006</v>
      </c>
      <c r="T186" s="263">
        <f t="shared" si="31"/>
        <v>1.0348920150248377</v>
      </c>
      <c r="U186" s="263">
        <f t="shared" si="32"/>
        <v>0.95652085355160421</v>
      </c>
    </row>
    <row r="187" spans="2:21" x14ac:dyDescent="0.2">
      <c r="B187" s="247">
        <f t="shared" si="28"/>
        <v>47818</v>
      </c>
      <c r="C187" s="463">
        <v>5.2309402807664718</v>
      </c>
      <c r="D187" s="463">
        <v>5.4815265822784793</v>
      </c>
      <c r="E187" s="248">
        <f t="shared" si="26"/>
        <v>2030</v>
      </c>
      <c r="K187" s="35">
        <f t="shared" si="29"/>
        <v>12</v>
      </c>
      <c r="L187" s="264">
        <f t="shared" si="30"/>
        <v>2030</v>
      </c>
      <c r="M187" s="249">
        <f t="shared" si="27"/>
        <v>47818</v>
      </c>
      <c r="N187" s="466">
        <v>52.422319999999999</v>
      </c>
      <c r="O187" s="466">
        <v>51.261420000000001</v>
      </c>
      <c r="P187" s="466">
        <v>47.80762</v>
      </c>
      <c r="Q187" s="467">
        <v>48.47063</v>
      </c>
      <c r="S187" s="261">
        <v>49.97105473118279</v>
      </c>
      <c r="T187" s="263">
        <f t="shared" si="31"/>
        <v>1.0258222540180246</v>
      </c>
      <c r="U187" s="263">
        <f t="shared" si="32"/>
        <v>0.96997412323485543</v>
      </c>
    </row>
    <row r="188" spans="2:21" x14ac:dyDescent="0.2">
      <c r="B188" s="239">
        <f t="shared" si="28"/>
        <v>47849</v>
      </c>
      <c r="C188" s="462">
        <v>5.3455011988933299</v>
      </c>
      <c r="D188" s="462">
        <v>5.7093746835443024</v>
      </c>
      <c r="E188" s="240">
        <f t="shared" si="26"/>
        <v>2031</v>
      </c>
      <c r="K188" s="35">
        <f t="shared" si="29"/>
        <v>1</v>
      </c>
      <c r="L188" s="264">
        <f t="shared" si="30"/>
        <v>2031</v>
      </c>
      <c r="M188" s="243">
        <f t="shared" si="27"/>
        <v>47849</v>
      </c>
      <c r="N188" s="468">
        <v>52.303849999999997</v>
      </c>
      <c r="O188" s="468">
        <v>52.179589999999997</v>
      </c>
      <c r="P188" s="468">
        <v>48.134210000000003</v>
      </c>
      <c r="Q188" s="469">
        <v>48.9773</v>
      </c>
      <c r="S188" s="261">
        <v>50.767827741935477</v>
      </c>
      <c r="T188" s="263">
        <f t="shared" si="31"/>
        <v>1.0278082069069576</v>
      </c>
      <c r="U188" s="263">
        <f t="shared" si="32"/>
        <v>0.96473105465459064</v>
      </c>
    </row>
    <row r="189" spans="2:21" x14ac:dyDescent="0.2">
      <c r="B189" s="245">
        <f t="shared" si="28"/>
        <v>47880</v>
      </c>
      <c r="C189" s="462">
        <v>5.4123113228814432</v>
      </c>
      <c r="D189" s="462">
        <v>5.7551468354430364</v>
      </c>
      <c r="E189" s="246">
        <f t="shared" si="26"/>
        <v>2031</v>
      </c>
      <c r="K189" s="35">
        <f t="shared" si="29"/>
        <v>2</v>
      </c>
      <c r="L189" s="264">
        <f t="shared" si="30"/>
        <v>2031</v>
      </c>
      <c r="M189" s="243">
        <f t="shared" si="27"/>
        <v>47880</v>
      </c>
      <c r="N189" s="464">
        <v>54.3093</v>
      </c>
      <c r="O189" s="464">
        <v>52.001550000000002</v>
      </c>
      <c r="P189" s="464">
        <v>49.24991</v>
      </c>
      <c r="Q189" s="465">
        <v>48.293840000000003</v>
      </c>
      <c r="S189" s="261">
        <v>50.412531428571434</v>
      </c>
      <c r="T189" s="263">
        <f t="shared" si="31"/>
        <v>1.031520309066011</v>
      </c>
      <c r="U189" s="263">
        <f t="shared" si="32"/>
        <v>0.95797292124531841</v>
      </c>
    </row>
    <row r="190" spans="2:21" x14ac:dyDescent="0.2">
      <c r="B190" s="245">
        <f t="shared" si="28"/>
        <v>47908</v>
      </c>
      <c r="C190" s="462">
        <v>5.1730450046111285</v>
      </c>
      <c r="D190" s="462">
        <v>5.3887670886075938</v>
      </c>
      <c r="E190" s="246">
        <f t="shared" si="26"/>
        <v>2031</v>
      </c>
      <c r="K190" s="35">
        <f t="shared" si="29"/>
        <v>3</v>
      </c>
      <c r="L190" s="264">
        <f t="shared" si="30"/>
        <v>2031</v>
      </c>
      <c r="M190" s="243">
        <f t="shared" si="27"/>
        <v>47908</v>
      </c>
      <c r="N190" s="464">
        <v>47.049939999999999</v>
      </c>
      <c r="O190" s="464">
        <v>45.4236</v>
      </c>
      <c r="P190" s="464">
        <v>45.062750000000001</v>
      </c>
      <c r="Q190" s="465">
        <v>44.106439999999999</v>
      </c>
      <c r="S190" s="261">
        <v>44.843907779273216</v>
      </c>
      <c r="T190" s="263">
        <f t="shared" si="31"/>
        <v>1.0129268890565937</v>
      </c>
      <c r="U190" s="263">
        <f t="shared" si="32"/>
        <v>0.98355478334084712</v>
      </c>
    </row>
    <row r="191" spans="2:21" x14ac:dyDescent="0.2">
      <c r="B191" s="245">
        <f t="shared" si="28"/>
        <v>47939</v>
      </c>
      <c r="C191" s="462">
        <v>4.7765904498411729</v>
      </c>
      <c r="D191" s="462">
        <v>4.8392987341772136</v>
      </c>
      <c r="E191" s="246">
        <f t="shared" si="26"/>
        <v>2031</v>
      </c>
      <c r="K191" s="35">
        <f t="shared" si="29"/>
        <v>4</v>
      </c>
      <c r="L191" s="264">
        <f t="shared" si="30"/>
        <v>2031</v>
      </c>
      <c r="M191" s="243">
        <f t="shared" si="27"/>
        <v>47939</v>
      </c>
      <c r="N191" s="464">
        <v>41.201419999999999</v>
      </c>
      <c r="O191" s="464">
        <v>39.638460000000002</v>
      </c>
      <c r="P191" s="464">
        <v>37.187930000000001</v>
      </c>
      <c r="Q191" s="465">
        <v>36.839820000000003</v>
      </c>
      <c r="S191" s="261">
        <v>38.456812000000006</v>
      </c>
      <c r="T191" s="263">
        <f t="shared" si="31"/>
        <v>1.0307266239333619</v>
      </c>
      <c r="U191" s="263">
        <f t="shared" si="32"/>
        <v>0.95795304093329414</v>
      </c>
    </row>
    <row r="192" spans="2:21" x14ac:dyDescent="0.2">
      <c r="B192" s="245">
        <f t="shared" si="28"/>
        <v>47969</v>
      </c>
      <c r="C192" s="462">
        <v>4.7302742289168975</v>
      </c>
      <c r="D192" s="462">
        <v>4.8241088607594929</v>
      </c>
      <c r="E192" s="246">
        <f t="shared" si="26"/>
        <v>2031</v>
      </c>
      <c r="K192" s="35">
        <f t="shared" si="29"/>
        <v>5</v>
      </c>
      <c r="L192" s="264">
        <f t="shared" si="30"/>
        <v>2031</v>
      </c>
      <c r="M192" s="243">
        <f t="shared" si="27"/>
        <v>47969</v>
      </c>
      <c r="N192" s="464">
        <v>38.367069999999998</v>
      </c>
      <c r="O192" s="464">
        <v>39.780029999999996</v>
      </c>
      <c r="P192" s="464">
        <v>32.223959999999998</v>
      </c>
      <c r="Q192" s="465">
        <v>36.64405</v>
      </c>
      <c r="S192" s="261">
        <v>38.397501182795693</v>
      </c>
      <c r="T192" s="263">
        <f t="shared" si="31"/>
        <v>1.0360056976265881</v>
      </c>
      <c r="U192" s="263">
        <f t="shared" si="32"/>
        <v>0.95433423715652255</v>
      </c>
    </row>
    <row r="193" spans="2:21" x14ac:dyDescent="0.2">
      <c r="B193" s="245">
        <f t="shared" si="28"/>
        <v>48000</v>
      </c>
      <c r="C193" s="462">
        <v>4.7277124910339179</v>
      </c>
      <c r="D193" s="462">
        <v>4.6409189873417711</v>
      </c>
      <c r="E193" s="246">
        <f t="shared" si="26"/>
        <v>2031</v>
      </c>
      <c r="K193" s="35">
        <f t="shared" si="29"/>
        <v>6</v>
      </c>
      <c r="L193" s="264">
        <f t="shared" si="30"/>
        <v>2031</v>
      </c>
      <c r="M193" s="243">
        <f t="shared" si="27"/>
        <v>48000</v>
      </c>
      <c r="N193" s="464">
        <v>40.57103</v>
      </c>
      <c r="O193" s="464">
        <v>41.345660000000002</v>
      </c>
      <c r="P193" s="464">
        <v>32.806429999999999</v>
      </c>
      <c r="Q193" s="465">
        <v>37.38203</v>
      </c>
      <c r="S193" s="261">
        <v>39.584046666666673</v>
      </c>
      <c r="T193" s="263">
        <f t="shared" si="31"/>
        <v>1.0445031137965175</v>
      </c>
      <c r="U193" s="263">
        <f t="shared" si="32"/>
        <v>0.94437110775435273</v>
      </c>
    </row>
    <row r="194" spans="2:21" x14ac:dyDescent="0.2">
      <c r="B194" s="245">
        <f t="shared" si="28"/>
        <v>48030</v>
      </c>
      <c r="C194" s="462">
        <v>4.8537499948765239</v>
      </c>
      <c r="D194" s="462">
        <v>4.6409189873417711</v>
      </c>
      <c r="E194" s="246">
        <f t="shared" si="26"/>
        <v>2031</v>
      </c>
      <c r="K194" s="35">
        <f t="shared" si="29"/>
        <v>7</v>
      </c>
      <c r="L194" s="264">
        <f t="shared" si="30"/>
        <v>2031</v>
      </c>
      <c r="M194" s="243">
        <f t="shared" si="27"/>
        <v>48030</v>
      </c>
      <c r="N194" s="464">
        <v>56.743549999999999</v>
      </c>
      <c r="O194" s="464">
        <v>57.096260000000001</v>
      </c>
      <c r="P194" s="464">
        <v>44.898040000000002</v>
      </c>
      <c r="Q194" s="465">
        <v>46.101759999999999</v>
      </c>
      <c r="S194" s="261">
        <v>52.2492223655914</v>
      </c>
      <c r="T194" s="263">
        <f t="shared" si="31"/>
        <v>1.0927676511717925</v>
      </c>
      <c r="U194" s="263">
        <f t="shared" si="32"/>
        <v>0.88234346680650699</v>
      </c>
    </row>
    <row r="195" spans="2:21" x14ac:dyDescent="0.2">
      <c r="B195" s="245">
        <f t="shared" si="28"/>
        <v>48061</v>
      </c>
      <c r="C195" s="462">
        <v>4.9618553335382725</v>
      </c>
      <c r="D195" s="462">
        <v>4.8392987341772136</v>
      </c>
      <c r="E195" s="246">
        <f t="shared" si="26"/>
        <v>2031</v>
      </c>
      <c r="K195" s="35">
        <f t="shared" si="29"/>
        <v>8</v>
      </c>
      <c r="L195" s="264">
        <f t="shared" si="30"/>
        <v>2031</v>
      </c>
      <c r="M195" s="243">
        <f t="shared" si="27"/>
        <v>48061</v>
      </c>
      <c r="N195" s="464">
        <v>59.730449999999998</v>
      </c>
      <c r="O195" s="464">
        <v>60.285719999999998</v>
      </c>
      <c r="P195" s="464">
        <v>47.915430000000001</v>
      </c>
      <c r="Q195" s="465">
        <v>49.007770000000001</v>
      </c>
      <c r="S195" s="261">
        <v>55.313720537634403</v>
      </c>
      <c r="T195" s="263">
        <f t="shared" si="31"/>
        <v>1.0898872723447113</v>
      </c>
      <c r="U195" s="263">
        <f t="shared" si="32"/>
        <v>0.88599663019695174</v>
      </c>
    </row>
    <row r="196" spans="2:21" x14ac:dyDescent="0.2">
      <c r="B196" s="245">
        <f t="shared" si="28"/>
        <v>48092</v>
      </c>
      <c r="C196" s="462">
        <v>4.9747664924684907</v>
      </c>
      <c r="D196" s="462">
        <v>4.732463291139239</v>
      </c>
      <c r="E196" s="246">
        <f t="shared" si="26"/>
        <v>2031</v>
      </c>
      <c r="K196" s="35">
        <f t="shared" si="29"/>
        <v>9</v>
      </c>
      <c r="L196" s="264">
        <f t="shared" si="30"/>
        <v>2031</v>
      </c>
      <c r="M196" s="243">
        <f t="shared" si="27"/>
        <v>48092</v>
      </c>
      <c r="N196" s="464">
        <v>55.29618</v>
      </c>
      <c r="O196" s="464">
        <v>51.890360000000001</v>
      </c>
      <c r="P196" s="464">
        <v>45.829349999999998</v>
      </c>
      <c r="Q196" s="465">
        <v>44.276769999999999</v>
      </c>
      <c r="S196" s="261">
        <v>48.506542222222222</v>
      </c>
      <c r="T196" s="263">
        <f t="shared" si="31"/>
        <v>1.0697600287044899</v>
      </c>
      <c r="U196" s="263">
        <f t="shared" si="32"/>
        <v>0.91279996411938746</v>
      </c>
    </row>
    <row r="197" spans="2:21" x14ac:dyDescent="0.2">
      <c r="B197" s="245">
        <f t="shared" si="28"/>
        <v>48122</v>
      </c>
      <c r="C197" s="462">
        <v>5.0236444512757465</v>
      </c>
      <c r="D197" s="462">
        <v>4.946134177215189</v>
      </c>
      <c r="E197" s="246">
        <f t="shared" si="26"/>
        <v>2031</v>
      </c>
      <c r="K197" s="35">
        <f t="shared" si="29"/>
        <v>10</v>
      </c>
      <c r="L197" s="264">
        <f t="shared" si="30"/>
        <v>2031</v>
      </c>
      <c r="M197" s="243">
        <f t="shared" si="27"/>
        <v>48122</v>
      </c>
      <c r="N197" s="464">
        <v>51.787590000000002</v>
      </c>
      <c r="O197" s="464">
        <v>49.048029999999997</v>
      </c>
      <c r="P197" s="464">
        <v>45.334470000000003</v>
      </c>
      <c r="Q197" s="465">
        <v>44.84299</v>
      </c>
      <c r="S197" s="261">
        <v>47.284626129032254</v>
      </c>
      <c r="T197" s="263">
        <f t="shared" si="31"/>
        <v>1.0372933872027601</v>
      </c>
      <c r="U197" s="263">
        <f t="shared" si="32"/>
        <v>0.9483630023346401</v>
      </c>
    </row>
    <row r="198" spans="2:21" x14ac:dyDescent="0.2">
      <c r="B198" s="245">
        <f t="shared" si="28"/>
        <v>48153</v>
      </c>
      <c r="C198" s="462">
        <v>5.1447634183830315</v>
      </c>
      <c r="D198" s="462">
        <v>5.251450632911391</v>
      </c>
      <c r="E198" s="246">
        <f t="shared" si="26"/>
        <v>2031</v>
      </c>
      <c r="K198" s="35">
        <f t="shared" si="29"/>
        <v>11</v>
      </c>
      <c r="L198" s="264">
        <f t="shared" si="30"/>
        <v>2031</v>
      </c>
      <c r="M198" s="243">
        <f t="shared" si="27"/>
        <v>48153</v>
      </c>
      <c r="N198" s="464">
        <v>52.133949999999999</v>
      </c>
      <c r="O198" s="464">
        <v>50.35125</v>
      </c>
      <c r="P198" s="464">
        <v>46.884169999999997</v>
      </c>
      <c r="Q198" s="465">
        <v>46.541530000000002</v>
      </c>
      <c r="S198" s="261">
        <v>48.65510558945909</v>
      </c>
      <c r="T198" s="263">
        <f t="shared" si="31"/>
        <v>1.0348605637577399</v>
      </c>
      <c r="U198" s="263">
        <f t="shared" si="32"/>
        <v>0.95656004516169446</v>
      </c>
    </row>
    <row r="199" spans="2:21" x14ac:dyDescent="0.2">
      <c r="B199" s="247">
        <f t="shared" si="28"/>
        <v>48183</v>
      </c>
      <c r="C199" s="463">
        <v>5.3635358335895074</v>
      </c>
      <c r="D199" s="463">
        <v>5.7093746835443024</v>
      </c>
      <c r="E199" s="248">
        <f t="shared" si="26"/>
        <v>2031</v>
      </c>
      <c r="K199" s="35">
        <f t="shared" si="29"/>
        <v>12</v>
      </c>
      <c r="L199" s="264">
        <f t="shared" si="30"/>
        <v>2031</v>
      </c>
      <c r="M199" s="249">
        <f t="shared" si="27"/>
        <v>48183</v>
      </c>
      <c r="N199" s="466">
        <v>54.306669999999997</v>
      </c>
      <c r="O199" s="466">
        <v>52.935929999999999</v>
      </c>
      <c r="P199" s="466">
        <v>49.267690000000002</v>
      </c>
      <c r="Q199" s="467">
        <v>49.907730000000001</v>
      </c>
      <c r="S199" s="261">
        <v>51.666039677419356</v>
      </c>
      <c r="T199" s="263">
        <f t="shared" si="31"/>
        <v>1.0245788206432949</v>
      </c>
      <c r="U199" s="263">
        <f t="shared" si="32"/>
        <v>0.96596778680159179</v>
      </c>
    </row>
    <row r="200" spans="2:21" x14ac:dyDescent="0.2">
      <c r="B200" s="239">
        <f t="shared" si="28"/>
        <v>48214</v>
      </c>
      <c r="C200" s="462">
        <v>5.4968486730197768</v>
      </c>
      <c r="D200" s="462">
        <v>5.9295265822784797</v>
      </c>
      <c r="E200" s="240">
        <f t="shared" ref="E200:E223" si="33">YEAR(B200)</f>
        <v>2032</v>
      </c>
      <c r="K200" s="35">
        <f t="shared" si="29"/>
        <v>1</v>
      </c>
      <c r="L200" s="264">
        <f t="shared" si="30"/>
        <v>2032</v>
      </c>
      <c r="M200" s="243">
        <f t="shared" ref="M200:M223" si="34">B200</f>
        <v>48214</v>
      </c>
      <c r="N200" s="468">
        <v>53.878979999999999</v>
      </c>
      <c r="O200" s="468">
        <v>53.575389999999999</v>
      </c>
      <c r="P200" s="468">
        <v>49.848489999999998</v>
      </c>
      <c r="Q200" s="469">
        <v>50.693280000000001</v>
      </c>
      <c r="S200" s="261">
        <v>52.3047823655914</v>
      </c>
      <c r="T200" s="263">
        <f t="shared" si="31"/>
        <v>1.0242923797202235</v>
      </c>
      <c r="U200" s="263">
        <f t="shared" si="32"/>
        <v>0.96919015254996033</v>
      </c>
    </row>
    <row r="201" spans="2:21" x14ac:dyDescent="0.2">
      <c r="B201" s="245">
        <f t="shared" ref="B201:B223" si="35">EDATE(B200,1)</f>
        <v>48245</v>
      </c>
      <c r="C201" s="462">
        <v>5.5490056563172461</v>
      </c>
      <c r="D201" s="462">
        <v>5.9295265822784797</v>
      </c>
      <c r="E201" s="246">
        <f t="shared" si="33"/>
        <v>2032</v>
      </c>
      <c r="K201" s="35">
        <f t="shared" ref="K201:K223" si="36">MONTH(M201)</f>
        <v>2</v>
      </c>
      <c r="L201" s="264">
        <f t="shared" ref="L201:L223" si="37">YEAR(M201)</f>
        <v>2032</v>
      </c>
      <c r="M201" s="243">
        <f t="shared" si="34"/>
        <v>48245</v>
      </c>
      <c r="N201" s="464">
        <v>55.496429999999997</v>
      </c>
      <c r="O201" s="464">
        <v>53.039700000000003</v>
      </c>
      <c r="P201" s="464">
        <v>50.802340000000001</v>
      </c>
      <c r="Q201" s="465">
        <v>49.49597</v>
      </c>
      <c r="S201" s="261">
        <v>51.451131379310347</v>
      </c>
      <c r="T201" s="263">
        <f t="shared" ref="T201:T223" si="38">O201/S201</f>
        <v>1.0308752903600571</v>
      </c>
      <c r="U201" s="263">
        <f t="shared" ref="U201:U223" si="39">Q201/S201</f>
        <v>0.9619996426337758</v>
      </c>
    </row>
    <row r="202" spans="2:21" x14ac:dyDescent="0.2">
      <c r="B202" s="245">
        <f t="shared" si="35"/>
        <v>48274</v>
      </c>
      <c r="C202" s="462">
        <v>5.3355616559073678</v>
      </c>
      <c r="D202" s="462">
        <v>5.522741772151897</v>
      </c>
      <c r="E202" s="246">
        <f t="shared" si="33"/>
        <v>2032</v>
      </c>
      <c r="K202" s="35">
        <f t="shared" si="36"/>
        <v>3</v>
      </c>
      <c r="L202" s="264">
        <f t="shared" si="37"/>
        <v>2032</v>
      </c>
      <c r="M202" s="243">
        <f t="shared" si="34"/>
        <v>48274</v>
      </c>
      <c r="N202" s="464">
        <v>48.213999999999999</v>
      </c>
      <c r="O202" s="464">
        <v>46.425750000000001</v>
      </c>
      <c r="P202" s="464">
        <v>46.133049999999997</v>
      </c>
      <c r="Q202" s="465">
        <v>45.415950000000002</v>
      </c>
      <c r="S202" s="261">
        <v>46.003074629878874</v>
      </c>
      <c r="T202" s="263">
        <f t="shared" si="38"/>
        <v>1.0091879808800128</v>
      </c>
      <c r="U202" s="263">
        <f t="shared" si="39"/>
        <v>0.98723727414737761</v>
      </c>
    </row>
    <row r="203" spans="2:21" x14ac:dyDescent="0.2">
      <c r="B203" s="245">
        <f t="shared" si="35"/>
        <v>48305</v>
      </c>
      <c r="C203" s="462">
        <v>5.0557174095706534</v>
      </c>
      <c r="D203" s="462">
        <v>5.0533746835443027</v>
      </c>
      <c r="E203" s="246">
        <f t="shared" si="33"/>
        <v>2032</v>
      </c>
      <c r="K203" s="35">
        <f t="shared" si="36"/>
        <v>4</v>
      </c>
      <c r="L203" s="264">
        <f t="shared" si="37"/>
        <v>2032</v>
      </c>
      <c r="M203" s="243">
        <f t="shared" si="34"/>
        <v>48305</v>
      </c>
      <c r="N203" s="464">
        <v>42.726500000000001</v>
      </c>
      <c r="O203" s="464">
        <v>41.721200000000003</v>
      </c>
      <c r="P203" s="464">
        <v>38.450969999999998</v>
      </c>
      <c r="Q203" s="465">
        <v>38.256239999999998</v>
      </c>
      <c r="S203" s="261">
        <v>40.258216888888889</v>
      </c>
      <c r="T203" s="263">
        <f t="shared" si="38"/>
        <v>1.0363399878128952</v>
      </c>
      <c r="U203" s="263">
        <f t="shared" si="39"/>
        <v>0.95027159562445929</v>
      </c>
    </row>
    <row r="204" spans="2:21" x14ac:dyDescent="0.2">
      <c r="B204" s="245">
        <f t="shared" si="35"/>
        <v>48335</v>
      </c>
      <c r="C204" s="462">
        <v>4.9132847832769757</v>
      </c>
      <c r="D204" s="462">
        <v>5.0377797468354419</v>
      </c>
      <c r="E204" s="246">
        <f t="shared" si="33"/>
        <v>2032</v>
      </c>
      <c r="K204" s="35">
        <f t="shared" si="36"/>
        <v>5</v>
      </c>
      <c r="L204" s="264">
        <f t="shared" si="37"/>
        <v>2032</v>
      </c>
      <c r="M204" s="243">
        <f t="shared" si="34"/>
        <v>48335</v>
      </c>
      <c r="N204" s="464">
        <v>38.846939999999996</v>
      </c>
      <c r="O204" s="464">
        <v>41.947040000000001</v>
      </c>
      <c r="P204" s="464">
        <v>32.705970000000001</v>
      </c>
      <c r="Q204" s="465">
        <v>38.491059999999997</v>
      </c>
      <c r="S204" s="261">
        <v>40.349113763440862</v>
      </c>
      <c r="T204" s="263">
        <f t="shared" si="38"/>
        <v>1.0396025113693321</v>
      </c>
      <c r="U204" s="263">
        <f t="shared" si="39"/>
        <v>0.95395056817519519</v>
      </c>
    </row>
    <row r="205" spans="2:21" x14ac:dyDescent="0.2">
      <c r="B205" s="245">
        <f t="shared" si="35"/>
        <v>48366</v>
      </c>
      <c r="C205" s="462">
        <v>4.8948402705195209</v>
      </c>
      <c r="D205" s="462">
        <v>4.8969189873417713</v>
      </c>
      <c r="E205" s="246">
        <f t="shared" si="33"/>
        <v>2032</v>
      </c>
      <c r="K205" s="35">
        <f t="shared" si="36"/>
        <v>6</v>
      </c>
      <c r="L205" s="264">
        <f t="shared" si="37"/>
        <v>2032</v>
      </c>
      <c r="M205" s="243">
        <f t="shared" si="34"/>
        <v>48366</v>
      </c>
      <c r="N205" s="464">
        <v>43.639290000000003</v>
      </c>
      <c r="O205" s="464">
        <v>44.057830000000003</v>
      </c>
      <c r="P205" s="464">
        <v>35.295670000000001</v>
      </c>
      <c r="Q205" s="465">
        <v>39.57779</v>
      </c>
      <c r="S205" s="261">
        <v>42.166257555555561</v>
      </c>
      <c r="T205" s="263">
        <f t="shared" si="38"/>
        <v>1.0448598608010737</v>
      </c>
      <c r="U205" s="263">
        <f t="shared" si="39"/>
        <v>0.9386128220616885</v>
      </c>
    </row>
    <row r="206" spans="2:21" x14ac:dyDescent="0.2">
      <c r="B206" s="245">
        <f t="shared" si="35"/>
        <v>48396</v>
      </c>
      <c r="C206" s="462">
        <v>5.1190435700379142</v>
      </c>
      <c r="D206" s="462">
        <v>4.9126151898734163</v>
      </c>
      <c r="E206" s="246">
        <f t="shared" si="33"/>
        <v>2032</v>
      </c>
      <c r="K206" s="35">
        <f t="shared" si="36"/>
        <v>7</v>
      </c>
      <c r="L206" s="264">
        <f t="shared" si="37"/>
        <v>2032</v>
      </c>
      <c r="M206" s="243">
        <f t="shared" si="34"/>
        <v>48396</v>
      </c>
      <c r="N206" s="464">
        <v>58.894629999999999</v>
      </c>
      <c r="O206" s="464">
        <v>59.566220000000001</v>
      </c>
      <c r="P206" s="464">
        <v>47.18497</v>
      </c>
      <c r="Q206" s="465">
        <v>48.734549999999999</v>
      </c>
      <c r="S206" s="261">
        <v>54.790967634408609</v>
      </c>
      <c r="T206" s="263">
        <f t="shared" si="38"/>
        <v>1.0871540067964147</v>
      </c>
      <c r="U206" s="263">
        <f t="shared" si="39"/>
        <v>0.8894632108923517</v>
      </c>
    </row>
    <row r="207" spans="2:21" x14ac:dyDescent="0.2">
      <c r="B207" s="245">
        <f t="shared" si="35"/>
        <v>48427</v>
      </c>
      <c r="C207" s="462">
        <v>5.3090220514396966</v>
      </c>
      <c r="D207" s="462">
        <v>5.131653164556961</v>
      </c>
      <c r="E207" s="246">
        <f t="shared" si="33"/>
        <v>2032</v>
      </c>
      <c r="K207" s="35">
        <f t="shared" si="36"/>
        <v>8</v>
      </c>
      <c r="L207" s="264">
        <f t="shared" si="37"/>
        <v>2032</v>
      </c>
      <c r="M207" s="243">
        <f t="shared" si="34"/>
        <v>48427</v>
      </c>
      <c r="N207" s="464">
        <v>62.394329999999997</v>
      </c>
      <c r="O207" s="464">
        <v>63.368549999999999</v>
      </c>
      <c r="P207" s="464">
        <v>50.45026</v>
      </c>
      <c r="Q207" s="465">
        <v>51.703029999999998</v>
      </c>
      <c r="S207" s="261">
        <v>58.225686344086022</v>
      </c>
      <c r="T207" s="263">
        <f t="shared" si="38"/>
        <v>1.0883263724110028</v>
      </c>
      <c r="U207" s="263">
        <f t="shared" si="39"/>
        <v>0.88797630816165507</v>
      </c>
    </row>
    <row r="208" spans="2:21" x14ac:dyDescent="0.2">
      <c r="B208" s="245">
        <f t="shared" si="35"/>
        <v>48458</v>
      </c>
      <c r="C208" s="462">
        <v>5.2747972333230866</v>
      </c>
      <c r="D208" s="462">
        <v>5.0690708860759486</v>
      </c>
      <c r="E208" s="246">
        <f t="shared" si="33"/>
        <v>2032</v>
      </c>
      <c r="K208" s="35">
        <f t="shared" si="36"/>
        <v>9</v>
      </c>
      <c r="L208" s="264">
        <f t="shared" si="37"/>
        <v>2032</v>
      </c>
      <c r="M208" s="243">
        <f t="shared" si="34"/>
        <v>48458</v>
      </c>
      <c r="N208" s="464">
        <v>57.424770000000002</v>
      </c>
      <c r="O208" s="464">
        <v>54.521529999999998</v>
      </c>
      <c r="P208" s="464">
        <v>48.449770000000001</v>
      </c>
      <c r="Q208" s="465">
        <v>47.347900000000003</v>
      </c>
      <c r="S208" s="261">
        <v>51.33325</v>
      </c>
      <c r="T208" s="263">
        <f t="shared" si="38"/>
        <v>1.0621094514763822</v>
      </c>
      <c r="U208" s="263">
        <f t="shared" si="39"/>
        <v>0.92236318565452224</v>
      </c>
    </row>
    <row r="209" spans="2:21" x14ac:dyDescent="0.2">
      <c r="B209" s="245">
        <f t="shared" si="35"/>
        <v>48488</v>
      </c>
      <c r="C209" s="462">
        <v>5.340685131673327</v>
      </c>
      <c r="D209" s="462">
        <v>5.4601594936708846</v>
      </c>
      <c r="E209" s="246">
        <f t="shared" si="33"/>
        <v>2032</v>
      </c>
      <c r="K209" s="35">
        <f t="shared" si="36"/>
        <v>10</v>
      </c>
      <c r="L209" s="264">
        <f t="shared" si="37"/>
        <v>2032</v>
      </c>
      <c r="M209" s="243">
        <f t="shared" si="34"/>
        <v>48488</v>
      </c>
      <c r="N209" s="464">
        <v>55.937579999999997</v>
      </c>
      <c r="O209" s="464">
        <v>53.553289999999997</v>
      </c>
      <c r="P209" s="464">
        <v>49.131450000000001</v>
      </c>
      <c r="Q209" s="465">
        <v>48.511569999999999</v>
      </c>
      <c r="S209" s="261">
        <v>51.330596236559138</v>
      </c>
      <c r="T209" s="263">
        <f t="shared" si="38"/>
        <v>1.0433015379988473</v>
      </c>
      <c r="U209" s="263">
        <f t="shared" si="39"/>
        <v>0.94508097619658371</v>
      </c>
    </row>
    <row r="210" spans="2:21" x14ac:dyDescent="0.2">
      <c r="B210" s="245">
        <f t="shared" si="35"/>
        <v>48519</v>
      </c>
      <c r="C210" s="462">
        <v>5.4335225125525159</v>
      </c>
      <c r="D210" s="462">
        <v>5.6479063291139227</v>
      </c>
      <c r="E210" s="246">
        <f t="shared" si="33"/>
        <v>2032</v>
      </c>
      <c r="K210" s="35">
        <f t="shared" si="36"/>
        <v>11</v>
      </c>
      <c r="L210" s="264">
        <f t="shared" si="37"/>
        <v>2032</v>
      </c>
      <c r="M210" s="243">
        <f t="shared" si="34"/>
        <v>48519</v>
      </c>
      <c r="N210" s="464">
        <v>56.03275</v>
      </c>
      <c r="O210" s="464">
        <v>53.008200000000002</v>
      </c>
      <c r="P210" s="464">
        <v>49.70485</v>
      </c>
      <c r="Q210" s="465">
        <v>48.796390000000002</v>
      </c>
      <c r="S210" s="261">
        <v>51.133039098474342</v>
      </c>
      <c r="T210" s="263">
        <f t="shared" si="38"/>
        <v>1.0366721973617565</v>
      </c>
      <c r="U210" s="263">
        <f t="shared" si="39"/>
        <v>0.95430255780466489</v>
      </c>
    </row>
    <row r="211" spans="2:21" x14ac:dyDescent="0.2">
      <c r="B211" s="247">
        <f t="shared" si="35"/>
        <v>48549</v>
      </c>
      <c r="C211" s="463">
        <v>5.6736085869453845</v>
      </c>
      <c r="D211" s="463">
        <v>6.0077037974683529</v>
      </c>
      <c r="E211" s="248">
        <f t="shared" si="33"/>
        <v>2032</v>
      </c>
      <c r="K211" s="35">
        <f t="shared" si="36"/>
        <v>12</v>
      </c>
      <c r="L211" s="264">
        <f t="shared" si="37"/>
        <v>2032</v>
      </c>
      <c r="M211" s="249">
        <f t="shared" si="34"/>
        <v>48549</v>
      </c>
      <c r="N211" s="466">
        <v>56.63982</v>
      </c>
      <c r="O211" s="466">
        <v>55.16957</v>
      </c>
      <c r="P211" s="466">
        <v>51.680889999999998</v>
      </c>
      <c r="Q211" s="467">
        <v>52.491950000000003</v>
      </c>
      <c r="S211" s="261">
        <v>53.989113870967742</v>
      </c>
      <c r="T211" s="263">
        <f t="shared" si="38"/>
        <v>1.0218647065008977</v>
      </c>
      <c r="U211" s="263">
        <f t="shared" si="39"/>
        <v>0.97226915273056869</v>
      </c>
    </row>
    <row r="212" spans="2:21" x14ac:dyDescent="0.2">
      <c r="B212" s="239">
        <f t="shared" si="35"/>
        <v>48580</v>
      </c>
      <c r="C212" s="462">
        <v>5.7660360897632961</v>
      </c>
      <c r="D212" s="462">
        <v>6.2212734177215179</v>
      </c>
      <c r="E212" s="240">
        <f t="shared" si="33"/>
        <v>2033</v>
      </c>
      <c r="K212" s="35">
        <f t="shared" si="36"/>
        <v>1</v>
      </c>
      <c r="L212" s="264">
        <f t="shared" si="37"/>
        <v>2033</v>
      </c>
      <c r="M212" s="243">
        <f t="shared" si="34"/>
        <v>48580</v>
      </c>
      <c r="N212" s="468">
        <v>56.045020000000001</v>
      </c>
      <c r="O212" s="468">
        <v>55.890500000000003</v>
      </c>
      <c r="P212" s="468">
        <v>52.420250000000003</v>
      </c>
      <c r="Q212" s="469">
        <v>53.227910000000001</v>
      </c>
      <c r="S212" s="261">
        <v>54.659410000000001</v>
      </c>
      <c r="T212" s="263">
        <f t="shared" si="38"/>
        <v>1.0225229288058544</v>
      </c>
      <c r="U212" s="263">
        <f t="shared" si="39"/>
        <v>0.97381054790016941</v>
      </c>
    </row>
    <row r="213" spans="2:21" x14ac:dyDescent="0.2">
      <c r="B213" s="245">
        <f t="shared" si="35"/>
        <v>48611</v>
      </c>
      <c r="C213" s="462">
        <v>5.8027201762475675</v>
      </c>
      <c r="D213" s="462">
        <v>6.3976784810126563</v>
      </c>
      <c r="E213" s="246">
        <f t="shared" si="33"/>
        <v>2033</v>
      </c>
      <c r="K213" s="35">
        <f t="shared" si="36"/>
        <v>2</v>
      </c>
      <c r="L213" s="264">
        <f t="shared" si="37"/>
        <v>2033</v>
      </c>
      <c r="M213" s="243">
        <f t="shared" si="34"/>
        <v>48611</v>
      </c>
      <c r="N213" s="464">
        <v>58.967440000000003</v>
      </c>
      <c r="O213" s="464">
        <v>56.756239999999998</v>
      </c>
      <c r="P213" s="464">
        <v>54.185099999999998</v>
      </c>
      <c r="Q213" s="465">
        <v>53.236040000000003</v>
      </c>
      <c r="S213" s="261">
        <v>55.247582857142859</v>
      </c>
      <c r="T213" s="263">
        <f t="shared" si="38"/>
        <v>1.0273072063036344</v>
      </c>
      <c r="U213" s="263">
        <f t="shared" si="39"/>
        <v>0.96359039159515392</v>
      </c>
    </row>
    <row r="214" spans="2:21" x14ac:dyDescent="0.2">
      <c r="B214" s="245">
        <f t="shared" si="35"/>
        <v>48639</v>
      </c>
      <c r="C214" s="462">
        <v>5.6003428834921616</v>
      </c>
      <c r="D214" s="462">
        <v>5.8364632911392391</v>
      </c>
      <c r="E214" s="246">
        <f t="shared" si="33"/>
        <v>2033</v>
      </c>
      <c r="K214" s="35">
        <f t="shared" si="36"/>
        <v>3</v>
      </c>
      <c r="L214" s="264">
        <f t="shared" si="37"/>
        <v>2033</v>
      </c>
      <c r="M214" s="243">
        <f t="shared" si="34"/>
        <v>48639</v>
      </c>
      <c r="N214" s="464">
        <v>50.536659999999998</v>
      </c>
      <c r="O214" s="464">
        <v>48.696150000000003</v>
      </c>
      <c r="P214" s="464">
        <v>48.592869999999998</v>
      </c>
      <c r="Q214" s="465">
        <v>47.81861</v>
      </c>
      <c r="S214" s="261">
        <v>48.328835141318983</v>
      </c>
      <c r="T214" s="263">
        <f t="shared" si="38"/>
        <v>1.0076003250979866</v>
      </c>
      <c r="U214" s="263">
        <f t="shared" si="39"/>
        <v>0.98944263523366482</v>
      </c>
    </row>
    <row r="215" spans="2:21" x14ac:dyDescent="0.2">
      <c r="B215" s="245">
        <f t="shared" si="35"/>
        <v>48670</v>
      </c>
      <c r="C215" s="462">
        <v>5.4107742801516556</v>
      </c>
      <c r="D215" s="462">
        <v>5.4515518987341762</v>
      </c>
      <c r="E215" s="246">
        <f t="shared" si="33"/>
        <v>2033</v>
      </c>
      <c r="K215" s="35">
        <f t="shared" si="36"/>
        <v>4</v>
      </c>
      <c r="L215" s="264">
        <f t="shared" si="37"/>
        <v>2033</v>
      </c>
      <c r="M215" s="243">
        <f t="shared" si="34"/>
        <v>48670</v>
      </c>
      <c r="N215" s="464">
        <v>45.448250000000002</v>
      </c>
      <c r="O215" s="464">
        <v>43.533070000000002</v>
      </c>
      <c r="P215" s="464">
        <v>41.34066</v>
      </c>
      <c r="Q215" s="465">
        <v>40.983040000000003</v>
      </c>
      <c r="S215" s="261">
        <v>42.456390666666671</v>
      </c>
      <c r="T215" s="263">
        <f t="shared" si="38"/>
        <v>1.0253596529621782</v>
      </c>
      <c r="U215" s="263">
        <f t="shared" si="39"/>
        <v>0.96529731699912436</v>
      </c>
    </row>
    <row r="216" spans="2:21" x14ac:dyDescent="0.2">
      <c r="B216" s="245">
        <f t="shared" si="35"/>
        <v>48700</v>
      </c>
      <c r="C216" s="462">
        <v>5.232272384465622</v>
      </c>
      <c r="D216" s="462">
        <v>5.4836531645569613</v>
      </c>
      <c r="E216" s="246">
        <f t="shared" si="33"/>
        <v>2033</v>
      </c>
      <c r="K216" s="35">
        <f t="shared" si="36"/>
        <v>5</v>
      </c>
      <c r="L216" s="264">
        <f t="shared" si="37"/>
        <v>2033</v>
      </c>
      <c r="M216" s="243">
        <f t="shared" si="34"/>
        <v>48700</v>
      </c>
      <c r="N216" s="464">
        <v>42.434379999999997</v>
      </c>
      <c r="O216" s="464">
        <v>45.391469999999998</v>
      </c>
      <c r="P216" s="464">
        <v>36.184399999999997</v>
      </c>
      <c r="Q216" s="465">
        <v>41.772190000000002</v>
      </c>
      <c r="S216" s="261">
        <v>43.718039462365596</v>
      </c>
      <c r="T216" s="263">
        <f t="shared" si="38"/>
        <v>1.038277803813114</v>
      </c>
      <c r="U216" s="263">
        <f t="shared" si="39"/>
        <v>0.95549092579870454</v>
      </c>
    </row>
    <row r="217" spans="2:21" x14ac:dyDescent="0.2">
      <c r="B217" s="245">
        <f t="shared" si="35"/>
        <v>48731</v>
      </c>
      <c r="C217" s="462">
        <v>5.2134179936468898</v>
      </c>
      <c r="D217" s="462">
        <v>5.323248101265821</v>
      </c>
      <c r="E217" s="246">
        <f t="shared" si="33"/>
        <v>2033</v>
      </c>
      <c r="K217" s="35">
        <f t="shared" si="36"/>
        <v>6</v>
      </c>
      <c r="L217" s="264">
        <f t="shared" si="37"/>
        <v>2033</v>
      </c>
      <c r="M217" s="243">
        <f t="shared" si="34"/>
        <v>48731</v>
      </c>
      <c r="N217" s="464">
        <v>46.964910000000003</v>
      </c>
      <c r="O217" s="464">
        <v>47.537559999999999</v>
      </c>
      <c r="P217" s="464">
        <v>38.481610000000003</v>
      </c>
      <c r="Q217" s="465">
        <v>42.259729999999998</v>
      </c>
      <c r="S217" s="261">
        <v>45.309142888888886</v>
      </c>
      <c r="T217" s="263">
        <f t="shared" si="38"/>
        <v>1.0491825042150067</v>
      </c>
      <c r="U217" s="263">
        <f t="shared" si="39"/>
        <v>0.93269762581104365</v>
      </c>
    </row>
    <row r="218" spans="2:21" x14ac:dyDescent="0.2">
      <c r="B218" s="245">
        <f t="shared" si="35"/>
        <v>48761</v>
      </c>
      <c r="C218" s="462">
        <v>5.5243105031253208</v>
      </c>
      <c r="D218" s="462">
        <v>5.3393493670886061</v>
      </c>
      <c r="E218" s="246">
        <f t="shared" si="33"/>
        <v>2033</v>
      </c>
      <c r="K218" s="35">
        <f t="shared" si="36"/>
        <v>7</v>
      </c>
      <c r="L218" s="264">
        <f t="shared" si="37"/>
        <v>2033</v>
      </c>
      <c r="M218" s="243">
        <f t="shared" si="34"/>
        <v>48761</v>
      </c>
      <c r="N218" s="464">
        <v>62.025260000000003</v>
      </c>
      <c r="O218" s="464">
        <v>62.967640000000003</v>
      </c>
      <c r="P218" s="464">
        <v>50.417140000000003</v>
      </c>
      <c r="Q218" s="465">
        <v>52.1096</v>
      </c>
      <c r="S218" s="261">
        <v>57.947255913978488</v>
      </c>
      <c r="T218" s="263">
        <f t="shared" si="38"/>
        <v>1.086637132454972</v>
      </c>
      <c r="U218" s="263">
        <f t="shared" si="39"/>
        <v>0.89925914830817244</v>
      </c>
    </row>
    <row r="219" spans="2:21" x14ac:dyDescent="0.2">
      <c r="B219" s="245">
        <f t="shared" si="35"/>
        <v>48792</v>
      </c>
      <c r="C219" s="462">
        <v>5.7028123988113544</v>
      </c>
      <c r="D219" s="462">
        <v>5.5317544303797463</v>
      </c>
      <c r="E219" s="246">
        <f t="shared" si="33"/>
        <v>2033</v>
      </c>
      <c r="K219" s="35">
        <f t="shared" si="36"/>
        <v>8</v>
      </c>
      <c r="L219" s="264">
        <f t="shared" si="37"/>
        <v>2033</v>
      </c>
      <c r="M219" s="243">
        <f t="shared" si="34"/>
        <v>48792</v>
      </c>
      <c r="N219" s="464">
        <v>65.283249999999995</v>
      </c>
      <c r="O219" s="464">
        <v>66.903530000000003</v>
      </c>
      <c r="P219" s="464">
        <v>53.325679999999998</v>
      </c>
      <c r="Q219" s="465">
        <v>55.027790000000003</v>
      </c>
      <c r="S219" s="261">
        <v>61.923380967741942</v>
      </c>
      <c r="T219" s="263">
        <f t="shared" si="38"/>
        <v>1.0804243720938365</v>
      </c>
      <c r="U219" s="263">
        <f t="shared" si="39"/>
        <v>0.88864317710084184</v>
      </c>
    </row>
    <row r="220" spans="2:21" x14ac:dyDescent="0.2">
      <c r="B220" s="245">
        <f t="shared" si="35"/>
        <v>48823</v>
      </c>
      <c r="C220" s="462">
        <v>5.651577641151758</v>
      </c>
      <c r="D220" s="462">
        <v>5.4515518987341762</v>
      </c>
      <c r="E220" s="246">
        <f t="shared" si="33"/>
        <v>2033</v>
      </c>
      <c r="K220" s="35">
        <f t="shared" si="36"/>
        <v>9</v>
      </c>
      <c r="L220" s="264">
        <f t="shared" si="37"/>
        <v>2033</v>
      </c>
      <c r="M220" s="243">
        <f t="shared" si="34"/>
        <v>48823</v>
      </c>
      <c r="N220" s="464">
        <v>59.655769999999997</v>
      </c>
      <c r="O220" s="464">
        <v>57.308610000000002</v>
      </c>
      <c r="P220" s="464">
        <v>51.078400000000002</v>
      </c>
      <c r="Q220" s="465">
        <v>50.337069999999997</v>
      </c>
      <c r="S220" s="261">
        <v>54.210147777777777</v>
      </c>
      <c r="T220" s="263">
        <f t="shared" si="38"/>
        <v>1.0571564983538446</v>
      </c>
      <c r="U220" s="263">
        <f t="shared" si="39"/>
        <v>0.92855437705769439</v>
      </c>
    </row>
    <row r="221" spans="2:21" x14ac:dyDescent="0.2">
      <c r="B221" s="245">
        <f t="shared" si="35"/>
        <v>48853</v>
      </c>
      <c r="C221" s="462">
        <v>5.6866222153909209</v>
      </c>
      <c r="D221" s="462">
        <v>5.7081594936708848</v>
      </c>
      <c r="E221" s="246">
        <f t="shared" si="33"/>
        <v>2033</v>
      </c>
      <c r="K221" s="35">
        <f t="shared" si="36"/>
        <v>10</v>
      </c>
      <c r="L221" s="264">
        <f t="shared" si="37"/>
        <v>2033</v>
      </c>
      <c r="M221" s="243">
        <f t="shared" si="34"/>
        <v>48853</v>
      </c>
      <c r="N221" s="464">
        <v>57.752400000000002</v>
      </c>
      <c r="O221" s="464">
        <v>55.425620000000002</v>
      </c>
      <c r="P221" s="464">
        <v>51.366790000000002</v>
      </c>
      <c r="Q221" s="465">
        <v>50.84713</v>
      </c>
      <c r="S221" s="261">
        <v>53.407145913978496</v>
      </c>
      <c r="T221" s="263">
        <f t="shared" si="38"/>
        <v>1.0377940826359193</v>
      </c>
      <c r="U221" s="263">
        <f t="shared" si="39"/>
        <v>0.95206604153493157</v>
      </c>
    </row>
    <row r="222" spans="2:21" x14ac:dyDescent="0.2">
      <c r="B222" s="245">
        <f t="shared" si="35"/>
        <v>48884</v>
      </c>
      <c r="C222" s="462">
        <v>5.7173630699866793</v>
      </c>
      <c r="D222" s="462">
        <v>6.0288683544303785</v>
      </c>
      <c r="E222" s="246">
        <f t="shared" si="33"/>
        <v>2033</v>
      </c>
      <c r="K222" s="35">
        <f t="shared" si="36"/>
        <v>11</v>
      </c>
      <c r="L222" s="264">
        <f t="shared" si="37"/>
        <v>2033</v>
      </c>
      <c r="M222" s="243">
        <f t="shared" si="34"/>
        <v>48884</v>
      </c>
      <c r="N222" s="464">
        <v>58.169229999999999</v>
      </c>
      <c r="O222" s="464">
        <v>55.632739999999998</v>
      </c>
      <c r="P222" s="464">
        <v>52.197139999999997</v>
      </c>
      <c r="Q222" s="465">
        <v>51.636319999999998</v>
      </c>
      <c r="S222" s="261">
        <v>53.853473952843274</v>
      </c>
      <c r="T222" s="263">
        <f t="shared" si="38"/>
        <v>1.0330390208199891</v>
      </c>
      <c r="U222" s="263">
        <f t="shared" si="39"/>
        <v>0.95882988059814445</v>
      </c>
    </row>
    <row r="223" spans="2:21" x14ac:dyDescent="0.2">
      <c r="B223" s="247">
        <f t="shared" si="35"/>
        <v>48914</v>
      </c>
      <c r="C223" s="463">
        <v>6.125601619018342</v>
      </c>
      <c r="D223" s="463">
        <v>6.3816784810126572</v>
      </c>
      <c r="E223" s="248">
        <f t="shared" si="33"/>
        <v>2033</v>
      </c>
      <c r="K223" s="35">
        <f t="shared" si="36"/>
        <v>12</v>
      </c>
      <c r="L223" s="264">
        <f t="shared" si="37"/>
        <v>2033</v>
      </c>
      <c r="M223" s="249">
        <f t="shared" si="34"/>
        <v>48914</v>
      </c>
      <c r="N223" s="466">
        <v>59.322069999999997</v>
      </c>
      <c r="O223" s="466">
        <v>57.094149999999999</v>
      </c>
      <c r="P223" s="466">
        <v>53.989409999999999</v>
      </c>
      <c r="Q223" s="467">
        <v>54.28595</v>
      </c>
      <c r="S223" s="261">
        <v>55.856126344086022</v>
      </c>
      <c r="T223" s="263">
        <f t="shared" si="38"/>
        <v>1.0221645097314389</v>
      </c>
      <c r="U223" s="263">
        <f t="shared" si="39"/>
        <v>0.97188891448695547</v>
      </c>
    </row>
    <row r="225" spans="2:17" x14ac:dyDescent="0.2">
      <c r="C225" s="254" t="s">
        <v>301</v>
      </c>
      <c r="D225" s="254" t="s">
        <v>308</v>
      </c>
      <c r="N225" s="254" t="s">
        <v>208</v>
      </c>
      <c r="O225" s="254" t="s">
        <v>209</v>
      </c>
      <c r="P225" s="254" t="s">
        <v>208</v>
      </c>
      <c r="Q225" s="254" t="s">
        <v>209</v>
      </c>
    </row>
    <row r="226" spans="2:17" x14ac:dyDescent="0.2">
      <c r="C226" s="256">
        <v>46</v>
      </c>
      <c r="D226" s="256">
        <v>43</v>
      </c>
      <c r="N226" s="256">
        <v>7</v>
      </c>
      <c r="O226" s="256">
        <v>6</v>
      </c>
      <c r="P226" s="256">
        <f>N226+8</f>
        <v>15</v>
      </c>
      <c r="Q226" s="256">
        <f>O226+8</f>
        <v>14</v>
      </c>
    </row>
    <row r="227" spans="2:17" x14ac:dyDescent="0.2">
      <c r="M227" s="257"/>
    </row>
    <row r="228" spans="2:17" x14ac:dyDescent="0.2">
      <c r="B228" s="259" t="s">
        <v>211</v>
      </c>
      <c r="M228" s="255" t="s">
        <v>211</v>
      </c>
      <c r="N228" s="260">
        <v>-652.77499863247158</v>
      </c>
      <c r="O228" s="260">
        <v>-1103.9288667521369</v>
      </c>
      <c r="P228" s="260">
        <v>-361.71952093319578</v>
      </c>
      <c r="Q228" s="260">
        <v>-1048.3388780435271</v>
      </c>
    </row>
  </sheetData>
  <printOptions horizontalCentered="1"/>
  <pageMargins left="0.3" right="0.3" top="0.8" bottom="0.4" header="0.5" footer="0.2"/>
  <pageSetup fitToHeight="20" orientation="landscape" r:id="rId1"/>
  <headerFooter alignWithMargins="0">
    <oddFooter>&amp;L&amp;8ljh 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Y128"/>
  <sheetViews>
    <sheetView topLeftCell="A34" zoomScaleNormal="100" workbookViewId="0">
      <selection activeCell="F12" sqref="F12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6" width="15.33203125" style="35" customWidth="1"/>
    <col min="17" max="16384" width="9.33203125" style="35"/>
  </cols>
  <sheetData>
    <row r="1" spans="1:25" s="5" customFormat="1" ht="15.75" x14ac:dyDescent="0.25">
      <c r="A1" s="1" t="s">
        <v>148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25" s="7" customFormat="1" ht="15" x14ac:dyDescent="0.25">
      <c r="A2" s="3" t="s">
        <v>130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25" s="7" customFormat="1" ht="15" x14ac:dyDescent="0.25">
      <c r="A3" s="3" t="str">
        <f>"Avoided Resource ("&amp;A28&amp;" through "&amp;MAX(A28:A45)&amp;")"</f>
        <v>Avoided Resource (2016 through 2027)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25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25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25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25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25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25" ht="12.75" customHeight="1" x14ac:dyDescent="0.2">
      <c r="A9" s="12" t="s">
        <v>224</v>
      </c>
      <c r="C9" s="40"/>
      <c r="D9" s="40"/>
      <c r="E9" s="40"/>
      <c r="G9" s="40"/>
      <c r="H9" s="40"/>
      <c r="I9" s="40"/>
      <c r="J9" s="48"/>
      <c r="L9" s="40"/>
      <c r="M9" s="37"/>
    </row>
    <row r="10" spans="1:25" ht="12.75" customHeight="1" x14ac:dyDescent="0.2">
      <c r="A10" s="49">
        <f>'Tables 3 to 5'!AD13</f>
        <v>2016</v>
      </c>
      <c r="B10" s="340"/>
      <c r="C10" s="341"/>
      <c r="D10" s="341"/>
      <c r="E10" s="341"/>
      <c r="F10" s="341">
        <v>14.230550164813476</v>
      </c>
      <c r="G10" s="341">
        <v>14.706253614810606</v>
      </c>
      <c r="H10" s="341">
        <v>21.999172258088667</v>
      </c>
      <c r="I10" s="341">
        <v>22.497907399706623</v>
      </c>
      <c r="J10" s="342">
        <v>21.959181607976141</v>
      </c>
      <c r="K10" s="340">
        <v>17.524344352288271</v>
      </c>
      <c r="L10" s="341">
        <v>17.846573200503158</v>
      </c>
      <c r="M10" s="342">
        <v>22.462761743891463</v>
      </c>
    </row>
    <row r="11" spans="1:25" ht="12.75" customHeight="1" x14ac:dyDescent="0.2">
      <c r="A11" s="53">
        <f t="shared" ref="A11:A21" si="0">A10+1</f>
        <v>2017</v>
      </c>
      <c r="B11" s="54">
        <v>20.85932436207089</v>
      </c>
      <c r="C11" s="55">
        <v>21.680996613778795</v>
      </c>
      <c r="D11" s="55">
        <v>19.83801061804056</v>
      </c>
      <c r="E11" s="55">
        <v>19.63762365544008</v>
      </c>
      <c r="F11" s="55">
        <v>16.857394982401722</v>
      </c>
      <c r="G11" s="470">
        <f>'[5]Table 2A BaseLoad'!G11</f>
        <v>16.730142763370853</v>
      </c>
      <c r="H11" s="471">
        <f>'[5]Table 2A BaseLoad'!H11</f>
        <v>21.361463677102037</v>
      </c>
      <c r="I11" s="471">
        <f>'[5]Table 2A BaseLoad'!I11</f>
        <v>21.781842187748001</v>
      </c>
      <c r="J11" s="472">
        <f>'[5]Table 2A BaseLoad'!J11</f>
        <v>18.752897047245256</v>
      </c>
      <c r="K11" s="470">
        <f>'[5]Table 2A BaseLoad'!K11</f>
        <v>18.65760167506874</v>
      </c>
      <c r="L11" s="471">
        <f>'[5]Table 2A BaseLoad'!L11</f>
        <v>19.126036073480631</v>
      </c>
      <c r="M11" s="472">
        <f>'[5]Table 2A BaseLoad'!M11</f>
        <v>21.41758140278279</v>
      </c>
    </row>
    <row r="12" spans="1:25" ht="12.75" customHeight="1" x14ac:dyDescent="0.2">
      <c r="A12" s="53">
        <f t="shared" si="0"/>
        <v>2018</v>
      </c>
      <c r="B12" s="470">
        <f>'[5]Table 2A BaseLoad'!B12</f>
        <v>21.524631583862888</v>
      </c>
      <c r="C12" s="471">
        <f>'[5]Table 2A BaseLoad'!C12</f>
        <v>18.995553266150612</v>
      </c>
      <c r="D12" s="471">
        <f>'[5]Table 2A BaseLoad'!D12</f>
        <v>18.371424300213576</v>
      </c>
      <c r="E12" s="471">
        <f>'[5]Table 2A BaseLoad'!E12</f>
        <v>16.465393763817847</v>
      </c>
      <c r="F12" s="471">
        <f>'[5]Table 2A BaseLoad'!F12</f>
        <v>15.154195937646493</v>
      </c>
      <c r="G12" s="470">
        <f>'[5]Table 2A BaseLoad'!G12</f>
        <v>16.891157066395714</v>
      </c>
      <c r="H12" s="471">
        <f>'[5]Table 2A BaseLoad'!H12</f>
        <v>25.799394175578509</v>
      </c>
      <c r="I12" s="471">
        <f>'[5]Table 2A BaseLoad'!I12</f>
        <v>22.249440148869351</v>
      </c>
      <c r="J12" s="472">
        <f>'[5]Table 2A BaseLoad'!J12</f>
        <v>19.633237370881769</v>
      </c>
      <c r="K12" s="470">
        <f>'[5]Table 2A BaseLoad'!K12</f>
        <v>19.798074941649553</v>
      </c>
      <c r="L12" s="471">
        <f>'[5]Table 2A BaseLoad'!L12</f>
        <v>18.386656672048073</v>
      </c>
      <c r="M12" s="472">
        <f>'[5]Table 2A BaseLoad'!M12</f>
        <v>21.731309706501424</v>
      </c>
      <c r="N12" s="133"/>
      <c r="O12" s="133"/>
      <c r="P12" s="133"/>
      <c r="Q12" s="133"/>
      <c r="R12" s="133"/>
      <c r="S12" s="133"/>
      <c r="T12" s="133"/>
      <c r="U12" s="133"/>
    </row>
    <row r="13" spans="1:25" ht="12.75" customHeight="1" x14ac:dyDescent="0.2">
      <c r="A13" s="53">
        <f t="shared" si="0"/>
        <v>2019</v>
      </c>
      <c r="B13" s="470">
        <f>'[5]Table 2A BaseLoad'!B13</f>
        <v>16.208112565223729</v>
      </c>
      <c r="C13" s="471">
        <f>'[5]Table 2A BaseLoad'!C13</f>
        <v>17.755582289836617</v>
      </c>
      <c r="D13" s="471">
        <f>'[5]Table 2A BaseLoad'!D13</f>
        <v>17.084495305768666</v>
      </c>
      <c r="E13" s="471">
        <f>'[5]Table 2A BaseLoad'!E13</f>
        <v>16.212313039385609</v>
      </c>
      <c r="F13" s="471">
        <f>'[5]Table 2A BaseLoad'!F13</f>
        <v>16.057410999002958</v>
      </c>
      <c r="G13" s="470">
        <f>'[5]Table 2A BaseLoad'!G13</f>
        <v>15.813903385456651</v>
      </c>
      <c r="H13" s="471">
        <f>'[5]Table 2A BaseLoad'!H13</f>
        <v>26.586321052704609</v>
      </c>
      <c r="I13" s="471">
        <f>'[5]Table 2A BaseLoad'!I13</f>
        <v>22.268610881160825</v>
      </c>
      <c r="J13" s="472">
        <f>'[5]Table 2A BaseLoad'!J13</f>
        <v>18.549244093485175</v>
      </c>
      <c r="K13" s="470">
        <f>'[5]Table 2A BaseLoad'!K13</f>
        <v>18.53173346736779</v>
      </c>
      <c r="L13" s="471">
        <f>'[5]Table 2A BaseLoad'!L13</f>
        <v>16.402622063075089</v>
      </c>
      <c r="M13" s="472">
        <f>'[5]Table 2A BaseLoad'!M13</f>
        <v>20.309154808561328</v>
      </c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ht="12.75" customHeight="1" x14ac:dyDescent="0.2">
      <c r="A14" s="53">
        <f t="shared" si="0"/>
        <v>2020</v>
      </c>
      <c r="B14" s="470">
        <f>'[5]Table 2A BaseLoad'!B14</f>
        <v>18.357503535682635</v>
      </c>
      <c r="C14" s="471">
        <f>'[5]Table 2A BaseLoad'!C14</f>
        <v>20.554561945873623</v>
      </c>
      <c r="D14" s="471">
        <f>'[5]Table 2A BaseLoad'!D14</f>
        <v>15.363864867140849</v>
      </c>
      <c r="E14" s="471">
        <f>'[5]Table 2A BaseLoad'!E14</f>
        <v>14.791939988432246</v>
      </c>
      <c r="F14" s="471">
        <f>'[5]Table 2A BaseLoad'!F14</f>
        <v>14.873933240897474</v>
      </c>
      <c r="G14" s="470">
        <f>'[5]Table 2A BaseLoad'!G14</f>
        <v>15.452796620174</v>
      </c>
      <c r="H14" s="471">
        <f>'[5]Table 2A BaseLoad'!H14</f>
        <v>26.862263542485813</v>
      </c>
      <c r="I14" s="471">
        <f>'[5]Table 2A BaseLoad'!I14</f>
        <v>21.350731889839455</v>
      </c>
      <c r="J14" s="472">
        <f>'[5]Table 2A BaseLoad'!J14</f>
        <v>17.946302020015818</v>
      </c>
      <c r="K14" s="470">
        <f>'[5]Table 2A BaseLoad'!K14</f>
        <v>18.936554196671214</v>
      </c>
      <c r="L14" s="471">
        <f>'[5]Table 2A BaseLoad'!L14</f>
        <v>17.86371287142444</v>
      </c>
      <c r="M14" s="472">
        <f>'[5]Table 2A BaseLoad'!M14</f>
        <v>23.032137037733548</v>
      </c>
      <c r="N14" s="133"/>
      <c r="O14" s="133"/>
      <c r="P14" s="133"/>
      <c r="Q14" s="133"/>
      <c r="R14" s="133"/>
      <c r="S14" s="133"/>
      <c r="T14" s="133"/>
      <c r="U14" s="133"/>
    </row>
    <row r="15" spans="1:25" ht="12.75" customHeight="1" x14ac:dyDescent="0.2">
      <c r="A15" s="53">
        <f t="shared" si="0"/>
        <v>2021</v>
      </c>
      <c r="B15" s="470">
        <f>'[5]Table 2A BaseLoad'!B15</f>
        <v>20.894848073822676</v>
      </c>
      <c r="C15" s="471">
        <f>'[5]Table 2A BaseLoad'!C15</f>
        <v>20.074211104990294</v>
      </c>
      <c r="D15" s="471">
        <f>'[5]Table 2A BaseLoad'!D15</f>
        <v>18.347201139509917</v>
      </c>
      <c r="E15" s="471">
        <f>'[5]Table 2A BaseLoad'!E15</f>
        <v>15.904585465519792</v>
      </c>
      <c r="F15" s="471">
        <f>'[5]Table 2A BaseLoad'!F15</f>
        <v>16.188659726976546</v>
      </c>
      <c r="G15" s="470">
        <f>'[5]Table 2A BaseLoad'!G15</f>
        <v>16.595074217725131</v>
      </c>
      <c r="H15" s="471">
        <f>'[5]Table 2A BaseLoad'!H15</f>
        <v>28.85045435033258</v>
      </c>
      <c r="I15" s="471">
        <f>'[5]Table 2A BaseLoad'!I15</f>
        <v>24.26771784411563</v>
      </c>
      <c r="J15" s="472">
        <f>'[5]Table 2A BaseLoad'!J15</f>
        <v>19.69451358752325</v>
      </c>
      <c r="K15" s="470">
        <f>'[5]Table 2A BaseLoad'!K15</f>
        <v>20.558788806075849</v>
      </c>
      <c r="L15" s="471">
        <f>'[5]Table 2A BaseLoad'!L15</f>
        <v>19.710180555530307</v>
      </c>
      <c r="M15" s="472">
        <f>'[5]Table 2A BaseLoad'!M15</f>
        <v>23.988109663349167</v>
      </c>
      <c r="N15" s="133"/>
      <c r="O15" s="133"/>
      <c r="P15" s="133"/>
      <c r="Q15" s="133"/>
      <c r="R15" s="133"/>
      <c r="S15" s="133"/>
      <c r="T15" s="133"/>
      <c r="U15" s="133"/>
    </row>
    <row r="16" spans="1:25" ht="12.75" customHeight="1" x14ac:dyDescent="0.2">
      <c r="A16" s="53">
        <f t="shared" si="0"/>
        <v>2022</v>
      </c>
      <c r="B16" s="470">
        <f>'[5]Table 2A BaseLoad'!B16</f>
        <v>22.053752437820759</v>
      </c>
      <c r="C16" s="471">
        <f>'[5]Table 2A BaseLoad'!C16</f>
        <v>20.20987565965569</v>
      </c>
      <c r="D16" s="471">
        <f>'[5]Table 2A BaseLoad'!D16</f>
        <v>19.059761325430166</v>
      </c>
      <c r="E16" s="471">
        <f>'[5]Table 2A BaseLoad'!E16</f>
        <v>16.454052613038154</v>
      </c>
      <c r="F16" s="471">
        <f>'[5]Table 2A BaseLoad'!F16</f>
        <v>18.259438826564338</v>
      </c>
      <c r="G16" s="470">
        <f>'[5]Table 2A BaseLoad'!G16</f>
        <v>18.052347804645283</v>
      </c>
      <c r="H16" s="471">
        <f>'[5]Table 2A BaseLoad'!H16</f>
        <v>33.114987653349679</v>
      </c>
      <c r="I16" s="471">
        <f>'[5]Table 2A BaseLoad'!I16</f>
        <v>25.089152204004989</v>
      </c>
      <c r="J16" s="472">
        <f>'[5]Table 2A BaseLoad'!J16</f>
        <v>21.473638954593074</v>
      </c>
      <c r="K16" s="470">
        <f>'[5]Table 2A BaseLoad'!K16</f>
        <v>23.554549742193633</v>
      </c>
      <c r="L16" s="471">
        <f>'[5]Table 2A BaseLoad'!L16</f>
        <v>17.578631546077215</v>
      </c>
      <c r="M16" s="472">
        <f>'[5]Table 2A BaseLoad'!M16</f>
        <v>27.372758281731638</v>
      </c>
      <c r="N16" s="133"/>
      <c r="O16" s="133"/>
      <c r="P16" s="133"/>
      <c r="Q16" s="133"/>
      <c r="R16" s="133"/>
      <c r="S16" s="133"/>
      <c r="T16" s="133"/>
      <c r="U16" s="133"/>
    </row>
    <row r="17" spans="1:21" ht="12.75" customHeight="1" x14ac:dyDescent="0.2">
      <c r="A17" s="53">
        <f t="shared" si="0"/>
        <v>2023</v>
      </c>
      <c r="B17" s="470">
        <f>'[5]Table 2A BaseLoad'!B17</f>
        <v>25.467957443002891</v>
      </c>
      <c r="C17" s="471">
        <f>'[5]Table 2A BaseLoad'!C17</f>
        <v>21.601213323746691</v>
      </c>
      <c r="D17" s="471">
        <f>'[5]Table 2A BaseLoad'!D17</f>
        <v>21.498258504001122</v>
      </c>
      <c r="E17" s="471">
        <f>'[5]Table 2A BaseLoad'!E17</f>
        <v>17.999397672634156</v>
      </c>
      <c r="F17" s="471">
        <f>'[5]Table 2A BaseLoad'!F17</f>
        <v>21.749721786329744</v>
      </c>
      <c r="G17" s="470">
        <f>'[5]Table 2A BaseLoad'!G17</f>
        <v>20.447664427715871</v>
      </c>
      <c r="H17" s="471">
        <f>'[5]Table 2A BaseLoad'!H17</f>
        <v>36.677486655640827</v>
      </c>
      <c r="I17" s="471">
        <f>'[5]Table 2A BaseLoad'!I17</f>
        <v>16.894025773126433</v>
      </c>
      <c r="J17" s="472">
        <f>'[5]Table 2A BaseLoad'!J17</f>
        <v>35.26036393104949</v>
      </c>
      <c r="K17" s="470">
        <f>'[5]Table 2A BaseLoad'!K17</f>
        <v>27.23774795641782</v>
      </c>
      <c r="L17" s="471">
        <f>'[5]Table 2A BaseLoad'!L17</f>
        <v>24.237367620147349</v>
      </c>
      <c r="M17" s="472">
        <f>'[5]Table 2A BaseLoad'!M17</f>
        <v>30.461711748224754</v>
      </c>
      <c r="N17" s="133"/>
      <c r="O17" s="133"/>
      <c r="P17" s="133"/>
      <c r="Q17" s="133"/>
      <c r="R17" s="133"/>
      <c r="S17" s="133"/>
      <c r="T17" s="133"/>
      <c r="U17" s="133"/>
    </row>
    <row r="18" spans="1:21" ht="12.75" customHeight="1" x14ac:dyDescent="0.2">
      <c r="A18" s="53">
        <f t="shared" si="0"/>
        <v>2024</v>
      </c>
      <c r="B18" s="470">
        <f>'[5]Table 2A BaseLoad'!B18</f>
        <v>28.088833492225216</v>
      </c>
      <c r="C18" s="471">
        <f>'[5]Table 2A BaseLoad'!C18</f>
        <v>27.054373892068508</v>
      </c>
      <c r="D18" s="471">
        <f>'[5]Table 2A BaseLoad'!D18</f>
        <v>23.58602907900368</v>
      </c>
      <c r="E18" s="471">
        <f>'[5]Table 2A BaseLoad'!E18</f>
        <v>21.321857897173615</v>
      </c>
      <c r="F18" s="471">
        <f>'[5]Table 2A BaseLoad'!F18</f>
        <v>22.83241386654316</v>
      </c>
      <c r="G18" s="470">
        <f>'[5]Table 2A BaseLoad'!G18</f>
        <v>20.99270509035637</v>
      </c>
      <c r="H18" s="471">
        <f>'[5]Table 2A BaseLoad'!H18</f>
        <v>39.1675143304331</v>
      </c>
      <c r="I18" s="471">
        <f>'[5]Table 2A BaseLoad'!I18</f>
        <v>31.823798859988649</v>
      </c>
      <c r="J18" s="472">
        <f>'[5]Table 2A BaseLoad'!J18</f>
        <v>32.441020402827611</v>
      </c>
      <c r="K18" s="470">
        <f>'[5]Table 2A BaseLoad'!K18</f>
        <v>26.425339210135562</v>
      </c>
      <c r="L18" s="471">
        <f>'[5]Table 2A BaseLoad'!L18</f>
        <v>23.651196371855008</v>
      </c>
      <c r="M18" s="472">
        <f>'[5]Table 2A BaseLoad'!M18</f>
        <v>31.670421779744569</v>
      </c>
      <c r="N18" s="133"/>
      <c r="O18" s="133"/>
      <c r="P18" s="133"/>
      <c r="Q18" s="133"/>
      <c r="R18" s="133"/>
      <c r="S18" s="133"/>
      <c r="T18" s="133"/>
      <c r="U18" s="133"/>
    </row>
    <row r="19" spans="1:21" ht="12.75" customHeight="1" x14ac:dyDescent="0.2">
      <c r="A19" s="53">
        <f t="shared" si="0"/>
        <v>2025</v>
      </c>
      <c r="B19" s="470">
        <f>'[5]Table 2A BaseLoad'!B19</f>
        <v>30.551228785719122</v>
      </c>
      <c r="C19" s="471">
        <f>'[5]Table 2A BaseLoad'!C19</f>
        <v>58.910433200476248</v>
      </c>
      <c r="D19" s="471">
        <f>'[5]Table 2A BaseLoad'!D19</f>
        <v>23.93463399408245</v>
      </c>
      <c r="E19" s="471">
        <f>'[5]Table 2A BaseLoad'!E19</f>
        <v>22.00552653671139</v>
      </c>
      <c r="F19" s="471">
        <f>'[5]Table 2A BaseLoad'!F19</f>
        <v>23.344187926186589</v>
      </c>
      <c r="G19" s="470">
        <f>'[5]Table 2A BaseLoad'!G19</f>
        <v>23.090925984076328</v>
      </c>
      <c r="H19" s="471">
        <f>'[5]Table 2A BaseLoad'!H19</f>
        <v>40.252031075605942</v>
      </c>
      <c r="I19" s="471">
        <f>'[5]Table 2A BaseLoad'!I19</f>
        <v>31.600752183330314</v>
      </c>
      <c r="J19" s="472">
        <f>'[5]Table 2A BaseLoad'!J19</f>
        <v>26.705478579087391</v>
      </c>
      <c r="K19" s="470">
        <f>'[5]Table 2A BaseLoad'!K19</f>
        <v>29.460055839819134</v>
      </c>
      <c r="L19" s="471">
        <f>'[5]Table 2A BaseLoad'!L19</f>
        <v>25.23950909965982</v>
      </c>
      <c r="M19" s="472">
        <f>'[5]Table 2A BaseLoad'!M19</f>
        <v>30.247998481171745</v>
      </c>
      <c r="N19" s="133"/>
      <c r="O19" s="133"/>
      <c r="P19" s="133"/>
      <c r="Q19" s="133"/>
      <c r="R19" s="133"/>
      <c r="S19" s="133"/>
      <c r="T19" s="133"/>
      <c r="U19" s="133"/>
    </row>
    <row r="20" spans="1:21" ht="12.75" customHeight="1" x14ac:dyDescent="0.2">
      <c r="A20" s="53">
        <f t="shared" si="0"/>
        <v>2026</v>
      </c>
      <c r="B20" s="470">
        <f>'[5]Table 2A BaseLoad'!B20</f>
        <v>28.109976501502498</v>
      </c>
      <c r="C20" s="471">
        <f>'[5]Table 2A BaseLoad'!C20</f>
        <v>27.056989180074915</v>
      </c>
      <c r="D20" s="471">
        <f>'[5]Table 2A BaseLoad'!D20</f>
        <v>25.577406381351011</v>
      </c>
      <c r="E20" s="471">
        <f>'[5]Table 2A BaseLoad'!E20</f>
        <v>24.396300053228106</v>
      </c>
      <c r="F20" s="471">
        <f>'[5]Table 2A BaseLoad'!F20</f>
        <v>25.020286894986224</v>
      </c>
      <c r="G20" s="470">
        <f>'[5]Table 2A BaseLoad'!G20</f>
        <v>24.327809220486216</v>
      </c>
      <c r="H20" s="471">
        <f>'[5]Table 2A BaseLoad'!H20</f>
        <v>42.031680969036714</v>
      </c>
      <c r="I20" s="471">
        <f>'[5]Table 2A BaseLoad'!I20</f>
        <v>33.667066813664889</v>
      </c>
      <c r="J20" s="472">
        <f>'[5]Table 2A BaseLoad'!J20</f>
        <v>26.6378093312867</v>
      </c>
      <c r="K20" s="470">
        <f>'[5]Table 2A BaseLoad'!K20</f>
        <v>28.743979839842407</v>
      </c>
      <c r="L20" s="471">
        <f>'[5]Table 2A BaseLoad'!L20</f>
        <v>25.474525895149757</v>
      </c>
      <c r="M20" s="472">
        <f>'[5]Table 2A BaseLoad'!M20</f>
        <v>28.333972092209162</v>
      </c>
      <c r="N20" s="134"/>
      <c r="O20" s="134"/>
      <c r="P20" s="134"/>
      <c r="Q20" s="134"/>
      <c r="R20" s="134"/>
      <c r="S20" s="134"/>
      <c r="T20" s="134"/>
      <c r="U20" s="134"/>
    </row>
    <row r="21" spans="1:21" ht="12.75" customHeight="1" x14ac:dyDescent="0.2">
      <c r="A21" s="53">
        <f t="shared" si="0"/>
        <v>2027</v>
      </c>
      <c r="B21" s="470">
        <f>'[5]Table 2A BaseLoad'!B21</f>
        <v>31.868686075788993</v>
      </c>
      <c r="C21" s="471">
        <f>'[5]Table 2A BaseLoad'!C21</f>
        <v>32.570875987406261</v>
      </c>
      <c r="D21" s="471">
        <f>'[5]Table 2A BaseLoad'!D21</f>
        <v>29.52809549266853</v>
      </c>
      <c r="E21" s="471">
        <f>'[5]Table 2A BaseLoad'!E21</f>
        <v>28.212006471419915</v>
      </c>
      <c r="F21" s="471">
        <f>'[5]Table 2A BaseLoad'!F21</f>
        <v>29.744854645042491</v>
      </c>
      <c r="G21" s="470">
        <f>'[5]Table 2A BaseLoad'!G21</f>
        <v>28.807161549354593</v>
      </c>
      <c r="H21" s="471">
        <f>'[5]Table 2A BaseLoad'!H21</f>
        <v>47.263786234426242</v>
      </c>
      <c r="I21" s="471">
        <f>'[5]Table 2A BaseLoad'!I21</f>
        <v>42.646440385534397</v>
      </c>
      <c r="J21" s="471">
        <f>'[5]Table 2A BaseLoad'!J21</f>
        <v>34.080994556782144</v>
      </c>
      <c r="K21" s="470">
        <f>'[5]Table 2A BaseLoad'!K21</f>
        <v>34.7581553783468</v>
      </c>
      <c r="L21" s="471">
        <f>'[5]Table 2A BaseLoad'!L21</f>
        <v>31.840142303030525</v>
      </c>
      <c r="M21" s="472">
        <f>'[5]Table 2A BaseLoad'!M21</f>
        <v>41.370836592397545</v>
      </c>
    </row>
    <row r="22" spans="1:21" ht="12.75" customHeight="1" x14ac:dyDescent="0.2">
      <c r="A22" s="53"/>
      <c r="B22" s="58"/>
      <c r="C22" s="59"/>
      <c r="D22" s="59"/>
      <c r="E22" s="59"/>
      <c r="F22" s="59"/>
      <c r="G22" s="58"/>
      <c r="H22" s="59"/>
      <c r="I22" s="59"/>
      <c r="J22" s="59"/>
      <c r="K22" s="58"/>
      <c r="L22" s="59"/>
      <c r="M22" s="60"/>
    </row>
    <row r="23" spans="1:21" ht="12.75" hidden="1" customHeight="1" x14ac:dyDescent="0.2">
      <c r="A23" s="53"/>
      <c r="B23" s="54"/>
      <c r="C23" s="55"/>
      <c r="D23" s="55"/>
      <c r="E23" s="55"/>
      <c r="F23" s="55"/>
      <c r="G23" s="54"/>
      <c r="H23" s="55"/>
      <c r="I23" s="55"/>
      <c r="J23" s="55"/>
      <c r="K23" s="54"/>
      <c r="L23" s="55"/>
      <c r="M23" s="56"/>
    </row>
    <row r="24" spans="1:21" ht="12.75" hidden="1" customHeight="1" x14ac:dyDescent="0.2">
      <c r="A24" s="53"/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</row>
    <row r="25" spans="1:21" ht="12.75" hidden="1" customHeight="1" x14ac:dyDescent="0.2">
      <c r="A25" s="57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</row>
    <row r="26" spans="1:21" ht="12.75" customHeight="1" x14ac:dyDescent="0.2">
      <c r="A26" s="111"/>
      <c r="B26" s="109"/>
      <c r="C26" s="109"/>
      <c r="D26" s="109"/>
      <c r="E26" s="109"/>
      <c r="F26" s="108"/>
      <c r="G26" s="108"/>
      <c r="H26" s="108"/>
      <c r="I26" s="108"/>
      <c r="J26" s="110"/>
      <c r="K26" s="108"/>
      <c r="L26" s="108"/>
      <c r="M26" s="108"/>
    </row>
    <row r="27" spans="1:21" ht="12.75" customHeight="1" x14ac:dyDescent="0.2">
      <c r="A27" s="12" t="s">
        <v>217</v>
      </c>
      <c r="C27" s="40"/>
      <c r="D27" s="40"/>
      <c r="E27" s="40"/>
      <c r="F27" s="40"/>
      <c r="G27" s="40"/>
      <c r="H27" s="40"/>
      <c r="I27" s="40"/>
      <c r="J27" s="40"/>
      <c r="K27" s="48"/>
      <c r="L27" s="37"/>
      <c r="M27" s="37"/>
    </row>
    <row r="28" spans="1:21" ht="12.75" customHeight="1" x14ac:dyDescent="0.2">
      <c r="A28" s="49">
        <f>'Tables 3 to 5'!$B$13</f>
        <v>2016</v>
      </c>
      <c r="B28" s="50"/>
      <c r="C28" s="51"/>
      <c r="D28" s="51"/>
      <c r="E28" s="51"/>
      <c r="F28" s="52">
        <f>F10*INDEX('OFPC Source'!$AD$8:$AO$20,MATCH($A28,'OFPC Source'!$AC$8:$AC$20,0),MATCH(F$7,'OFPC Source'!$AD$7:$AO$7,0))</f>
        <v>15.523941469222251</v>
      </c>
      <c r="G28" s="51">
        <f>G10*INDEX('OFPC Source'!$AD$8:$AO$20,MATCH($A28,'OFPC Source'!$AC$8:$AC$20,0),MATCH(G$7,'OFPC Source'!$AD$7:$AO$7,0))</f>
        <v>17.391509186924477</v>
      </c>
      <c r="H28" s="51">
        <f>H10*INDEX('OFPC Source'!$AD$8:$AO$20,MATCH($A28,'OFPC Source'!$AC$8:$AC$20,0),MATCH(H$7,'OFPC Source'!$AD$7:$AO$7,0))</f>
        <v>27.492453750994699</v>
      </c>
      <c r="I28" s="51">
        <f>I10*INDEX('OFPC Source'!$AD$8:$AO$20,MATCH($A28,'OFPC Source'!$AC$8:$AC$20,0),MATCH(I$7,'OFPC Source'!$AD$7:$AO$7,0))</f>
        <v>26.480233094555658</v>
      </c>
      <c r="J28" s="52">
        <f>J10*INDEX('OFPC Source'!$AD$8:$AO$20,MATCH($A28,'OFPC Source'!$AC$8:$AC$20,0),MATCH(J$7,'OFPC Source'!$AD$7:$AO$7,0))</f>
        <v>23.564496117056976</v>
      </c>
      <c r="K28" s="51">
        <f>K10*INDEX('OFPC Source'!$AD$8:$AO$20,MATCH($A28,'OFPC Source'!$AC$8:$AC$20,0),MATCH(K$7,'OFPC Source'!$AD$7:$AO$7,0))</f>
        <v>18.606535450768227</v>
      </c>
      <c r="L28" s="51">
        <f>L10*INDEX('OFPC Source'!$AD$8:$AO$20,MATCH($A28,'OFPC Source'!$AC$8:$AC$20,0),MATCH(L$7,'OFPC Source'!$AD$7:$AO$7,0))</f>
        <v>18.616936551718577</v>
      </c>
      <c r="M28" s="52">
        <f>M10*INDEX('OFPC Source'!$AD$8:$AO$20,MATCH($A28,'OFPC Source'!$AC$8:$AC$20,0),MATCH(M$7,'OFPC Source'!$AD$7:$AO$7,0))</f>
        <v>23.236418771638604</v>
      </c>
    </row>
    <row r="29" spans="1:21" ht="12.75" customHeight="1" x14ac:dyDescent="0.2">
      <c r="A29" s="53">
        <f t="shared" ref="A29:A39" si="1">A28+1</f>
        <v>2017</v>
      </c>
      <c r="B29" s="54">
        <f>B11*INDEX('OFPC Source'!$AD$8:$AO$20,MATCH($A29,'OFPC Source'!$AC$8:$AC$20,0),MATCH(B$7,'OFPC Source'!$AD$7:$AO$7,0))</f>
        <v>21.838395923927674</v>
      </c>
      <c r="C29" s="55">
        <f>C11*INDEX('OFPC Source'!$AD$8:$AO$20,MATCH($A29,'OFPC Source'!$AC$8:$AC$20,0),MATCH(C$7,'OFPC Source'!$AD$7:$AO$7,0))</f>
        <v>22.127873111177415</v>
      </c>
      <c r="D29" s="55">
        <f>D11*INDEX('OFPC Source'!$AD$8:$AO$20,MATCH($A29,'OFPC Source'!$AC$8:$AC$20,0),MATCH(D$7,'OFPC Source'!$AD$7:$AO$7,0))</f>
        <v>20.825598439330662</v>
      </c>
      <c r="E29" s="55">
        <f>E11*INDEX('OFPC Source'!$AD$8:$AO$20,MATCH($A29,'OFPC Source'!$AC$8:$AC$20,0),MATCH(E$7,'OFPC Source'!$AD$7:$AO$7,0))</f>
        <v>21.63069590703698</v>
      </c>
      <c r="F29" s="56">
        <f>F11*INDEX('OFPC Source'!$AD$8:$AO$20,MATCH($A29,'OFPC Source'!$AC$8:$AC$20,0),MATCH(F$7,'OFPC Source'!$AD$7:$AO$7,0))</f>
        <v>18.644243985189906</v>
      </c>
      <c r="G29" s="55">
        <f>G11*INDEX('OFPC Source'!$AD$8:$AO$20,MATCH($A29,'OFPC Source'!$AC$8:$AC$20,0),MATCH(G$7,'OFPC Source'!$AD$7:$AO$7,0))</f>
        <v>19.084444033074142</v>
      </c>
      <c r="H29" s="55">
        <f>H11*INDEX('OFPC Source'!$AD$8:$AO$20,MATCH($A29,'OFPC Source'!$AC$8:$AC$20,0),MATCH(H$7,'OFPC Source'!$AD$7:$AO$7,0))</f>
        <v>25.170959919951795</v>
      </c>
      <c r="I29" s="55">
        <f>I11*INDEX('OFPC Source'!$AD$8:$AO$20,MATCH($A29,'OFPC Source'!$AC$8:$AC$20,0),MATCH(I$7,'OFPC Source'!$AD$7:$AO$7,0))</f>
        <v>24.944212947439659</v>
      </c>
      <c r="J29" s="56">
        <f>J11*INDEX('OFPC Source'!$AD$8:$AO$20,MATCH($A29,'OFPC Source'!$AC$8:$AC$20,0),MATCH(J$7,'OFPC Source'!$AD$7:$AO$7,0))</f>
        <v>20.165878773489524</v>
      </c>
      <c r="K29" s="55">
        <f>K11*INDEX('OFPC Source'!$AD$8:$AO$20,MATCH($A29,'OFPC Source'!$AC$8:$AC$20,0),MATCH(K$7,'OFPC Source'!$AD$7:$AO$7,0))</f>
        <v>19.459364245740385</v>
      </c>
      <c r="L29" s="55">
        <f>L11*INDEX('OFPC Source'!$AD$8:$AO$20,MATCH($A29,'OFPC Source'!$AC$8:$AC$20,0),MATCH(L$7,'OFPC Source'!$AD$7:$AO$7,0))</f>
        <v>20.13120001310881</v>
      </c>
      <c r="M29" s="56">
        <f>M11*INDEX('OFPC Source'!$AD$8:$AO$20,MATCH($A29,'OFPC Source'!$AC$8:$AC$20,0),MATCH(M$7,'OFPC Source'!$AD$7:$AO$7,0))</f>
        <v>22.199626621183945</v>
      </c>
    </row>
    <row r="30" spans="1:21" ht="12.75" customHeight="1" x14ac:dyDescent="0.2">
      <c r="A30" s="53">
        <f t="shared" si="1"/>
        <v>2018</v>
      </c>
      <c r="B30" s="54">
        <f>B12*INDEX('OFPC Source'!$AD$8:$AO$20,MATCH($A30,'OFPC Source'!$AC$8:$AC$20,0),MATCH(B$7,'OFPC Source'!$AD$7:$AO$7,0))</f>
        <v>22.443167826464098</v>
      </c>
      <c r="C30" s="55">
        <f>C12*INDEX('OFPC Source'!$AD$8:$AO$20,MATCH($A30,'OFPC Source'!$AC$8:$AC$20,0),MATCH(C$7,'OFPC Source'!$AD$7:$AO$7,0))</f>
        <v>19.463296027834208</v>
      </c>
      <c r="D30" s="55">
        <f>D12*INDEX('OFPC Source'!$AD$8:$AO$20,MATCH($A30,'OFPC Source'!$AC$8:$AC$20,0),MATCH(D$7,'OFPC Source'!$AD$7:$AO$7,0))</f>
        <v>19.282489797356796</v>
      </c>
      <c r="E30" s="55">
        <f>E12*INDEX('OFPC Source'!$AD$8:$AO$20,MATCH($A30,'OFPC Source'!$AC$8:$AC$20,0),MATCH(E$7,'OFPC Source'!$AD$7:$AO$7,0))</f>
        <v>17.560985988349813</v>
      </c>
      <c r="F30" s="56">
        <f>F12*INDEX('OFPC Source'!$AD$8:$AO$20,MATCH($A30,'OFPC Source'!$AC$8:$AC$20,0),MATCH(F$7,'OFPC Source'!$AD$7:$AO$7,0))</f>
        <v>16.823387934107817</v>
      </c>
      <c r="G30" s="55">
        <f>G12*INDEX('OFPC Source'!$AD$8:$AO$20,MATCH($A30,'OFPC Source'!$AC$8:$AC$20,0),MATCH(G$7,'OFPC Source'!$AD$7:$AO$7,0))</f>
        <v>18.704825395967898</v>
      </c>
      <c r="H30" s="55">
        <f>H12*INDEX('OFPC Source'!$AD$8:$AO$20,MATCH($A30,'OFPC Source'!$AC$8:$AC$20,0),MATCH(H$7,'OFPC Source'!$AD$7:$AO$7,0))</f>
        <v>30.358143301032353</v>
      </c>
      <c r="I30" s="55">
        <f>I12*INDEX('OFPC Source'!$AD$8:$AO$20,MATCH($A30,'OFPC Source'!$AC$8:$AC$20,0),MATCH(I$7,'OFPC Source'!$AD$7:$AO$7,0))</f>
        <v>25.303043989341866</v>
      </c>
      <c r="J30" s="56">
        <f>J12*INDEX('OFPC Source'!$AD$8:$AO$20,MATCH($A30,'OFPC Source'!$AC$8:$AC$20,0),MATCH(J$7,'OFPC Source'!$AD$7:$AO$7,0))</f>
        <v>21.869488800867874</v>
      </c>
      <c r="K30" s="55">
        <f>K12*INDEX('OFPC Source'!$AD$8:$AO$20,MATCH($A30,'OFPC Source'!$AC$8:$AC$20,0),MATCH(K$7,'OFPC Source'!$AD$7:$AO$7,0))</f>
        <v>20.574600174024006</v>
      </c>
      <c r="L30" s="55">
        <f>L12*INDEX('OFPC Source'!$AD$8:$AO$20,MATCH($A30,'OFPC Source'!$AC$8:$AC$20,0),MATCH(L$7,'OFPC Source'!$AD$7:$AO$7,0))</f>
        <v>19.285089764940853</v>
      </c>
      <c r="M30" s="56">
        <f>M12*INDEX('OFPC Source'!$AD$8:$AO$20,MATCH($A30,'OFPC Source'!$AC$8:$AC$20,0),MATCH(M$7,'OFPC Source'!$AD$7:$AO$7,0))</f>
        <v>22.486835127598592</v>
      </c>
    </row>
    <row r="31" spans="1:21" ht="12.75" customHeight="1" x14ac:dyDescent="0.2">
      <c r="A31" s="53">
        <f t="shared" si="1"/>
        <v>2019</v>
      </c>
      <c r="B31" s="54">
        <f>B13*INDEX('OFPC Source'!$AD$8:$AO$20,MATCH($A31,'OFPC Source'!$AC$8:$AC$20,0),MATCH(B$7,'OFPC Source'!$AD$7:$AO$7,0))</f>
        <v>16.561645877484793</v>
      </c>
      <c r="C31" s="55">
        <f>C13*INDEX('OFPC Source'!$AD$8:$AO$20,MATCH($A31,'OFPC Source'!$AC$8:$AC$20,0),MATCH(C$7,'OFPC Source'!$AD$7:$AO$7,0))</f>
        <v>18.359741989679826</v>
      </c>
      <c r="D31" s="55">
        <f>D13*INDEX('OFPC Source'!$AD$8:$AO$20,MATCH($A31,'OFPC Source'!$AC$8:$AC$20,0),MATCH(D$7,'OFPC Source'!$AD$7:$AO$7,0))</f>
        <v>17.529828768380003</v>
      </c>
      <c r="E31" s="55">
        <f>E13*INDEX('OFPC Source'!$AD$8:$AO$20,MATCH($A31,'OFPC Source'!$AC$8:$AC$20,0),MATCH(E$7,'OFPC Source'!$AD$7:$AO$7,0))</f>
        <v>18.44137104447697</v>
      </c>
      <c r="F31" s="56">
        <f>F13*INDEX('OFPC Source'!$AD$8:$AO$20,MATCH($A31,'OFPC Source'!$AC$8:$AC$20,0),MATCH(F$7,'OFPC Source'!$AD$7:$AO$7,0))</f>
        <v>20.655664889273837</v>
      </c>
      <c r="G31" s="55">
        <f>G13*INDEX('OFPC Source'!$AD$8:$AO$20,MATCH($A31,'OFPC Source'!$AC$8:$AC$20,0),MATCH(G$7,'OFPC Source'!$AD$7:$AO$7,0))</f>
        <v>20.617413159989681</v>
      </c>
      <c r="H31" s="55">
        <f>H13*INDEX('OFPC Source'!$AD$8:$AO$20,MATCH($A31,'OFPC Source'!$AC$8:$AC$20,0),MATCH(H$7,'OFPC Source'!$AD$7:$AO$7,0))</f>
        <v>29.993554307686701</v>
      </c>
      <c r="I31" s="55">
        <f>I13*INDEX('OFPC Source'!$AD$8:$AO$20,MATCH($A31,'OFPC Source'!$AC$8:$AC$20,0),MATCH(I$7,'OFPC Source'!$AD$7:$AO$7,0))</f>
        <v>24.711368335916493</v>
      </c>
      <c r="J31" s="56">
        <f>J13*INDEX('OFPC Source'!$AD$8:$AO$20,MATCH($A31,'OFPC Source'!$AC$8:$AC$20,0),MATCH(J$7,'OFPC Source'!$AD$7:$AO$7,0))</f>
        <v>21.29525362958627</v>
      </c>
      <c r="K31" s="55">
        <f>K13*INDEX('OFPC Source'!$AD$8:$AO$20,MATCH($A31,'OFPC Source'!$AC$8:$AC$20,0),MATCH(K$7,'OFPC Source'!$AD$7:$AO$7,0))</f>
        <v>19.373171925418816</v>
      </c>
      <c r="L31" s="55">
        <f>L13*INDEX('OFPC Source'!$AD$8:$AO$20,MATCH($A31,'OFPC Source'!$AC$8:$AC$20,0),MATCH(L$7,'OFPC Source'!$AD$7:$AO$7,0))</f>
        <v>17.336296952643551</v>
      </c>
      <c r="M31" s="56">
        <f>M13*INDEX('OFPC Source'!$AD$8:$AO$20,MATCH($A31,'OFPC Source'!$AC$8:$AC$20,0),MATCH(M$7,'OFPC Source'!$AD$7:$AO$7,0))</f>
        <v>21.15712914217001</v>
      </c>
    </row>
    <row r="32" spans="1:21" ht="12.75" customHeight="1" x14ac:dyDescent="0.2">
      <c r="A32" s="53">
        <f t="shared" si="1"/>
        <v>2020</v>
      </c>
      <c r="B32" s="54">
        <f>B14*INDEX('OFPC Source'!$AD$8:$AO$20,MATCH($A32,'OFPC Source'!$AC$8:$AC$20,0),MATCH(B$7,'OFPC Source'!$AD$7:$AO$7,0))</f>
        <v>19.257406786915947</v>
      </c>
      <c r="C32" s="55">
        <f>C14*INDEX('OFPC Source'!$AD$8:$AO$20,MATCH($A32,'OFPC Source'!$AC$8:$AC$20,0),MATCH(C$7,'OFPC Source'!$AD$7:$AO$7,0))</f>
        <v>21.615270259057816</v>
      </c>
      <c r="D32" s="55">
        <f>D14*INDEX('OFPC Source'!$AD$8:$AO$20,MATCH($A32,'OFPC Source'!$AC$8:$AC$20,0),MATCH(D$7,'OFPC Source'!$AD$7:$AO$7,0))</f>
        <v>16.074732298951862</v>
      </c>
      <c r="E32" s="55">
        <f>E14*INDEX('OFPC Source'!$AD$8:$AO$20,MATCH($A32,'OFPC Source'!$AC$8:$AC$20,0),MATCH(E$7,'OFPC Source'!$AD$7:$AO$7,0))</f>
        <v>16.421437162995922</v>
      </c>
      <c r="F32" s="56">
        <f>F14*INDEX('OFPC Source'!$AD$8:$AO$20,MATCH($A32,'OFPC Source'!$AC$8:$AC$20,0),MATCH(F$7,'OFPC Source'!$AD$7:$AO$7,0))</f>
        <v>18.528934780355844</v>
      </c>
      <c r="G32" s="55">
        <f>G14*INDEX('OFPC Source'!$AD$8:$AO$20,MATCH($A32,'OFPC Source'!$AC$8:$AC$20,0),MATCH(G$7,'OFPC Source'!$AD$7:$AO$7,0))</f>
        <v>19.075383826592574</v>
      </c>
      <c r="H32" s="55">
        <f>H14*INDEX('OFPC Source'!$AD$8:$AO$20,MATCH($A32,'OFPC Source'!$AC$8:$AC$20,0),MATCH(H$7,'OFPC Source'!$AD$7:$AO$7,0))</f>
        <v>31.704780028407939</v>
      </c>
      <c r="I32" s="55">
        <f>I14*INDEX('OFPC Source'!$AD$8:$AO$20,MATCH($A32,'OFPC Source'!$AC$8:$AC$20,0),MATCH(I$7,'OFPC Source'!$AD$7:$AO$7,0))</f>
        <v>24.966759459478361</v>
      </c>
      <c r="J32" s="56">
        <f>J14*INDEX('OFPC Source'!$AD$8:$AO$20,MATCH($A32,'OFPC Source'!$AC$8:$AC$20,0),MATCH(J$7,'OFPC Source'!$AD$7:$AO$7,0))</f>
        <v>21.527873090212204</v>
      </c>
      <c r="K32" s="55">
        <f>K14*INDEX('OFPC Source'!$AD$8:$AO$20,MATCH($A32,'OFPC Source'!$AC$8:$AC$20,0),MATCH(K$7,'OFPC Source'!$AD$7:$AO$7,0))</f>
        <v>19.672767091662944</v>
      </c>
      <c r="L32" s="55">
        <f>L14*INDEX('OFPC Source'!$AD$8:$AO$20,MATCH($A32,'OFPC Source'!$AC$8:$AC$20,0),MATCH(L$7,'OFPC Source'!$AD$7:$AO$7,0))</f>
        <v>18.797435419265828</v>
      </c>
      <c r="M32" s="56">
        <f>M14*INDEX('OFPC Source'!$AD$8:$AO$20,MATCH($A32,'OFPC Source'!$AC$8:$AC$20,0),MATCH(M$7,'OFPC Source'!$AD$7:$AO$7,0))</f>
        <v>23.802708594776423</v>
      </c>
    </row>
    <row r="33" spans="1:21" ht="12.75" customHeight="1" x14ac:dyDescent="0.2">
      <c r="A33" s="53">
        <f t="shared" si="1"/>
        <v>2021</v>
      </c>
      <c r="B33" s="54">
        <f>B15*INDEX('OFPC Source'!$AD$8:$AO$20,MATCH($A33,'OFPC Source'!$AC$8:$AC$20,0),MATCH(B$7,'OFPC Source'!$AD$7:$AO$7,0))</f>
        <v>21.670980087332726</v>
      </c>
      <c r="C33" s="55">
        <f>C15*INDEX('OFPC Source'!$AD$8:$AO$20,MATCH($A33,'OFPC Source'!$AC$8:$AC$20,0),MATCH(C$7,'OFPC Source'!$AD$7:$AO$7,0))</f>
        <v>20.841726274660548</v>
      </c>
      <c r="D33" s="55">
        <f>D15*INDEX('OFPC Source'!$AD$8:$AO$20,MATCH($A33,'OFPC Source'!$AC$8:$AC$20,0),MATCH(D$7,'OFPC Source'!$AD$7:$AO$7,0))</f>
        <v>18.896686211205747</v>
      </c>
      <c r="E33" s="55">
        <f>E15*INDEX('OFPC Source'!$AD$8:$AO$20,MATCH($A33,'OFPC Source'!$AC$8:$AC$20,0),MATCH(E$7,'OFPC Source'!$AD$7:$AO$7,0))</f>
        <v>17.518461623607799</v>
      </c>
      <c r="F33" s="56">
        <f>F15*INDEX('OFPC Source'!$AD$8:$AO$20,MATCH($A33,'OFPC Source'!$AC$8:$AC$20,0),MATCH(F$7,'OFPC Source'!$AD$7:$AO$7,0))</f>
        <v>19.863313783158066</v>
      </c>
      <c r="G33" s="55">
        <f>G15*INDEX('OFPC Source'!$AD$8:$AO$20,MATCH($A33,'OFPC Source'!$AC$8:$AC$20,0),MATCH(G$7,'OFPC Source'!$AD$7:$AO$7,0))</f>
        <v>20.215146890267739</v>
      </c>
      <c r="H33" s="55">
        <f>H15*INDEX('OFPC Source'!$AD$8:$AO$20,MATCH($A33,'OFPC Source'!$AC$8:$AC$20,0),MATCH(H$7,'OFPC Source'!$AD$7:$AO$7,0))</f>
        <v>33.826412594961823</v>
      </c>
      <c r="I33" s="55">
        <f>I15*INDEX('OFPC Source'!$AD$8:$AO$20,MATCH($A33,'OFPC Source'!$AC$8:$AC$20,0),MATCH(I$7,'OFPC Source'!$AD$7:$AO$7,0))</f>
        <v>28.197368710448288</v>
      </c>
      <c r="J33" s="56">
        <f>J15*INDEX('OFPC Source'!$AD$8:$AO$20,MATCH($A33,'OFPC Source'!$AC$8:$AC$20,0),MATCH(J$7,'OFPC Source'!$AD$7:$AO$7,0))</f>
        <v>23.431253304675995</v>
      </c>
      <c r="K33" s="55">
        <f>K15*INDEX('OFPC Source'!$AD$8:$AO$20,MATCH($A33,'OFPC Source'!$AC$8:$AC$20,0),MATCH(K$7,'OFPC Source'!$AD$7:$AO$7,0))</f>
        <v>21.184140700324907</v>
      </c>
      <c r="L33" s="55">
        <f>L15*INDEX('OFPC Source'!$AD$8:$AO$20,MATCH($A33,'OFPC Source'!$AC$8:$AC$20,0),MATCH(L$7,'OFPC Source'!$AD$7:$AO$7,0))</f>
        <v>20.465434944768575</v>
      </c>
      <c r="M33" s="56">
        <f>M15*INDEX('OFPC Source'!$AD$8:$AO$20,MATCH($A33,'OFPC Source'!$AC$8:$AC$20,0),MATCH(M$7,'OFPC Source'!$AD$7:$AO$7,0))</f>
        <v>24.564549179495135</v>
      </c>
    </row>
    <row r="34" spans="1:21" ht="12.75" customHeight="1" x14ac:dyDescent="0.2">
      <c r="A34" s="53">
        <f t="shared" si="1"/>
        <v>2022</v>
      </c>
      <c r="B34" s="54">
        <f>B16*INDEX('OFPC Source'!$AD$8:$AO$20,MATCH($A34,'OFPC Source'!$AC$8:$AC$20,0),MATCH(B$7,'OFPC Source'!$AD$7:$AO$7,0))</f>
        <v>22.955695343553145</v>
      </c>
      <c r="C34" s="55">
        <f>C16*INDEX('OFPC Source'!$AD$8:$AO$20,MATCH($A34,'OFPC Source'!$AC$8:$AC$20,0),MATCH(C$7,'OFPC Source'!$AD$7:$AO$7,0))</f>
        <v>21.050864630235928</v>
      </c>
      <c r="D34" s="55">
        <f>D16*INDEX('OFPC Source'!$AD$8:$AO$20,MATCH($A34,'OFPC Source'!$AC$8:$AC$20,0),MATCH(D$7,'OFPC Source'!$AD$7:$AO$7,0))</f>
        <v>19.703353390447187</v>
      </c>
      <c r="E34" s="55">
        <f>E16*INDEX('OFPC Source'!$AD$8:$AO$20,MATCH($A34,'OFPC Source'!$AC$8:$AC$20,0),MATCH(E$7,'OFPC Source'!$AD$7:$AO$7,0))</f>
        <v>17.82420735997156</v>
      </c>
      <c r="F34" s="56">
        <f>F16*INDEX('OFPC Source'!$AD$8:$AO$20,MATCH($A34,'OFPC Source'!$AC$8:$AC$20,0),MATCH(F$7,'OFPC Source'!$AD$7:$AO$7,0))</f>
        <v>21.854325221971177</v>
      </c>
      <c r="G34" s="55">
        <f>G16*INDEX('OFPC Source'!$AD$8:$AO$20,MATCH($A34,'OFPC Source'!$AC$8:$AC$20,0),MATCH(G$7,'OFPC Source'!$AD$7:$AO$7,0))</f>
        <v>21.522307468766115</v>
      </c>
      <c r="H34" s="55">
        <f>H16*INDEX('OFPC Source'!$AD$8:$AO$20,MATCH($A34,'OFPC Source'!$AC$8:$AC$20,0),MATCH(H$7,'OFPC Source'!$AD$7:$AO$7,0))</f>
        <v>38.363642497278647</v>
      </c>
      <c r="I34" s="55">
        <f>I16*INDEX('OFPC Source'!$AD$8:$AO$20,MATCH($A34,'OFPC Source'!$AC$8:$AC$20,0),MATCH(I$7,'OFPC Source'!$AD$7:$AO$7,0))</f>
        <v>28.396649149881107</v>
      </c>
      <c r="J34" s="56">
        <f>J16*INDEX('OFPC Source'!$AD$8:$AO$20,MATCH($A34,'OFPC Source'!$AC$8:$AC$20,0),MATCH(J$7,'OFPC Source'!$AD$7:$AO$7,0))</f>
        <v>24.984265744879206</v>
      </c>
      <c r="K34" s="55">
        <f>K16*INDEX('OFPC Source'!$AD$8:$AO$20,MATCH($A34,'OFPC Source'!$AC$8:$AC$20,0),MATCH(K$7,'OFPC Source'!$AD$7:$AO$7,0))</f>
        <v>23.838445204404564</v>
      </c>
      <c r="L34" s="55">
        <f>L16*INDEX('OFPC Source'!$AD$8:$AO$20,MATCH($A34,'OFPC Source'!$AC$8:$AC$20,0),MATCH(L$7,'OFPC Source'!$AD$7:$AO$7,0))</f>
        <v>17.912608362656023</v>
      </c>
      <c r="M34" s="56">
        <f>M16*INDEX('OFPC Source'!$AD$8:$AO$20,MATCH($A34,'OFPC Source'!$AC$8:$AC$20,0),MATCH(M$7,'OFPC Source'!$AD$7:$AO$7,0))</f>
        <v>27.568258353538209</v>
      </c>
    </row>
    <row r="35" spans="1:21" ht="12.75" customHeight="1" x14ac:dyDescent="0.2">
      <c r="A35" s="53">
        <f t="shared" si="1"/>
        <v>2023</v>
      </c>
      <c r="B35" s="54">
        <f>B17*INDEX('OFPC Source'!$AD$8:$AO$20,MATCH($A35,'OFPC Source'!$AC$8:$AC$20,0),MATCH(B$7,'OFPC Source'!$AD$7:$AO$7,0))</f>
        <v>26.598131655117239</v>
      </c>
      <c r="C35" s="55">
        <f>C17*INDEX('OFPC Source'!$AD$8:$AO$20,MATCH($A35,'OFPC Source'!$AC$8:$AC$20,0),MATCH(C$7,'OFPC Source'!$AD$7:$AO$7,0))</f>
        <v>22.567616115248295</v>
      </c>
      <c r="D35" s="55">
        <f>D17*INDEX('OFPC Source'!$AD$8:$AO$20,MATCH($A35,'OFPC Source'!$AC$8:$AC$20,0),MATCH(D$7,'OFPC Source'!$AD$7:$AO$7,0))</f>
        <v>22.299711871363467</v>
      </c>
      <c r="E35" s="55">
        <f>E17*INDEX('OFPC Source'!$AD$8:$AO$20,MATCH($A35,'OFPC Source'!$AC$8:$AC$20,0),MATCH(E$7,'OFPC Source'!$AD$7:$AO$7,0))</f>
        <v>18.328255256184537</v>
      </c>
      <c r="F35" s="56">
        <f>F17*INDEX('OFPC Source'!$AD$8:$AO$20,MATCH($A35,'OFPC Source'!$AC$8:$AC$20,0),MATCH(F$7,'OFPC Source'!$AD$7:$AO$7,0))</f>
        <v>24.092440767327812</v>
      </c>
      <c r="G35" s="55">
        <f>G17*INDEX('OFPC Source'!$AD$8:$AO$20,MATCH($A35,'OFPC Source'!$AC$8:$AC$20,0),MATCH(G$7,'OFPC Source'!$AD$7:$AO$7,0))</f>
        <v>22.749245639402854</v>
      </c>
      <c r="H35" s="55">
        <f>H17*INDEX('OFPC Source'!$AD$8:$AO$20,MATCH($A35,'OFPC Source'!$AC$8:$AC$20,0),MATCH(H$7,'OFPC Source'!$AD$7:$AO$7,0))</f>
        <v>41.639361788675615</v>
      </c>
      <c r="I35" s="55">
        <f>I17*INDEX('OFPC Source'!$AD$8:$AO$20,MATCH($A35,'OFPC Source'!$AC$8:$AC$20,0),MATCH(I$7,'OFPC Source'!$AD$7:$AO$7,0))</f>
        <v>18.899551418423691</v>
      </c>
      <c r="J35" s="56">
        <f>J17*INDEX('OFPC Source'!$AD$8:$AO$20,MATCH($A35,'OFPC Source'!$AC$8:$AC$20,0),MATCH(J$7,'OFPC Source'!$AD$7:$AO$7,0))</f>
        <v>39.540645883095813</v>
      </c>
      <c r="K35" s="55">
        <f>K17*INDEX('OFPC Source'!$AD$8:$AO$20,MATCH($A35,'OFPC Source'!$AC$8:$AC$20,0),MATCH(K$7,'OFPC Source'!$AD$7:$AO$7,0))</f>
        <v>28.168172173980267</v>
      </c>
      <c r="L35" s="55">
        <f>L17*INDEX('OFPC Source'!$AD$8:$AO$20,MATCH($A35,'OFPC Source'!$AC$8:$AC$20,0),MATCH(L$7,'OFPC Source'!$AD$7:$AO$7,0))</f>
        <v>25.14357690472966</v>
      </c>
      <c r="M35" s="56">
        <f>M17*INDEX('OFPC Source'!$AD$8:$AO$20,MATCH($A35,'OFPC Source'!$AC$8:$AC$20,0),MATCH(M$7,'OFPC Source'!$AD$7:$AO$7,0))</f>
        <v>31.2968655603459</v>
      </c>
    </row>
    <row r="36" spans="1:21" ht="12.75" customHeight="1" x14ac:dyDescent="0.2">
      <c r="A36" s="53">
        <f t="shared" si="1"/>
        <v>2024</v>
      </c>
      <c r="B36" s="54">
        <f>B18*INDEX('OFPC Source'!$AD$8:$AO$20,MATCH($A36,'OFPC Source'!$AC$8:$AC$20,0),MATCH(B$7,'OFPC Source'!$AD$7:$AO$7,0))</f>
        <v>29.290053924727374</v>
      </c>
      <c r="C36" s="55">
        <f>C18*INDEX('OFPC Source'!$AD$8:$AO$20,MATCH($A36,'OFPC Source'!$AC$8:$AC$20,0),MATCH(C$7,'OFPC Source'!$AD$7:$AO$7,0))</f>
        <v>28.162940475820417</v>
      </c>
      <c r="D36" s="55">
        <f>D18*INDEX('OFPC Source'!$AD$8:$AO$20,MATCH($A36,'OFPC Source'!$AC$8:$AC$20,0),MATCH(D$7,'OFPC Source'!$AD$7:$AO$7,0))</f>
        <v>24.304491853005679</v>
      </c>
      <c r="E36" s="55">
        <f>E18*INDEX('OFPC Source'!$AD$8:$AO$20,MATCH($A36,'OFPC Source'!$AC$8:$AC$20,0),MATCH(E$7,'OFPC Source'!$AD$7:$AO$7,0))</f>
        <v>21.925620363767045</v>
      </c>
      <c r="F36" s="56">
        <f>F18*INDEX('OFPC Source'!$AD$8:$AO$20,MATCH($A36,'OFPC Source'!$AC$8:$AC$20,0),MATCH(F$7,'OFPC Source'!$AD$7:$AO$7,0))</f>
        <v>23.796248739897219</v>
      </c>
      <c r="G36" s="55">
        <f>G18*INDEX('OFPC Source'!$AD$8:$AO$20,MATCH($A36,'OFPC Source'!$AC$8:$AC$20,0),MATCH(G$7,'OFPC Source'!$AD$7:$AO$7,0))</f>
        <v>21.984167316503928</v>
      </c>
      <c r="H36" s="55">
        <f>H18*INDEX('OFPC Source'!$AD$8:$AO$20,MATCH($A36,'OFPC Source'!$AC$8:$AC$20,0),MATCH(H$7,'OFPC Source'!$AD$7:$AO$7,0))</f>
        <v>43.456349535402346</v>
      </c>
      <c r="I36" s="55">
        <f>I18*INDEX('OFPC Source'!$AD$8:$AO$20,MATCH($A36,'OFPC Source'!$AC$8:$AC$20,0),MATCH(I$7,'OFPC Source'!$AD$7:$AO$7,0))</f>
        <v>35.269820024398008</v>
      </c>
      <c r="J36" s="56">
        <f>J18*INDEX('OFPC Source'!$AD$8:$AO$20,MATCH($A36,'OFPC Source'!$AC$8:$AC$20,0),MATCH(J$7,'OFPC Source'!$AD$7:$AO$7,0))</f>
        <v>35.382945559224396</v>
      </c>
      <c r="K36" s="55">
        <f>K18*INDEX('OFPC Source'!$AD$8:$AO$20,MATCH($A36,'OFPC Source'!$AC$8:$AC$20,0),MATCH(K$7,'OFPC Source'!$AD$7:$AO$7,0))</f>
        <v>27.735414435777429</v>
      </c>
      <c r="L36" s="55">
        <f>L18*INDEX('OFPC Source'!$AD$8:$AO$20,MATCH($A36,'OFPC Source'!$AC$8:$AC$20,0),MATCH(L$7,'OFPC Source'!$AD$7:$AO$7,0))</f>
        <v>24.872241790555613</v>
      </c>
      <c r="M36" s="56">
        <f>M18*INDEX('OFPC Source'!$AD$8:$AO$20,MATCH($A36,'OFPC Source'!$AC$8:$AC$20,0),MATCH(M$7,'OFPC Source'!$AD$7:$AO$7,0))</f>
        <v>33.048564372839841</v>
      </c>
    </row>
    <row r="37" spans="1:21" ht="12.75" customHeight="1" x14ac:dyDescent="0.2">
      <c r="A37" s="53">
        <f t="shared" si="1"/>
        <v>2025</v>
      </c>
      <c r="B37" s="54">
        <f>B19*INDEX('OFPC Source'!$AD$8:$AO$20,MATCH($A37,'OFPC Source'!$AC$8:$AC$20,0),MATCH(B$7,'OFPC Source'!$AD$7:$AO$7,0))</f>
        <v>31.871711132546782</v>
      </c>
      <c r="C37" s="55">
        <f>C19*INDEX('OFPC Source'!$AD$8:$AO$20,MATCH($A37,'OFPC Source'!$AC$8:$AC$20,0),MATCH(C$7,'OFPC Source'!$AD$7:$AO$7,0))</f>
        <v>61.181822473976837</v>
      </c>
      <c r="D37" s="55">
        <f>D19*INDEX('OFPC Source'!$AD$8:$AO$20,MATCH($A37,'OFPC Source'!$AC$8:$AC$20,0),MATCH(D$7,'OFPC Source'!$AD$7:$AO$7,0))</f>
        <v>24.490718198562369</v>
      </c>
      <c r="E37" s="55">
        <f>E19*INDEX('OFPC Source'!$AD$8:$AO$20,MATCH($A37,'OFPC Source'!$AC$8:$AC$20,0),MATCH(E$7,'OFPC Source'!$AD$7:$AO$7,0))</f>
        <v>22.854262594846489</v>
      </c>
      <c r="F37" s="56">
        <f>F19*INDEX('OFPC Source'!$AD$8:$AO$20,MATCH($A37,'OFPC Source'!$AC$8:$AC$20,0),MATCH(F$7,'OFPC Source'!$AD$7:$AO$7,0))</f>
        <v>24.228193383154775</v>
      </c>
      <c r="G37" s="55">
        <f>G19*INDEX('OFPC Source'!$AD$8:$AO$20,MATCH($A37,'OFPC Source'!$AC$8:$AC$20,0),MATCH(G$7,'OFPC Source'!$AD$7:$AO$7,0))</f>
        <v>24.408790145800442</v>
      </c>
      <c r="H37" s="55">
        <f>H19*INDEX('OFPC Source'!$AD$8:$AO$20,MATCH($A37,'OFPC Source'!$AC$8:$AC$20,0),MATCH(H$7,'OFPC Source'!$AD$7:$AO$7,0))</f>
        <v>44.636927704740117</v>
      </c>
      <c r="I37" s="55">
        <f>I19*INDEX('OFPC Source'!$AD$8:$AO$20,MATCH($A37,'OFPC Source'!$AC$8:$AC$20,0),MATCH(I$7,'OFPC Source'!$AD$7:$AO$7,0))</f>
        <v>35.322678880669962</v>
      </c>
      <c r="J37" s="56">
        <f>J19*INDEX('OFPC Source'!$AD$8:$AO$20,MATCH($A37,'OFPC Source'!$AC$8:$AC$20,0),MATCH(J$7,'OFPC Source'!$AD$7:$AO$7,0))</f>
        <v>29.286280060110791</v>
      </c>
      <c r="K37" s="55">
        <f>K19*INDEX('OFPC Source'!$AD$8:$AO$20,MATCH($A37,'OFPC Source'!$AC$8:$AC$20,0),MATCH(K$7,'OFPC Source'!$AD$7:$AO$7,0))</f>
        <v>30.955976355191179</v>
      </c>
      <c r="L37" s="55">
        <f>L19*INDEX('OFPC Source'!$AD$8:$AO$20,MATCH($A37,'OFPC Source'!$AC$8:$AC$20,0),MATCH(L$7,'OFPC Source'!$AD$7:$AO$7,0))</f>
        <v>26.58454589777342</v>
      </c>
      <c r="M37" s="56">
        <f>M19*INDEX('OFPC Source'!$AD$8:$AO$20,MATCH($A37,'OFPC Source'!$AC$8:$AC$20,0),MATCH(M$7,'OFPC Source'!$AD$7:$AO$7,0))</f>
        <v>31.662373778542879</v>
      </c>
    </row>
    <row r="38" spans="1:21" ht="12.75" customHeight="1" x14ac:dyDescent="0.2">
      <c r="A38" s="53">
        <f t="shared" si="1"/>
        <v>2026</v>
      </c>
      <c r="B38" s="54">
        <f>B20*INDEX('OFPC Source'!$AD$8:$AO$20,MATCH($A38,'OFPC Source'!$AC$8:$AC$20,0),MATCH(B$7,'OFPC Source'!$AD$7:$AO$7,0))</f>
        <v>29.378625375505212</v>
      </c>
      <c r="C38" s="55">
        <f>C20*INDEX('OFPC Source'!$AD$8:$AO$20,MATCH($A38,'OFPC Source'!$AC$8:$AC$20,0),MATCH(C$7,'OFPC Source'!$AD$7:$AO$7,0))</f>
        <v>28.146924116096343</v>
      </c>
      <c r="D38" s="55">
        <f>D20*INDEX('OFPC Source'!$AD$8:$AO$20,MATCH($A38,'OFPC Source'!$AC$8:$AC$20,0),MATCH(D$7,'OFPC Source'!$AD$7:$AO$7,0))</f>
        <v>26.131950013393908</v>
      </c>
      <c r="E38" s="55">
        <f>E20*INDEX('OFPC Source'!$AD$8:$AO$20,MATCH($A38,'OFPC Source'!$AC$8:$AC$20,0),MATCH(E$7,'OFPC Source'!$AD$7:$AO$7,0))</f>
        <v>25.167617315044332</v>
      </c>
      <c r="F38" s="56">
        <f>F20*INDEX('OFPC Source'!$AD$8:$AO$20,MATCH($A38,'OFPC Source'!$AC$8:$AC$20,0),MATCH(F$7,'OFPC Source'!$AD$7:$AO$7,0))</f>
        <v>26.090964716902853</v>
      </c>
      <c r="G38" s="55">
        <f>G20*INDEX('OFPC Source'!$AD$8:$AO$20,MATCH($A38,'OFPC Source'!$AC$8:$AC$20,0),MATCH(G$7,'OFPC Source'!$AD$7:$AO$7,0))</f>
        <v>25.723163216077729</v>
      </c>
      <c r="H38" s="55">
        <f>H20*INDEX('OFPC Source'!$AD$8:$AO$20,MATCH($A38,'OFPC Source'!$AC$8:$AC$20,0),MATCH(H$7,'OFPC Source'!$AD$7:$AO$7,0))</f>
        <v>46.56918931334171</v>
      </c>
      <c r="I38" s="55">
        <f>I20*INDEX('OFPC Source'!$AD$8:$AO$20,MATCH($A38,'OFPC Source'!$AC$8:$AC$20,0),MATCH(I$7,'OFPC Source'!$AD$7:$AO$7,0))</f>
        <v>37.508007546792108</v>
      </c>
      <c r="J38" s="56">
        <f>J20*INDEX('OFPC Source'!$AD$8:$AO$20,MATCH($A38,'OFPC Source'!$AC$8:$AC$20,0),MATCH(J$7,'OFPC Source'!$AD$7:$AO$7,0))</f>
        <v>29.054923972151528</v>
      </c>
      <c r="K38" s="55">
        <f>K20*INDEX('OFPC Source'!$AD$8:$AO$20,MATCH($A38,'OFPC Source'!$AC$8:$AC$20,0),MATCH(K$7,'OFPC Source'!$AD$7:$AO$7,0))</f>
        <v>30.110337381981452</v>
      </c>
      <c r="L38" s="55">
        <f>L20*INDEX('OFPC Source'!$AD$8:$AO$20,MATCH($A38,'OFPC Source'!$AC$8:$AC$20,0),MATCH(L$7,'OFPC Source'!$AD$7:$AO$7,0))</f>
        <v>26.841641365590071</v>
      </c>
      <c r="M38" s="56">
        <f>M20*INDEX('OFPC Source'!$AD$8:$AO$20,MATCH($A38,'OFPC Source'!$AC$8:$AC$20,0),MATCH(M$7,'OFPC Source'!$AD$7:$AO$7,0))</f>
        <v>29.618355777002467</v>
      </c>
    </row>
    <row r="39" spans="1:21" ht="12.75" customHeight="1" x14ac:dyDescent="0.2">
      <c r="A39" s="53">
        <f t="shared" si="1"/>
        <v>2027</v>
      </c>
      <c r="B39" s="54">
        <f>B21*INDEX('OFPC Source'!$AD$8:$AO$20,MATCH($A39,'OFPC Source'!$AC$8:$AC$20,0),MATCH(B$7,'OFPC Source'!$AD$7:$AO$7,0))</f>
        <v>33.109598896972159</v>
      </c>
      <c r="C39" s="55">
        <f>C21*INDEX('OFPC Source'!$AD$8:$AO$20,MATCH($A39,'OFPC Source'!$AC$8:$AC$20,0),MATCH(C$7,'OFPC Source'!$AD$7:$AO$7,0))</f>
        <v>33.786242665631605</v>
      </c>
      <c r="D39" s="55">
        <f>D21*INDEX('OFPC Source'!$AD$8:$AO$20,MATCH($A39,'OFPC Source'!$AC$8:$AC$20,0),MATCH(D$7,'OFPC Source'!$AD$7:$AO$7,0))</f>
        <v>29.980009944594492</v>
      </c>
      <c r="E39" s="55">
        <f>E21*INDEX('OFPC Source'!$AD$8:$AO$20,MATCH($A39,'OFPC Source'!$AC$8:$AC$20,0),MATCH(E$7,'OFPC Source'!$AD$7:$AO$7,0))</f>
        <v>29.171859927596813</v>
      </c>
      <c r="F39" s="56">
        <f>F21*INDEX('OFPC Source'!$AD$8:$AO$20,MATCH($A39,'OFPC Source'!$AC$8:$AC$20,0),MATCH(F$7,'OFPC Source'!$AD$7:$AO$7,0))</f>
        <v>30.855927980698617</v>
      </c>
      <c r="G39" s="55">
        <f>G21*INDEX('OFPC Source'!$AD$8:$AO$20,MATCH($A39,'OFPC Source'!$AC$8:$AC$20,0),MATCH(G$7,'OFPC Source'!$AD$7:$AO$7,0))</f>
        <v>30.309444443891756</v>
      </c>
      <c r="H39" s="55">
        <f>H21*INDEX('OFPC Source'!$AD$8:$AO$20,MATCH($A39,'OFPC Source'!$AC$8:$AC$20,0),MATCH(H$7,'OFPC Source'!$AD$7:$AO$7,0))</f>
        <v>52.032744146534974</v>
      </c>
      <c r="I39" s="55">
        <f>I21*INDEX('OFPC Source'!$AD$8:$AO$20,MATCH($A39,'OFPC Source'!$AC$8:$AC$20,0),MATCH(I$7,'OFPC Source'!$AD$7:$AO$7,0))</f>
        <v>47.365341612068264</v>
      </c>
      <c r="J39" s="56">
        <f>J21*INDEX('OFPC Source'!$AD$8:$AO$20,MATCH($A39,'OFPC Source'!$AC$8:$AC$20,0),MATCH(J$7,'OFPC Source'!$AD$7:$AO$7,0))</f>
        <v>36.905276397970781</v>
      </c>
      <c r="K39" s="55">
        <f>K21*INDEX('OFPC Source'!$AD$8:$AO$20,MATCH($A39,'OFPC Source'!$AC$8:$AC$20,0),MATCH(K$7,'OFPC Source'!$AD$7:$AO$7,0))</f>
        <v>36.471944876494057</v>
      </c>
      <c r="L39" s="55">
        <f>L21*INDEX('OFPC Source'!$AD$8:$AO$20,MATCH($A39,'OFPC Source'!$AC$8:$AC$20,0),MATCH(L$7,'OFPC Source'!$AD$7:$AO$7,0))</f>
        <v>33.578888856503575</v>
      </c>
      <c r="M39" s="56">
        <f>M21*INDEX('OFPC Source'!$AD$8:$AO$20,MATCH($A39,'OFPC Source'!$AC$8:$AC$20,0),MATCH(M$7,'OFPC Source'!$AD$7:$AO$7,0))</f>
        <v>42.955953006860014</v>
      </c>
    </row>
    <row r="40" spans="1:21" ht="12.75" customHeight="1" x14ac:dyDescent="0.2">
      <c r="A40" s="53"/>
      <c r="B40" s="54"/>
      <c r="C40" s="55"/>
      <c r="D40" s="55"/>
      <c r="E40" s="55"/>
      <c r="F40" s="56"/>
      <c r="G40" s="55"/>
      <c r="H40" s="55"/>
      <c r="I40" s="55"/>
      <c r="J40" s="56"/>
      <c r="K40" s="55"/>
      <c r="L40" s="55"/>
      <c r="M40" s="56"/>
    </row>
    <row r="41" spans="1:21" ht="12.75" hidden="1" customHeight="1" x14ac:dyDescent="0.2">
      <c r="A41" s="53"/>
      <c r="B41" s="54"/>
      <c r="C41" s="55"/>
      <c r="D41" s="55"/>
      <c r="E41" s="55"/>
      <c r="F41" s="56"/>
      <c r="G41" s="55"/>
      <c r="H41" s="55"/>
      <c r="I41" s="55"/>
      <c r="J41" s="56"/>
      <c r="K41" s="55"/>
      <c r="L41" s="55"/>
      <c r="M41" s="56"/>
    </row>
    <row r="42" spans="1:21" ht="12.75" hidden="1" customHeight="1" x14ac:dyDescent="0.2">
      <c r="A42" s="53"/>
      <c r="B42" s="54"/>
      <c r="C42" s="55"/>
      <c r="D42" s="55"/>
      <c r="E42" s="55"/>
      <c r="F42" s="56"/>
      <c r="G42" s="55"/>
      <c r="H42" s="55"/>
      <c r="I42" s="55"/>
      <c r="J42" s="56"/>
      <c r="K42" s="55"/>
      <c r="L42" s="55"/>
      <c r="M42" s="56"/>
    </row>
    <row r="43" spans="1:21" ht="12.75" hidden="1" customHeight="1" x14ac:dyDescent="0.2">
      <c r="A43" s="57"/>
      <c r="B43" s="58"/>
      <c r="C43" s="59"/>
      <c r="D43" s="59"/>
      <c r="E43" s="59"/>
      <c r="F43" s="60"/>
      <c r="G43" s="59"/>
      <c r="H43" s="59"/>
      <c r="I43" s="59"/>
      <c r="J43" s="60"/>
      <c r="K43" s="59"/>
      <c r="L43" s="59"/>
      <c r="M43" s="60"/>
    </row>
    <row r="44" spans="1:21" ht="12.75" customHeight="1" x14ac:dyDescent="0.2">
      <c r="A44" s="111"/>
      <c r="B44" s="109"/>
      <c r="C44" s="109"/>
      <c r="D44" s="109"/>
      <c r="E44" s="109"/>
      <c r="F44" s="108"/>
      <c r="G44" s="108"/>
      <c r="H44" s="108"/>
      <c r="I44" s="108"/>
      <c r="J44" s="110"/>
      <c r="K44" s="108"/>
      <c r="L44" s="108"/>
      <c r="M44" s="108"/>
    </row>
    <row r="45" spans="1:21" ht="12.75" customHeight="1" x14ac:dyDescent="0.2">
      <c r="A45" s="12" t="s">
        <v>218</v>
      </c>
      <c r="C45" s="40"/>
      <c r="D45" s="40"/>
      <c r="E45" s="40"/>
      <c r="G45" s="40"/>
      <c r="H45" s="40"/>
      <c r="I45" s="40"/>
      <c r="J45" s="48"/>
      <c r="L45" s="40"/>
      <c r="M45" s="37"/>
    </row>
    <row r="46" spans="1:21" ht="12.75" customHeight="1" x14ac:dyDescent="0.2">
      <c r="A46" s="49">
        <f>'Tables 3 to 5'!$B$13</f>
        <v>2016</v>
      </c>
      <c r="B46" s="50"/>
      <c r="C46" s="51"/>
      <c r="D46" s="51"/>
      <c r="E46" s="51"/>
      <c r="F46" s="52">
        <f>F10*INDEX('OFPC Source'!$AD$26:$AO$38,MATCH($A46,'OFPC Source'!$AC$26:$AC$38,0),MATCH(F$7,'OFPC Source'!$AD$25:$AO$25,0))</f>
        <v>12.726606787593965</v>
      </c>
      <c r="G46" s="51">
        <f>G10*INDEX('OFPC Source'!$AD$26:$AO$38,MATCH($A46,'OFPC Source'!$AC$26:$AC$38,0),MATCH(G$7,'OFPC Source'!$AD$25:$AO$25,0))</f>
        <v>11.031693358233731</v>
      </c>
      <c r="H46" s="51">
        <f>H10*INDEX('OFPC Source'!$AD$26:$AO$38,MATCH($A46,'OFPC Source'!$AC$26:$AC$38,0),MATCH(H$7,'OFPC Source'!$AD$25:$AO$25,0))</f>
        <v>15.611635638430501</v>
      </c>
      <c r="I46" s="51">
        <f>I10*INDEX('OFPC Source'!$AD$26:$AO$38,MATCH($A46,'OFPC Source'!$AC$26:$AC$38,0),MATCH(I$7,'OFPC Source'!$AD$25:$AO$25,0))</f>
        <v>16.983917976069495</v>
      </c>
      <c r="J46" s="52">
        <f>J10*INDEX('OFPC Source'!$AD$26:$AO$38,MATCH($A46,'OFPC Source'!$AC$26:$AC$38,0),MATCH(J$7,'OFPC Source'!$AD$25:$AO$25,0))</f>
        <v>19.952538471625093</v>
      </c>
      <c r="K46" s="50">
        <f>K10*INDEX('OFPC Source'!$AD$26:$AO$38,MATCH($A46,'OFPC Source'!$AC$26:$AC$38,0),MATCH(K$7,'OFPC Source'!$AD$25:$AO$25,0))</f>
        <v>16.151809300557591</v>
      </c>
      <c r="L46" s="51">
        <f>L10*INDEX('OFPC Source'!$AD$26:$AO$38,MATCH($A46,'OFPC Source'!$AC$26:$AC$38,0),MATCH(L$7,'OFPC Source'!$AD$25:$AO$25,0))</f>
        <v>16.886618868770551</v>
      </c>
      <c r="M46" s="52">
        <f>M10*INDEX('OFPC Source'!$AD$26:$AO$38,MATCH($A46,'OFPC Source'!$AC$26:$AC$38,0),MATCH(M$7,'OFPC Source'!$AD$25:$AO$25,0))</f>
        <v>21.481538196504847</v>
      </c>
    </row>
    <row r="47" spans="1:21" ht="12.75" customHeight="1" x14ac:dyDescent="0.2">
      <c r="A47" s="53">
        <f t="shared" ref="A47:A57" si="2">A46+1</f>
        <v>2017</v>
      </c>
      <c r="B47" s="54">
        <f>B11*INDEX('OFPC Source'!$AD$26:$AO$38,MATCH($A47,'OFPC Source'!$AC$26:$AC$38,0),MATCH(B$7,'OFPC Source'!$AD$25:$AO$25,0))</f>
        <v>19.720869057586256</v>
      </c>
      <c r="C47" s="55">
        <f>C11*INDEX('OFPC Source'!$AD$26:$AO$38,MATCH($A47,'OFPC Source'!$AC$26:$AC$38,0),MATCH(C$7,'OFPC Source'!$AD$25:$AO$25,0))</f>
        <v>21.085161283913962</v>
      </c>
      <c r="D47" s="55">
        <f>D11*INDEX('OFPC Source'!$AD$26:$AO$38,MATCH($A47,'OFPC Source'!$AC$26:$AC$38,0),MATCH(D$7,'OFPC Source'!$AD$25:$AO$25,0))</f>
        <v>18.466184448274252</v>
      </c>
      <c r="E47" s="55">
        <f>E11*INDEX('OFPC Source'!$AD$26:$AO$38,MATCH($A47,'OFPC Source'!$AC$26:$AC$38,0),MATCH(E$7,'OFPC Source'!$AD$25:$AO$25,0))</f>
        <v>17.146283340943949</v>
      </c>
      <c r="F47" s="55">
        <f>F11*INDEX('OFPC Source'!$AD$26:$AO$38,MATCH($A47,'OFPC Source'!$AC$26:$AC$38,0),MATCH(F$7,'OFPC Source'!$AD$25:$AO$25,0))</f>
        <v>14.591147466670362</v>
      </c>
      <c r="G47" s="54">
        <f>G11*INDEX('OFPC Source'!$AD$26:$AO$38,MATCH($A47,'OFPC Source'!$AC$26:$AC$38,0),MATCH(G$7,'OFPC Source'!$AD$25:$AO$25,0))</f>
        <v>13.508467341671611</v>
      </c>
      <c r="H47" s="55">
        <f>H11*INDEX('OFPC Source'!$AD$26:$AO$38,MATCH($A47,'OFPC Source'!$AC$26:$AC$38,0),MATCH(H$7,'OFPC Source'!$AD$25:$AO$25,0))</f>
        <v>16.931816883090697</v>
      </c>
      <c r="I47" s="55">
        <f>I11*INDEX('OFPC Source'!$AD$26:$AO$38,MATCH($A47,'OFPC Source'!$AC$26:$AC$38,0),MATCH(I$7,'OFPC Source'!$AD$25:$AO$25,0))</f>
        <v>17.403174982021088</v>
      </c>
      <c r="J47" s="56">
        <f>J11*INDEX('OFPC Source'!$AD$26:$AO$38,MATCH($A47,'OFPC Source'!$AC$26:$AC$38,0),MATCH(J$7,'OFPC Source'!$AD$25:$AO$25,0))</f>
        <v>16.98666988943992</v>
      </c>
      <c r="K47" s="54">
        <f>K11*INDEX('OFPC Source'!$AD$26:$AO$38,MATCH($A47,'OFPC Source'!$AC$26:$AC$38,0),MATCH(K$7,'OFPC Source'!$AD$25:$AO$25,0))</f>
        <v>17.640732073241285</v>
      </c>
      <c r="L47" s="55">
        <f>L11*INDEX('OFPC Source'!$AD$26:$AO$38,MATCH($A47,'OFPC Source'!$AC$26:$AC$38,0),MATCH(L$7,'OFPC Source'!$AD$25:$AO$25,0))</f>
        <v>17.873495338741467</v>
      </c>
      <c r="M47" s="56">
        <f>M11*INDEX('OFPC Source'!$AD$26:$AO$38,MATCH($A47,'OFPC Source'!$AC$26:$AC$38,0),MATCH(M$7,'OFPC Source'!$AD$25:$AO$25,0))</f>
        <v>20.508226497665174</v>
      </c>
    </row>
    <row r="48" spans="1:21" ht="12.75" customHeight="1" x14ac:dyDescent="0.2">
      <c r="A48" s="53">
        <f t="shared" si="2"/>
        <v>2018</v>
      </c>
      <c r="B48" s="54">
        <f>B12*INDEX('OFPC Source'!$AD$26:$AO$38,MATCH($A48,'OFPC Source'!$AC$26:$AC$38,0),MATCH(B$7,'OFPC Source'!$AD$25:$AO$25,0))</f>
        <v>20.359658788368677</v>
      </c>
      <c r="C48" s="55">
        <f>C12*INDEX('OFPC Source'!$AD$26:$AO$38,MATCH($A48,'OFPC Source'!$AC$26:$AC$38,0),MATCH(C$7,'OFPC Source'!$AD$25:$AO$25,0))</f>
        <v>18.37189625057248</v>
      </c>
      <c r="D48" s="55">
        <f>D12*INDEX('OFPC Source'!$AD$26:$AO$38,MATCH($A48,'OFPC Source'!$AC$26:$AC$38,0),MATCH(D$7,'OFPC Source'!$AD$25:$AO$25,0))</f>
        <v>17.105892805789551</v>
      </c>
      <c r="E48" s="55">
        <f>E12*INDEX('OFPC Source'!$AD$26:$AO$38,MATCH($A48,'OFPC Source'!$AC$26:$AC$38,0),MATCH(E$7,'OFPC Source'!$AD$25:$AO$25,0))</f>
        <v>15.095903483152885</v>
      </c>
      <c r="F48" s="55">
        <f>F12*INDEX('OFPC Source'!$AD$26:$AO$38,MATCH($A48,'OFPC Source'!$AC$26:$AC$38,0),MATCH(F$7,'OFPC Source'!$AD$25:$AO$25,0))</f>
        <v>13.03717194213457</v>
      </c>
      <c r="G48" s="54">
        <f>G12*INDEX('OFPC Source'!$AD$26:$AO$38,MATCH($A48,'OFPC Source'!$AC$26:$AC$38,0),MATCH(G$7,'OFPC Source'!$AD$25:$AO$25,0))</f>
        <v>14.409295141717987</v>
      </c>
      <c r="H48" s="55">
        <f>H12*INDEX('OFPC Source'!$AD$26:$AO$38,MATCH($A48,'OFPC Source'!$AC$26:$AC$38,0),MATCH(H$7,'OFPC Source'!$AD$25:$AO$25,0))</f>
        <v>20.498523099469388</v>
      </c>
      <c r="I48" s="55">
        <f>I12*INDEX('OFPC Source'!$AD$26:$AO$38,MATCH($A48,'OFPC Source'!$AC$26:$AC$38,0),MATCH(I$7,'OFPC Source'!$AD$25:$AO$25,0))</f>
        <v>18.021373292830482</v>
      </c>
      <c r="J48" s="56">
        <f>J12*INDEX('OFPC Source'!$AD$26:$AO$38,MATCH($A48,'OFPC Source'!$AC$26:$AC$38,0),MATCH(J$7,'OFPC Source'!$AD$25:$AO$25,0))</f>
        <v>17.077521450897645</v>
      </c>
      <c r="K48" s="54">
        <f>K12*INDEX('OFPC Source'!$AD$26:$AO$38,MATCH($A48,'OFPC Source'!$AC$26:$AC$38,0),MATCH(K$7,'OFPC Source'!$AD$25:$AO$25,0))</f>
        <v>18.722886158361845</v>
      </c>
      <c r="L48" s="55">
        <f>L12*INDEX('OFPC Source'!$AD$26:$AO$38,MATCH($A48,'OFPC Source'!$AC$26:$AC$38,0),MATCH(L$7,'OFPC Source'!$AD$25:$AO$25,0))</f>
        <v>17.267113877166111</v>
      </c>
      <c r="M48" s="56">
        <f>M12*INDEX('OFPC Source'!$AD$26:$AO$38,MATCH($A48,'OFPC Source'!$AC$26:$AC$38,0),MATCH(M$7,'OFPC Source'!$AD$25:$AO$25,0))</f>
        <v>20.852791774993097</v>
      </c>
      <c r="N48" s="133"/>
      <c r="O48" s="133"/>
      <c r="P48" s="133"/>
      <c r="Q48" s="133"/>
      <c r="R48" s="133"/>
      <c r="S48" s="133"/>
      <c r="T48" s="133"/>
      <c r="U48" s="133"/>
    </row>
    <row r="49" spans="1:25" ht="12.75" customHeight="1" x14ac:dyDescent="0.2">
      <c r="A49" s="53">
        <f t="shared" si="2"/>
        <v>2019</v>
      </c>
      <c r="B49" s="54">
        <f>B13*INDEX('OFPC Source'!$AD$26:$AO$38,MATCH($A49,'OFPC Source'!$AC$26:$AC$38,0),MATCH(B$7,'OFPC Source'!$AD$25:$AO$25,0))</f>
        <v>15.759728852112136</v>
      </c>
      <c r="C49" s="55">
        <f>C13*INDEX('OFPC Source'!$AD$26:$AO$38,MATCH($A49,'OFPC Source'!$AC$26:$AC$38,0),MATCH(C$7,'OFPC Source'!$AD$25:$AO$25,0))</f>
        <v>16.950036023379003</v>
      </c>
      <c r="D49" s="55">
        <f>D13*INDEX('OFPC Source'!$AD$26:$AO$38,MATCH($A49,'OFPC Source'!$AC$26:$AC$38,0),MATCH(D$7,'OFPC Source'!$AD$25:$AO$25,0))</f>
        <v>16.517954876269229</v>
      </c>
      <c r="E49" s="55">
        <f>E13*INDEX('OFPC Source'!$AD$26:$AO$38,MATCH($A49,'OFPC Source'!$AC$26:$AC$38,0),MATCH(E$7,'OFPC Source'!$AD$25:$AO$25,0))</f>
        <v>13.162023137681642</v>
      </c>
      <c r="F49" s="55">
        <f>F13*INDEX('OFPC Source'!$AD$26:$AO$38,MATCH($A49,'OFPC Source'!$AC$26:$AC$38,0),MATCH(F$7,'OFPC Source'!$AD$25:$AO$25,0))</f>
        <v>10.225479235732569</v>
      </c>
      <c r="G49" s="54">
        <f>G13*INDEX('OFPC Source'!$AD$26:$AO$38,MATCH($A49,'OFPC Source'!$AC$26:$AC$38,0),MATCH(G$7,'OFPC Source'!$AD$25:$AO$25,0))</f>
        <v>9.8095161672903615</v>
      </c>
      <c r="H49" s="55">
        <f>H13*INDEX('OFPC Source'!$AD$26:$AO$38,MATCH($A49,'OFPC Source'!$AC$26:$AC$38,0),MATCH(H$7,'OFPC Source'!$AD$25:$AO$25,0))</f>
        <v>22.264952046385847</v>
      </c>
      <c r="I49" s="55">
        <f>I13*INDEX('OFPC Source'!$AD$26:$AO$38,MATCH($A49,'OFPC Source'!$AC$26:$AC$38,0),MATCH(I$7,'OFPC Source'!$AD$25:$AO$25,0))</f>
        <v>18.886331328422205</v>
      </c>
      <c r="J49" s="56">
        <f>J13*INDEX('OFPC Source'!$AD$26:$AO$38,MATCH($A49,'OFPC Source'!$AC$26:$AC$38,0),MATCH(J$7,'OFPC Source'!$AD$25:$AO$25,0))</f>
        <v>15.410947480798214</v>
      </c>
      <c r="K49" s="54">
        <f>K13*INDEX('OFPC Source'!$AD$26:$AO$38,MATCH($A49,'OFPC Source'!$AC$26:$AC$38,0),MATCH(K$7,'OFPC Source'!$AD$25:$AO$25,0))</f>
        <v>17.366664833143293</v>
      </c>
      <c r="L49" s="55">
        <f>L13*INDEX('OFPC Source'!$AD$26:$AO$38,MATCH($A49,'OFPC Source'!$AC$26:$AC$38,0),MATCH(L$7,'OFPC Source'!$AD$25:$AO$25,0))</f>
        <v>15.239164256759249</v>
      </c>
      <c r="M49" s="56">
        <f>M13*INDEX('OFPC Source'!$AD$26:$AO$38,MATCH($A49,'OFPC Source'!$AC$26:$AC$38,0),MATCH(M$7,'OFPC Source'!$AD$25:$AO$25,0))</f>
        <v>19.323138141574493</v>
      </c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</row>
    <row r="50" spans="1:25" ht="12.75" customHeight="1" x14ac:dyDescent="0.2">
      <c r="A50" s="53">
        <f t="shared" si="2"/>
        <v>2020</v>
      </c>
      <c r="B50" s="54">
        <f>B14*INDEX('OFPC Source'!$AD$26:$AO$38,MATCH($A50,'OFPC Source'!$AC$26:$AC$38,0),MATCH(B$7,'OFPC Source'!$AD$25:$AO$25,0))</f>
        <v>17.216162826801359</v>
      </c>
      <c r="C50" s="55">
        <f>C14*INDEX('OFPC Source'!$AD$26:$AO$38,MATCH($A50,'OFPC Source'!$AC$26:$AC$38,0),MATCH(C$7,'OFPC Source'!$AD$25:$AO$25,0))</f>
        <v>19.121172333462546</v>
      </c>
      <c r="D50" s="55">
        <f>D14*INDEX('OFPC Source'!$AD$26:$AO$38,MATCH($A50,'OFPC Source'!$AC$26:$AC$38,0),MATCH(D$7,'OFPC Source'!$AD$25:$AO$25,0))</f>
        <v>14.459519755112163</v>
      </c>
      <c r="E50" s="55">
        <f>E14*INDEX('OFPC Source'!$AD$26:$AO$38,MATCH($A50,'OFPC Source'!$AC$26:$AC$38,0),MATCH(E$7,'OFPC Source'!$AD$25:$AO$25,0))</f>
        <v>12.562101749555634</v>
      </c>
      <c r="F50" s="55">
        <f>F14*INDEX('OFPC Source'!$AD$26:$AO$38,MATCH($A50,'OFPC Source'!$AC$26:$AC$38,0),MATCH(F$7,'OFPC Source'!$AD$25:$AO$25,0))</f>
        <v>10.6239314508296</v>
      </c>
      <c r="G50" s="54">
        <f>G14*INDEX('OFPC Source'!$AD$26:$AO$38,MATCH($A50,'OFPC Source'!$AC$26:$AC$38,0),MATCH(G$7,'OFPC Source'!$AD$25:$AO$25,0))</f>
        <v>10.495572021916997</v>
      </c>
      <c r="H50" s="55">
        <f>H14*INDEX('OFPC Source'!$AD$26:$AO$38,MATCH($A50,'OFPC Source'!$AC$26:$AC$38,0),MATCH(H$7,'OFPC Source'!$AD$25:$AO$25,0))</f>
        <v>20.720535316438237</v>
      </c>
      <c r="I50" s="55">
        <f>I14*INDEX('OFPC Source'!$AD$26:$AO$38,MATCH($A50,'OFPC Source'!$AC$26:$AC$38,0),MATCH(I$7,'OFPC Source'!$AD$25:$AO$25,0))</f>
        <v>16.764550582004752</v>
      </c>
      <c r="J50" s="56">
        <f>J14*INDEX('OFPC Source'!$AD$26:$AO$38,MATCH($A50,'OFPC Source'!$AC$26:$AC$38,0),MATCH(J$7,'OFPC Source'!$AD$25:$AO$25,0))</f>
        <v>13.469338182270334</v>
      </c>
      <c r="K50" s="54">
        <f>K14*INDEX('OFPC Source'!$AD$26:$AO$38,MATCH($A50,'OFPC Source'!$AC$26:$AC$38,0),MATCH(K$7,'OFPC Source'!$AD$25:$AO$25,0))</f>
        <v>17.917182495913433</v>
      </c>
      <c r="L50" s="55">
        <f>L14*INDEX('OFPC Source'!$AD$26:$AO$38,MATCH($A50,'OFPC Source'!$AC$26:$AC$38,0),MATCH(L$7,'OFPC Source'!$AD$25:$AO$25,0))</f>
        <v>16.799767891094788</v>
      </c>
      <c r="M50" s="56">
        <f>M14*INDEX('OFPC Source'!$AD$26:$AO$38,MATCH($A50,'OFPC Source'!$AC$26:$AC$38,0),MATCH(M$7,'OFPC Source'!$AD$25:$AO$25,0))</f>
        <v>22.054826770264533</v>
      </c>
      <c r="N50" s="133"/>
      <c r="O50" s="133"/>
      <c r="P50" s="133"/>
      <c r="Q50" s="133"/>
      <c r="R50" s="133"/>
      <c r="S50" s="133"/>
      <c r="T50" s="133"/>
      <c r="U50" s="133"/>
    </row>
    <row r="51" spans="1:25" ht="12.75" customHeight="1" x14ac:dyDescent="0.2">
      <c r="A51" s="53">
        <f t="shared" si="2"/>
        <v>2021</v>
      </c>
      <c r="B51" s="54">
        <f>B15*INDEX('OFPC Source'!$AD$26:$AO$38,MATCH($A51,'OFPC Source'!$AC$26:$AC$38,0),MATCH(B$7,'OFPC Source'!$AD$25:$AO$25,0))</f>
        <v>19.992368988345877</v>
      </c>
      <c r="C51" s="55">
        <f>C15*INDEX('OFPC Source'!$AD$26:$AO$38,MATCH($A51,'OFPC Source'!$AC$26:$AC$38,0),MATCH(C$7,'OFPC Source'!$AD$25:$AO$25,0))</f>
        <v>19.050857545429952</v>
      </c>
      <c r="D51" s="55">
        <f>D15*INDEX('OFPC Source'!$AD$26:$AO$38,MATCH($A51,'OFPC Source'!$AC$26:$AC$38,0),MATCH(D$7,'OFPC Source'!$AD$25:$AO$25,0))</f>
        <v>17.583929271430819</v>
      </c>
      <c r="E51" s="55">
        <f>E15*INDEX('OFPC Source'!$AD$26:$AO$38,MATCH($A51,'OFPC Source'!$AC$26:$AC$38,0),MATCH(E$7,'OFPC Source'!$AD$25:$AO$25,0))</f>
        <v>13.696123354451991</v>
      </c>
      <c r="F51" s="55">
        <f>F15*INDEX('OFPC Source'!$AD$26:$AO$38,MATCH($A51,'OFPC Source'!$AC$26:$AC$38,0),MATCH(F$7,'OFPC Source'!$AD$25:$AO$25,0))</f>
        <v>11.915806173277103</v>
      </c>
      <c r="G51" s="54">
        <f>G15*INDEX('OFPC Source'!$AD$26:$AO$38,MATCH($A51,'OFPC Source'!$AC$26:$AC$38,0),MATCH(G$7,'OFPC Source'!$AD$25:$AO$25,0))</f>
        <v>11.641290560561554</v>
      </c>
      <c r="H51" s="55">
        <f>H15*INDEX('OFPC Source'!$AD$26:$AO$38,MATCH($A51,'OFPC Source'!$AC$26:$AC$38,0),MATCH(H$7,'OFPC Source'!$AD$25:$AO$25,0))</f>
        <v>22.539482918119887</v>
      </c>
      <c r="I51" s="55">
        <f>I15*INDEX('OFPC Source'!$AD$26:$AO$38,MATCH($A51,'OFPC Source'!$AC$26:$AC$38,0),MATCH(I$7,'OFPC Source'!$AD$25:$AO$25,0))</f>
        <v>19.283770403888838</v>
      </c>
      <c r="J51" s="56">
        <f>J15*INDEX('OFPC Source'!$AD$26:$AO$38,MATCH($A51,'OFPC Source'!$AC$26:$AC$38,0),MATCH(J$7,'OFPC Source'!$AD$25:$AO$25,0))</f>
        <v>15.023588941082322</v>
      </c>
      <c r="K51" s="54">
        <f>K15*INDEX('OFPC Source'!$AD$26:$AO$38,MATCH($A51,'OFPC Source'!$AC$26:$AC$38,0),MATCH(K$7,'OFPC Source'!$AD$25:$AO$25,0))</f>
        <v>19.765659574345332</v>
      </c>
      <c r="L51" s="55">
        <f>L15*INDEX('OFPC Source'!$AD$26:$AO$38,MATCH($A51,'OFPC Source'!$AC$26:$AC$38,0),MATCH(L$7,'OFPC Source'!$AD$25:$AO$25,0))</f>
        <v>18.769053590747422</v>
      </c>
      <c r="M51" s="56">
        <f>M15*INDEX('OFPC Source'!$AD$26:$AO$38,MATCH($A51,'OFPC Source'!$AC$26:$AC$38,0),MATCH(M$7,'OFPC Source'!$AD$25:$AO$25,0))</f>
        <v>23.257015642871348</v>
      </c>
      <c r="N51" s="133"/>
      <c r="O51" s="133"/>
      <c r="P51" s="133"/>
      <c r="Q51" s="133"/>
      <c r="R51" s="133"/>
      <c r="S51" s="133"/>
      <c r="T51" s="133"/>
      <c r="U51" s="133"/>
    </row>
    <row r="52" spans="1:25" ht="12.75" customHeight="1" x14ac:dyDescent="0.2">
      <c r="A52" s="53">
        <f t="shared" si="2"/>
        <v>2022</v>
      </c>
      <c r="B52" s="54">
        <f>B16*INDEX('OFPC Source'!$AD$26:$AO$38,MATCH($A52,'OFPC Source'!$AC$26:$AC$38,0),MATCH(B$7,'OFPC Source'!$AD$25:$AO$25,0))</f>
        <v>21.004981617201707</v>
      </c>
      <c r="C52" s="55">
        <f>C16*INDEX('OFPC Source'!$AD$26:$AO$38,MATCH($A52,'OFPC Source'!$AC$26:$AC$38,0),MATCH(C$7,'OFPC Source'!$AD$25:$AO$25,0))</f>
        <v>19.08855703221537</v>
      </c>
      <c r="D52" s="55">
        <f>D16*INDEX('OFPC Source'!$AD$26:$AO$38,MATCH($A52,'OFPC Source'!$AC$26:$AC$38,0),MATCH(D$7,'OFPC Source'!$AD$25:$AO$25,0))</f>
        <v>18.165768489136422</v>
      </c>
      <c r="E52" s="55">
        <f>E16*INDEX('OFPC Source'!$AD$26:$AO$38,MATCH($A52,'OFPC Source'!$AC$26:$AC$38,0),MATCH(E$7,'OFPC Source'!$AD$25:$AO$25,0))</f>
        <v>14.579104011971385</v>
      </c>
      <c r="F52" s="55">
        <f>F16*INDEX('OFPC Source'!$AD$26:$AO$38,MATCH($A52,'OFPC Source'!$AC$26:$AC$38,0),MATCH(F$7,'OFPC Source'!$AD$25:$AO$25,0))</f>
        <v>14.07933836678894</v>
      </c>
      <c r="G52" s="54">
        <f>G16*INDEX('OFPC Source'!$AD$26:$AO$38,MATCH($A52,'OFPC Source'!$AC$26:$AC$38,0),MATCH(G$7,'OFPC Source'!$AD$25:$AO$25,0))</f>
        <v>13.303981948479935</v>
      </c>
      <c r="H52" s="55">
        <f>H16*INDEX('OFPC Source'!$AD$26:$AO$38,MATCH($A52,'OFPC Source'!$AC$26:$AC$38,0),MATCH(H$7,'OFPC Source'!$AD$25:$AO$25,0))</f>
        <v>27.011900625525303</v>
      </c>
      <c r="I52" s="55">
        <f>I16*INDEX('OFPC Source'!$AD$26:$AO$38,MATCH($A52,'OFPC Source'!$AC$26:$AC$38,0),MATCH(I$7,'OFPC Source'!$AD$25:$AO$25,0))</f>
        <v>20.509541048176519</v>
      </c>
      <c r="J52" s="56">
        <f>J16*INDEX('OFPC Source'!$AD$26:$AO$38,MATCH($A52,'OFPC Source'!$AC$26:$AC$38,0),MATCH(J$7,'OFPC Source'!$AD$25:$AO$25,0))</f>
        <v>17.085355466735411</v>
      </c>
      <c r="K52" s="54">
        <f>K16*INDEX('OFPC Source'!$AD$26:$AO$38,MATCH($A52,'OFPC Source'!$AC$26:$AC$38,0),MATCH(K$7,'OFPC Source'!$AD$25:$AO$25,0))</f>
        <v>23.194487204755383</v>
      </c>
      <c r="L52" s="55">
        <f>L16*INDEX('OFPC Source'!$AD$26:$AO$38,MATCH($A52,'OFPC Source'!$AC$26:$AC$38,0),MATCH(L$7,'OFPC Source'!$AD$25:$AO$25,0))</f>
        <v>17.162461058128549</v>
      </c>
      <c r="M52" s="56">
        <f>M16*INDEX('OFPC Source'!$AD$26:$AO$38,MATCH($A52,'OFPC Source'!$AC$26:$AC$38,0),MATCH(M$7,'OFPC Source'!$AD$25:$AO$25,0))</f>
        <v>27.124806971147699</v>
      </c>
      <c r="N52" s="133"/>
      <c r="O52" s="133"/>
      <c r="P52" s="133"/>
      <c r="Q52" s="133"/>
      <c r="R52" s="133"/>
      <c r="S52" s="133"/>
      <c r="T52" s="133"/>
      <c r="U52" s="133"/>
    </row>
    <row r="53" spans="1:25" ht="12.75" customHeight="1" x14ac:dyDescent="0.2">
      <c r="A53" s="53">
        <f t="shared" si="2"/>
        <v>2023</v>
      </c>
      <c r="B53" s="54">
        <f>B17*INDEX('OFPC Source'!$AD$26:$AO$38,MATCH($A53,'OFPC Source'!$AC$26:$AC$38,0),MATCH(B$7,'OFPC Source'!$AD$25:$AO$25,0))</f>
        <v>24.153801382404815</v>
      </c>
      <c r="C53" s="55">
        <f>C17*INDEX('OFPC Source'!$AD$26:$AO$38,MATCH($A53,'OFPC Source'!$AC$26:$AC$38,0),MATCH(C$7,'OFPC Source'!$AD$25:$AO$25,0))</f>
        <v>20.312676268411213</v>
      </c>
      <c r="D53" s="55">
        <f>D17*INDEX('OFPC Source'!$AD$26:$AO$38,MATCH($A53,'OFPC Source'!$AC$26:$AC$38,0),MATCH(D$7,'OFPC Source'!$AD$25:$AO$25,0))</f>
        <v>20.384985659304871</v>
      </c>
      <c r="E53" s="55">
        <f>E17*INDEX('OFPC Source'!$AD$26:$AO$38,MATCH($A53,'OFPC Source'!$AC$26:$AC$38,0),MATCH(E$7,'OFPC Source'!$AD$25:$AO$25,0))</f>
        <v>17.588325693196182</v>
      </c>
      <c r="F53" s="55">
        <f>F17*INDEX('OFPC Source'!$AD$26:$AO$38,MATCH($A53,'OFPC Source'!$AC$26:$AC$38,0),MATCH(F$7,'OFPC Source'!$AD$25:$AO$25,0))</f>
        <v>18.778468444576099</v>
      </c>
      <c r="G53" s="54">
        <f>G17*INDEX('OFPC Source'!$AD$26:$AO$38,MATCH($A53,'OFPC Source'!$AC$26:$AC$38,0),MATCH(G$7,'OFPC Source'!$AD$25:$AO$25,0))</f>
        <v>17.298132243302103</v>
      </c>
      <c r="H53" s="55">
        <f>H17*INDEX('OFPC Source'!$AD$26:$AO$38,MATCH($A53,'OFPC Source'!$AC$26:$AC$38,0),MATCH(H$7,'OFPC Source'!$AD$25:$AO$25,0))</f>
        <v>30.90786440792597</v>
      </c>
      <c r="I53" s="55">
        <f>I17*INDEX('OFPC Source'!$AD$26:$AO$38,MATCH($A53,'OFPC Source'!$AC$26:$AC$38,0),MATCH(I$7,'OFPC Source'!$AD$25:$AO$25,0))</f>
        <v>14.11714411040715</v>
      </c>
      <c r="J53" s="56">
        <f>J17*INDEX('OFPC Source'!$AD$26:$AO$38,MATCH($A53,'OFPC Source'!$AC$26:$AC$38,0),MATCH(J$7,'OFPC Source'!$AD$25:$AO$25,0))</f>
        <v>29.91001149099159</v>
      </c>
      <c r="K53" s="54">
        <f>K17*INDEX('OFPC Source'!$AD$26:$AO$38,MATCH($A53,'OFPC Source'!$AC$26:$AC$38,0),MATCH(K$7,'OFPC Source'!$AD$25:$AO$25,0))</f>
        <v>26.057697729265445</v>
      </c>
      <c r="L53" s="55">
        <f>L17*INDEX('OFPC Source'!$AD$26:$AO$38,MATCH($A53,'OFPC Source'!$AC$26:$AC$38,0),MATCH(L$7,'OFPC Source'!$AD$25:$AO$25,0))</f>
        <v>23.10813486677376</v>
      </c>
      <c r="M53" s="56">
        <f>M17*INDEX('OFPC Source'!$AD$26:$AO$38,MATCH($A53,'OFPC Source'!$AC$26:$AC$38,0),MATCH(M$7,'OFPC Source'!$AD$25:$AO$25,0))</f>
        <v>29.490602664362964</v>
      </c>
      <c r="N53" s="133"/>
      <c r="O53" s="133"/>
      <c r="P53" s="133"/>
      <c r="Q53" s="133"/>
      <c r="R53" s="133"/>
      <c r="S53" s="133"/>
      <c r="T53" s="133"/>
      <c r="U53" s="133"/>
    </row>
    <row r="54" spans="1:25" ht="12.75" customHeight="1" x14ac:dyDescent="0.2">
      <c r="A54" s="53">
        <f t="shared" si="2"/>
        <v>2024</v>
      </c>
      <c r="B54" s="54">
        <f>B18*INDEX('OFPC Source'!$AD$26:$AO$38,MATCH($A54,'OFPC Source'!$AC$26:$AC$38,0),MATCH(B$7,'OFPC Source'!$AD$25:$AO$25,0))</f>
        <v>26.565334407100529</v>
      </c>
      <c r="C54" s="55">
        <f>C18*INDEX('OFPC Source'!$AD$26:$AO$38,MATCH($A54,'OFPC Source'!$AC$26:$AC$38,0),MATCH(C$7,'OFPC Source'!$AD$25:$AO$25,0))</f>
        <v>25.556310941052409</v>
      </c>
      <c r="D54" s="55">
        <f>D18*INDEX('OFPC Source'!$AD$26:$AO$38,MATCH($A54,'OFPC Source'!$AC$26:$AC$38,0),MATCH(D$7,'OFPC Source'!$AD$25:$AO$25,0))</f>
        <v>22.672021390976663</v>
      </c>
      <c r="E54" s="55">
        <f>E18*INDEX('OFPC Source'!$AD$26:$AO$38,MATCH($A54,'OFPC Source'!$AC$26:$AC$38,0),MATCH(E$7,'OFPC Source'!$AD$25:$AO$25,0))</f>
        <v>20.495656627098391</v>
      </c>
      <c r="F54" s="55">
        <f>F18*INDEX('OFPC Source'!$AD$26:$AO$38,MATCH($A54,'OFPC Source'!$AC$26:$AC$38,0),MATCH(F$7,'OFPC Source'!$AD$25:$AO$25,0))</f>
        <v>21.609989149118505</v>
      </c>
      <c r="G54" s="54">
        <f>G18*INDEX('OFPC Source'!$AD$26:$AO$38,MATCH($A54,'OFPC Source'!$AC$26:$AC$38,0),MATCH(G$7,'OFPC Source'!$AD$25:$AO$25,0))</f>
        <v>19.753377307671922</v>
      </c>
      <c r="H54" s="55">
        <f>H18*INDEX('OFPC Source'!$AD$26:$AO$38,MATCH($A54,'OFPC Source'!$AC$26:$AC$38,0),MATCH(H$7,'OFPC Source'!$AD$25:$AO$25,0))</f>
        <v>33.728016021691623</v>
      </c>
      <c r="I54" s="55">
        <f>I18*INDEX('OFPC Source'!$AD$26:$AO$38,MATCH($A54,'OFPC Source'!$AC$26:$AC$38,0),MATCH(I$7,'OFPC Source'!$AD$25:$AO$25,0))</f>
        <v>27.052384940037232</v>
      </c>
      <c r="J54" s="56">
        <f>J18*INDEX('OFPC Source'!$AD$26:$AO$38,MATCH($A54,'OFPC Source'!$AC$26:$AC$38,0),MATCH(J$7,'OFPC Source'!$AD$25:$AO$25,0))</f>
        <v>29.078820224088432</v>
      </c>
      <c r="K54" s="54">
        <f>K18*INDEX('OFPC Source'!$AD$26:$AO$38,MATCH($A54,'OFPC Source'!$AC$26:$AC$38,0),MATCH(K$7,'OFPC Source'!$AD$25:$AO$25,0))</f>
        <v>24.611388897708355</v>
      </c>
      <c r="L54" s="55">
        <f>L18*INDEX('OFPC Source'!$AD$26:$AO$38,MATCH($A54,'OFPC Source'!$AC$26:$AC$38,0),MATCH(L$7,'OFPC Source'!$AD$25:$AO$25,0))</f>
        <v>22.129644448240548</v>
      </c>
      <c r="M54" s="56">
        <f>M18*INDEX('OFPC Source'!$AD$26:$AO$38,MATCH($A54,'OFPC Source'!$AC$26:$AC$38,0),MATCH(M$7,'OFPC Source'!$AD$25:$AO$25,0))</f>
        <v>30.067930392424483</v>
      </c>
      <c r="N54" s="133"/>
      <c r="O54" s="133"/>
      <c r="P54" s="133"/>
      <c r="Q54" s="133"/>
      <c r="R54" s="133"/>
      <c r="S54" s="133"/>
      <c r="T54" s="133"/>
      <c r="U54" s="133"/>
    </row>
    <row r="55" spans="1:25" ht="12.75" customHeight="1" x14ac:dyDescent="0.2">
      <c r="A55" s="53">
        <f t="shared" si="2"/>
        <v>2025</v>
      </c>
      <c r="B55" s="54">
        <f>B19*INDEX('OFPC Source'!$AD$26:$AO$38,MATCH($A55,'OFPC Source'!$AC$26:$AC$38,0),MATCH(B$7,'OFPC Source'!$AD$25:$AO$25,0))</f>
        <v>28.876470687303556</v>
      </c>
      <c r="C55" s="55">
        <f>C19*INDEX('OFPC Source'!$AD$26:$AO$38,MATCH($A55,'OFPC Source'!$AC$26:$AC$38,0),MATCH(C$7,'OFPC Source'!$AD$25:$AO$25,0))</f>
        <v>55.881914169142128</v>
      </c>
      <c r="D55" s="55">
        <f>D19*INDEX('OFPC Source'!$AD$26:$AO$38,MATCH($A55,'OFPC Source'!$AC$26:$AC$38,0),MATCH(D$7,'OFPC Source'!$AD$25:$AO$25,0))</f>
        <v>23.227199654438273</v>
      </c>
      <c r="E55" s="55">
        <f>E19*INDEX('OFPC Source'!$AD$26:$AO$38,MATCH($A55,'OFPC Source'!$AC$26:$AC$38,0),MATCH(E$7,'OFPC Source'!$AD$25:$AO$25,0))</f>
        <v>20.844098246631773</v>
      </c>
      <c r="F55" s="55">
        <f>F19*INDEX('OFPC Source'!$AD$26:$AO$38,MATCH($A55,'OFPC Source'!$AC$26:$AC$38,0),MATCH(F$7,'OFPC Source'!$AD$25:$AO$25,0))</f>
        <v>22.223010273446452</v>
      </c>
      <c r="G55" s="54">
        <f>G19*INDEX('OFPC Source'!$AD$26:$AO$38,MATCH($A55,'OFPC Source'!$AC$26:$AC$38,0),MATCH(G$7,'OFPC Source'!$AD$25:$AO$25,0))</f>
        <v>21.443595781921186</v>
      </c>
      <c r="H55" s="55">
        <f>H19*INDEX('OFPC Source'!$AD$26:$AO$38,MATCH($A55,'OFPC Source'!$AC$26:$AC$38,0),MATCH(H$7,'OFPC Source'!$AD$25:$AO$25,0))</f>
        <v>34.690698765484541</v>
      </c>
      <c r="I55" s="55">
        <f>I19*INDEX('OFPC Source'!$AD$26:$AO$38,MATCH($A55,'OFPC Source'!$AC$26:$AC$38,0),MATCH(I$7,'OFPC Source'!$AD$25:$AO$25,0))</f>
        <v>26.880259786704432</v>
      </c>
      <c r="J55" s="56">
        <f>J19*INDEX('OFPC Source'!$AD$26:$AO$38,MATCH($A55,'OFPC Source'!$AC$26:$AC$38,0),MATCH(J$7,'OFPC Source'!$AD$25:$AO$25,0))</f>
        <v>23.479476727808144</v>
      </c>
      <c r="K55" s="54">
        <f>K19*INDEX('OFPC Source'!$AD$26:$AO$38,MATCH($A55,'OFPC Source'!$AC$26:$AC$38,0),MATCH(K$7,'OFPC Source'!$AD$25:$AO$25,0))</f>
        <v>27.388781280073221</v>
      </c>
      <c r="L55" s="55">
        <f>L19*INDEX('OFPC Source'!$AD$26:$AO$38,MATCH($A55,'OFPC Source'!$AC$26:$AC$38,0),MATCH(L$7,'OFPC Source'!$AD$25:$AO$25,0))</f>
        <v>23.706885567091209</v>
      </c>
      <c r="M55" s="56">
        <f>M19*INDEX('OFPC Source'!$AD$26:$AO$38,MATCH($A55,'OFPC Source'!$AC$26:$AC$38,0),MATCH(M$7,'OFPC Source'!$AD$25:$AO$25,0))</f>
        <v>28.454156640603472</v>
      </c>
      <c r="N55" s="133"/>
      <c r="O55" s="133"/>
      <c r="P55" s="133"/>
      <c r="Q55" s="133"/>
      <c r="R55" s="133"/>
      <c r="S55" s="133"/>
      <c r="T55" s="133"/>
      <c r="U55" s="133"/>
    </row>
    <row r="56" spans="1:25" ht="12.75" customHeight="1" x14ac:dyDescent="0.2">
      <c r="A56" s="53">
        <f t="shared" si="2"/>
        <v>2026</v>
      </c>
      <c r="B56" s="54">
        <f>B20*INDEX('OFPC Source'!$AD$26:$AO$38,MATCH($A56,'OFPC Source'!$AC$26:$AC$38,0),MATCH(B$7,'OFPC Source'!$AD$25:$AO$25,0))</f>
        <v>26.500958417401495</v>
      </c>
      <c r="C56" s="55">
        <f>C20*INDEX('OFPC Source'!$AD$26:$AO$38,MATCH($A56,'OFPC Source'!$AC$26:$AC$38,0),MATCH(C$7,'OFPC Source'!$AD$25:$AO$25,0))</f>
        <v>25.603742598713005</v>
      </c>
      <c r="D56" s="55">
        <f>D20*INDEX('OFPC Source'!$AD$26:$AO$38,MATCH($A56,'OFPC Source'!$AC$26:$AC$38,0),MATCH(D$7,'OFPC Source'!$AD$25:$AO$25,0))</f>
        <v>24.871931913675645</v>
      </c>
      <c r="E56" s="55">
        <f>E20*INDEX('OFPC Source'!$AD$26:$AO$38,MATCH($A56,'OFPC Source'!$AC$26:$AC$38,0),MATCH(E$7,'OFPC Source'!$AD$25:$AO$25,0))</f>
        <v>23.340813273900636</v>
      </c>
      <c r="F56" s="55">
        <f>F20*INDEX('OFPC Source'!$AD$26:$AO$38,MATCH($A56,'OFPC Source'!$AC$26:$AC$38,0),MATCH(F$7,'OFPC Source'!$AD$25:$AO$25,0))</f>
        <v>23.775312683455251</v>
      </c>
      <c r="G56" s="54">
        <f>G20*INDEX('OFPC Source'!$AD$26:$AO$38,MATCH($A56,'OFPC Source'!$AC$26:$AC$38,0),MATCH(G$7,'OFPC Source'!$AD$25:$AO$25,0))</f>
        <v>22.418377437045194</v>
      </c>
      <c r="H56" s="55">
        <f>H20*INDEX('OFPC Source'!$AD$26:$AO$38,MATCH($A56,'OFPC Source'!$AC$26:$AC$38,0),MATCH(H$7,'OFPC Source'!$AD$25:$AO$25,0))</f>
        <v>36.276792337235264</v>
      </c>
      <c r="I56" s="55">
        <f>I20*INDEX('OFPC Source'!$AD$26:$AO$38,MATCH($A56,'OFPC Source'!$AC$26:$AC$38,0),MATCH(I$7,'OFPC Source'!$AD$25:$AO$25,0))</f>
        <v>28.795629786284014</v>
      </c>
      <c r="J56" s="55">
        <f>J20*INDEX('OFPC Source'!$AD$26:$AO$38,MATCH($A56,'OFPC Source'!$AC$26:$AC$38,0),MATCH(J$7,'OFPC Source'!$AD$25:$AO$25,0))</f>
        <v>23.61641603020567</v>
      </c>
      <c r="K56" s="54">
        <f>K20*INDEX('OFPC Source'!$AD$26:$AO$38,MATCH($A56,'OFPC Source'!$AC$26:$AC$38,0),MATCH(K$7,'OFPC Source'!$AD$25:$AO$25,0))</f>
        <v>26.852100166111413</v>
      </c>
      <c r="L56" s="55">
        <f>L20*INDEX('OFPC Source'!$AD$26:$AO$38,MATCH($A56,'OFPC Source'!$AC$26:$AC$38,0),MATCH(L$7,'OFPC Source'!$AD$25:$AO$25,0))</f>
        <v>23.916744468891352</v>
      </c>
      <c r="M56" s="56">
        <f>M20*INDEX('OFPC Source'!$AD$26:$AO$38,MATCH($A56,'OFPC Source'!$AC$26:$AC$38,0),MATCH(M$7,'OFPC Source'!$AD$25:$AO$25,0))</f>
        <v>26.704997662715211</v>
      </c>
      <c r="N56" s="134"/>
      <c r="O56" s="134"/>
      <c r="P56" s="134"/>
      <c r="Q56" s="134"/>
      <c r="R56" s="134"/>
      <c r="S56" s="134"/>
      <c r="T56" s="134"/>
      <c r="U56" s="134"/>
    </row>
    <row r="57" spans="1:25" ht="12.75" customHeight="1" x14ac:dyDescent="0.2">
      <c r="A57" s="53">
        <f t="shared" si="2"/>
        <v>2027</v>
      </c>
      <c r="B57" s="54">
        <f>B21*INDEX('OFPC Source'!$AD$26:$AO$38,MATCH($A57,'OFPC Source'!$AC$26:$AC$38,0),MATCH(B$7,'OFPC Source'!$AD$25:$AO$25,0))</f>
        <v>30.425764190692298</v>
      </c>
      <c r="C57" s="55">
        <f>C21*INDEX('OFPC Source'!$AD$26:$AO$38,MATCH($A57,'OFPC Source'!$AC$26:$AC$38,0),MATCH(C$7,'OFPC Source'!$AD$25:$AO$25,0))</f>
        <v>30.950387083105795</v>
      </c>
      <c r="D57" s="55">
        <f>D21*INDEX('OFPC Source'!$AD$26:$AO$38,MATCH($A57,'OFPC Source'!$AC$26:$AC$38,0),MATCH(D$7,'OFPC Source'!$AD$25:$AO$25,0))</f>
        <v>28.900355803819604</v>
      </c>
      <c r="E57" s="55">
        <f>E21*INDEX('OFPC Source'!$AD$26:$AO$38,MATCH($A57,'OFPC Source'!$AC$26:$AC$38,0),MATCH(E$7,'OFPC Source'!$AD$25:$AO$25,0))</f>
        <v>26.898522794546256</v>
      </c>
      <c r="F57" s="55">
        <f>F21*INDEX('OFPC Source'!$AD$26:$AO$38,MATCH($A57,'OFPC Source'!$AC$26:$AC$38,0),MATCH(F$7,'OFPC Source'!$AD$25:$AO$25,0))</f>
        <v>28.452908905907456</v>
      </c>
      <c r="G57" s="54">
        <f>G21*INDEX('OFPC Source'!$AD$26:$AO$38,MATCH($A57,'OFPC Source'!$AC$26:$AC$38,0),MATCH(G$7,'OFPC Source'!$AD$25:$AO$25,0))</f>
        <v>26.751406009461629</v>
      </c>
      <c r="H57" s="55">
        <f>H21*INDEX('OFPC Source'!$AD$26:$AO$38,MATCH($A57,'OFPC Source'!$AC$26:$AC$38,0),MATCH(H$7,'OFPC Source'!$AD$25:$AO$25,0))</f>
        <v>41.215351809312729</v>
      </c>
      <c r="I57" s="55">
        <f>I21*INDEX('OFPC Source'!$AD$26:$AO$38,MATCH($A57,'OFPC Source'!$AC$26:$AC$38,0),MATCH(I$7,'OFPC Source'!$AD$25:$AO$25,0))</f>
        <v>36.66149248846704</v>
      </c>
      <c r="J57" s="55">
        <f>J21*INDEX('OFPC Source'!$AD$26:$AO$38,MATCH($A57,'OFPC Source'!$AC$26:$AC$38,0),MATCH(J$7,'OFPC Source'!$AD$25:$AO$25,0))</f>
        <v>30.550642255296339</v>
      </c>
      <c r="K57" s="54">
        <f>K21*INDEX('OFPC Source'!$AD$26:$AO$38,MATCH($A57,'OFPC Source'!$AC$26:$AC$38,0),MATCH(K$7,'OFPC Source'!$AD$25:$AO$25,0))</f>
        <v>32.584568697769782</v>
      </c>
      <c r="L57" s="55">
        <f>L21*INDEX('OFPC Source'!$AD$26:$AO$38,MATCH($A57,'OFPC Source'!$AC$26:$AC$38,0),MATCH(L$7,'OFPC Source'!$AD$25:$AO$25,0))</f>
        <v>29.673479931101493</v>
      </c>
      <c r="M57" s="56">
        <f>M21*INDEX('OFPC Source'!$AD$26:$AO$38,MATCH($A57,'OFPC Source'!$AC$26:$AC$38,0),MATCH(M$7,'OFPC Source'!$AD$25:$AO$25,0))</f>
        <v>39.360445042347585</v>
      </c>
    </row>
    <row r="58" spans="1:25" ht="12.75" customHeight="1" x14ac:dyDescent="0.2">
      <c r="A58" s="53"/>
      <c r="B58" s="54"/>
      <c r="C58" s="55"/>
      <c r="D58" s="55"/>
      <c r="E58" s="55"/>
      <c r="F58" s="55"/>
      <c r="G58" s="54"/>
      <c r="H58" s="55"/>
      <c r="I58" s="55"/>
      <c r="J58" s="55"/>
      <c r="K58" s="54"/>
      <c r="L58" s="55"/>
      <c r="M58" s="56"/>
    </row>
    <row r="59" spans="1:25" ht="12.75" hidden="1" customHeight="1" x14ac:dyDescent="0.2">
      <c r="A59" s="53"/>
      <c r="B59" s="54"/>
      <c r="C59" s="55"/>
      <c r="D59" s="55"/>
      <c r="E59" s="55"/>
      <c r="F59" s="55"/>
      <c r="G59" s="54"/>
      <c r="H59" s="55"/>
      <c r="I59" s="55"/>
      <c r="J59" s="55"/>
      <c r="K59" s="54"/>
      <c r="L59" s="55"/>
      <c r="M59" s="56"/>
    </row>
    <row r="60" spans="1:25" ht="12.75" hidden="1" customHeight="1" x14ac:dyDescent="0.2">
      <c r="A60" s="53"/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6"/>
    </row>
    <row r="61" spans="1:25" ht="12.75" hidden="1" customHeight="1" x14ac:dyDescent="0.2">
      <c r="A61" s="57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60"/>
    </row>
    <row r="62" spans="1:25" ht="12.75" customHeight="1" x14ac:dyDescent="0.2">
      <c r="A62" s="111"/>
      <c r="B62" s="109"/>
      <c r="C62" s="109"/>
      <c r="D62" s="109"/>
      <c r="E62" s="109"/>
      <c r="F62" s="108"/>
      <c r="G62" s="108"/>
      <c r="H62" s="108"/>
      <c r="I62" s="108"/>
      <c r="J62" s="110"/>
      <c r="K62" s="108"/>
      <c r="L62" s="108"/>
      <c r="M62" s="108"/>
    </row>
    <row r="63" spans="1:25" ht="12.75" customHeight="1" x14ac:dyDescent="0.2">
      <c r="A63" s="12" t="s">
        <v>219</v>
      </c>
      <c r="C63" s="40"/>
      <c r="D63" s="40"/>
      <c r="E63" s="40"/>
      <c r="G63" s="40"/>
      <c r="H63" s="40"/>
      <c r="I63" s="40"/>
      <c r="J63" s="48"/>
      <c r="L63" s="40"/>
      <c r="M63" s="37"/>
    </row>
    <row r="64" spans="1:25" ht="12.75" customHeight="1" x14ac:dyDescent="0.2">
      <c r="A64" s="49">
        <f>'Tables 3 to 5'!$B$13</f>
        <v>2016</v>
      </c>
      <c r="B64" s="50"/>
      <c r="C64" s="51"/>
      <c r="D64" s="51"/>
      <c r="E64" s="51"/>
      <c r="F64" s="51">
        <f t="shared" ref="F64:G64" si="3">F28*0.56+F46*0.44</f>
        <v>14.293114209305806</v>
      </c>
      <c r="G64" s="50">
        <f t="shared" si="3"/>
        <v>14.593190222300549</v>
      </c>
      <c r="H64" s="51">
        <f>H28*0.56+H46*0.44</f>
        <v>22.264893781466455</v>
      </c>
      <c r="I64" s="51">
        <f t="shared" ref="I64:M64" si="4">I28*0.56+I46*0.44</f>
        <v>22.301854442421746</v>
      </c>
      <c r="J64" s="51">
        <f t="shared" si="4"/>
        <v>21.97523475306695</v>
      </c>
      <c r="K64" s="50">
        <f t="shared" si="4"/>
        <v>17.526455944675547</v>
      </c>
      <c r="L64" s="51">
        <f t="shared" si="4"/>
        <v>17.855596771221446</v>
      </c>
      <c r="M64" s="52">
        <f t="shared" si="4"/>
        <v>22.464271318579755</v>
      </c>
    </row>
    <row r="65" spans="1:13" ht="12.75" customHeight="1" x14ac:dyDescent="0.2">
      <c r="A65" s="53">
        <f t="shared" ref="A65:A75" si="5">A64+1</f>
        <v>2017</v>
      </c>
      <c r="B65" s="54">
        <f>B29*0.56+B47*0.44</f>
        <v>20.906684102737451</v>
      </c>
      <c r="C65" s="55">
        <f t="shared" ref="C65:M65" si="6">C29*0.56+C47*0.44</f>
        <v>21.669079907181498</v>
      </c>
      <c r="D65" s="55">
        <f t="shared" si="6"/>
        <v>19.78745628326584</v>
      </c>
      <c r="E65" s="55">
        <f t="shared" si="6"/>
        <v>19.657554377956046</v>
      </c>
      <c r="F65" s="55">
        <f t="shared" si="6"/>
        <v>16.860881517041307</v>
      </c>
      <c r="G65" s="54">
        <f t="shared" si="6"/>
        <v>16.631014288857031</v>
      </c>
      <c r="H65" s="55">
        <f t="shared" si="6"/>
        <v>21.545736983732912</v>
      </c>
      <c r="I65" s="55">
        <f t="shared" si="6"/>
        <v>21.62615624265549</v>
      </c>
      <c r="J65" s="55">
        <f t="shared" si="6"/>
        <v>18.767026864507699</v>
      </c>
      <c r="K65" s="54">
        <f t="shared" si="6"/>
        <v>18.659166089840781</v>
      </c>
      <c r="L65" s="55">
        <f t="shared" si="6"/>
        <v>19.13780995638718</v>
      </c>
      <c r="M65" s="56">
        <f t="shared" si="6"/>
        <v>21.455410566835688</v>
      </c>
    </row>
    <row r="66" spans="1:13" ht="12.75" customHeight="1" x14ac:dyDescent="0.2">
      <c r="A66" s="53">
        <f t="shared" si="5"/>
        <v>2018</v>
      </c>
      <c r="B66" s="54">
        <f t="shared" ref="B66:M66" si="7">B30*0.56+B48*0.44</f>
        <v>21.526423849702113</v>
      </c>
      <c r="C66" s="55">
        <f t="shared" si="7"/>
        <v>18.983080125839049</v>
      </c>
      <c r="D66" s="55">
        <f t="shared" si="7"/>
        <v>18.32478712106721</v>
      </c>
      <c r="E66" s="55">
        <f t="shared" si="7"/>
        <v>16.476349686063166</v>
      </c>
      <c r="F66" s="55">
        <f t="shared" si="7"/>
        <v>15.15745289763959</v>
      </c>
      <c r="G66" s="54">
        <f t="shared" si="7"/>
        <v>16.814792084097938</v>
      </c>
      <c r="H66" s="55">
        <f t="shared" si="7"/>
        <v>26.01991041234465</v>
      </c>
      <c r="I66" s="55">
        <f t="shared" si="7"/>
        <v>22.099108882876859</v>
      </c>
      <c r="J66" s="55">
        <f t="shared" si="7"/>
        <v>19.761023166880975</v>
      </c>
      <c r="K66" s="54">
        <f t="shared" si="7"/>
        <v>19.759846007132658</v>
      </c>
      <c r="L66" s="55">
        <f t="shared" si="7"/>
        <v>18.397180374319966</v>
      </c>
      <c r="M66" s="56">
        <f t="shared" si="7"/>
        <v>21.767856052452174</v>
      </c>
    </row>
    <row r="67" spans="1:13" ht="12.75" customHeight="1" x14ac:dyDescent="0.2">
      <c r="A67" s="53">
        <f t="shared" si="5"/>
        <v>2019</v>
      </c>
      <c r="B67" s="54">
        <f t="shared" ref="B67:M67" si="8">B31*0.56+B49*0.44</f>
        <v>16.208802386320826</v>
      </c>
      <c r="C67" s="55">
        <f t="shared" si="8"/>
        <v>17.739471364507466</v>
      </c>
      <c r="D67" s="55">
        <f t="shared" si="8"/>
        <v>17.084604255851264</v>
      </c>
      <c r="E67" s="55">
        <f t="shared" si="8"/>
        <v>16.118457965487025</v>
      </c>
      <c r="F67" s="55">
        <f t="shared" si="8"/>
        <v>16.066383201715681</v>
      </c>
      <c r="G67" s="54">
        <f t="shared" si="8"/>
        <v>15.861938483201982</v>
      </c>
      <c r="H67" s="55">
        <f t="shared" si="8"/>
        <v>26.592969312714327</v>
      </c>
      <c r="I67" s="55">
        <f t="shared" si="8"/>
        <v>22.148352052619007</v>
      </c>
      <c r="J67" s="55">
        <f t="shared" si="8"/>
        <v>18.706158924119528</v>
      </c>
      <c r="K67" s="54">
        <f t="shared" si="8"/>
        <v>18.490308804817587</v>
      </c>
      <c r="L67" s="55">
        <f t="shared" si="8"/>
        <v>16.413558566454459</v>
      </c>
      <c r="M67" s="56">
        <f t="shared" si="8"/>
        <v>20.350173101907984</v>
      </c>
    </row>
    <row r="68" spans="1:13" ht="12.75" customHeight="1" x14ac:dyDescent="0.2">
      <c r="A68" s="53">
        <f t="shared" si="5"/>
        <v>2020</v>
      </c>
      <c r="B68" s="54">
        <f t="shared" ref="B68:M68" si="9">B32*0.56+B50*0.44</f>
        <v>18.359259444465529</v>
      </c>
      <c r="C68" s="55">
        <f t="shared" si="9"/>
        <v>20.517867171795899</v>
      </c>
      <c r="D68" s="55">
        <f t="shared" si="9"/>
        <v>15.364038779662394</v>
      </c>
      <c r="E68" s="55">
        <f t="shared" si="9"/>
        <v>14.723329581082197</v>
      </c>
      <c r="F68" s="55">
        <f t="shared" si="9"/>
        <v>15.050733315364297</v>
      </c>
      <c r="G68" s="54">
        <f t="shared" si="9"/>
        <v>15.300266632535322</v>
      </c>
      <c r="H68" s="55">
        <f t="shared" si="9"/>
        <v>26.87171235514127</v>
      </c>
      <c r="I68" s="55">
        <f t="shared" si="9"/>
        <v>21.357787553389976</v>
      </c>
      <c r="J68" s="55">
        <f t="shared" si="9"/>
        <v>17.982117730717782</v>
      </c>
      <c r="K68" s="54">
        <f t="shared" si="9"/>
        <v>18.90030986953316</v>
      </c>
      <c r="L68" s="55">
        <f t="shared" si="9"/>
        <v>17.918461706870573</v>
      </c>
      <c r="M68" s="56">
        <f t="shared" si="9"/>
        <v>23.033640591991194</v>
      </c>
    </row>
    <row r="69" spans="1:13" ht="12.75" customHeight="1" x14ac:dyDescent="0.2">
      <c r="A69" s="53">
        <f t="shared" si="5"/>
        <v>2021</v>
      </c>
      <c r="B69" s="54">
        <f t="shared" ref="B69:M69" si="10">B33*0.56+B51*0.44</f>
        <v>20.932391203778515</v>
      </c>
      <c r="C69" s="55">
        <f t="shared" si="10"/>
        <v>20.053744033799088</v>
      </c>
      <c r="D69" s="55">
        <f t="shared" si="10"/>
        <v>18.319073157704779</v>
      </c>
      <c r="E69" s="55">
        <f t="shared" si="10"/>
        <v>15.836632785179244</v>
      </c>
      <c r="F69" s="55">
        <f t="shared" si="10"/>
        <v>16.366410434810444</v>
      </c>
      <c r="G69" s="54">
        <f t="shared" si="10"/>
        <v>16.442650105197018</v>
      </c>
      <c r="H69" s="55">
        <f t="shared" si="10"/>
        <v>28.860163537151372</v>
      </c>
      <c r="I69" s="55">
        <f t="shared" si="10"/>
        <v>24.27538545556213</v>
      </c>
      <c r="J69" s="55">
        <f t="shared" si="10"/>
        <v>19.731880984694779</v>
      </c>
      <c r="K69" s="54">
        <f t="shared" si="10"/>
        <v>20.560009004893892</v>
      </c>
      <c r="L69" s="55">
        <f t="shared" si="10"/>
        <v>19.719027148999267</v>
      </c>
      <c r="M69" s="56">
        <f t="shared" si="10"/>
        <v>23.989234423380672</v>
      </c>
    </row>
    <row r="70" spans="1:13" ht="12.75" customHeight="1" x14ac:dyDescent="0.2">
      <c r="A70" s="53">
        <f t="shared" si="5"/>
        <v>2022</v>
      </c>
      <c r="B70" s="54">
        <f t="shared" ref="B70:M70" si="11">B34*0.56+B52*0.44</f>
        <v>22.097381303958514</v>
      </c>
      <c r="C70" s="55">
        <f t="shared" si="11"/>
        <v>20.187449287106883</v>
      </c>
      <c r="D70" s="55">
        <f t="shared" si="11"/>
        <v>19.026816033870453</v>
      </c>
      <c r="E70" s="55">
        <f t="shared" si="11"/>
        <v>16.396361886851484</v>
      </c>
      <c r="F70" s="55">
        <f t="shared" si="11"/>
        <v>18.433331005690995</v>
      </c>
      <c r="G70" s="54">
        <f t="shared" si="11"/>
        <v>17.906244239840198</v>
      </c>
      <c r="H70" s="55">
        <f t="shared" si="11"/>
        <v>33.368876073707177</v>
      </c>
      <c r="I70" s="55">
        <f t="shared" si="11"/>
        <v>24.926321585131092</v>
      </c>
      <c r="J70" s="55">
        <f t="shared" si="11"/>
        <v>21.508745222495939</v>
      </c>
      <c r="K70" s="54">
        <f t="shared" si="11"/>
        <v>23.555103684558926</v>
      </c>
      <c r="L70" s="55">
        <f t="shared" si="11"/>
        <v>17.582543548663935</v>
      </c>
      <c r="M70" s="56">
        <f t="shared" si="11"/>
        <v>27.373139745286387</v>
      </c>
    </row>
    <row r="71" spans="1:13" ht="12.75" customHeight="1" x14ac:dyDescent="0.2">
      <c r="A71" s="53">
        <f t="shared" si="5"/>
        <v>2023</v>
      </c>
      <c r="B71" s="54">
        <f t="shared" ref="B71:M71" si="12">B35*0.56+B53*0.44</f>
        <v>25.522626335123775</v>
      </c>
      <c r="C71" s="55">
        <f t="shared" si="12"/>
        <v>21.57544258263998</v>
      </c>
      <c r="D71" s="55">
        <f t="shared" si="12"/>
        <v>21.457232338057686</v>
      </c>
      <c r="E71" s="55">
        <f t="shared" si="12"/>
        <v>18.002686248469661</v>
      </c>
      <c r="F71" s="55">
        <f t="shared" si="12"/>
        <v>21.754292945317061</v>
      </c>
      <c r="G71" s="54">
        <f t="shared" si="12"/>
        <v>20.350755745118526</v>
      </c>
      <c r="H71" s="55">
        <f t="shared" si="12"/>
        <v>36.917502941145777</v>
      </c>
      <c r="I71" s="55">
        <f t="shared" si="12"/>
        <v>16.795292202896412</v>
      </c>
      <c r="J71" s="55">
        <f t="shared" si="12"/>
        <v>35.303166750569957</v>
      </c>
      <c r="K71" s="54">
        <f t="shared" si="12"/>
        <v>27.239563418305746</v>
      </c>
      <c r="L71" s="55">
        <f t="shared" si="12"/>
        <v>24.247982408029067</v>
      </c>
      <c r="M71" s="56">
        <f t="shared" si="12"/>
        <v>30.502109886113409</v>
      </c>
    </row>
    <row r="72" spans="1:13" ht="12.75" customHeight="1" x14ac:dyDescent="0.2">
      <c r="A72" s="53">
        <f t="shared" si="5"/>
        <v>2024</v>
      </c>
      <c r="B72" s="54">
        <f t="shared" ref="B72:M72" si="13">B36*0.56+B54*0.44</f>
        <v>28.091177336971562</v>
      </c>
      <c r="C72" s="55">
        <f t="shared" si="13"/>
        <v>27.016023480522495</v>
      </c>
      <c r="D72" s="55">
        <f t="shared" si="13"/>
        <v>23.586204849712914</v>
      </c>
      <c r="E72" s="55">
        <f t="shared" si="13"/>
        <v>21.296436319632839</v>
      </c>
      <c r="F72" s="55">
        <f t="shared" si="13"/>
        <v>22.834294519954586</v>
      </c>
      <c r="G72" s="54">
        <f t="shared" si="13"/>
        <v>21.002619712617847</v>
      </c>
      <c r="H72" s="55">
        <f t="shared" si="13"/>
        <v>39.175882789369631</v>
      </c>
      <c r="I72" s="55">
        <f t="shared" si="13"/>
        <v>31.654148587279266</v>
      </c>
      <c r="J72" s="55">
        <f t="shared" si="13"/>
        <v>32.609130411764575</v>
      </c>
      <c r="K72" s="54">
        <f t="shared" si="13"/>
        <v>26.360843199027038</v>
      </c>
      <c r="L72" s="55">
        <f t="shared" si="13"/>
        <v>23.665498959936983</v>
      </c>
      <c r="M72" s="56">
        <f t="shared" si="13"/>
        <v>31.737085421457085</v>
      </c>
    </row>
    <row r="73" spans="1:13" ht="12.75" customHeight="1" x14ac:dyDescent="0.2">
      <c r="A73" s="53">
        <f t="shared" si="5"/>
        <v>2025</v>
      </c>
      <c r="B73" s="54">
        <f t="shared" ref="B73:M73" si="14">B37*0.56+B55*0.44</f>
        <v>30.553805336639765</v>
      </c>
      <c r="C73" s="55">
        <f t="shared" si="14"/>
        <v>58.849862819849569</v>
      </c>
      <c r="D73" s="55">
        <f t="shared" si="14"/>
        <v>23.934770039147772</v>
      </c>
      <c r="E73" s="55">
        <f t="shared" si="14"/>
        <v>21.969790281632015</v>
      </c>
      <c r="F73" s="55">
        <f t="shared" si="14"/>
        <v>23.345912814883114</v>
      </c>
      <c r="G73" s="54">
        <f t="shared" si="14"/>
        <v>23.104104625693573</v>
      </c>
      <c r="H73" s="55">
        <f t="shared" si="14"/>
        <v>40.260586971467667</v>
      </c>
      <c r="I73" s="55">
        <f t="shared" si="14"/>
        <v>31.608014479325128</v>
      </c>
      <c r="J73" s="55">
        <f t="shared" si="14"/>
        <v>26.731286593897629</v>
      </c>
      <c r="K73" s="54">
        <f t="shared" si="14"/>
        <v>29.386410522139279</v>
      </c>
      <c r="L73" s="55">
        <f t="shared" si="14"/>
        <v>25.31837535227325</v>
      </c>
      <c r="M73" s="56">
        <f t="shared" si="14"/>
        <v>30.250758237849542</v>
      </c>
    </row>
    <row r="74" spans="1:13" ht="12.75" customHeight="1" x14ac:dyDescent="0.2">
      <c r="A74" s="53">
        <f t="shared" si="5"/>
        <v>2026</v>
      </c>
      <c r="B74" s="54">
        <f t="shared" ref="B74:M74" si="15">B38*0.56+B56*0.44</f>
        <v>28.11245191393958</v>
      </c>
      <c r="C74" s="55">
        <f t="shared" si="15"/>
        <v>27.027924248447675</v>
      </c>
      <c r="D74" s="55">
        <f t="shared" si="15"/>
        <v>25.577542049517874</v>
      </c>
      <c r="E74" s="55">
        <f t="shared" si="15"/>
        <v>24.363823536941105</v>
      </c>
      <c r="F74" s="55">
        <f t="shared" si="15"/>
        <v>25.072077822185911</v>
      </c>
      <c r="G74" s="54">
        <f t="shared" si="15"/>
        <v>24.269057473303416</v>
      </c>
      <c r="H74" s="55">
        <f t="shared" si="15"/>
        <v>42.040534643854876</v>
      </c>
      <c r="I74" s="55">
        <f t="shared" si="15"/>
        <v>33.674561332168551</v>
      </c>
      <c r="J74" s="55">
        <f t="shared" si="15"/>
        <v>26.661980477695352</v>
      </c>
      <c r="K74" s="54">
        <f t="shared" si="15"/>
        <v>28.676713006998639</v>
      </c>
      <c r="L74" s="55">
        <f t="shared" si="15"/>
        <v>25.554686731042636</v>
      </c>
      <c r="M74" s="56">
        <f t="shared" si="15"/>
        <v>28.33647820671608</v>
      </c>
    </row>
    <row r="75" spans="1:13" ht="12.75" customHeight="1" x14ac:dyDescent="0.2">
      <c r="A75" s="53">
        <f t="shared" si="5"/>
        <v>2027</v>
      </c>
      <c r="B75" s="54">
        <f t="shared" ref="B75:M75" si="16">B39*0.56+B57*0.44</f>
        <v>31.928711626209022</v>
      </c>
      <c r="C75" s="55">
        <f t="shared" si="16"/>
        <v>32.538466209320248</v>
      </c>
      <c r="D75" s="55">
        <f t="shared" si="16"/>
        <v>29.504962122653545</v>
      </c>
      <c r="E75" s="55">
        <f t="shared" si="16"/>
        <v>28.171591589054568</v>
      </c>
      <c r="F75" s="55">
        <f t="shared" si="16"/>
        <v>29.798599587790509</v>
      </c>
      <c r="G75" s="54">
        <f t="shared" si="16"/>
        <v>28.743907532742504</v>
      </c>
      <c r="H75" s="55">
        <f t="shared" si="16"/>
        <v>47.273091518157187</v>
      </c>
      <c r="I75" s="55">
        <f t="shared" si="16"/>
        <v>42.655647997683729</v>
      </c>
      <c r="J75" s="55">
        <f t="shared" si="16"/>
        <v>34.109237375194027</v>
      </c>
      <c r="K75" s="54">
        <f t="shared" si="16"/>
        <v>34.761499357855378</v>
      </c>
      <c r="L75" s="55">
        <f t="shared" si="16"/>
        <v>31.860508929326663</v>
      </c>
      <c r="M75" s="56">
        <f t="shared" si="16"/>
        <v>41.373929502474553</v>
      </c>
    </row>
    <row r="76" spans="1:13" ht="12.75" customHeight="1" x14ac:dyDescent="0.2">
      <c r="A76" s="53"/>
      <c r="B76" s="54"/>
      <c r="C76" s="55"/>
      <c r="D76" s="55"/>
      <c r="E76" s="55"/>
      <c r="F76" s="55"/>
      <c r="G76" s="54"/>
      <c r="H76" s="55"/>
      <c r="I76" s="55"/>
      <c r="J76" s="55"/>
      <c r="K76" s="54"/>
      <c r="L76" s="55"/>
      <c r="M76" s="56"/>
    </row>
    <row r="77" spans="1:13" ht="12.75" hidden="1" customHeight="1" x14ac:dyDescent="0.2">
      <c r="A77" s="53"/>
      <c r="B77" s="54"/>
      <c r="C77" s="55"/>
      <c r="D77" s="55"/>
      <c r="E77" s="55"/>
      <c r="F77" s="55"/>
      <c r="G77" s="54"/>
      <c r="H77" s="55"/>
      <c r="I77" s="55"/>
      <c r="J77" s="55"/>
      <c r="K77" s="54"/>
      <c r="L77" s="55"/>
      <c r="M77" s="56"/>
    </row>
    <row r="78" spans="1:13" ht="12.75" hidden="1" customHeight="1" x14ac:dyDescent="0.2">
      <c r="A78" s="53"/>
      <c r="B78" s="54"/>
      <c r="C78" s="55"/>
      <c r="D78" s="55"/>
      <c r="E78" s="55"/>
      <c r="F78" s="55"/>
      <c r="G78" s="54"/>
      <c r="H78" s="55"/>
      <c r="I78" s="55"/>
      <c r="J78" s="55"/>
      <c r="K78" s="54"/>
      <c r="L78" s="55"/>
      <c r="M78" s="56"/>
    </row>
    <row r="79" spans="1:13" ht="12.75" hidden="1" customHeight="1" x14ac:dyDescent="0.2">
      <c r="A79" s="57"/>
      <c r="B79" s="58"/>
      <c r="C79" s="59"/>
      <c r="D79" s="59"/>
      <c r="E79" s="59"/>
      <c r="F79" s="59"/>
      <c r="G79" s="58"/>
      <c r="H79" s="59"/>
      <c r="I79" s="59"/>
      <c r="J79" s="59"/>
      <c r="K79" s="58"/>
      <c r="L79" s="59"/>
      <c r="M79" s="60"/>
    </row>
    <row r="80" spans="1:13" ht="12.75" customHeight="1" x14ac:dyDescent="0.2">
      <c r="A80" s="108"/>
      <c r="B80" s="109"/>
      <c r="C80" s="109"/>
      <c r="D80" s="109"/>
      <c r="E80" s="108"/>
      <c r="F80" s="108"/>
      <c r="G80" s="108"/>
      <c r="H80" s="108"/>
      <c r="I80" s="108"/>
      <c r="J80" s="108"/>
      <c r="K80" s="110"/>
      <c r="L80" s="108"/>
      <c r="M80" s="108"/>
    </row>
    <row r="81" spans="1:13" ht="12.75" customHeight="1" x14ac:dyDescent="0.2">
      <c r="A81" s="12" t="s">
        <v>65</v>
      </c>
      <c r="C81" s="62"/>
      <c r="D81" s="62"/>
      <c r="K81" s="61"/>
    </row>
    <row r="82" spans="1:13" ht="12.75" customHeight="1" x14ac:dyDescent="0.2">
      <c r="A82" s="63" t="s">
        <v>2</v>
      </c>
      <c r="C82" s="64" t="s">
        <v>56</v>
      </c>
      <c r="D82" s="33"/>
      <c r="E82" s="34"/>
      <c r="F82" s="37"/>
      <c r="G82" s="64" t="s">
        <v>57</v>
      </c>
      <c r="H82" s="33"/>
      <c r="I82" s="34"/>
      <c r="J82" s="37"/>
      <c r="K82" s="64" t="s">
        <v>66</v>
      </c>
      <c r="L82" s="33"/>
      <c r="M82" s="34"/>
    </row>
    <row r="83" spans="1:13" s="37" customFormat="1" ht="12.75" customHeight="1" x14ac:dyDescent="0.2">
      <c r="A83" s="47"/>
      <c r="C83" s="17" t="s">
        <v>78</v>
      </c>
      <c r="D83" s="18" t="s">
        <v>1</v>
      </c>
      <c r="E83" s="18" t="s">
        <v>10</v>
      </c>
      <c r="F83" s="47"/>
      <c r="G83" s="17" t="s">
        <v>78</v>
      </c>
      <c r="H83" s="18" t="s">
        <v>1</v>
      </c>
      <c r="I83" s="18" t="s">
        <v>10</v>
      </c>
      <c r="J83" s="47"/>
      <c r="K83" s="17" t="s">
        <v>78</v>
      </c>
      <c r="L83" s="18" t="s">
        <v>1</v>
      </c>
      <c r="M83" s="18" t="s">
        <v>10</v>
      </c>
    </row>
    <row r="84" spans="1:13" s="37" customFormat="1" ht="12.75" customHeight="1" x14ac:dyDescent="0.2">
      <c r="A84" s="65">
        <f t="shared" ref="A84:A94" si="17">A28</f>
        <v>2016</v>
      </c>
      <c r="C84" s="38">
        <f t="shared" ref="C84" si="18">ROUND(AVERAGE(B28:F28,K28:M28),2)</f>
        <v>19</v>
      </c>
      <c r="D84" s="38">
        <f t="shared" ref="D84" si="19">ROUND(AVERAGE(B46:F46,K46:M46),2)</f>
        <v>16.809999999999999</v>
      </c>
      <c r="E84" s="38">
        <f>ROUND(AVERAGE(B64:F64,K64:M64),2)</f>
        <v>18.03</v>
      </c>
      <c r="G84" s="55">
        <f t="shared" ref="G84" si="20">ROUND(AVERAGE(G28:J28),2)</f>
        <v>23.73</v>
      </c>
      <c r="H84" s="55">
        <f t="shared" ref="H84" si="21">ROUND(AVERAGE(G46:J46),2)</f>
        <v>15.89</v>
      </c>
      <c r="I84" s="55">
        <f>ROUND(AVERAGE(G64:J64),2)</f>
        <v>20.28</v>
      </c>
      <c r="K84" s="38">
        <f t="shared" ref="K84:K95" si="22">ROUND(AVERAGE(B28:M28),2)</f>
        <v>21.36</v>
      </c>
      <c r="L84" s="38">
        <f t="shared" ref="L84:L95" si="23">ROUND(AVERAGE(B46:M46),2)</f>
        <v>16.350000000000001</v>
      </c>
      <c r="M84" s="38">
        <f>ROUND(AVERAGE(B64:M64),2)</f>
        <v>19.16</v>
      </c>
    </row>
    <row r="85" spans="1:13" s="37" customFormat="1" ht="12.75" customHeight="1" x14ac:dyDescent="0.2">
      <c r="A85" s="65">
        <f t="shared" si="17"/>
        <v>2017</v>
      </c>
      <c r="C85" s="38">
        <f t="shared" ref="C85:C95" si="24">ROUND(AVERAGE(B29:F29,K29:M29),2)</f>
        <v>20.86</v>
      </c>
      <c r="D85" s="38">
        <f t="shared" ref="D85:D95" si="25">ROUND(AVERAGE(B47:F47,K47:M47),2)</f>
        <v>18.38</v>
      </c>
      <c r="E85" s="38">
        <f>ROUND(AVERAGE(B65:F65,K65:M65),2)</f>
        <v>19.77</v>
      </c>
      <c r="G85" s="55">
        <f t="shared" ref="G85:G95" si="26">ROUND(AVERAGE(G29:J29),2)</f>
        <v>22.34</v>
      </c>
      <c r="H85" s="55">
        <f t="shared" ref="H85:H95" si="27">ROUND(AVERAGE(G47:J47),2)</f>
        <v>16.21</v>
      </c>
      <c r="I85" s="55">
        <f>ROUND(AVERAGE(G65:J65),2)</f>
        <v>19.64</v>
      </c>
      <c r="K85" s="38">
        <f t="shared" si="22"/>
        <v>21.35</v>
      </c>
      <c r="L85" s="38">
        <f t="shared" si="23"/>
        <v>17.66</v>
      </c>
      <c r="M85" s="38">
        <f>ROUND(AVERAGE(B65:M65),2)</f>
        <v>19.73</v>
      </c>
    </row>
    <row r="86" spans="1:13" s="37" customFormat="1" ht="12.75" customHeight="1" x14ac:dyDescent="0.2">
      <c r="A86" s="65">
        <f t="shared" si="17"/>
        <v>2018</v>
      </c>
      <c r="C86" s="38">
        <f t="shared" si="24"/>
        <v>19.739999999999998</v>
      </c>
      <c r="D86" s="38">
        <f t="shared" si="25"/>
        <v>17.600000000000001</v>
      </c>
      <c r="E86" s="38">
        <f t="shared" ref="E86:E91" si="28">ROUND(AVERAGE(B66:F66,K66:M66),2)</f>
        <v>18.8</v>
      </c>
      <c r="G86" s="55">
        <f t="shared" si="26"/>
        <v>24.06</v>
      </c>
      <c r="H86" s="55">
        <f t="shared" si="27"/>
        <v>17.5</v>
      </c>
      <c r="I86" s="55">
        <f t="shared" ref="I86:I91" si="29">ROUND(AVERAGE(G66:J66),2)</f>
        <v>21.17</v>
      </c>
      <c r="K86" s="38">
        <f t="shared" si="22"/>
        <v>21.18</v>
      </c>
      <c r="L86" s="38">
        <f t="shared" si="23"/>
        <v>17.57</v>
      </c>
      <c r="M86" s="38">
        <f t="shared" ref="M86:M91" si="30">ROUND(AVERAGE(B66:M66),2)</f>
        <v>19.59</v>
      </c>
    </row>
    <row r="87" spans="1:13" s="37" customFormat="1" ht="12.75" customHeight="1" x14ac:dyDescent="0.2">
      <c r="A87" s="65">
        <f t="shared" si="17"/>
        <v>2019</v>
      </c>
      <c r="C87" s="38">
        <f t="shared" si="24"/>
        <v>18.68</v>
      </c>
      <c r="D87" s="38">
        <f t="shared" si="25"/>
        <v>15.57</v>
      </c>
      <c r="E87" s="38">
        <f t="shared" si="28"/>
        <v>17.309999999999999</v>
      </c>
      <c r="G87" s="55">
        <f t="shared" si="26"/>
        <v>24.15</v>
      </c>
      <c r="H87" s="55">
        <f t="shared" si="27"/>
        <v>16.59</v>
      </c>
      <c r="I87" s="55">
        <f t="shared" si="29"/>
        <v>20.83</v>
      </c>
      <c r="K87" s="38">
        <f t="shared" si="22"/>
        <v>20.5</v>
      </c>
      <c r="L87" s="38">
        <f t="shared" si="23"/>
        <v>15.91</v>
      </c>
      <c r="M87" s="38">
        <f t="shared" si="30"/>
        <v>18.48</v>
      </c>
    </row>
    <row r="88" spans="1:13" s="37" customFormat="1" ht="12.75" customHeight="1" x14ac:dyDescent="0.2">
      <c r="A88" s="65">
        <f t="shared" si="17"/>
        <v>2020</v>
      </c>
      <c r="C88" s="38">
        <f t="shared" si="24"/>
        <v>19.27</v>
      </c>
      <c r="D88" s="38">
        <f t="shared" si="25"/>
        <v>16.34</v>
      </c>
      <c r="E88" s="38">
        <f t="shared" si="28"/>
        <v>17.98</v>
      </c>
      <c r="G88" s="55">
        <f t="shared" si="26"/>
        <v>24.32</v>
      </c>
      <c r="H88" s="55">
        <f t="shared" si="27"/>
        <v>15.36</v>
      </c>
      <c r="I88" s="55">
        <f t="shared" si="29"/>
        <v>20.38</v>
      </c>
      <c r="K88" s="38">
        <f t="shared" si="22"/>
        <v>20.95</v>
      </c>
      <c r="L88" s="38">
        <f t="shared" si="23"/>
        <v>16.02</v>
      </c>
      <c r="M88" s="38">
        <f t="shared" si="30"/>
        <v>18.78</v>
      </c>
    </row>
    <row r="89" spans="1:13" s="37" customFormat="1" ht="12.75" customHeight="1" x14ac:dyDescent="0.2">
      <c r="A89" s="65">
        <f t="shared" si="17"/>
        <v>2021</v>
      </c>
      <c r="C89" s="38">
        <f t="shared" si="24"/>
        <v>20.63</v>
      </c>
      <c r="D89" s="38">
        <f t="shared" si="25"/>
        <v>18</v>
      </c>
      <c r="E89" s="38">
        <f t="shared" si="28"/>
        <v>19.47</v>
      </c>
      <c r="G89" s="55">
        <f t="shared" si="26"/>
        <v>26.42</v>
      </c>
      <c r="H89" s="55">
        <f t="shared" si="27"/>
        <v>17.12</v>
      </c>
      <c r="I89" s="55">
        <f t="shared" si="29"/>
        <v>22.33</v>
      </c>
      <c r="K89" s="38">
        <f t="shared" si="22"/>
        <v>22.56</v>
      </c>
      <c r="L89" s="38">
        <f t="shared" si="23"/>
        <v>17.71</v>
      </c>
      <c r="M89" s="38">
        <f t="shared" si="30"/>
        <v>20.420000000000002</v>
      </c>
    </row>
    <row r="90" spans="1:13" s="37" customFormat="1" ht="12.75" customHeight="1" x14ac:dyDescent="0.2">
      <c r="A90" s="65">
        <f t="shared" si="17"/>
        <v>2022</v>
      </c>
      <c r="C90" s="38">
        <f t="shared" si="24"/>
        <v>21.59</v>
      </c>
      <c r="D90" s="38">
        <f t="shared" si="25"/>
        <v>19.3</v>
      </c>
      <c r="E90" s="38">
        <f t="shared" si="28"/>
        <v>20.58</v>
      </c>
      <c r="G90" s="55">
        <f t="shared" si="26"/>
        <v>28.32</v>
      </c>
      <c r="H90" s="55">
        <f t="shared" si="27"/>
        <v>19.48</v>
      </c>
      <c r="I90" s="55">
        <f t="shared" si="29"/>
        <v>24.43</v>
      </c>
      <c r="K90" s="38">
        <f t="shared" si="22"/>
        <v>23.83</v>
      </c>
      <c r="L90" s="38">
        <f t="shared" si="23"/>
        <v>19.36</v>
      </c>
      <c r="M90" s="38">
        <f t="shared" si="30"/>
        <v>21.86</v>
      </c>
    </row>
    <row r="91" spans="1:13" s="37" customFormat="1" ht="12.75" customHeight="1" x14ac:dyDescent="0.2">
      <c r="A91" s="65">
        <f t="shared" si="17"/>
        <v>2023</v>
      </c>
      <c r="C91" s="38">
        <f t="shared" si="24"/>
        <v>24.81</v>
      </c>
      <c r="D91" s="38">
        <f t="shared" si="25"/>
        <v>22.48</v>
      </c>
      <c r="E91" s="38">
        <f t="shared" si="28"/>
        <v>23.79</v>
      </c>
      <c r="G91" s="55">
        <f t="shared" si="26"/>
        <v>30.71</v>
      </c>
      <c r="H91" s="55">
        <f t="shared" si="27"/>
        <v>23.06</v>
      </c>
      <c r="I91" s="55">
        <f t="shared" si="29"/>
        <v>27.34</v>
      </c>
      <c r="K91" s="38">
        <f t="shared" si="22"/>
        <v>26.78</v>
      </c>
      <c r="L91" s="38">
        <f t="shared" si="23"/>
        <v>22.68</v>
      </c>
      <c r="M91" s="38">
        <f t="shared" si="30"/>
        <v>24.97</v>
      </c>
    </row>
    <row r="92" spans="1:13" s="37" customFormat="1" ht="12.75" customHeight="1" x14ac:dyDescent="0.2">
      <c r="A92" s="65">
        <f t="shared" si="17"/>
        <v>2024</v>
      </c>
      <c r="C92" s="38">
        <f t="shared" si="24"/>
        <v>26.64</v>
      </c>
      <c r="D92" s="38">
        <f t="shared" si="25"/>
        <v>24.21</v>
      </c>
      <c r="E92" s="38">
        <f t="shared" ref="E92:E94" si="31">ROUND(AVERAGE(B72:F72,K72:M72),2)</f>
        <v>25.57</v>
      </c>
      <c r="G92" s="55">
        <f t="shared" si="26"/>
        <v>34.020000000000003</v>
      </c>
      <c r="H92" s="55">
        <f t="shared" si="27"/>
        <v>27.4</v>
      </c>
      <c r="I92" s="55">
        <f t="shared" ref="I92:I94" si="32">ROUND(AVERAGE(G72:J72),2)</f>
        <v>31.11</v>
      </c>
      <c r="K92" s="38">
        <f t="shared" si="22"/>
        <v>29.1</v>
      </c>
      <c r="L92" s="38">
        <f t="shared" si="23"/>
        <v>25.28</v>
      </c>
      <c r="M92" s="38">
        <f t="shared" ref="M92:M94" si="33">ROUND(AVERAGE(B72:M72),2)</f>
        <v>27.42</v>
      </c>
    </row>
    <row r="93" spans="1:13" s="37" customFormat="1" ht="12.75" customHeight="1" x14ac:dyDescent="0.2">
      <c r="A93" s="65">
        <f t="shared" si="17"/>
        <v>2025</v>
      </c>
      <c r="C93" s="38">
        <f t="shared" si="24"/>
        <v>31.73</v>
      </c>
      <c r="D93" s="38">
        <f t="shared" si="25"/>
        <v>28.83</v>
      </c>
      <c r="E93" s="38">
        <f t="shared" si="31"/>
        <v>30.45</v>
      </c>
      <c r="G93" s="55">
        <f t="shared" si="26"/>
        <v>33.409999999999997</v>
      </c>
      <c r="H93" s="55">
        <f t="shared" si="27"/>
        <v>26.62</v>
      </c>
      <c r="I93" s="55">
        <f t="shared" si="32"/>
        <v>30.43</v>
      </c>
      <c r="K93" s="38">
        <f t="shared" si="22"/>
        <v>32.29</v>
      </c>
      <c r="L93" s="38">
        <f t="shared" si="23"/>
        <v>28.09</v>
      </c>
      <c r="M93" s="38">
        <f t="shared" si="33"/>
        <v>30.44</v>
      </c>
    </row>
    <row r="94" spans="1:13" s="37" customFormat="1" ht="12.75" customHeight="1" x14ac:dyDescent="0.2">
      <c r="A94" s="65">
        <f t="shared" si="17"/>
        <v>2026</v>
      </c>
      <c r="C94" s="38">
        <f t="shared" si="24"/>
        <v>27.69</v>
      </c>
      <c r="D94" s="38">
        <f t="shared" si="25"/>
        <v>25.2</v>
      </c>
      <c r="E94" s="38">
        <f t="shared" si="31"/>
        <v>26.59</v>
      </c>
      <c r="G94" s="55">
        <f t="shared" si="26"/>
        <v>34.71</v>
      </c>
      <c r="H94" s="55">
        <f t="shared" si="27"/>
        <v>27.78</v>
      </c>
      <c r="I94" s="55">
        <f t="shared" si="32"/>
        <v>31.66</v>
      </c>
      <c r="K94" s="38">
        <f t="shared" si="22"/>
        <v>30.03</v>
      </c>
      <c r="L94" s="38">
        <f t="shared" si="23"/>
        <v>26.06</v>
      </c>
      <c r="M94" s="38">
        <f t="shared" si="33"/>
        <v>28.28</v>
      </c>
    </row>
    <row r="95" spans="1:13" s="37" customFormat="1" ht="12.75" customHeight="1" x14ac:dyDescent="0.2">
      <c r="A95" s="65">
        <f t="shared" ref="A95" si="34">A39</f>
        <v>2027</v>
      </c>
      <c r="C95" s="38">
        <f t="shared" si="24"/>
        <v>33.74</v>
      </c>
      <c r="D95" s="38">
        <f t="shared" si="25"/>
        <v>30.91</v>
      </c>
      <c r="E95" s="38">
        <f t="shared" ref="E95" si="35">ROUND(AVERAGE(B75:F75,K75:M75),2)</f>
        <v>32.49</v>
      </c>
      <c r="G95" s="55">
        <f t="shared" si="26"/>
        <v>41.65</v>
      </c>
      <c r="H95" s="55">
        <f t="shared" si="27"/>
        <v>33.79</v>
      </c>
      <c r="I95" s="55">
        <f t="shared" ref="I95" si="36">ROUND(AVERAGE(G75:J75),2)</f>
        <v>38.200000000000003</v>
      </c>
      <c r="K95" s="38">
        <f t="shared" si="22"/>
        <v>36.380000000000003</v>
      </c>
      <c r="L95" s="38">
        <f t="shared" si="23"/>
        <v>31.87</v>
      </c>
      <c r="M95" s="38">
        <f t="shared" ref="M95" si="37">ROUND(AVERAGE(B75:M75),2)</f>
        <v>34.39</v>
      </c>
    </row>
    <row r="96" spans="1:13" s="37" customFormat="1" ht="12.75" customHeight="1" x14ac:dyDescent="0.2">
      <c r="A96" s="65"/>
      <c r="C96" s="38"/>
      <c r="D96" s="38"/>
      <c r="E96" s="38"/>
      <c r="G96" s="55"/>
      <c r="H96" s="55"/>
      <c r="I96" s="55"/>
      <c r="K96" s="38"/>
      <c r="L96" s="38"/>
      <c r="M96" s="38"/>
    </row>
    <row r="97" spans="1:13" s="37" customFormat="1" ht="12.75" customHeight="1" x14ac:dyDescent="0.2">
      <c r="A97" s="65"/>
      <c r="C97" s="38"/>
      <c r="D97" s="38"/>
      <c r="E97" s="38"/>
      <c r="G97" s="55"/>
      <c r="H97" s="55"/>
      <c r="I97" s="55"/>
      <c r="K97" s="38"/>
      <c r="L97" s="38"/>
      <c r="M97" s="38"/>
    </row>
    <row r="98" spans="1:13" s="37" customFormat="1" ht="12.75" hidden="1" customHeight="1" x14ac:dyDescent="0.2">
      <c r="A98" s="66"/>
      <c r="K98" s="61"/>
    </row>
    <row r="99" spans="1:13" s="37" customFormat="1" ht="12.75" hidden="1" customHeight="1" x14ac:dyDescent="0.2">
      <c r="A99" s="66"/>
      <c r="K99" s="61"/>
    </row>
    <row r="100" spans="1:13" s="37" customFormat="1" ht="12.75" customHeight="1" x14ac:dyDescent="0.2">
      <c r="A100" s="35" t="s">
        <v>79</v>
      </c>
      <c r="D100" s="38"/>
      <c r="E100" s="55"/>
      <c r="F100" s="55"/>
      <c r="G100" s="55"/>
      <c r="J100" s="55"/>
      <c r="K100" s="55"/>
    </row>
    <row r="101" spans="1:13" ht="12.75" customHeight="1" x14ac:dyDescent="0.2">
      <c r="A101" s="35" t="s">
        <v>286</v>
      </c>
      <c r="C101" s="67"/>
      <c r="D101" s="38"/>
      <c r="E101" s="55"/>
      <c r="F101" s="55"/>
      <c r="G101" s="55"/>
      <c r="H101" s="37"/>
    </row>
    <row r="102" spans="1:13" ht="12.75" customHeight="1" x14ac:dyDescent="0.2">
      <c r="A102" s="35" t="s">
        <v>287</v>
      </c>
      <c r="C102" s="67"/>
      <c r="D102" s="38"/>
      <c r="E102" s="55"/>
      <c r="F102" s="55"/>
      <c r="G102" s="55"/>
      <c r="H102" s="37"/>
    </row>
    <row r="103" spans="1:13" ht="12.75" customHeight="1" x14ac:dyDescent="0.2">
      <c r="A103" s="35" t="s">
        <v>285</v>
      </c>
      <c r="C103" s="67"/>
      <c r="D103" s="38"/>
      <c r="E103" s="55"/>
      <c r="F103" s="55"/>
      <c r="G103" s="55"/>
      <c r="H103" s="37"/>
    </row>
    <row r="104" spans="1:13" ht="12.75" customHeight="1" x14ac:dyDescent="0.2">
      <c r="A104" s="35" t="s">
        <v>288</v>
      </c>
      <c r="C104" s="67"/>
      <c r="D104" s="38"/>
      <c r="E104" s="55"/>
      <c r="F104" s="55"/>
      <c r="G104" s="55"/>
      <c r="H104" s="37"/>
    </row>
    <row r="105" spans="1:13" ht="12.75" customHeight="1" x14ac:dyDescent="0.2">
      <c r="A105" s="35" t="s">
        <v>289</v>
      </c>
      <c r="C105" s="67"/>
      <c r="D105" s="38"/>
      <c r="E105" s="55"/>
      <c r="F105" s="55"/>
      <c r="G105" s="55"/>
      <c r="H105" s="37"/>
    </row>
    <row r="106" spans="1:13" ht="12.75" customHeight="1" x14ac:dyDescent="0.2">
      <c r="A106" s="35" t="s">
        <v>285</v>
      </c>
      <c r="C106" s="67"/>
      <c r="D106" s="38"/>
      <c r="E106" s="55"/>
      <c r="F106" s="55"/>
      <c r="G106" s="55"/>
      <c r="H106" s="37"/>
    </row>
    <row r="107" spans="1:13" ht="12.75" customHeight="1" x14ac:dyDescent="0.2">
      <c r="A107" s="35" t="s">
        <v>290</v>
      </c>
      <c r="D107" s="37"/>
      <c r="E107" s="37"/>
      <c r="F107" s="37"/>
      <c r="G107" s="37"/>
    </row>
    <row r="108" spans="1:13" ht="3.75" customHeight="1" x14ac:dyDescent="0.2"/>
    <row r="109" spans="1:13" x14ac:dyDescent="0.2">
      <c r="C109" s="35" t="s">
        <v>128</v>
      </c>
    </row>
    <row r="110" spans="1:13" x14ac:dyDescent="0.2">
      <c r="C110" s="35" t="s">
        <v>136</v>
      </c>
      <c r="E110" s="133">
        <v>1</v>
      </c>
    </row>
    <row r="112" spans="1:13" x14ac:dyDescent="0.2">
      <c r="C112" s="265"/>
    </row>
    <row r="113" spans="3:3" x14ac:dyDescent="0.2">
      <c r="C113" s="212"/>
    </row>
    <row r="128" spans="3:3" ht="24.75" customHeight="1" x14ac:dyDescent="0.2"/>
  </sheetData>
  <phoneticPr fontId="8" type="noConversion"/>
  <printOptions horizontalCentered="1"/>
  <pageMargins left="0.25" right="0.25" top="0.75" bottom="0.75" header="0.3" footer="0.3"/>
  <pageSetup scale="57" fitToWidth="0" orientation="portrait" r:id="rId1"/>
  <headerFooter alignWithMargins="0">
    <oddFooter>&amp;L&amp;8NPC Group - &amp;F   ( &amp;A )&amp;C &amp;R &amp;8&amp;D  &amp;T</oddFooter>
  </headerFooter>
  <rowBreaks count="1" manualBreakCount="1">
    <brk id="6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11"/>
  <sheetViews>
    <sheetView topLeftCell="A68" zoomScaleNormal="100" workbookViewId="0">
      <selection activeCell="E93" sqref="E93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149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"&amp;MAX(A10:A27)&amp;")"</f>
        <v>Avoided Resource (2016 through 2027)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BaseLoad'!A27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9">
        <f>'Tables 3 to 5'!$B$13</f>
        <v>2016</v>
      </c>
      <c r="B10" s="50"/>
      <c r="C10" s="51"/>
      <c r="D10" s="51"/>
      <c r="E10" s="51"/>
      <c r="F10" s="52">
        <f>'Table 2A BaseLoad'!F28-INDEX('Table 10'!$E:$E,MATCH($A10,'Table 10'!$B:$B,0),1)</f>
        <v>14.950510900894605</v>
      </c>
      <c r="G10" s="51">
        <f>'Table 2A BaseLoad'!G28-INDEX('Table 10'!$E:$E,MATCH($A10,'Table 10'!$B:$B,0),1)</f>
        <v>16.818078618596832</v>
      </c>
      <c r="H10" s="51">
        <f>'Table 2A BaseLoad'!H28-INDEX('Table 10'!$E:$E,MATCH($A10,'Table 10'!$B:$B,0),1)</f>
        <v>26.919023182667054</v>
      </c>
      <c r="I10" s="51">
        <f>'Table 2A BaseLoad'!I28-INDEX('Table 10'!$E:$E,MATCH($A10,'Table 10'!$B:$B,0),1)</f>
        <v>25.906802526228013</v>
      </c>
      <c r="J10" s="52">
        <f>'Table 2A BaseLoad'!J28-INDEX('Table 10'!$E:$E,MATCH($A10,'Table 10'!$B:$B,0),1)</f>
        <v>22.991065548729331</v>
      </c>
      <c r="K10" s="51">
        <f>'Table 2A BaseLoad'!K28-INDEX('Table 10'!$E:$E,MATCH($A10,'Table 10'!$B:$B,0),1)</f>
        <v>18.033104882440583</v>
      </c>
      <c r="L10" s="51">
        <f>'Table 2A BaseLoad'!L28-INDEX('Table 10'!$E:$E,MATCH($A10,'Table 10'!$B:$B,0),1)</f>
        <v>18.043505983390933</v>
      </c>
      <c r="M10" s="52">
        <f>'Table 2A BaseLoad'!M28-INDEX('Table 10'!$E:$E,MATCH($A10,'Table 10'!$B:$B,0),1)</f>
        <v>22.66298820331096</v>
      </c>
    </row>
    <row r="11" spans="1:13" ht="12.75" customHeight="1" x14ac:dyDescent="0.2">
      <c r="A11" s="53">
        <f t="shared" ref="A11:A21" si="0">A10+1</f>
        <v>2017</v>
      </c>
      <c r="B11" s="54">
        <f>'Table 2A BaseLoad'!B29-INDEX('Table 10'!$E:$E,MATCH($A11,'Table 10'!$B:$B,0),1)</f>
        <v>21.26496535560003</v>
      </c>
      <c r="C11" s="55">
        <f>'Table 2A BaseLoad'!C29-INDEX('Table 10'!$E:$E,MATCH($A11,'Table 10'!$B:$B,0),1)</f>
        <v>21.55444254284977</v>
      </c>
      <c r="D11" s="55">
        <f>'Table 2A BaseLoad'!D29-INDEX('Table 10'!$E:$E,MATCH($A11,'Table 10'!$B:$B,0),1)</f>
        <v>20.252167871003017</v>
      </c>
      <c r="E11" s="55">
        <f>'Table 2A BaseLoad'!E29-INDEX('Table 10'!$E:$E,MATCH($A11,'Table 10'!$B:$B,0),1)</f>
        <v>21.057265338709335</v>
      </c>
      <c r="F11" s="56">
        <f>'Table 2A BaseLoad'!F29-INDEX('Table 10'!$E:$E,MATCH($A11,'Table 10'!$B:$B,0),1)</f>
        <v>18.070813416862261</v>
      </c>
      <c r="G11" s="55">
        <f>'Table 2A BaseLoad'!G29-INDEX('Table 10'!$E:$E,MATCH($A11,'Table 10'!$B:$B,0),1)</f>
        <v>18.511013464746497</v>
      </c>
      <c r="H11" s="55">
        <f>'Table 2A BaseLoad'!H29-INDEX('Table 10'!$E:$E,MATCH($A11,'Table 10'!$B:$B,0),1)</f>
        <v>24.59752935162415</v>
      </c>
      <c r="I11" s="55">
        <f>'Table 2A BaseLoad'!I29-INDEX('Table 10'!$E:$E,MATCH($A11,'Table 10'!$B:$B,0),1)</f>
        <v>24.370782379112015</v>
      </c>
      <c r="J11" s="56">
        <f>'Table 2A BaseLoad'!J29-INDEX('Table 10'!$E:$E,MATCH($A11,'Table 10'!$B:$B,0),1)</f>
        <v>19.59244820516188</v>
      </c>
      <c r="K11" s="55">
        <f>'Table 2A BaseLoad'!K29-INDEX('Table 10'!$E:$E,MATCH($A11,'Table 10'!$B:$B,0),1)</f>
        <v>18.885933677412741</v>
      </c>
      <c r="L11" s="55">
        <f>'Table 2A BaseLoad'!L29-INDEX('Table 10'!$E:$E,MATCH($A11,'Table 10'!$B:$B,0),1)</f>
        <v>19.557769444781165</v>
      </c>
      <c r="M11" s="56">
        <f>'Table 2A BaseLoad'!M29-INDEX('Table 10'!$E:$E,MATCH($A11,'Table 10'!$B:$B,0),1)</f>
        <v>21.626196052856301</v>
      </c>
    </row>
    <row r="12" spans="1:13" ht="12.75" customHeight="1" x14ac:dyDescent="0.2">
      <c r="A12" s="53">
        <f t="shared" si="0"/>
        <v>2018</v>
      </c>
      <c r="B12" s="54">
        <f>'Table 2A BaseLoad'!B30-INDEX('Table 10'!$E:$E,MATCH($A12,'Table 10'!$B:$B,0),1)</f>
        <v>21.869737258136453</v>
      </c>
      <c r="C12" s="55">
        <f>'Table 2A BaseLoad'!C30-INDEX('Table 10'!$E:$E,MATCH($A12,'Table 10'!$B:$B,0),1)</f>
        <v>18.889865459506563</v>
      </c>
      <c r="D12" s="55">
        <f>'Table 2A BaseLoad'!D30-INDEX('Table 10'!$E:$E,MATCH($A12,'Table 10'!$B:$B,0),1)</f>
        <v>18.709059229029151</v>
      </c>
      <c r="E12" s="55">
        <f>'Table 2A BaseLoad'!E30-INDEX('Table 10'!$E:$E,MATCH($A12,'Table 10'!$B:$B,0),1)</f>
        <v>16.987555420022169</v>
      </c>
      <c r="F12" s="56">
        <f>'Table 2A BaseLoad'!F30-INDEX('Table 10'!$E:$E,MATCH($A12,'Table 10'!$B:$B,0),1)</f>
        <v>16.249957365780173</v>
      </c>
      <c r="G12" s="55">
        <f>'Table 2A BaseLoad'!G30-INDEX('Table 10'!$E:$E,MATCH($A12,'Table 10'!$B:$B,0),1)</f>
        <v>18.131394827640253</v>
      </c>
      <c r="H12" s="55">
        <f>'Table 2A BaseLoad'!H30-INDEX('Table 10'!$E:$E,MATCH($A12,'Table 10'!$B:$B,0),1)</f>
        <v>29.784712732704708</v>
      </c>
      <c r="I12" s="55">
        <f>'Table 2A BaseLoad'!I30-INDEX('Table 10'!$E:$E,MATCH($A12,'Table 10'!$B:$B,0),1)</f>
        <v>24.729613421014221</v>
      </c>
      <c r="J12" s="56">
        <f>'Table 2A BaseLoad'!J30-INDEX('Table 10'!$E:$E,MATCH($A12,'Table 10'!$B:$B,0),1)</f>
        <v>21.296058232540229</v>
      </c>
      <c r="K12" s="55">
        <f>'Table 2A BaseLoad'!K30-INDEX('Table 10'!$E:$E,MATCH($A12,'Table 10'!$B:$B,0),1)</f>
        <v>20.001169605696361</v>
      </c>
      <c r="L12" s="55">
        <f>'Table 2A BaseLoad'!L30-INDEX('Table 10'!$E:$E,MATCH($A12,'Table 10'!$B:$B,0),1)</f>
        <v>18.711659196613208</v>
      </c>
      <c r="M12" s="56">
        <f>'Table 2A BaseLoad'!M30-INDEX('Table 10'!$E:$E,MATCH($A12,'Table 10'!$B:$B,0),1)</f>
        <v>21.913404559270948</v>
      </c>
    </row>
    <row r="13" spans="1:13" ht="12.75" customHeight="1" x14ac:dyDescent="0.2">
      <c r="A13" s="53">
        <f t="shared" si="0"/>
        <v>2019</v>
      </c>
      <c r="B13" s="54">
        <f>'Table 2A BaseLoad'!B31-INDEX('Table 10'!$E:$E,MATCH($A13,'Table 10'!$B:$B,0),1)</f>
        <v>15.988215309157146</v>
      </c>
      <c r="C13" s="55">
        <f>'Table 2A BaseLoad'!C31-INDEX('Table 10'!$E:$E,MATCH($A13,'Table 10'!$B:$B,0),1)</f>
        <v>17.786311421352181</v>
      </c>
      <c r="D13" s="55">
        <f>'Table 2A BaseLoad'!D31-INDEX('Table 10'!$E:$E,MATCH($A13,'Table 10'!$B:$B,0),1)</f>
        <v>16.956398200052359</v>
      </c>
      <c r="E13" s="55">
        <f>'Table 2A BaseLoad'!E31-INDEX('Table 10'!$E:$E,MATCH($A13,'Table 10'!$B:$B,0),1)</f>
        <v>17.867940476149325</v>
      </c>
      <c r="F13" s="56">
        <f>'Table 2A BaseLoad'!F31-INDEX('Table 10'!$E:$E,MATCH($A13,'Table 10'!$B:$B,0),1)</f>
        <v>20.082234320946192</v>
      </c>
      <c r="G13" s="55">
        <f>'Table 2A BaseLoad'!G31-INDEX('Table 10'!$E:$E,MATCH($A13,'Table 10'!$B:$B,0),1)</f>
        <v>20.043982591662036</v>
      </c>
      <c r="H13" s="55">
        <f>'Table 2A BaseLoad'!H31-INDEX('Table 10'!$E:$E,MATCH($A13,'Table 10'!$B:$B,0),1)</f>
        <v>29.420123739359056</v>
      </c>
      <c r="I13" s="55">
        <f>'Table 2A BaseLoad'!I31-INDEX('Table 10'!$E:$E,MATCH($A13,'Table 10'!$B:$B,0),1)</f>
        <v>24.137937767588848</v>
      </c>
      <c r="J13" s="56">
        <f>'Table 2A BaseLoad'!J31-INDEX('Table 10'!$E:$E,MATCH($A13,'Table 10'!$B:$B,0),1)</f>
        <v>20.721823061258625</v>
      </c>
      <c r="K13" s="55">
        <f>'Table 2A BaseLoad'!K31-INDEX('Table 10'!$E:$E,MATCH($A13,'Table 10'!$B:$B,0),1)</f>
        <v>18.799741357091172</v>
      </c>
      <c r="L13" s="55">
        <f>'Table 2A BaseLoad'!L31-INDEX('Table 10'!$E:$E,MATCH($A13,'Table 10'!$B:$B,0),1)</f>
        <v>16.762866384315906</v>
      </c>
      <c r="M13" s="56">
        <f>'Table 2A BaseLoad'!M31-INDEX('Table 10'!$E:$E,MATCH($A13,'Table 10'!$B:$B,0),1)</f>
        <v>20.583698573842366</v>
      </c>
    </row>
    <row r="14" spans="1:13" ht="12.75" customHeight="1" x14ac:dyDescent="0.2">
      <c r="A14" s="53">
        <f t="shared" si="0"/>
        <v>2020</v>
      </c>
      <c r="B14" s="54">
        <f>'Table 2A BaseLoad'!B32-INDEX('Table 10'!$E:$E,MATCH($A14,'Table 10'!$B:$B,0),1)</f>
        <v>18.683976218588302</v>
      </c>
      <c r="C14" s="55">
        <f>'Table 2A BaseLoad'!C32-INDEX('Table 10'!$E:$E,MATCH($A14,'Table 10'!$B:$B,0),1)</f>
        <v>21.041839690730171</v>
      </c>
      <c r="D14" s="55">
        <f>'Table 2A BaseLoad'!D32-INDEX('Table 10'!$E:$E,MATCH($A14,'Table 10'!$B:$B,0),1)</f>
        <v>15.501301730624215</v>
      </c>
      <c r="E14" s="55">
        <f>'Table 2A BaseLoad'!E32-INDEX('Table 10'!$E:$E,MATCH($A14,'Table 10'!$B:$B,0),1)</f>
        <v>15.848006594668275</v>
      </c>
      <c r="F14" s="56">
        <f>'Table 2A BaseLoad'!F32-INDEX('Table 10'!$E:$E,MATCH($A14,'Table 10'!$B:$B,0),1)</f>
        <v>17.955504212028199</v>
      </c>
      <c r="G14" s="55">
        <f>'Table 2A BaseLoad'!G32-INDEX('Table 10'!$E:$E,MATCH($A14,'Table 10'!$B:$B,0),1)</f>
        <v>18.50195325826493</v>
      </c>
      <c r="H14" s="55">
        <f>'Table 2A BaseLoad'!H32-INDEX('Table 10'!$E:$E,MATCH($A14,'Table 10'!$B:$B,0),1)</f>
        <v>31.131349460080294</v>
      </c>
      <c r="I14" s="55">
        <f>'Table 2A BaseLoad'!I32-INDEX('Table 10'!$E:$E,MATCH($A14,'Table 10'!$B:$B,0),1)</f>
        <v>24.393328891150716</v>
      </c>
      <c r="J14" s="56">
        <f>'Table 2A BaseLoad'!J32-INDEX('Table 10'!$E:$E,MATCH($A14,'Table 10'!$B:$B,0),1)</f>
        <v>20.954442521884559</v>
      </c>
      <c r="K14" s="55">
        <f>'Table 2A BaseLoad'!K32-INDEX('Table 10'!$E:$E,MATCH($A14,'Table 10'!$B:$B,0),1)</f>
        <v>19.0993365233353</v>
      </c>
      <c r="L14" s="55">
        <f>'Table 2A BaseLoad'!L32-INDEX('Table 10'!$E:$E,MATCH($A14,'Table 10'!$B:$B,0),1)</f>
        <v>18.224004850938183</v>
      </c>
      <c r="M14" s="56">
        <f>'Table 2A BaseLoad'!M32-INDEX('Table 10'!$E:$E,MATCH($A14,'Table 10'!$B:$B,0),1)</f>
        <v>23.229278026448778</v>
      </c>
    </row>
    <row r="15" spans="1:13" ht="12.75" customHeight="1" x14ac:dyDescent="0.2">
      <c r="A15" s="53">
        <f t="shared" si="0"/>
        <v>2021</v>
      </c>
      <c r="B15" s="54">
        <f>'Table 2A BaseLoad'!B33-INDEX('Table 10'!$E:$E,MATCH($A15,'Table 10'!$B:$B,0),1)</f>
        <v>21.090668352185148</v>
      </c>
      <c r="C15" s="55">
        <f>'Table 2A BaseLoad'!C33-INDEX('Table 10'!$E:$E,MATCH($A15,'Table 10'!$B:$B,0),1)</f>
        <v>20.26141453951297</v>
      </c>
      <c r="D15" s="55">
        <f>'Table 2A BaseLoad'!D33-INDEX('Table 10'!$E:$E,MATCH($A15,'Table 10'!$B:$B,0),1)</f>
        <v>18.316374476058169</v>
      </c>
      <c r="E15" s="55">
        <f>'Table 2A BaseLoad'!E33-INDEX('Table 10'!$E:$E,MATCH($A15,'Table 10'!$B:$B,0),1)</f>
        <v>16.93814988846022</v>
      </c>
      <c r="F15" s="56">
        <f>'Table 2A BaseLoad'!F33-INDEX('Table 10'!$E:$E,MATCH($A15,'Table 10'!$B:$B,0),1)</f>
        <v>19.283002048010488</v>
      </c>
      <c r="G15" s="55">
        <f>'Table 2A BaseLoad'!G33-INDEX('Table 10'!$E:$E,MATCH($A15,'Table 10'!$B:$B,0),1)</f>
        <v>19.634835155120161</v>
      </c>
      <c r="H15" s="55">
        <f>'Table 2A BaseLoad'!H33-INDEX('Table 10'!$E:$E,MATCH($A15,'Table 10'!$B:$B,0),1)</f>
        <v>33.246100859814248</v>
      </c>
      <c r="I15" s="55">
        <f>'Table 2A BaseLoad'!I33-INDEX('Table 10'!$E:$E,MATCH($A15,'Table 10'!$B:$B,0),1)</f>
        <v>27.617056975300709</v>
      </c>
      <c r="J15" s="56">
        <f>'Table 2A BaseLoad'!J33-INDEX('Table 10'!$E:$E,MATCH($A15,'Table 10'!$B:$B,0),1)</f>
        <v>22.850941569528416</v>
      </c>
      <c r="K15" s="55">
        <f>'Table 2A BaseLoad'!K33-INDEX('Table 10'!$E:$E,MATCH($A15,'Table 10'!$B:$B,0),1)</f>
        <v>20.603828965177328</v>
      </c>
      <c r="L15" s="55">
        <f>'Table 2A BaseLoad'!L33-INDEX('Table 10'!$E:$E,MATCH($A15,'Table 10'!$B:$B,0),1)</f>
        <v>19.885123209620996</v>
      </c>
      <c r="M15" s="56">
        <f>'Table 2A BaseLoad'!M33-INDEX('Table 10'!$E:$E,MATCH($A15,'Table 10'!$B:$B,0),1)</f>
        <v>23.984237444347556</v>
      </c>
    </row>
    <row r="16" spans="1:13" ht="12.75" customHeight="1" x14ac:dyDescent="0.2">
      <c r="A16" s="53">
        <f t="shared" si="0"/>
        <v>2022</v>
      </c>
      <c r="B16" s="54">
        <f>'Table 2A BaseLoad'!B34-INDEX('Table 10'!$E:$E,MATCH($A16,'Table 10'!$B:$B,0),1)</f>
        <v>22.36261675023232</v>
      </c>
      <c r="C16" s="55">
        <f>'Table 2A BaseLoad'!C34-INDEX('Table 10'!$E:$E,MATCH($A16,'Table 10'!$B:$B,0),1)</f>
        <v>20.457786036915103</v>
      </c>
      <c r="D16" s="55">
        <f>'Table 2A BaseLoad'!D34-INDEX('Table 10'!$E:$E,MATCH($A16,'Table 10'!$B:$B,0),1)</f>
        <v>19.110274797126362</v>
      </c>
      <c r="E16" s="55">
        <f>'Table 2A BaseLoad'!E34-INDEX('Table 10'!$E:$E,MATCH($A16,'Table 10'!$B:$B,0),1)</f>
        <v>17.231128766650734</v>
      </c>
      <c r="F16" s="56">
        <f>'Table 2A BaseLoad'!F34-INDEX('Table 10'!$E:$E,MATCH($A16,'Table 10'!$B:$B,0),1)</f>
        <v>21.261246628650351</v>
      </c>
      <c r="G16" s="55">
        <f>'Table 2A BaseLoad'!G34-INDEX('Table 10'!$E:$E,MATCH($A16,'Table 10'!$B:$B,0),1)</f>
        <v>20.92922887544529</v>
      </c>
      <c r="H16" s="55">
        <f>'Table 2A BaseLoad'!H34-INDEX('Table 10'!$E:$E,MATCH($A16,'Table 10'!$B:$B,0),1)</f>
        <v>37.770563903957822</v>
      </c>
      <c r="I16" s="55">
        <f>'Table 2A BaseLoad'!I34-INDEX('Table 10'!$E:$E,MATCH($A16,'Table 10'!$B:$B,0),1)</f>
        <v>27.803570556560281</v>
      </c>
      <c r="J16" s="56">
        <f>'Table 2A BaseLoad'!J34-INDEX('Table 10'!$E:$E,MATCH($A16,'Table 10'!$B:$B,0),1)</f>
        <v>24.39118715155838</v>
      </c>
      <c r="K16" s="55">
        <f>'Table 2A BaseLoad'!K34-INDEX('Table 10'!$E:$E,MATCH($A16,'Table 10'!$B:$B,0),1)</f>
        <v>23.245366611083739</v>
      </c>
      <c r="L16" s="55">
        <f>'Table 2A BaseLoad'!L34-INDEX('Table 10'!$E:$E,MATCH($A16,'Table 10'!$B:$B,0),1)</f>
        <v>17.319529769335197</v>
      </c>
      <c r="M16" s="56">
        <f>'Table 2A BaseLoad'!M34-INDEX('Table 10'!$E:$E,MATCH($A16,'Table 10'!$B:$B,0),1)</f>
        <v>26.975179760217383</v>
      </c>
    </row>
    <row r="17" spans="1:24" ht="12.75" customHeight="1" x14ac:dyDescent="0.2">
      <c r="A17" s="53">
        <f t="shared" si="0"/>
        <v>2023</v>
      </c>
      <c r="B17" s="54">
        <f>'Table 2A BaseLoad'!B35-INDEX('Table 10'!$E:$E,MATCH($A17,'Table 10'!$B:$B,0),1)</f>
        <v>25.990819175556716</v>
      </c>
      <c r="C17" s="55">
        <f>'Table 2A BaseLoad'!C35-INDEX('Table 10'!$E:$E,MATCH($A17,'Table 10'!$B:$B,0),1)</f>
        <v>21.960303635687772</v>
      </c>
      <c r="D17" s="55">
        <f>'Table 2A BaseLoad'!D35-INDEX('Table 10'!$E:$E,MATCH($A17,'Table 10'!$B:$B,0),1)</f>
        <v>21.692399391802944</v>
      </c>
      <c r="E17" s="55">
        <f>'Table 2A BaseLoad'!E35-INDEX('Table 10'!$E:$E,MATCH($A17,'Table 10'!$B:$B,0),1)</f>
        <v>17.720942776624014</v>
      </c>
      <c r="F17" s="56">
        <f>'Table 2A BaseLoad'!F35-INDEX('Table 10'!$E:$E,MATCH($A17,'Table 10'!$B:$B,0),1)</f>
        <v>23.485128287767289</v>
      </c>
      <c r="G17" s="55">
        <f>'Table 2A BaseLoad'!G35-INDEX('Table 10'!$E:$E,MATCH($A17,'Table 10'!$B:$B,0),1)</f>
        <v>22.141933159842331</v>
      </c>
      <c r="H17" s="55">
        <f>'Table 2A BaseLoad'!H35-INDEX('Table 10'!$E:$E,MATCH($A17,'Table 10'!$B:$B,0),1)</f>
        <v>41.032049309115088</v>
      </c>
      <c r="I17" s="55">
        <f>'Table 2A BaseLoad'!I35-INDEX('Table 10'!$E:$E,MATCH($A17,'Table 10'!$B:$B,0),1)</f>
        <v>18.292238938863168</v>
      </c>
      <c r="J17" s="56">
        <f>'Table 2A BaseLoad'!J35-INDEX('Table 10'!$E:$E,MATCH($A17,'Table 10'!$B:$B,0),1)</f>
        <v>38.933333403535286</v>
      </c>
      <c r="K17" s="55">
        <f>'Table 2A BaseLoad'!K35-INDEX('Table 10'!$E:$E,MATCH($A17,'Table 10'!$B:$B,0),1)</f>
        <v>27.560859694419744</v>
      </c>
      <c r="L17" s="55">
        <f>'Table 2A BaseLoad'!L35-INDEX('Table 10'!$E:$E,MATCH($A17,'Table 10'!$B:$B,0),1)</f>
        <v>24.536264425169136</v>
      </c>
      <c r="M17" s="56">
        <f>'Table 2A BaseLoad'!M35-INDEX('Table 10'!$E:$E,MATCH($A17,'Table 10'!$B:$B,0),1)</f>
        <v>30.689553080785377</v>
      </c>
    </row>
    <row r="18" spans="1:24" ht="12.75" customHeight="1" x14ac:dyDescent="0.2">
      <c r="A18" s="53">
        <f t="shared" si="0"/>
        <v>2024</v>
      </c>
      <c r="B18" s="54">
        <f>'Table 2A BaseLoad'!B36-INDEX('Table 10'!$E:$E,MATCH($A18,'Table 10'!$B:$B,0),1)</f>
        <v>28.668165945657396</v>
      </c>
      <c r="C18" s="55">
        <f>'Table 2A BaseLoad'!C36-INDEX('Table 10'!$E:$E,MATCH($A18,'Table 10'!$B:$B,0),1)</f>
        <v>27.541052496750439</v>
      </c>
      <c r="D18" s="55">
        <f>'Table 2A BaseLoad'!D36-INDEX('Table 10'!$E:$E,MATCH($A18,'Table 10'!$B:$B,0),1)</f>
        <v>23.682603873935701</v>
      </c>
      <c r="E18" s="55">
        <f>'Table 2A BaseLoad'!E36-INDEX('Table 10'!$E:$E,MATCH($A18,'Table 10'!$B:$B,0),1)</f>
        <v>21.303732384697067</v>
      </c>
      <c r="F18" s="56">
        <f>'Table 2A BaseLoad'!F36-INDEX('Table 10'!$E:$E,MATCH($A18,'Table 10'!$B:$B,0),1)</f>
        <v>23.174360760827241</v>
      </c>
      <c r="G18" s="55">
        <f>'Table 2A BaseLoad'!G36-INDEX('Table 10'!$E:$E,MATCH($A18,'Table 10'!$B:$B,0),1)</f>
        <v>21.36227933743395</v>
      </c>
      <c r="H18" s="55">
        <f>'Table 2A BaseLoad'!H36-INDEX('Table 10'!$E:$E,MATCH($A18,'Table 10'!$B:$B,0),1)</f>
        <v>42.834461556332371</v>
      </c>
      <c r="I18" s="55">
        <f>'Table 2A BaseLoad'!I36-INDEX('Table 10'!$E:$E,MATCH($A18,'Table 10'!$B:$B,0),1)</f>
        <v>34.647932045328034</v>
      </c>
      <c r="J18" s="56">
        <f>'Table 2A BaseLoad'!J36-INDEX('Table 10'!$E:$E,MATCH($A18,'Table 10'!$B:$B,0),1)</f>
        <v>34.761057580154421</v>
      </c>
      <c r="K18" s="55">
        <f>'Table 2A BaseLoad'!K36-INDEX('Table 10'!$E:$E,MATCH($A18,'Table 10'!$B:$B,0),1)</f>
        <v>27.113526456707451</v>
      </c>
      <c r="L18" s="55">
        <f>'Table 2A BaseLoad'!L36-INDEX('Table 10'!$E:$E,MATCH($A18,'Table 10'!$B:$B,0),1)</f>
        <v>24.250353811485635</v>
      </c>
      <c r="M18" s="56">
        <f>'Table 2A BaseLoad'!M36-INDEX('Table 10'!$E:$E,MATCH($A18,'Table 10'!$B:$B,0),1)</f>
        <v>32.426676393769867</v>
      </c>
    </row>
    <row r="19" spans="1:24" ht="12.75" customHeight="1" x14ac:dyDescent="0.2">
      <c r="A19" s="53">
        <f t="shared" si="0"/>
        <v>2025</v>
      </c>
      <c r="B19" s="54">
        <f>'Table 2A BaseLoad'!B37-INDEX('Table 10'!$E:$E,MATCH($A19,'Table 10'!$B:$B,0),1)</f>
        <v>31.234897841979127</v>
      </c>
      <c r="C19" s="55">
        <f>'Table 2A BaseLoad'!C37-INDEX('Table 10'!$E:$E,MATCH($A19,'Table 10'!$B:$B,0),1)</f>
        <v>60.545009183409178</v>
      </c>
      <c r="D19" s="55">
        <f>'Table 2A BaseLoad'!D37-INDEX('Table 10'!$E:$E,MATCH($A19,'Table 10'!$B:$B,0),1)</f>
        <v>23.853904907994714</v>
      </c>
      <c r="E19" s="55">
        <f>'Table 2A BaseLoad'!E37-INDEX('Table 10'!$E:$E,MATCH($A19,'Table 10'!$B:$B,0),1)</f>
        <v>22.217449304278833</v>
      </c>
      <c r="F19" s="56">
        <f>'Table 2A BaseLoad'!F37-INDEX('Table 10'!$E:$E,MATCH($A19,'Table 10'!$B:$B,0),1)</f>
        <v>23.591380092587119</v>
      </c>
      <c r="G19" s="55">
        <f>'Table 2A BaseLoad'!G37-INDEX('Table 10'!$E:$E,MATCH($A19,'Table 10'!$B:$B,0),1)</f>
        <v>23.771976855232786</v>
      </c>
      <c r="H19" s="55">
        <f>'Table 2A BaseLoad'!H37-INDEX('Table 10'!$E:$E,MATCH($A19,'Table 10'!$B:$B,0),1)</f>
        <v>44.000114414172458</v>
      </c>
      <c r="I19" s="55">
        <f>'Table 2A BaseLoad'!I37-INDEX('Table 10'!$E:$E,MATCH($A19,'Table 10'!$B:$B,0),1)</f>
        <v>34.685865590102303</v>
      </c>
      <c r="J19" s="56">
        <f>'Table 2A BaseLoad'!J37-INDEX('Table 10'!$E:$E,MATCH($A19,'Table 10'!$B:$B,0),1)</f>
        <v>28.649466769543135</v>
      </c>
      <c r="K19" s="55">
        <f>'Table 2A BaseLoad'!K37-INDEX('Table 10'!$E:$E,MATCH($A19,'Table 10'!$B:$B,0),1)</f>
        <v>30.319163064623524</v>
      </c>
      <c r="L19" s="55">
        <f>'Table 2A BaseLoad'!L37-INDEX('Table 10'!$E:$E,MATCH($A19,'Table 10'!$B:$B,0),1)</f>
        <v>25.947732607205765</v>
      </c>
      <c r="M19" s="56">
        <f>'Table 2A BaseLoad'!M37-INDEX('Table 10'!$E:$E,MATCH($A19,'Table 10'!$B:$B,0),1)</f>
        <v>31.025560487975223</v>
      </c>
    </row>
    <row r="20" spans="1:24" ht="12.75" customHeight="1" x14ac:dyDescent="0.2">
      <c r="A20" s="53">
        <f t="shared" si="0"/>
        <v>2026</v>
      </c>
      <c r="B20" s="54">
        <f>'Table 2A BaseLoad'!B38-INDEX('Table 10'!$E:$E,MATCH($A20,'Table 10'!$B:$B,0),1)</f>
        <v>28.726528565963932</v>
      </c>
      <c r="C20" s="55">
        <f>'Table 2A BaseLoad'!C38-INDEX('Table 10'!$E:$E,MATCH($A20,'Table 10'!$B:$B,0),1)</f>
        <v>27.494827306555063</v>
      </c>
      <c r="D20" s="55">
        <f>'Table 2A BaseLoad'!D38-INDEX('Table 10'!$E:$E,MATCH($A20,'Table 10'!$B:$B,0),1)</f>
        <v>25.479853203852628</v>
      </c>
      <c r="E20" s="55">
        <f>'Table 2A BaseLoad'!E38-INDEX('Table 10'!$E:$E,MATCH($A20,'Table 10'!$B:$B,0),1)</f>
        <v>24.515520505503051</v>
      </c>
      <c r="F20" s="56">
        <f>'Table 2A BaseLoad'!F38-INDEX('Table 10'!$E:$E,MATCH($A20,'Table 10'!$B:$B,0),1)</f>
        <v>25.438867907361573</v>
      </c>
      <c r="G20" s="55">
        <f>'Table 2A BaseLoad'!G38-INDEX('Table 10'!$E:$E,MATCH($A20,'Table 10'!$B:$B,0),1)</f>
        <v>25.071066406536449</v>
      </c>
      <c r="H20" s="55">
        <f>'Table 2A BaseLoad'!H38-INDEX('Table 10'!$E:$E,MATCH($A20,'Table 10'!$B:$B,0),1)</f>
        <v>45.917092503800433</v>
      </c>
      <c r="I20" s="55">
        <f>'Table 2A BaseLoad'!I38-INDEX('Table 10'!$E:$E,MATCH($A20,'Table 10'!$B:$B,0),1)</f>
        <v>36.855910737250831</v>
      </c>
      <c r="J20" s="56">
        <f>'Table 2A BaseLoad'!J38-INDEX('Table 10'!$E:$E,MATCH($A20,'Table 10'!$B:$B,0),1)</f>
        <v>28.402827162610247</v>
      </c>
      <c r="K20" s="55">
        <f>'Table 2A BaseLoad'!K38-INDEX('Table 10'!$E:$E,MATCH($A20,'Table 10'!$B:$B,0),1)</f>
        <v>29.458240572440172</v>
      </c>
      <c r="L20" s="55">
        <f>'Table 2A BaseLoad'!L38-INDEX('Table 10'!$E:$E,MATCH($A20,'Table 10'!$B:$B,0),1)</f>
        <v>26.189544556048791</v>
      </c>
      <c r="M20" s="56">
        <f>'Table 2A BaseLoad'!M38-INDEX('Table 10'!$E:$E,MATCH($A20,'Table 10'!$B:$B,0),1)</f>
        <v>28.966258967461187</v>
      </c>
    </row>
    <row r="21" spans="1:24" ht="12.75" customHeight="1" x14ac:dyDescent="0.2">
      <c r="A21" s="53">
        <f t="shared" si="0"/>
        <v>2027</v>
      </c>
      <c r="B21" s="54">
        <f>'Table 2A BaseLoad'!B39-INDEX('Table 10'!$E:$E,MATCH($A21,'Table 10'!$B:$B,0),1)</f>
        <v>32.442503860811428</v>
      </c>
      <c r="C21" s="55">
        <f>'Table 2A BaseLoad'!C39-INDEX('Table 10'!$E:$E,MATCH($A21,'Table 10'!$B:$B,0),1)</f>
        <v>33.119147629470874</v>
      </c>
      <c r="D21" s="55">
        <f>'Table 2A BaseLoad'!D39-INDEX('Table 10'!$E:$E,MATCH($A21,'Table 10'!$B:$B,0),1)</f>
        <v>29.312914908433761</v>
      </c>
      <c r="E21" s="55">
        <f>'Table 2A BaseLoad'!E39-INDEX('Table 10'!$E:$E,MATCH($A21,'Table 10'!$B:$B,0),1)</f>
        <v>28.504764891436082</v>
      </c>
      <c r="F21" s="56">
        <f>'Table 2A BaseLoad'!F39-INDEX('Table 10'!$E:$E,MATCH($A21,'Table 10'!$B:$B,0),1)</f>
        <v>30.188832944537886</v>
      </c>
      <c r="G21" s="55">
        <f>'Table 2A BaseLoad'!G39-INDEX('Table 10'!$E:$E,MATCH($A21,'Table 10'!$B:$B,0),1)</f>
        <v>29.642349407731025</v>
      </c>
      <c r="H21" s="55">
        <f>'Table 2A BaseLoad'!H39-INDEX('Table 10'!$E:$E,MATCH($A21,'Table 10'!$B:$B,0),1)</f>
        <v>51.365649110374243</v>
      </c>
      <c r="I21" s="55">
        <f>'Table 2A BaseLoad'!I39-INDEX('Table 10'!$E:$E,MATCH($A21,'Table 10'!$B:$B,0),1)</f>
        <v>46.698246575907532</v>
      </c>
      <c r="J21" s="56">
        <f>'Table 2A BaseLoad'!J39-INDEX('Table 10'!$E:$E,MATCH($A21,'Table 10'!$B:$B,0),1)</f>
        <v>36.238181361810049</v>
      </c>
      <c r="K21" s="55">
        <f>'Table 2A BaseLoad'!K39-INDEX('Table 10'!$E:$E,MATCH($A21,'Table 10'!$B:$B,0),1)</f>
        <v>35.804849840333326</v>
      </c>
      <c r="L21" s="55">
        <f>'Table 2A BaseLoad'!L39-INDEX('Table 10'!$E:$E,MATCH($A21,'Table 10'!$B:$B,0),1)</f>
        <v>32.911793820342844</v>
      </c>
      <c r="M21" s="56">
        <f>'Table 2A BaseLoad'!M39-INDEX('Table 10'!$E:$E,MATCH($A21,'Table 10'!$B:$B,0),1)</f>
        <v>42.288857970699283</v>
      </c>
    </row>
    <row r="22" spans="1:24" ht="12.75" customHeight="1" x14ac:dyDescent="0.2">
      <c r="A22" s="53"/>
      <c r="B22" s="54"/>
      <c r="C22" s="55"/>
      <c r="D22" s="55"/>
      <c r="E22" s="55"/>
      <c r="F22" s="56"/>
      <c r="G22" s="55"/>
      <c r="H22" s="55"/>
      <c r="I22" s="55"/>
      <c r="J22" s="56"/>
      <c r="K22" s="55"/>
      <c r="L22" s="55"/>
      <c r="M22" s="56"/>
    </row>
    <row r="23" spans="1:24" ht="12.75" hidden="1" customHeight="1" x14ac:dyDescent="0.2">
      <c r="A23" s="53"/>
      <c r="B23" s="54"/>
      <c r="C23" s="55"/>
      <c r="D23" s="55"/>
      <c r="E23" s="55"/>
      <c r="F23" s="56"/>
      <c r="G23" s="55"/>
      <c r="H23" s="55"/>
      <c r="I23" s="55"/>
      <c r="J23" s="56"/>
      <c r="K23" s="55"/>
      <c r="L23" s="55"/>
      <c r="M23" s="56"/>
    </row>
    <row r="24" spans="1:24" ht="12.75" hidden="1" customHeight="1" x14ac:dyDescent="0.2">
      <c r="A24" s="53"/>
      <c r="B24" s="54"/>
      <c r="C24" s="55"/>
      <c r="D24" s="55"/>
      <c r="E24" s="55"/>
      <c r="F24" s="56"/>
      <c r="G24" s="55"/>
      <c r="H24" s="55"/>
      <c r="I24" s="55"/>
      <c r="J24" s="56"/>
      <c r="K24" s="55"/>
      <c r="L24" s="55"/>
      <c r="M24" s="56"/>
    </row>
    <row r="25" spans="1:24" ht="12.75" hidden="1" customHeight="1" x14ac:dyDescent="0.2">
      <c r="A25" s="57"/>
      <c r="B25" s="58"/>
      <c r="C25" s="59"/>
      <c r="D25" s="59"/>
      <c r="E25" s="59"/>
      <c r="F25" s="60"/>
      <c r="G25" s="59"/>
      <c r="H25" s="59"/>
      <c r="I25" s="59"/>
      <c r="J25" s="60"/>
      <c r="K25" s="59"/>
      <c r="L25" s="59"/>
      <c r="M25" s="60"/>
    </row>
    <row r="26" spans="1:24" ht="12.75" customHeight="1" x14ac:dyDescent="0.2">
      <c r="A26" s="111"/>
      <c r="B26" s="109"/>
      <c r="C26" s="109"/>
      <c r="D26" s="109"/>
      <c r="E26" s="109"/>
      <c r="F26" s="108"/>
      <c r="G26" s="108"/>
      <c r="H26" s="108"/>
      <c r="I26" s="108"/>
      <c r="J26" s="110"/>
      <c r="K26" s="108"/>
      <c r="L26" s="108"/>
      <c r="M26" s="108"/>
    </row>
    <row r="27" spans="1:24" ht="12.75" customHeight="1" x14ac:dyDescent="0.2">
      <c r="A27" s="12" t="s">
        <v>218</v>
      </c>
      <c r="C27" s="40"/>
      <c r="D27" s="40"/>
      <c r="E27" s="40"/>
      <c r="G27" s="40"/>
      <c r="H27" s="40"/>
      <c r="I27" s="40"/>
      <c r="J27" s="48"/>
      <c r="L27" s="40"/>
      <c r="M27" s="37"/>
    </row>
    <row r="28" spans="1:24" ht="12.75" customHeight="1" x14ac:dyDescent="0.2">
      <c r="A28" s="49">
        <f>'Tables 3 to 5'!$B$13</f>
        <v>2016</v>
      </c>
      <c r="B28" s="50"/>
      <c r="C28" s="51"/>
      <c r="D28" s="51"/>
      <c r="E28" s="51"/>
      <c r="F28" s="52">
        <f>'Table 2A BaseLoad'!F46-INDEX('Table 10'!$E:$E,MATCH($A10,'Table 10'!$B:$B,0),1)</f>
        <v>12.153176219266319</v>
      </c>
      <c r="G28" s="51">
        <f>'Table 2A BaseLoad'!G46-INDEX('Table 10'!$E:$E,MATCH($A10,'Table 10'!$B:$B,0),1)</f>
        <v>10.458262789906085</v>
      </c>
      <c r="H28" s="51">
        <f>'Table 2A BaseLoad'!H46-INDEX('Table 10'!$E:$E,MATCH($A10,'Table 10'!$B:$B,0),1)</f>
        <v>15.038205070102855</v>
      </c>
      <c r="I28" s="51">
        <f>'Table 2A BaseLoad'!I46-INDEX('Table 10'!$E:$E,MATCH($A10,'Table 10'!$B:$B,0),1)</f>
        <v>16.410487407741851</v>
      </c>
      <c r="J28" s="52">
        <f>'Table 2A BaseLoad'!J46-INDEX('Table 10'!$E:$E,MATCH($A10,'Table 10'!$B:$B,0),1)</f>
        <v>19.379107903297449</v>
      </c>
      <c r="K28" s="50">
        <f>'Table 2A BaseLoad'!K46-INDEX('Table 10'!$E:$E,MATCH($A10,'Table 10'!$B:$B,0),1)</f>
        <v>15.578378732229945</v>
      </c>
      <c r="L28" s="51">
        <f>'Table 2A BaseLoad'!L46-INDEX('Table 10'!$E:$E,MATCH($A10,'Table 10'!$B:$B,0),1)</f>
        <v>16.313188300442906</v>
      </c>
      <c r="M28" s="52">
        <f>'Table 2A BaseLoad'!M46-INDEX('Table 10'!$E:$E,MATCH($A10,'Table 10'!$B:$B,0),1)</f>
        <v>20.908107628177202</v>
      </c>
    </row>
    <row r="29" spans="1:24" ht="12.75" customHeight="1" x14ac:dyDescent="0.2">
      <c r="A29" s="53">
        <f t="shared" ref="A29:A39" si="1">A28+1</f>
        <v>2017</v>
      </c>
      <c r="B29" s="54">
        <f>'Table 2A BaseLoad'!B47-INDEX('Table 10'!$E:$E,MATCH($A11,'Table 10'!$B:$B,0),1)</f>
        <v>19.147438489258612</v>
      </c>
      <c r="C29" s="55">
        <f>'Table 2A BaseLoad'!C47-INDEX('Table 10'!$E:$E,MATCH($A11,'Table 10'!$B:$B,0),1)</f>
        <v>20.511730715586317</v>
      </c>
      <c r="D29" s="55">
        <f>'Table 2A BaseLoad'!D47-INDEX('Table 10'!$E:$E,MATCH($A11,'Table 10'!$B:$B,0),1)</f>
        <v>17.892753879946607</v>
      </c>
      <c r="E29" s="55">
        <f>'Table 2A BaseLoad'!E47-INDEX('Table 10'!$E:$E,MATCH($A11,'Table 10'!$B:$B,0),1)</f>
        <v>16.572852772616304</v>
      </c>
      <c r="F29" s="55">
        <f>'Table 2A BaseLoad'!F47-INDEX('Table 10'!$E:$E,MATCH($A11,'Table 10'!$B:$B,0),1)</f>
        <v>14.017716898342716</v>
      </c>
      <c r="G29" s="54">
        <f>'Table 2A BaseLoad'!G47-INDEX('Table 10'!$E:$E,MATCH($A11,'Table 10'!$B:$B,0),1)</f>
        <v>12.935036773343965</v>
      </c>
      <c r="H29" s="55">
        <f>'Table 2A BaseLoad'!H47-INDEX('Table 10'!$E:$E,MATCH($A11,'Table 10'!$B:$B,0),1)</f>
        <v>16.358386314763052</v>
      </c>
      <c r="I29" s="55">
        <f>'Table 2A BaseLoad'!I47-INDEX('Table 10'!$E:$E,MATCH($A11,'Table 10'!$B:$B,0),1)</f>
        <v>16.829744413693444</v>
      </c>
      <c r="J29" s="56">
        <f>'Table 2A BaseLoad'!J47-INDEX('Table 10'!$E:$E,MATCH($A11,'Table 10'!$B:$B,0),1)</f>
        <v>16.413239321112275</v>
      </c>
      <c r="K29" s="54">
        <f>'Table 2A BaseLoad'!K47-INDEX('Table 10'!$E:$E,MATCH($A11,'Table 10'!$B:$B,0),1)</f>
        <v>17.06730150491364</v>
      </c>
      <c r="L29" s="55">
        <f>'Table 2A BaseLoad'!L47-INDEX('Table 10'!$E:$E,MATCH($A11,'Table 10'!$B:$B,0),1)</f>
        <v>17.300064770413822</v>
      </c>
      <c r="M29" s="56">
        <f>'Table 2A BaseLoad'!M47-INDEX('Table 10'!$E:$E,MATCH($A11,'Table 10'!$B:$B,0),1)</f>
        <v>19.934795929337529</v>
      </c>
    </row>
    <row r="30" spans="1:24" ht="12.75" customHeight="1" x14ac:dyDescent="0.2">
      <c r="A30" s="53">
        <f t="shared" si="1"/>
        <v>2018</v>
      </c>
      <c r="B30" s="54">
        <f>'Table 2A BaseLoad'!B48-INDEX('Table 10'!$E:$E,MATCH($A12,'Table 10'!$B:$B,0),1)</f>
        <v>19.786228220041032</v>
      </c>
      <c r="C30" s="55">
        <f>'Table 2A BaseLoad'!C48-INDEX('Table 10'!$E:$E,MATCH($A12,'Table 10'!$B:$B,0),1)</f>
        <v>17.798465682244835</v>
      </c>
      <c r="D30" s="55">
        <f>'Table 2A BaseLoad'!D48-INDEX('Table 10'!$E:$E,MATCH($A12,'Table 10'!$B:$B,0),1)</f>
        <v>16.532462237461907</v>
      </c>
      <c r="E30" s="55">
        <f>'Table 2A BaseLoad'!E48-INDEX('Table 10'!$E:$E,MATCH($A12,'Table 10'!$B:$B,0),1)</f>
        <v>14.522472914825238</v>
      </c>
      <c r="F30" s="55">
        <f>'Table 2A BaseLoad'!F48-INDEX('Table 10'!$E:$E,MATCH($A12,'Table 10'!$B:$B,0),1)</f>
        <v>12.463741373806924</v>
      </c>
      <c r="G30" s="54">
        <f>'Table 2A BaseLoad'!G48-INDEX('Table 10'!$E:$E,MATCH($A12,'Table 10'!$B:$B,0),1)</f>
        <v>13.83586457339034</v>
      </c>
      <c r="H30" s="55">
        <f>'Table 2A BaseLoad'!H48-INDEX('Table 10'!$E:$E,MATCH($A12,'Table 10'!$B:$B,0),1)</f>
        <v>19.925092531141743</v>
      </c>
      <c r="I30" s="55">
        <f>'Table 2A BaseLoad'!I48-INDEX('Table 10'!$E:$E,MATCH($A12,'Table 10'!$B:$B,0),1)</f>
        <v>17.447942724502838</v>
      </c>
      <c r="J30" s="56">
        <f>'Table 2A BaseLoad'!J48-INDEX('Table 10'!$E:$E,MATCH($A12,'Table 10'!$B:$B,0),1)</f>
        <v>16.504090882570001</v>
      </c>
      <c r="K30" s="54">
        <f>'Table 2A BaseLoad'!K48-INDEX('Table 10'!$E:$E,MATCH($A12,'Table 10'!$B:$B,0),1)</f>
        <v>18.149455590034201</v>
      </c>
      <c r="L30" s="55">
        <f>'Table 2A BaseLoad'!L48-INDEX('Table 10'!$E:$E,MATCH($A12,'Table 10'!$B:$B,0),1)</f>
        <v>16.693683308838466</v>
      </c>
      <c r="M30" s="56">
        <f>'Table 2A BaseLoad'!M48-INDEX('Table 10'!$E:$E,MATCH($A12,'Table 10'!$B:$B,0),1)</f>
        <v>20.279361206665452</v>
      </c>
      <c r="N30" s="133"/>
      <c r="O30" s="133"/>
      <c r="P30" s="133"/>
      <c r="Q30" s="133"/>
      <c r="R30" s="133"/>
      <c r="S30" s="133"/>
      <c r="T30" s="133"/>
    </row>
    <row r="31" spans="1:24" ht="12.75" customHeight="1" x14ac:dyDescent="0.2">
      <c r="A31" s="53">
        <f t="shared" si="1"/>
        <v>2019</v>
      </c>
      <c r="B31" s="54">
        <f>'Table 2A BaseLoad'!B49-INDEX('Table 10'!$E:$E,MATCH($A13,'Table 10'!$B:$B,0),1)</f>
        <v>15.18629828378449</v>
      </c>
      <c r="C31" s="55">
        <f>'Table 2A BaseLoad'!C49-INDEX('Table 10'!$E:$E,MATCH($A13,'Table 10'!$B:$B,0),1)</f>
        <v>16.376605455051358</v>
      </c>
      <c r="D31" s="55">
        <f>'Table 2A BaseLoad'!D49-INDEX('Table 10'!$E:$E,MATCH($A13,'Table 10'!$B:$B,0),1)</f>
        <v>15.944524307941583</v>
      </c>
      <c r="E31" s="55">
        <f>'Table 2A BaseLoad'!E49-INDEX('Table 10'!$E:$E,MATCH($A13,'Table 10'!$B:$B,0),1)</f>
        <v>12.588592569353995</v>
      </c>
      <c r="F31" s="55">
        <f>'Table 2A BaseLoad'!F49-INDEX('Table 10'!$E:$E,MATCH($A13,'Table 10'!$B:$B,0),1)</f>
        <v>9.6520486674049231</v>
      </c>
      <c r="G31" s="54">
        <f>'Table 2A BaseLoad'!G49-INDEX('Table 10'!$E:$E,MATCH($A13,'Table 10'!$B:$B,0),1)</f>
        <v>9.2360855989627151</v>
      </c>
      <c r="H31" s="55">
        <f>'Table 2A BaseLoad'!H49-INDEX('Table 10'!$E:$E,MATCH($A13,'Table 10'!$B:$B,0),1)</f>
        <v>21.691521478058203</v>
      </c>
      <c r="I31" s="55">
        <f>'Table 2A BaseLoad'!I49-INDEX('Table 10'!$E:$E,MATCH($A13,'Table 10'!$B:$B,0),1)</f>
        <v>18.312900760094561</v>
      </c>
      <c r="J31" s="56">
        <f>'Table 2A BaseLoad'!J49-INDEX('Table 10'!$E:$E,MATCH($A13,'Table 10'!$B:$B,0),1)</f>
        <v>14.837516912470567</v>
      </c>
      <c r="K31" s="54">
        <f>'Table 2A BaseLoad'!K49-INDEX('Table 10'!$E:$E,MATCH($A13,'Table 10'!$B:$B,0),1)</f>
        <v>16.793234264815649</v>
      </c>
      <c r="L31" s="55">
        <f>'Table 2A BaseLoad'!L49-INDEX('Table 10'!$E:$E,MATCH($A13,'Table 10'!$B:$B,0),1)</f>
        <v>14.665733688431603</v>
      </c>
      <c r="M31" s="56">
        <f>'Table 2A BaseLoad'!M49-INDEX('Table 10'!$E:$E,MATCH($A13,'Table 10'!$B:$B,0),1)</f>
        <v>18.749707573246848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2.75" customHeight="1" x14ac:dyDescent="0.2">
      <c r="A32" s="53">
        <f t="shared" si="1"/>
        <v>2020</v>
      </c>
      <c r="B32" s="54">
        <f>'Table 2A BaseLoad'!B50-INDEX('Table 10'!$E:$E,MATCH($A14,'Table 10'!$B:$B,0),1)</f>
        <v>16.642732258473714</v>
      </c>
      <c r="C32" s="55">
        <f>'Table 2A BaseLoad'!C50-INDEX('Table 10'!$E:$E,MATCH($A14,'Table 10'!$B:$B,0),1)</f>
        <v>18.547741765134901</v>
      </c>
      <c r="D32" s="55">
        <f>'Table 2A BaseLoad'!D50-INDEX('Table 10'!$E:$E,MATCH($A14,'Table 10'!$B:$B,0),1)</f>
        <v>13.886089186784517</v>
      </c>
      <c r="E32" s="55">
        <f>'Table 2A BaseLoad'!E50-INDEX('Table 10'!$E:$E,MATCH($A14,'Table 10'!$B:$B,0),1)</f>
        <v>11.988671181227987</v>
      </c>
      <c r="F32" s="55">
        <f>'Table 2A BaseLoad'!F50-INDEX('Table 10'!$E:$E,MATCH($A14,'Table 10'!$B:$B,0),1)</f>
        <v>10.050500882501954</v>
      </c>
      <c r="G32" s="54">
        <f>'Table 2A BaseLoad'!G50-INDEX('Table 10'!$E:$E,MATCH($A14,'Table 10'!$B:$B,0),1)</f>
        <v>9.9221414535893508</v>
      </c>
      <c r="H32" s="55">
        <f>'Table 2A BaseLoad'!H50-INDEX('Table 10'!$E:$E,MATCH($A14,'Table 10'!$B:$B,0),1)</f>
        <v>20.147104748110593</v>
      </c>
      <c r="I32" s="55">
        <f>'Table 2A BaseLoad'!I50-INDEX('Table 10'!$E:$E,MATCH($A14,'Table 10'!$B:$B,0),1)</f>
        <v>16.191120013677107</v>
      </c>
      <c r="J32" s="56">
        <f>'Table 2A BaseLoad'!J50-INDEX('Table 10'!$E:$E,MATCH($A14,'Table 10'!$B:$B,0),1)</f>
        <v>12.895907613942688</v>
      </c>
      <c r="K32" s="54">
        <f>'Table 2A BaseLoad'!K50-INDEX('Table 10'!$E:$E,MATCH($A14,'Table 10'!$B:$B,0),1)</f>
        <v>17.343751927585789</v>
      </c>
      <c r="L32" s="55">
        <f>'Table 2A BaseLoad'!L50-INDEX('Table 10'!$E:$E,MATCH($A14,'Table 10'!$B:$B,0),1)</f>
        <v>16.226337322767144</v>
      </c>
      <c r="M32" s="56">
        <f>'Table 2A BaseLoad'!M50-INDEX('Table 10'!$E:$E,MATCH($A14,'Table 10'!$B:$B,0),1)</f>
        <v>21.481396201936889</v>
      </c>
      <c r="N32" s="133"/>
      <c r="O32" s="133"/>
      <c r="P32" s="133"/>
      <c r="Q32" s="133"/>
      <c r="R32" s="133"/>
      <c r="S32" s="133"/>
      <c r="T32" s="133"/>
    </row>
    <row r="33" spans="1:20" ht="12.75" customHeight="1" x14ac:dyDescent="0.2">
      <c r="A33" s="53">
        <f t="shared" si="1"/>
        <v>2021</v>
      </c>
      <c r="B33" s="54">
        <f>'Table 2A BaseLoad'!B51-INDEX('Table 10'!$E:$E,MATCH($A15,'Table 10'!$B:$B,0),1)</f>
        <v>19.412057253198299</v>
      </c>
      <c r="C33" s="55">
        <f>'Table 2A BaseLoad'!C51-INDEX('Table 10'!$E:$E,MATCH($A15,'Table 10'!$B:$B,0),1)</f>
        <v>18.470545810282374</v>
      </c>
      <c r="D33" s="55">
        <f>'Table 2A BaseLoad'!D51-INDEX('Table 10'!$E:$E,MATCH($A15,'Table 10'!$B:$B,0),1)</f>
        <v>17.00361753628324</v>
      </c>
      <c r="E33" s="55">
        <f>'Table 2A BaseLoad'!E51-INDEX('Table 10'!$E:$E,MATCH($A15,'Table 10'!$B:$B,0),1)</f>
        <v>13.115811619304413</v>
      </c>
      <c r="F33" s="55">
        <f>'Table 2A BaseLoad'!F51-INDEX('Table 10'!$E:$E,MATCH($A15,'Table 10'!$B:$B,0),1)</f>
        <v>11.335494438129526</v>
      </c>
      <c r="G33" s="54">
        <f>'Table 2A BaseLoad'!G51-INDEX('Table 10'!$E:$E,MATCH($A15,'Table 10'!$B:$B,0),1)</f>
        <v>11.060978825413976</v>
      </c>
      <c r="H33" s="55">
        <f>'Table 2A BaseLoad'!H51-INDEX('Table 10'!$E:$E,MATCH($A15,'Table 10'!$B:$B,0),1)</f>
        <v>21.959171182972309</v>
      </c>
      <c r="I33" s="55">
        <f>'Table 2A BaseLoad'!I51-INDEX('Table 10'!$E:$E,MATCH($A15,'Table 10'!$B:$B,0),1)</f>
        <v>18.703458668741259</v>
      </c>
      <c r="J33" s="56">
        <f>'Table 2A BaseLoad'!J51-INDEX('Table 10'!$E:$E,MATCH($A15,'Table 10'!$B:$B,0),1)</f>
        <v>14.443277205934745</v>
      </c>
      <c r="K33" s="54">
        <f>'Table 2A BaseLoad'!K51-INDEX('Table 10'!$E:$E,MATCH($A15,'Table 10'!$B:$B,0),1)</f>
        <v>19.185347839197753</v>
      </c>
      <c r="L33" s="55">
        <f>'Table 2A BaseLoad'!L51-INDEX('Table 10'!$E:$E,MATCH($A15,'Table 10'!$B:$B,0),1)</f>
        <v>18.188741855599844</v>
      </c>
      <c r="M33" s="56">
        <f>'Table 2A BaseLoad'!M51-INDEX('Table 10'!$E:$E,MATCH($A15,'Table 10'!$B:$B,0),1)</f>
        <v>22.67670390772377</v>
      </c>
      <c r="N33" s="133"/>
      <c r="O33" s="133"/>
      <c r="P33" s="133"/>
      <c r="Q33" s="133"/>
      <c r="R33" s="133"/>
      <c r="S33" s="133"/>
      <c r="T33" s="133"/>
    </row>
    <row r="34" spans="1:20" ht="12.75" customHeight="1" x14ac:dyDescent="0.2">
      <c r="A34" s="53">
        <f t="shared" si="1"/>
        <v>2022</v>
      </c>
      <c r="B34" s="54">
        <f>'Table 2A BaseLoad'!B52-INDEX('Table 10'!$E:$E,MATCH($A16,'Table 10'!$B:$B,0),1)</f>
        <v>20.411903023880882</v>
      </c>
      <c r="C34" s="55">
        <f>'Table 2A BaseLoad'!C52-INDEX('Table 10'!$E:$E,MATCH($A16,'Table 10'!$B:$B,0),1)</f>
        <v>18.495478438894544</v>
      </c>
      <c r="D34" s="55">
        <f>'Table 2A BaseLoad'!D52-INDEX('Table 10'!$E:$E,MATCH($A16,'Table 10'!$B:$B,0),1)</f>
        <v>17.572689895815596</v>
      </c>
      <c r="E34" s="55">
        <f>'Table 2A BaseLoad'!E52-INDEX('Table 10'!$E:$E,MATCH($A16,'Table 10'!$B:$B,0),1)</f>
        <v>13.986025418650561</v>
      </c>
      <c r="F34" s="55">
        <f>'Table 2A BaseLoad'!F52-INDEX('Table 10'!$E:$E,MATCH($A16,'Table 10'!$B:$B,0),1)</f>
        <v>13.486259773468117</v>
      </c>
      <c r="G34" s="54">
        <f>'Table 2A BaseLoad'!G52-INDEX('Table 10'!$E:$E,MATCH($A16,'Table 10'!$B:$B,0),1)</f>
        <v>12.710903355159111</v>
      </c>
      <c r="H34" s="55">
        <f>'Table 2A BaseLoad'!H52-INDEX('Table 10'!$E:$E,MATCH($A16,'Table 10'!$B:$B,0),1)</f>
        <v>26.418822032204478</v>
      </c>
      <c r="I34" s="55">
        <f>'Table 2A BaseLoad'!I52-INDEX('Table 10'!$E:$E,MATCH($A16,'Table 10'!$B:$B,0),1)</f>
        <v>19.916462454855694</v>
      </c>
      <c r="J34" s="56">
        <f>'Table 2A BaseLoad'!J52-INDEX('Table 10'!$E:$E,MATCH($A16,'Table 10'!$B:$B,0),1)</f>
        <v>16.492276873414585</v>
      </c>
      <c r="K34" s="54">
        <f>'Table 2A BaseLoad'!K52-INDEX('Table 10'!$E:$E,MATCH($A16,'Table 10'!$B:$B,0),1)</f>
        <v>22.601408611434557</v>
      </c>
      <c r="L34" s="55">
        <f>'Table 2A BaseLoad'!L52-INDEX('Table 10'!$E:$E,MATCH($A16,'Table 10'!$B:$B,0),1)</f>
        <v>16.569382464807724</v>
      </c>
      <c r="M34" s="56">
        <f>'Table 2A BaseLoad'!M52-INDEX('Table 10'!$E:$E,MATCH($A16,'Table 10'!$B:$B,0),1)</f>
        <v>26.531728377826873</v>
      </c>
      <c r="N34" s="133"/>
      <c r="O34" s="133"/>
      <c r="P34" s="133"/>
      <c r="Q34" s="133"/>
      <c r="R34" s="133"/>
      <c r="S34" s="133"/>
      <c r="T34" s="133"/>
    </row>
    <row r="35" spans="1:20" ht="12.75" customHeight="1" x14ac:dyDescent="0.2">
      <c r="A35" s="53">
        <f t="shared" si="1"/>
        <v>2023</v>
      </c>
      <c r="B35" s="54">
        <f>'Table 2A BaseLoad'!B53-INDEX('Table 10'!$E:$E,MATCH($A17,'Table 10'!$B:$B,0),1)</f>
        <v>23.546488902844292</v>
      </c>
      <c r="C35" s="55">
        <f>'Table 2A BaseLoad'!C53-INDEX('Table 10'!$E:$E,MATCH($A17,'Table 10'!$B:$B,0),1)</f>
        <v>19.70536378885069</v>
      </c>
      <c r="D35" s="55">
        <f>'Table 2A BaseLoad'!D53-INDEX('Table 10'!$E:$E,MATCH($A17,'Table 10'!$B:$B,0),1)</f>
        <v>19.777673179744347</v>
      </c>
      <c r="E35" s="55">
        <f>'Table 2A BaseLoad'!E53-INDEX('Table 10'!$E:$E,MATCH($A17,'Table 10'!$B:$B,0),1)</f>
        <v>16.981013213635659</v>
      </c>
      <c r="F35" s="55">
        <f>'Table 2A BaseLoad'!F53-INDEX('Table 10'!$E:$E,MATCH($A17,'Table 10'!$B:$B,0),1)</f>
        <v>18.171155965015576</v>
      </c>
      <c r="G35" s="54">
        <f>'Table 2A BaseLoad'!G53-INDEX('Table 10'!$E:$E,MATCH($A17,'Table 10'!$B:$B,0),1)</f>
        <v>16.69081976374158</v>
      </c>
      <c r="H35" s="55">
        <f>'Table 2A BaseLoad'!H53-INDEX('Table 10'!$E:$E,MATCH($A17,'Table 10'!$B:$B,0),1)</f>
        <v>30.300551928365447</v>
      </c>
      <c r="I35" s="55">
        <f>'Table 2A BaseLoad'!I53-INDEX('Table 10'!$E:$E,MATCH($A17,'Table 10'!$B:$B,0),1)</f>
        <v>13.509831630846627</v>
      </c>
      <c r="J35" s="56">
        <f>'Table 2A BaseLoad'!J53-INDEX('Table 10'!$E:$E,MATCH($A17,'Table 10'!$B:$B,0),1)</f>
        <v>29.302699011431066</v>
      </c>
      <c r="K35" s="54">
        <f>'Table 2A BaseLoad'!K53-INDEX('Table 10'!$E:$E,MATCH($A17,'Table 10'!$B:$B,0),1)</f>
        <v>25.450385249704922</v>
      </c>
      <c r="L35" s="55">
        <f>'Table 2A BaseLoad'!L53-INDEX('Table 10'!$E:$E,MATCH($A17,'Table 10'!$B:$B,0),1)</f>
        <v>22.500822387213237</v>
      </c>
      <c r="M35" s="56">
        <f>'Table 2A BaseLoad'!M53-INDEX('Table 10'!$E:$E,MATCH($A17,'Table 10'!$B:$B,0),1)</f>
        <v>28.883290184802441</v>
      </c>
      <c r="N35" s="133"/>
      <c r="O35" s="133"/>
      <c r="P35" s="133"/>
      <c r="Q35" s="133"/>
      <c r="R35" s="133"/>
      <c r="S35" s="133"/>
      <c r="T35" s="133"/>
    </row>
    <row r="36" spans="1:20" ht="12.75" customHeight="1" x14ac:dyDescent="0.2">
      <c r="A36" s="53">
        <f t="shared" si="1"/>
        <v>2024</v>
      </c>
      <c r="B36" s="54">
        <f>'Table 2A BaseLoad'!B54-INDEX('Table 10'!$E:$E,MATCH($A18,'Table 10'!$B:$B,0),1)</f>
        <v>25.943446428030551</v>
      </c>
      <c r="C36" s="55">
        <f>'Table 2A BaseLoad'!C54-INDEX('Table 10'!$E:$E,MATCH($A18,'Table 10'!$B:$B,0),1)</f>
        <v>24.934422961982431</v>
      </c>
      <c r="D36" s="55">
        <f>'Table 2A BaseLoad'!D54-INDEX('Table 10'!$E:$E,MATCH($A18,'Table 10'!$B:$B,0),1)</f>
        <v>22.050133411906685</v>
      </c>
      <c r="E36" s="55">
        <f>'Table 2A BaseLoad'!E54-INDEX('Table 10'!$E:$E,MATCH($A18,'Table 10'!$B:$B,0),1)</f>
        <v>19.873768648028413</v>
      </c>
      <c r="F36" s="55">
        <f>'Table 2A BaseLoad'!F54-INDEX('Table 10'!$E:$E,MATCH($A18,'Table 10'!$B:$B,0),1)</f>
        <v>20.988101170048527</v>
      </c>
      <c r="G36" s="54">
        <f>'Table 2A BaseLoad'!G54-INDEX('Table 10'!$E:$E,MATCH($A18,'Table 10'!$B:$B,0),1)</f>
        <v>19.131489328601944</v>
      </c>
      <c r="H36" s="55">
        <f>'Table 2A BaseLoad'!H54-INDEX('Table 10'!$E:$E,MATCH($A18,'Table 10'!$B:$B,0),1)</f>
        <v>33.106128042621648</v>
      </c>
      <c r="I36" s="55">
        <f>'Table 2A BaseLoad'!I54-INDEX('Table 10'!$E:$E,MATCH($A18,'Table 10'!$B:$B,0),1)</f>
        <v>26.430496960967254</v>
      </c>
      <c r="J36" s="56">
        <f>'Table 2A BaseLoad'!J54-INDEX('Table 10'!$E:$E,MATCH($A18,'Table 10'!$B:$B,0),1)</f>
        <v>28.456932245018454</v>
      </c>
      <c r="K36" s="54">
        <f>'Table 2A BaseLoad'!K54-INDEX('Table 10'!$E:$E,MATCH($A18,'Table 10'!$B:$B,0),1)</f>
        <v>23.989500918638377</v>
      </c>
      <c r="L36" s="55">
        <f>'Table 2A BaseLoad'!L54-INDEX('Table 10'!$E:$E,MATCH($A18,'Table 10'!$B:$B,0),1)</f>
        <v>21.50775646917057</v>
      </c>
      <c r="M36" s="56">
        <f>'Table 2A BaseLoad'!M54-INDEX('Table 10'!$E:$E,MATCH($A18,'Table 10'!$B:$B,0),1)</f>
        <v>29.446042413354505</v>
      </c>
      <c r="N36" s="133"/>
      <c r="O36" s="133"/>
      <c r="P36" s="133"/>
      <c r="Q36" s="133"/>
      <c r="R36" s="133"/>
      <c r="S36" s="133"/>
      <c r="T36" s="133"/>
    </row>
    <row r="37" spans="1:20" ht="12.75" customHeight="1" x14ac:dyDescent="0.2">
      <c r="A37" s="53">
        <f t="shared" si="1"/>
        <v>2025</v>
      </c>
      <c r="B37" s="54">
        <f>'Table 2A BaseLoad'!B55-INDEX('Table 10'!$E:$E,MATCH($A19,'Table 10'!$B:$B,0),1)</f>
        <v>28.2396573967359</v>
      </c>
      <c r="C37" s="55">
        <f>'Table 2A BaseLoad'!C55-INDEX('Table 10'!$E:$E,MATCH($A19,'Table 10'!$B:$B,0),1)</f>
        <v>55.245100878574469</v>
      </c>
      <c r="D37" s="55">
        <f>'Table 2A BaseLoad'!D55-INDEX('Table 10'!$E:$E,MATCH($A19,'Table 10'!$B:$B,0),1)</f>
        <v>22.590386363870618</v>
      </c>
      <c r="E37" s="55">
        <f>'Table 2A BaseLoad'!E55-INDEX('Table 10'!$E:$E,MATCH($A19,'Table 10'!$B:$B,0),1)</f>
        <v>20.207284956064118</v>
      </c>
      <c r="F37" s="55">
        <f>'Table 2A BaseLoad'!F55-INDEX('Table 10'!$E:$E,MATCH($A19,'Table 10'!$B:$B,0),1)</f>
        <v>21.586196982878796</v>
      </c>
      <c r="G37" s="54">
        <f>'Table 2A BaseLoad'!G55-INDEX('Table 10'!$E:$E,MATCH($A19,'Table 10'!$B:$B,0),1)</f>
        <v>20.80678249135353</v>
      </c>
      <c r="H37" s="55">
        <f>'Table 2A BaseLoad'!H55-INDEX('Table 10'!$E:$E,MATCH($A19,'Table 10'!$B:$B,0),1)</f>
        <v>34.053885474916882</v>
      </c>
      <c r="I37" s="55">
        <f>'Table 2A BaseLoad'!I55-INDEX('Table 10'!$E:$E,MATCH($A19,'Table 10'!$B:$B,0),1)</f>
        <v>26.243446496136777</v>
      </c>
      <c r="J37" s="56">
        <f>'Table 2A BaseLoad'!J55-INDEX('Table 10'!$E:$E,MATCH($A19,'Table 10'!$B:$B,0),1)</f>
        <v>22.842663437240489</v>
      </c>
      <c r="K37" s="54">
        <f>'Table 2A BaseLoad'!K55-INDEX('Table 10'!$E:$E,MATCH($A19,'Table 10'!$B:$B,0),1)</f>
        <v>26.751967989505566</v>
      </c>
      <c r="L37" s="55">
        <f>'Table 2A BaseLoad'!L55-INDEX('Table 10'!$E:$E,MATCH($A19,'Table 10'!$B:$B,0),1)</f>
        <v>23.070072276523554</v>
      </c>
      <c r="M37" s="56">
        <f>'Table 2A BaseLoad'!M55-INDEX('Table 10'!$E:$E,MATCH($A19,'Table 10'!$B:$B,0),1)</f>
        <v>27.817343350035816</v>
      </c>
      <c r="N37" s="133"/>
      <c r="O37" s="133"/>
      <c r="P37" s="133"/>
      <c r="Q37" s="133"/>
      <c r="R37" s="133"/>
      <c r="S37" s="133"/>
      <c r="T37" s="133"/>
    </row>
    <row r="38" spans="1:20" ht="12.75" customHeight="1" x14ac:dyDescent="0.2">
      <c r="A38" s="53">
        <f t="shared" si="1"/>
        <v>2026</v>
      </c>
      <c r="B38" s="54">
        <f>'Table 2A BaseLoad'!B56-INDEX('Table 10'!$E:$E,MATCH($A20,'Table 10'!$B:$B,0),1)</f>
        <v>25.848861607860215</v>
      </c>
      <c r="C38" s="55">
        <f>'Table 2A BaseLoad'!C56-INDEX('Table 10'!$E:$E,MATCH($A20,'Table 10'!$B:$B,0),1)</f>
        <v>24.951645789171724</v>
      </c>
      <c r="D38" s="55">
        <f>'Table 2A BaseLoad'!D56-INDEX('Table 10'!$E:$E,MATCH($A20,'Table 10'!$B:$B,0),1)</f>
        <v>24.219835104134365</v>
      </c>
      <c r="E38" s="55">
        <f>'Table 2A BaseLoad'!E56-INDEX('Table 10'!$E:$E,MATCH($A20,'Table 10'!$B:$B,0),1)</f>
        <v>22.688716464359356</v>
      </c>
      <c r="F38" s="55">
        <f>'Table 2A BaseLoad'!F56-INDEX('Table 10'!$E:$E,MATCH($A20,'Table 10'!$B:$B,0),1)</f>
        <v>23.123215873913971</v>
      </c>
      <c r="G38" s="54">
        <f>'Table 2A BaseLoad'!G56-INDEX('Table 10'!$E:$E,MATCH($A20,'Table 10'!$B:$B,0),1)</f>
        <v>21.766280627503914</v>
      </c>
      <c r="H38" s="55">
        <f>'Table 2A BaseLoad'!H56-INDEX('Table 10'!$E:$E,MATCH($A20,'Table 10'!$B:$B,0),1)</f>
        <v>35.624695527693987</v>
      </c>
      <c r="I38" s="55">
        <f>'Table 2A BaseLoad'!I56-INDEX('Table 10'!$E:$E,MATCH($A20,'Table 10'!$B:$B,0),1)</f>
        <v>28.143532976742733</v>
      </c>
      <c r="J38" s="55">
        <f>'Table 2A BaseLoad'!J56-INDEX('Table 10'!$E:$E,MATCH($A20,'Table 10'!$B:$B,0),1)</f>
        <v>22.96431922066439</v>
      </c>
      <c r="K38" s="54">
        <f>'Table 2A BaseLoad'!K56-INDEX('Table 10'!$E:$E,MATCH($A20,'Table 10'!$B:$B,0),1)</f>
        <v>26.200003356570132</v>
      </c>
      <c r="L38" s="55">
        <f>'Table 2A BaseLoad'!L56-INDEX('Table 10'!$E:$E,MATCH($A20,'Table 10'!$B:$B,0),1)</f>
        <v>23.264647659350072</v>
      </c>
      <c r="M38" s="56">
        <f>'Table 2A BaseLoad'!M56-INDEX('Table 10'!$E:$E,MATCH($A20,'Table 10'!$B:$B,0),1)</f>
        <v>26.052900853173931</v>
      </c>
      <c r="N38" s="134"/>
      <c r="O38" s="134"/>
      <c r="P38" s="134"/>
      <c r="Q38" s="134"/>
      <c r="R38" s="134"/>
      <c r="S38" s="134"/>
      <c r="T38" s="134"/>
    </row>
    <row r="39" spans="1:20" ht="12.75" customHeight="1" x14ac:dyDescent="0.2">
      <c r="A39" s="53">
        <f t="shared" si="1"/>
        <v>2027</v>
      </c>
      <c r="B39" s="54">
        <f>'Table 2A BaseLoad'!B57-INDEX('Table 10'!$E:$E,MATCH($A21,'Table 10'!$B:$B,0),1)</f>
        <v>29.758669154531567</v>
      </c>
      <c r="C39" s="55">
        <f>'Table 2A BaseLoad'!C57-INDEX('Table 10'!$E:$E,MATCH($A21,'Table 10'!$B:$B,0),1)</f>
        <v>30.283292046945064</v>
      </c>
      <c r="D39" s="55">
        <f>'Table 2A BaseLoad'!D57-INDEX('Table 10'!$E:$E,MATCH($A21,'Table 10'!$B:$B,0),1)</f>
        <v>28.233260767658876</v>
      </c>
      <c r="E39" s="55">
        <f>'Table 2A BaseLoad'!E57-INDEX('Table 10'!$E:$E,MATCH($A21,'Table 10'!$B:$B,0),1)</f>
        <v>26.231427758385529</v>
      </c>
      <c r="F39" s="55">
        <f>'Table 2A BaseLoad'!F57-INDEX('Table 10'!$E:$E,MATCH($A21,'Table 10'!$B:$B,0),1)</f>
        <v>27.785813869746725</v>
      </c>
      <c r="G39" s="54">
        <f>'Table 2A BaseLoad'!G57-INDEX('Table 10'!$E:$E,MATCH($A21,'Table 10'!$B:$B,0),1)</f>
        <v>26.084310973300902</v>
      </c>
      <c r="H39" s="55">
        <f>'Table 2A BaseLoad'!H57-INDEX('Table 10'!$E:$E,MATCH($A21,'Table 10'!$B:$B,0),1)</f>
        <v>40.548256773151998</v>
      </c>
      <c r="I39" s="55">
        <f>'Table 2A BaseLoad'!I57-INDEX('Table 10'!$E:$E,MATCH($A21,'Table 10'!$B:$B,0),1)</f>
        <v>35.994397452306309</v>
      </c>
      <c r="J39" s="55">
        <f>'Table 2A BaseLoad'!J57-INDEX('Table 10'!$E:$E,MATCH($A21,'Table 10'!$B:$B,0),1)</f>
        <v>29.883547219135608</v>
      </c>
      <c r="K39" s="54">
        <f>'Table 2A BaseLoad'!K57-INDEX('Table 10'!$E:$E,MATCH($A21,'Table 10'!$B:$B,0),1)</f>
        <v>31.917473661609051</v>
      </c>
      <c r="L39" s="55">
        <f>'Table 2A BaseLoad'!L57-INDEX('Table 10'!$E:$E,MATCH($A21,'Table 10'!$B:$B,0),1)</f>
        <v>29.006384894940766</v>
      </c>
      <c r="M39" s="56">
        <f>'Table 2A BaseLoad'!M57-INDEX('Table 10'!$E:$E,MATCH($A21,'Table 10'!$B:$B,0),1)</f>
        <v>38.693350006186854</v>
      </c>
    </row>
    <row r="40" spans="1:20" ht="12.75" customHeight="1" x14ac:dyDescent="0.2">
      <c r="A40" s="53"/>
      <c r="B40" s="54"/>
      <c r="C40" s="55"/>
      <c r="D40" s="55"/>
      <c r="E40" s="55"/>
      <c r="F40" s="55"/>
      <c r="G40" s="54"/>
      <c r="H40" s="55"/>
      <c r="I40" s="55"/>
      <c r="J40" s="55"/>
      <c r="K40" s="54"/>
      <c r="L40" s="55"/>
      <c r="M40" s="56"/>
    </row>
    <row r="41" spans="1:20" ht="12.75" hidden="1" customHeight="1" x14ac:dyDescent="0.2">
      <c r="A41" s="53"/>
      <c r="B41" s="54"/>
      <c r="C41" s="55"/>
      <c r="D41" s="55"/>
      <c r="E41" s="55"/>
      <c r="F41" s="55"/>
      <c r="G41" s="54"/>
      <c r="H41" s="55"/>
      <c r="I41" s="55"/>
      <c r="J41" s="55"/>
      <c r="K41" s="54"/>
      <c r="L41" s="55"/>
      <c r="M41" s="56"/>
    </row>
    <row r="42" spans="1:20" ht="12.75" hidden="1" customHeight="1" x14ac:dyDescent="0.2">
      <c r="A42" s="53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1:20" ht="12.75" hidden="1" customHeight="1" x14ac:dyDescent="0.2">
      <c r="A43" s="5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</row>
    <row r="44" spans="1:20" ht="12.75" customHeight="1" x14ac:dyDescent="0.2">
      <c r="A44" s="111"/>
      <c r="B44" s="109"/>
      <c r="C44" s="109"/>
      <c r="D44" s="109"/>
      <c r="E44" s="109"/>
      <c r="F44" s="108"/>
      <c r="G44" s="108"/>
      <c r="H44" s="108"/>
      <c r="I44" s="108"/>
      <c r="J44" s="110"/>
      <c r="K44" s="108"/>
      <c r="L44" s="108"/>
      <c r="M44" s="108"/>
    </row>
    <row r="45" spans="1:20" ht="12.75" customHeight="1" x14ac:dyDescent="0.2">
      <c r="A45" s="12" t="s">
        <v>219</v>
      </c>
      <c r="C45" s="40"/>
      <c r="D45" s="40"/>
      <c r="E45" s="40"/>
      <c r="G45" s="40"/>
      <c r="H45" s="40"/>
      <c r="I45" s="40"/>
      <c r="J45" s="48"/>
      <c r="L45" s="40"/>
      <c r="M45" s="37"/>
    </row>
    <row r="46" spans="1:20" ht="12.75" customHeight="1" x14ac:dyDescent="0.2">
      <c r="A46" s="49">
        <f>'Tables 3 to 5'!$B$13</f>
        <v>2016</v>
      </c>
      <c r="B46" s="50"/>
      <c r="C46" s="51"/>
      <c r="D46" s="51"/>
      <c r="E46" s="51"/>
      <c r="F46" s="51">
        <f t="shared" ref="F46:G46" si="2">F10*0.56+F28*0.44</f>
        <v>13.719683640978161</v>
      </c>
      <c r="G46" s="50">
        <f t="shared" si="2"/>
        <v>14.019759653972905</v>
      </c>
      <c r="H46" s="51">
        <f t="shared" ref="H46:M57" si="3">H10*0.56+H28*0.44</f>
        <v>21.691463213138807</v>
      </c>
      <c r="I46" s="51">
        <f t="shared" si="3"/>
        <v>21.728423874094105</v>
      </c>
      <c r="J46" s="51">
        <f t="shared" si="3"/>
        <v>21.401804184739305</v>
      </c>
      <c r="K46" s="50">
        <f t="shared" si="3"/>
        <v>16.953025376347902</v>
      </c>
      <c r="L46" s="51">
        <f t="shared" si="3"/>
        <v>17.282166202893801</v>
      </c>
      <c r="M46" s="52">
        <f t="shared" si="3"/>
        <v>21.89084075025211</v>
      </c>
    </row>
    <row r="47" spans="1:20" ht="12.75" customHeight="1" x14ac:dyDescent="0.2">
      <c r="A47" s="53">
        <f t="shared" ref="A47:A57" si="4">A46+1</f>
        <v>2017</v>
      </c>
      <c r="B47" s="54">
        <f t="shared" ref="B47:G57" si="5">B11*0.56+B29*0.44</f>
        <v>20.333253534409806</v>
      </c>
      <c r="C47" s="55">
        <f t="shared" si="5"/>
        <v>21.095649338853853</v>
      </c>
      <c r="D47" s="55">
        <f t="shared" si="5"/>
        <v>19.214025714938199</v>
      </c>
      <c r="E47" s="55">
        <f t="shared" si="5"/>
        <v>19.084123809628402</v>
      </c>
      <c r="F47" s="55">
        <f t="shared" si="5"/>
        <v>16.287450948713662</v>
      </c>
      <c r="G47" s="54">
        <f t="shared" si="5"/>
        <v>16.057583720529387</v>
      </c>
      <c r="H47" s="55">
        <f t="shared" si="3"/>
        <v>20.972306415405267</v>
      </c>
      <c r="I47" s="55">
        <f t="shared" si="3"/>
        <v>21.052725674327846</v>
      </c>
      <c r="J47" s="55">
        <f t="shared" si="3"/>
        <v>18.193596296180054</v>
      </c>
      <c r="K47" s="54">
        <f t="shared" si="3"/>
        <v>18.085735521513136</v>
      </c>
      <c r="L47" s="55">
        <f t="shared" si="3"/>
        <v>18.564379388059535</v>
      </c>
      <c r="M47" s="56">
        <f t="shared" si="3"/>
        <v>20.881979998508044</v>
      </c>
    </row>
    <row r="48" spans="1:20" ht="12.75" customHeight="1" x14ac:dyDescent="0.2">
      <c r="A48" s="53">
        <f t="shared" si="4"/>
        <v>2018</v>
      </c>
      <c r="B48" s="54">
        <f t="shared" si="5"/>
        <v>20.952993281374468</v>
      </c>
      <c r="C48" s="55">
        <f t="shared" si="5"/>
        <v>18.409649557511404</v>
      </c>
      <c r="D48" s="55">
        <f t="shared" si="5"/>
        <v>17.751356552739566</v>
      </c>
      <c r="E48" s="55">
        <f t="shared" si="5"/>
        <v>15.902919117735522</v>
      </c>
      <c r="F48" s="55">
        <f t="shared" si="5"/>
        <v>14.584022329311946</v>
      </c>
      <c r="G48" s="54">
        <f t="shared" si="5"/>
        <v>16.241361515770294</v>
      </c>
      <c r="H48" s="55">
        <f t="shared" si="3"/>
        <v>25.446479844017006</v>
      </c>
      <c r="I48" s="55">
        <f t="shared" si="3"/>
        <v>21.525678314549214</v>
      </c>
      <c r="J48" s="55">
        <f t="shared" si="3"/>
        <v>19.18759259855333</v>
      </c>
      <c r="K48" s="54">
        <f t="shared" si="3"/>
        <v>19.18641543880501</v>
      </c>
      <c r="L48" s="55">
        <f t="shared" si="3"/>
        <v>17.823749805992321</v>
      </c>
      <c r="M48" s="56">
        <f t="shared" si="3"/>
        <v>21.19442548412453</v>
      </c>
    </row>
    <row r="49" spans="1:13" ht="12.75" customHeight="1" x14ac:dyDescent="0.2">
      <c r="A49" s="53">
        <f t="shared" si="4"/>
        <v>2019</v>
      </c>
      <c r="B49" s="54">
        <f t="shared" si="5"/>
        <v>15.635371817993178</v>
      </c>
      <c r="C49" s="55">
        <f t="shared" si="5"/>
        <v>17.166040796179821</v>
      </c>
      <c r="D49" s="55">
        <f t="shared" si="5"/>
        <v>16.511173687523616</v>
      </c>
      <c r="E49" s="55">
        <f t="shared" si="5"/>
        <v>15.54502739715938</v>
      </c>
      <c r="F49" s="55">
        <f t="shared" si="5"/>
        <v>15.492952633388036</v>
      </c>
      <c r="G49" s="54">
        <f t="shared" si="5"/>
        <v>15.288507914874337</v>
      </c>
      <c r="H49" s="55">
        <f t="shared" si="3"/>
        <v>26.019538744386683</v>
      </c>
      <c r="I49" s="55">
        <f t="shared" si="3"/>
        <v>21.574921484291366</v>
      </c>
      <c r="J49" s="55">
        <f t="shared" si="3"/>
        <v>18.13272835579188</v>
      </c>
      <c r="K49" s="54">
        <f t="shared" si="3"/>
        <v>17.916878236489943</v>
      </c>
      <c r="L49" s="55">
        <f t="shared" si="3"/>
        <v>15.840127998126814</v>
      </c>
      <c r="M49" s="56">
        <f t="shared" si="3"/>
        <v>19.77674253358034</v>
      </c>
    </row>
    <row r="50" spans="1:13" ht="12.75" customHeight="1" x14ac:dyDescent="0.2">
      <c r="A50" s="53">
        <f t="shared" si="4"/>
        <v>2020</v>
      </c>
      <c r="B50" s="54">
        <f t="shared" si="5"/>
        <v>17.785828876137884</v>
      </c>
      <c r="C50" s="55">
        <f t="shared" si="5"/>
        <v>19.944436603468255</v>
      </c>
      <c r="D50" s="55">
        <f t="shared" si="5"/>
        <v>14.790608211334749</v>
      </c>
      <c r="E50" s="55">
        <f t="shared" si="5"/>
        <v>14.149899012754549</v>
      </c>
      <c r="F50" s="55">
        <f t="shared" si="5"/>
        <v>14.477302747036651</v>
      </c>
      <c r="G50" s="54">
        <f t="shared" si="5"/>
        <v>14.726836064207678</v>
      </c>
      <c r="H50" s="55">
        <f t="shared" si="3"/>
        <v>26.298281786813625</v>
      </c>
      <c r="I50" s="55">
        <f t="shared" si="3"/>
        <v>20.784356985062331</v>
      </c>
      <c r="J50" s="55">
        <f t="shared" si="3"/>
        <v>17.408687162390137</v>
      </c>
      <c r="K50" s="54">
        <f t="shared" si="3"/>
        <v>18.326879301205516</v>
      </c>
      <c r="L50" s="55">
        <f t="shared" si="3"/>
        <v>17.345031138542925</v>
      </c>
      <c r="M50" s="56">
        <f t="shared" si="3"/>
        <v>22.460210023663549</v>
      </c>
    </row>
    <row r="51" spans="1:13" ht="12.75" customHeight="1" x14ac:dyDescent="0.2">
      <c r="A51" s="53">
        <f t="shared" si="4"/>
        <v>2021</v>
      </c>
      <c r="B51" s="54">
        <f t="shared" si="5"/>
        <v>20.352079468630937</v>
      </c>
      <c r="C51" s="55">
        <f t="shared" si="5"/>
        <v>19.47343229865151</v>
      </c>
      <c r="D51" s="55">
        <f t="shared" si="5"/>
        <v>17.738761422557204</v>
      </c>
      <c r="E51" s="55">
        <f t="shared" si="5"/>
        <v>15.256321050031666</v>
      </c>
      <c r="F51" s="55">
        <f t="shared" si="5"/>
        <v>15.786098699662865</v>
      </c>
      <c r="G51" s="54">
        <f t="shared" si="5"/>
        <v>15.862338370049441</v>
      </c>
      <c r="H51" s="55">
        <f t="shared" si="3"/>
        <v>28.279851802003797</v>
      </c>
      <c r="I51" s="55">
        <f t="shared" si="3"/>
        <v>23.695073720414552</v>
      </c>
      <c r="J51" s="55">
        <f t="shared" si="3"/>
        <v>19.151569249547201</v>
      </c>
      <c r="K51" s="54">
        <f t="shared" si="3"/>
        <v>19.979697269746318</v>
      </c>
      <c r="L51" s="55">
        <f t="shared" si="3"/>
        <v>19.138715413851692</v>
      </c>
      <c r="M51" s="56">
        <f t="shared" si="3"/>
        <v>23.408922688233091</v>
      </c>
    </row>
    <row r="52" spans="1:13" ht="12.75" customHeight="1" x14ac:dyDescent="0.2">
      <c r="A52" s="53">
        <f t="shared" si="4"/>
        <v>2022</v>
      </c>
      <c r="B52" s="54">
        <f t="shared" si="5"/>
        <v>21.504302710637688</v>
      </c>
      <c r="C52" s="55">
        <f t="shared" si="5"/>
        <v>19.594370693786058</v>
      </c>
      <c r="D52" s="55">
        <f t="shared" si="5"/>
        <v>18.433737440549628</v>
      </c>
      <c r="E52" s="55">
        <f t="shared" si="5"/>
        <v>15.803283293530658</v>
      </c>
      <c r="F52" s="55">
        <f t="shared" si="5"/>
        <v>17.84025241237017</v>
      </c>
      <c r="G52" s="54">
        <f t="shared" si="5"/>
        <v>17.313165646519373</v>
      </c>
      <c r="H52" s="55">
        <f t="shared" si="3"/>
        <v>32.775797480386352</v>
      </c>
      <c r="I52" s="55">
        <f t="shared" si="3"/>
        <v>24.333242991810266</v>
      </c>
      <c r="J52" s="55">
        <f t="shared" si="3"/>
        <v>20.91566662917511</v>
      </c>
      <c r="K52" s="54">
        <f t="shared" si="3"/>
        <v>22.9620250912381</v>
      </c>
      <c r="L52" s="55">
        <f t="shared" si="3"/>
        <v>16.989464955343109</v>
      </c>
      <c r="M52" s="56">
        <f t="shared" si="3"/>
        <v>26.780061151965562</v>
      </c>
    </row>
    <row r="53" spans="1:13" ht="12.75" customHeight="1" x14ac:dyDescent="0.2">
      <c r="A53" s="53">
        <f t="shared" si="4"/>
        <v>2023</v>
      </c>
      <c r="B53" s="54">
        <f t="shared" si="5"/>
        <v>24.915313855563252</v>
      </c>
      <c r="C53" s="55">
        <f t="shared" si="5"/>
        <v>20.96813010307946</v>
      </c>
      <c r="D53" s="55">
        <f t="shared" si="5"/>
        <v>20.849919858497159</v>
      </c>
      <c r="E53" s="55">
        <f t="shared" si="5"/>
        <v>17.395373768909138</v>
      </c>
      <c r="F53" s="55">
        <f t="shared" si="5"/>
        <v>21.146980465756535</v>
      </c>
      <c r="G53" s="54">
        <f t="shared" si="5"/>
        <v>19.743443265558</v>
      </c>
      <c r="H53" s="55">
        <f t="shared" si="3"/>
        <v>36.31019046158525</v>
      </c>
      <c r="I53" s="55">
        <f t="shared" si="3"/>
        <v>16.187979723335889</v>
      </c>
      <c r="J53" s="55">
        <f t="shared" si="3"/>
        <v>34.695854271009431</v>
      </c>
      <c r="K53" s="54">
        <f t="shared" si="3"/>
        <v>26.632250938745223</v>
      </c>
      <c r="L53" s="55">
        <f t="shared" si="3"/>
        <v>23.64066992846854</v>
      </c>
      <c r="M53" s="56">
        <f t="shared" si="3"/>
        <v>29.894797406552886</v>
      </c>
    </row>
    <row r="54" spans="1:13" ht="12.75" customHeight="1" x14ac:dyDescent="0.2">
      <c r="A54" s="53">
        <f t="shared" si="4"/>
        <v>2024</v>
      </c>
      <c r="B54" s="54">
        <f t="shared" si="5"/>
        <v>27.469289357901587</v>
      </c>
      <c r="C54" s="55">
        <f t="shared" si="5"/>
        <v>26.394135501452517</v>
      </c>
      <c r="D54" s="55">
        <f t="shared" si="5"/>
        <v>22.964316870642936</v>
      </c>
      <c r="E54" s="55">
        <f t="shared" si="5"/>
        <v>20.674548340562858</v>
      </c>
      <c r="F54" s="55">
        <f t="shared" si="5"/>
        <v>22.212406540884608</v>
      </c>
      <c r="G54" s="54">
        <f t="shared" si="5"/>
        <v>20.380731733547869</v>
      </c>
      <c r="H54" s="55">
        <f t="shared" si="3"/>
        <v>38.553994810299656</v>
      </c>
      <c r="I54" s="55">
        <f t="shared" si="3"/>
        <v>31.032260608209292</v>
      </c>
      <c r="J54" s="55">
        <f t="shared" si="3"/>
        <v>31.9872424326946</v>
      </c>
      <c r="K54" s="54">
        <f t="shared" si="3"/>
        <v>25.738955219957059</v>
      </c>
      <c r="L54" s="55">
        <f t="shared" si="3"/>
        <v>23.043610980867008</v>
      </c>
      <c r="M54" s="56">
        <f t="shared" si="3"/>
        <v>31.11519744238711</v>
      </c>
    </row>
    <row r="55" spans="1:13" ht="12.75" customHeight="1" x14ac:dyDescent="0.2">
      <c r="A55" s="53">
        <f t="shared" si="4"/>
        <v>2025</v>
      </c>
      <c r="B55" s="54">
        <f t="shared" si="5"/>
        <v>29.91699204607211</v>
      </c>
      <c r="C55" s="55">
        <f t="shared" si="5"/>
        <v>58.213049529281911</v>
      </c>
      <c r="D55" s="55">
        <f t="shared" si="5"/>
        <v>23.297956748580113</v>
      </c>
      <c r="E55" s="55">
        <f t="shared" si="5"/>
        <v>21.33297699106436</v>
      </c>
      <c r="F55" s="55">
        <f t="shared" si="5"/>
        <v>22.709099524315459</v>
      </c>
      <c r="G55" s="54">
        <f t="shared" si="5"/>
        <v>22.467291335125914</v>
      </c>
      <c r="H55" s="55">
        <f t="shared" si="3"/>
        <v>39.623773680900008</v>
      </c>
      <c r="I55" s="55">
        <f t="shared" si="3"/>
        <v>30.971201188757476</v>
      </c>
      <c r="J55" s="55">
        <f t="shared" si="3"/>
        <v>26.094473303329973</v>
      </c>
      <c r="K55" s="54">
        <f t="shared" si="3"/>
        <v>28.749597231571627</v>
      </c>
      <c r="L55" s="55">
        <f t="shared" si="3"/>
        <v>24.681562061705591</v>
      </c>
      <c r="M55" s="56">
        <f t="shared" si="3"/>
        <v>29.613944947281887</v>
      </c>
    </row>
    <row r="56" spans="1:13" ht="12.75" customHeight="1" x14ac:dyDescent="0.2">
      <c r="A56" s="53">
        <f t="shared" si="4"/>
        <v>2026</v>
      </c>
      <c r="B56" s="54">
        <f t="shared" si="5"/>
        <v>27.460355104398296</v>
      </c>
      <c r="C56" s="55">
        <f t="shared" si="5"/>
        <v>26.375827438906395</v>
      </c>
      <c r="D56" s="55">
        <f t="shared" si="5"/>
        <v>24.925445239976593</v>
      </c>
      <c r="E56" s="55">
        <f t="shared" si="5"/>
        <v>23.711726727399828</v>
      </c>
      <c r="F56" s="55">
        <f t="shared" si="5"/>
        <v>24.419981012644627</v>
      </c>
      <c r="G56" s="54">
        <f t="shared" si="5"/>
        <v>23.616960663762136</v>
      </c>
      <c r="H56" s="55">
        <f t="shared" si="3"/>
        <v>41.388437834313599</v>
      </c>
      <c r="I56" s="55">
        <f t="shared" si="3"/>
        <v>33.022464522627267</v>
      </c>
      <c r="J56" s="55">
        <f t="shared" si="3"/>
        <v>26.009883668154075</v>
      </c>
      <c r="K56" s="54">
        <f t="shared" si="3"/>
        <v>28.024616197457355</v>
      </c>
      <c r="L56" s="55">
        <f t="shared" si="3"/>
        <v>24.902589921501356</v>
      </c>
      <c r="M56" s="56">
        <f t="shared" si="3"/>
        <v>27.684381397174796</v>
      </c>
    </row>
    <row r="57" spans="1:13" ht="12.75" customHeight="1" x14ac:dyDescent="0.2">
      <c r="A57" s="53">
        <f t="shared" si="4"/>
        <v>2027</v>
      </c>
      <c r="B57" s="54">
        <f t="shared" si="5"/>
        <v>31.261616590048291</v>
      </c>
      <c r="C57" s="55">
        <f t="shared" si="5"/>
        <v>31.871371173159517</v>
      </c>
      <c r="D57" s="55">
        <f t="shared" si="5"/>
        <v>28.837867086492814</v>
      </c>
      <c r="E57" s="55">
        <f t="shared" si="5"/>
        <v>27.504496552893841</v>
      </c>
      <c r="F57" s="55">
        <f t="shared" si="5"/>
        <v>29.131504551629778</v>
      </c>
      <c r="G57" s="54">
        <f t="shared" si="5"/>
        <v>28.076812496581773</v>
      </c>
      <c r="H57" s="55">
        <f t="shared" si="3"/>
        <v>46.605996481996456</v>
      </c>
      <c r="I57" s="55">
        <f t="shared" si="3"/>
        <v>41.988552961522998</v>
      </c>
      <c r="J57" s="55">
        <f t="shared" si="3"/>
        <v>33.442142339033296</v>
      </c>
      <c r="K57" s="54">
        <f t="shared" si="3"/>
        <v>34.094404321694647</v>
      </c>
      <c r="L57" s="55">
        <f t="shared" si="3"/>
        <v>31.193413893165932</v>
      </c>
      <c r="M57" s="56">
        <f t="shared" si="3"/>
        <v>40.706834466313822</v>
      </c>
    </row>
    <row r="58" spans="1:13" ht="12.75" customHeight="1" x14ac:dyDescent="0.2">
      <c r="A58" s="53"/>
      <c r="B58" s="54"/>
      <c r="C58" s="55"/>
      <c r="D58" s="55"/>
      <c r="E58" s="55"/>
      <c r="F58" s="55"/>
      <c r="G58" s="54"/>
      <c r="H58" s="55"/>
      <c r="I58" s="55"/>
      <c r="J58" s="55"/>
      <c r="K58" s="54"/>
      <c r="L58" s="55"/>
      <c r="M58" s="56"/>
    </row>
    <row r="59" spans="1:13" ht="12.75" hidden="1" customHeight="1" x14ac:dyDescent="0.2">
      <c r="A59" s="53"/>
      <c r="B59" s="54"/>
      <c r="C59" s="55"/>
      <c r="D59" s="55"/>
      <c r="E59" s="55"/>
      <c r="F59" s="55"/>
      <c r="G59" s="54"/>
      <c r="H59" s="55"/>
      <c r="I59" s="55"/>
      <c r="J59" s="55"/>
      <c r="K59" s="54"/>
      <c r="L59" s="55"/>
      <c r="M59" s="56"/>
    </row>
    <row r="60" spans="1:13" ht="12.75" hidden="1" customHeight="1" x14ac:dyDescent="0.2">
      <c r="A60" s="53"/>
      <c r="B60" s="54"/>
      <c r="C60" s="55"/>
      <c r="D60" s="55"/>
      <c r="E60" s="55"/>
      <c r="F60" s="55"/>
      <c r="G60" s="54"/>
      <c r="H60" s="55"/>
      <c r="I60" s="55"/>
      <c r="J60" s="55"/>
      <c r="K60" s="54"/>
      <c r="L60" s="55"/>
      <c r="M60" s="56"/>
    </row>
    <row r="61" spans="1:13" ht="12.75" hidden="1" customHeight="1" x14ac:dyDescent="0.2">
      <c r="A61" s="57"/>
      <c r="B61" s="58"/>
      <c r="C61" s="59"/>
      <c r="D61" s="59"/>
      <c r="E61" s="59"/>
      <c r="F61" s="59"/>
      <c r="G61" s="58"/>
      <c r="H61" s="59"/>
      <c r="I61" s="59"/>
      <c r="J61" s="59"/>
      <c r="K61" s="58"/>
      <c r="L61" s="59"/>
      <c r="M61" s="60"/>
    </row>
    <row r="62" spans="1:13" ht="12.75" customHeight="1" x14ac:dyDescent="0.2">
      <c r="A62" s="108"/>
      <c r="B62" s="109"/>
      <c r="C62" s="109"/>
      <c r="D62" s="109"/>
      <c r="E62" s="108"/>
      <c r="F62" s="108"/>
      <c r="G62" s="108"/>
      <c r="H62" s="108"/>
      <c r="I62" s="108"/>
      <c r="J62" s="108"/>
      <c r="K62" s="110"/>
      <c r="L62" s="108"/>
      <c r="M62" s="108"/>
    </row>
    <row r="63" spans="1:13" ht="12.75" customHeight="1" x14ac:dyDescent="0.2">
      <c r="A63" s="12" t="s">
        <v>65</v>
      </c>
      <c r="C63" s="62"/>
      <c r="D63" s="62"/>
      <c r="K63" s="61"/>
    </row>
    <row r="64" spans="1:13" ht="12.75" customHeight="1" x14ac:dyDescent="0.2">
      <c r="A64" s="63" t="s">
        <v>2</v>
      </c>
      <c r="C64" s="64" t="s">
        <v>56</v>
      </c>
      <c r="D64" s="33"/>
      <c r="E64" s="34"/>
      <c r="F64" s="37"/>
      <c r="G64" s="64" t="s">
        <v>57</v>
      </c>
      <c r="H64" s="33"/>
      <c r="I64" s="34"/>
      <c r="J64" s="37"/>
      <c r="K64" s="64" t="s">
        <v>66</v>
      </c>
      <c r="L64" s="33"/>
      <c r="M64" s="34"/>
    </row>
    <row r="65" spans="1:13" s="37" customFormat="1" ht="12.75" customHeight="1" x14ac:dyDescent="0.2">
      <c r="A65" s="47"/>
      <c r="C65" s="17" t="s">
        <v>78</v>
      </c>
      <c r="D65" s="18" t="s">
        <v>1</v>
      </c>
      <c r="E65" s="18" t="s">
        <v>10</v>
      </c>
      <c r="F65" s="47"/>
      <c r="G65" s="17" t="s">
        <v>78</v>
      </c>
      <c r="H65" s="18" t="s">
        <v>1</v>
      </c>
      <c r="I65" s="18" t="s">
        <v>10</v>
      </c>
      <c r="J65" s="47"/>
      <c r="K65" s="17" t="s">
        <v>78</v>
      </c>
      <c r="L65" s="18" t="s">
        <v>1</v>
      </c>
      <c r="M65" s="18" t="s">
        <v>10</v>
      </c>
    </row>
    <row r="66" spans="1:13" s="37" customFormat="1" ht="12.75" customHeight="1" x14ac:dyDescent="0.2">
      <c r="A66" s="65">
        <f t="shared" ref="A66:A77" si="6">A10</f>
        <v>2016</v>
      </c>
      <c r="C66" s="38">
        <f t="shared" ref="C66:C77" si="7">ROUND(AVERAGE(B10:F10,K10:M10),2)</f>
        <v>18.420000000000002</v>
      </c>
      <c r="D66" s="38">
        <f t="shared" ref="D66:D77" si="8">ROUND(AVERAGE(B28:F28,K28:M28),2)</f>
        <v>16.239999999999998</v>
      </c>
      <c r="E66" s="38">
        <f t="shared" ref="E66:E77" si="9">ROUND(AVERAGE(B46:F46,K46:M46),2)</f>
        <v>17.46</v>
      </c>
      <c r="G66" s="55">
        <f t="shared" ref="G66:G77" si="10">ROUND(AVERAGE(G10:J10),2)</f>
        <v>23.16</v>
      </c>
      <c r="H66" s="55">
        <f t="shared" ref="H66:H77" si="11">ROUND(AVERAGE(G28:J28),2)</f>
        <v>15.32</v>
      </c>
      <c r="I66" s="55">
        <f t="shared" ref="I66:I77" si="12">ROUND(AVERAGE(G46:J46),2)</f>
        <v>19.71</v>
      </c>
      <c r="K66" s="38">
        <f t="shared" ref="K66:K77" si="13">ROUND(AVERAGE(B10:M10),2)</f>
        <v>20.79</v>
      </c>
      <c r="L66" s="38">
        <f t="shared" ref="L66:L77" si="14">ROUND(AVERAGE(B28:M28),2)</f>
        <v>15.78</v>
      </c>
      <c r="M66" s="38">
        <f t="shared" ref="M66:M77" si="15">ROUND(AVERAGE(B46:M46),2)</f>
        <v>18.59</v>
      </c>
    </row>
    <row r="67" spans="1:13" s="37" customFormat="1" ht="12.75" customHeight="1" x14ac:dyDescent="0.2">
      <c r="A67" s="65">
        <f t="shared" si="6"/>
        <v>2017</v>
      </c>
      <c r="C67" s="38">
        <f t="shared" si="7"/>
        <v>20.28</v>
      </c>
      <c r="D67" s="38">
        <f t="shared" si="8"/>
        <v>17.809999999999999</v>
      </c>
      <c r="E67" s="38">
        <f t="shared" si="9"/>
        <v>19.190000000000001</v>
      </c>
      <c r="G67" s="55">
        <f t="shared" si="10"/>
        <v>21.77</v>
      </c>
      <c r="H67" s="55">
        <f t="shared" si="11"/>
        <v>15.63</v>
      </c>
      <c r="I67" s="55">
        <f t="shared" si="12"/>
        <v>19.07</v>
      </c>
      <c r="K67" s="38">
        <f t="shared" si="13"/>
        <v>20.78</v>
      </c>
      <c r="L67" s="38">
        <f t="shared" si="14"/>
        <v>17.079999999999998</v>
      </c>
      <c r="M67" s="38">
        <f t="shared" si="15"/>
        <v>19.149999999999999</v>
      </c>
    </row>
    <row r="68" spans="1:13" s="37" customFormat="1" ht="12.75" customHeight="1" x14ac:dyDescent="0.2">
      <c r="A68" s="65">
        <f t="shared" si="6"/>
        <v>2018</v>
      </c>
      <c r="C68" s="38">
        <f t="shared" si="7"/>
        <v>19.170000000000002</v>
      </c>
      <c r="D68" s="38">
        <f t="shared" si="8"/>
        <v>17.03</v>
      </c>
      <c r="E68" s="38">
        <f t="shared" si="9"/>
        <v>18.23</v>
      </c>
      <c r="G68" s="55">
        <f t="shared" si="10"/>
        <v>23.49</v>
      </c>
      <c r="H68" s="55">
        <f t="shared" si="11"/>
        <v>16.93</v>
      </c>
      <c r="I68" s="55">
        <f t="shared" si="12"/>
        <v>20.6</v>
      </c>
      <c r="K68" s="38">
        <f t="shared" si="13"/>
        <v>20.61</v>
      </c>
      <c r="L68" s="38">
        <f t="shared" si="14"/>
        <v>16.989999999999998</v>
      </c>
      <c r="M68" s="38">
        <f t="shared" si="15"/>
        <v>19.02</v>
      </c>
    </row>
    <row r="69" spans="1:13" s="37" customFormat="1" ht="12.75" customHeight="1" x14ac:dyDescent="0.2">
      <c r="A69" s="65">
        <f t="shared" si="6"/>
        <v>2019</v>
      </c>
      <c r="C69" s="38">
        <f t="shared" si="7"/>
        <v>18.100000000000001</v>
      </c>
      <c r="D69" s="38">
        <f t="shared" si="8"/>
        <v>14.99</v>
      </c>
      <c r="E69" s="38">
        <f t="shared" si="9"/>
        <v>16.739999999999998</v>
      </c>
      <c r="G69" s="55">
        <f t="shared" si="10"/>
        <v>23.58</v>
      </c>
      <c r="H69" s="55">
        <f t="shared" si="11"/>
        <v>16.02</v>
      </c>
      <c r="I69" s="55">
        <f t="shared" si="12"/>
        <v>20.25</v>
      </c>
      <c r="K69" s="38">
        <f t="shared" si="13"/>
        <v>19.93</v>
      </c>
      <c r="L69" s="38">
        <f t="shared" si="14"/>
        <v>15.34</v>
      </c>
      <c r="M69" s="38">
        <f t="shared" si="15"/>
        <v>17.91</v>
      </c>
    </row>
    <row r="70" spans="1:13" s="37" customFormat="1" ht="12.75" customHeight="1" x14ac:dyDescent="0.2">
      <c r="A70" s="65">
        <f t="shared" si="6"/>
        <v>2020</v>
      </c>
      <c r="C70" s="38">
        <f t="shared" si="7"/>
        <v>18.7</v>
      </c>
      <c r="D70" s="38">
        <f t="shared" si="8"/>
        <v>15.77</v>
      </c>
      <c r="E70" s="38">
        <f t="shared" si="9"/>
        <v>17.41</v>
      </c>
      <c r="G70" s="55">
        <f t="shared" si="10"/>
        <v>23.75</v>
      </c>
      <c r="H70" s="55">
        <f t="shared" si="11"/>
        <v>14.79</v>
      </c>
      <c r="I70" s="55">
        <f t="shared" si="12"/>
        <v>19.8</v>
      </c>
      <c r="K70" s="38">
        <f t="shared" si="13"/>
        <v>20.38</v>
      </c>
      <c r="L70" s="38">
        <f t="shared" si="14"/>
        <v>15.44</v>
      </c>
      <c r="M70" s="38">
        <f t="shared" si="15"/>
        <v>18.21</v>
      </c>
    </row>
    <row r="71" spans="1:13" s="37" customFormat="1" ht="12.75" customHeight="1" x14ac:dyDescent="0.2">
      <c r="A71" s="65">
        <f t="shared" si="6"/>
        <v>2021</v>
      </c>
      <c r="C71" s="38">
        <f t="shared" si="7"/>
        <v>20.05</v>
      </c>
      <c r="D71" s="38">
        <f t="shared" si="8"/>
        <v>17.420000000000002</v>
      </c>
      <c r="E71" s="38">
        <f t="shared" si="9"/>
        <v>18.89</v>
      </c>
      <c r="G71" s="55">
        <f t="shared" si="10"/>
        <v>25.84</v>
      </c>
      <c r="H71" s="55">
        <f t="shared" si="11"/>
        <v>16.54</v>
      </c>
      <c r="I71" s="55">
        <f t="shared" si="12"/>
        <v>21.75</v>
      </c>
      <c r="K71" s="38">
        <f t="shared" si="13"/>
        <v>21.98</v>
      </c>
      <c r="L71" s="38">
        <f t="shared" si="14"/>
        <v>17.13</v>
      </c>
      <c r="M71" s="38">
        <f t="shared" si="15"/>
        <v>19.84</v>
      </c>
    </row>
    <row r="72" spans="1:13" s="37" customFormat="1" ht="12.75" customHeight="1" x14ac:dyDescent="0.2">
      <c r="A72" s="65">
        <f t="shared" si="6"/>
        <v>2022</v>
      </c>
      <c r="C72" s="38">
        <f t="shared" si="7"/>
        <v>21</v>
      </c>
      <c r="D72" s="38">
        <f t="shared" si="8"/>
        <v>18.71</v>
      </c>
      <c r="E72" s="38">
        <f t="shared" si="9"/>
        <v>19.989999999999998</v>
      </c>
      <c r="G72" s="55">
        <f t="shared" si="10"/>
        <v>27.72</v>
      </c>
      <c r="H72" s="55">
        <f t="shared" si="11"/>
        <v>18.88</v>
      </c>
      <c r="I72" s="55">
        <f t="shared" si="12"/>
        <v>23.83</v>
      </c>
      <c r="K72" s="38">
        <f t="shared" si="13"/>
        <v>23.24</v>
      </c>
      <c r="L72" s="38">
        <f t="shared" si="14"/>
        <v>18.77</v>
      </c>
      <c r="M72" s="38">
        <f t="shared" si="15"/>
        <v>21.27</v>
      </c>
    </row>
    <row r="73" spans="1:13" s="37" customFormat="1" ht="12.75" customHeight="1" x14ac:dyDescent="0.2">
      <c r="A73" s="65">
        <f t="shared" si="6"/>
        <v>2023</v>
      </c>
      <c r="C73" s="38">
        <f t="shared" si="7"/>
        <v>24.2</v>
      </c>
      <c r="D73" s="38">
        <f t="shared" si="8"/>
        <v>21.88</v>
      </c>
      <c r="E73" s="38">
        <f t="shared" si="9"/>
        <v>23.18</v>
      </c>
      <c r="G73" s="55">
        <f t="shared" si="10"/>
        <v>30.1</v>
      </c>
      <c r="H73" s="55">
        <f t="shared" si="11"/>
        <v>22.45</v>
      </c>
      <c r="I73" s="55">
        <f t="shared" si="12"/>
        <v>26.73</v>
      </c>
      <c r="K73" s="38">
        <f t="shared" si="13"/>
        <v>26.17</v>
      </c>
      <c r="L73" s="38">
        <f t="shared" si="14"/>
        <v>22.07</v>
      </c>
      <c r="M73" s="38">
        <f t="shared" si="15"/>
        <v>24.37</v>
      </c>
    </row>
    <row r="74" spans="1:13" s="37" customFormat="1" ht="12.75" customHeight="1" x14ac:dyDescent="0.2">
      <c r="A74" s="65">
        <f t="shared" si="6"/>
        <v>2024</v>
      </c>
      <c r="C74" s="38">
        <f t="shared" si="7"/>
        <v>26.02</v>
      </c>
      <c r="D74" s="38">
        <f t="shared" si="8"/>
        <v>23.59</v>
      </c>
      <c r="E74" s="38">
        <f t="shared" si="9"/>
        <v>24.95</v>
      </c>
      <c r="G74" s="55">
        <f t="shared" si="10"/>
        <v>33.4</v>
      </c>
      <c r="H74" s="55">
        <f t="shared" si="11"/>
        <v>26.78</v>
      </c>
      <c r="I74" s="55">
        <f t="shared" si="12"/>
        <v>30.49</v>
      </c>
      <c r="K74" s="38">
        <f t="shared" si="13"/>
        <v>28.48</v>
      </c>
      <c r="L74" s="38">
        <f t="shared" si="14"/>
        <v>24.65</v>
      </c>
      <c r="M74" s="38">
        <f t="shared" si="15"/>
        <v>26.8</v>
      </c>
    </row>
    <row r="75" spans="1:13" s="37" customFormat="1" ht="12.75" customHeight="1" x14ac:dyDescent="0.2">
      <c r="A75" s="65">
        <f t="shared" si="6"/>
        <v>2025</v>
      </c>
      <c r="C75" s="38">
        <f t="shared" si="7"/>
        <v>31.09</v>
      </c>
      <c r="D75" s="38">
        <f t="shared" si="8"/>
        <v>28.19</v>
      </c>
      <c r="E75" s="38">
        <f t="shared" si="9"/>
        <v>29.81</v>
      </c>
      <c r="G75" s="55">
        <f t="shared" si="10"/>
        <v>32.78</v>
      </c>
      <c r="H75" s="55">
        <f t="shared" si="11"/>
        <v>25.99</v>
      </c>
      <c r="I75" s="55">
        <f t="shared" si="12"/>
        <v>29.79</v>
      </c>
      <c r="K75" s="38">
        <f t="shared" si="13"/>
        <v>31.65</v>
      </c>
      <c r="L75" s="38">
        <f t="shared" si="14"/>
        <v>27.45</v>
      </c>
      <c r="M75" s="38">
        <f t="shared" si="15"/>
        <v>29.81</v>
      </c>
    </row>
    <row r="76" spans="1:13" s="37" customFormat="1" ht="12.75" customHeight="1" x14ac:dyDescent="0.2">
      <c r="A76" s="65">
        <f t="shared" si="6"/>
        <v>2026</v>
      </c>
      <c r="C76" s="38">
        <f t="shared" si="7"/>
        <v>27.03</v>
      </c>
      <c r="D76" s="38">
        <f t="shared" si="8"/>
        <v>24.54</v>
      </c>
      <c r="E76" s="38">
        <f t="shared" si="9"/>
        <v>25.94</v>
      </c>
      <c r="G76" s="55">
        <f t="shared" si="10"/>
        <v>34.06</v>
      </c>
      <c r="H76" s="55">
        <f t="shared" si="11"/>
        <v>27.12</v>
      </c>
      <c r="I76" s="55">
        <f t="shared" si="12"/>
        <v>31.01</v>
      </c>
      <c r="K76" s="38">
        <f t="shared" si="13"/>
        <v>29.38</v>
      </c>
      <c r="L76" s="38">
        <f t="shared" si="14"/>
        <v>25.4</v>
      </c>
      <c r="M76" s="38">
        <f t="shared" si="15"/>
        <v>27.63</v>
      </c>
    </row>
    <row r="77" spans="1:13" s="37" customFormat="1" ht="12.75" customHeight="1" x14ac:dyDescent="0.2">
      <c r="A77" s="65">
        <f t="shared" si="6"/>
        <v>2027</v>
      </c>
      <c r="C77" s="38">
        <f t="shared" si="7"/>
        <v>33.07</v>
      </c>
      <c r="D77" s="38">
        <f t="shared" si="8"/>
        <v>30.24</v>
      </c>
      <c r="E77" s="38">
        <f t="shared" si="9"/>
        <v>31.83</v>
      </c>
      <c r="G77" s="55">
        <f t="shared" si="10"/>
        <v>40.99</v>
      </c>
      <c r="H77" s="55">
        <f t="shared" si="11"/>
        <v>33.130000000000003</v>
      </c>
      <c r="I77" s="55">
        <f t="shared" si="12"/>
        <v>37.53</v>
      </c>
      <c r="K77" s="38">
        <f t="shared" si="13"/>
        <v>35.71</v>
      </c>
      <c r="L77" s="38">
        <f t="shared" si="14"/>
        <v>31.2</v>
      </c>
      <c r="M77" s="38">
        <f t="shared" si="15"/>
        <v>33.729999999999997</v>
      </c>
    </row>
    <row r="78" spans="1:13" s="37" customFormat="1" ht="12.75" customHeight="1" x14ac:dyDescent="0.2">
      <c r="A78" s="65"/>
      <c r="C78" s="38"/>
      <c r="D78" s="38"/>
      <c r="E78" s="38"/>
      <c r="G78" s="55"/>
      <c r="H78" s="55"/>
      <c r="I78" s="55"/>
      <c r="K78" s="38"/>
      <c r="L78" s="38"/>
      <c r="M78" s="38"/>
    </row>
    <row r="79" spans="1:13" s="37" customFormat="1" ht="12.75" customHeight="1" x14ac:dyDescent="0.2">
      <c r="A79" s="65"/>
      <c r="C79" s="38"/>
      <c r="D79" s="38"/>
      <c r="E79" s="38"/>
      <c r="G79" s="55"/>
      <c r="H79" s="55"/>
      <c r="I79" s="55"/>
      <c r="K79" s="38"/>
      <c r="L79" s="38"/>
      <c r="M79" s="38"/>
    </row>
    <row r="80" spans="1:13" s="37" customFormat="1" ht="12.75" hidden="1" customHeight="1" x14ac:dyDescent="0.2">
      <c r="A80" s="66"/>
      <c r="K80" s="61"/>
    </row>
    <row r="81" spans="1:11" s="37" customFormat="1" ht="12.75" hidden="1" customHeight="1" x14ac:dyDescent="0.2">
      <c r="A81" s="66"/>
      <c r="K81" s="61"/>
    </row>
    <row r="82" spans="1:11" s="37" customFormat="1" ht="12.75" customHeight="1" x14ac:dyDescent="0.2">
      <c r="A82" s="35" t="s">
        <v>79</v>
      </c>
      <c r="D82" s="38"/>
      <c r="E82" s="55"/>
      <c r="F82" s="55"/>
      <c r="G82" s="55"/>
      <c r="J82" s="55"/>
      <c r="K82" s="55"/>
    </row>
    <row r="83" spans="1:11" ht="12.75" customHeight="1" x14ac:dyDescent="0.2">
      <c r="A83" s="265" t="s">
        <v>293</v>
      </c>
      <c r="C83" s="67"/>
      <c r="D83" s="38"/>
      <c r="E83" s="55"/>
      <c r="F83" s="55"/>
      <c r="G83" s="55"/>
      <c r="H83" s="37"/>
    </row>
    <row r="84" spans="1:11" ht="12.75" customHeight="1" x14ac:dyDescent="0.2">
      <c r="A84" s="265" t="s">
        <v>294</v>
      </c>
      <c r="C84" s="67"/>
      <c r="D84" s="38"/>
      <c r="E84" s="55"/>
      <c r="F84" s="55"/>
      <c r="G84" s="55"/>
      <c r="H84" s="37"/>
    </row>
    <row r="85" spans="1:11" ht="12.75" customHeight="1" x14ac:dyDescent="0.2">
      <c r="A85" s="212" t="s">
        <v>287</v>
      </c>
      <c r="C85" s="67"/>
      <c r="D85" s="38"/>
      <c r="E85" s="55"/>
      <c r="F85" s="55"/>
      <c r="G85" s="55"/>
      <c r="H85" s="37"/>
    </row>
    <row r="86" spans="1:11" ht="12.75" customHeight="1" x14ac:dyDescent="0.2">
      <c r="A86" s="212" t="s">
        <v>296</v>
      </c>
      <c r="C86" s="67"/>
      <c r="D86" s="38"/>
      <c r="E86" s="55"/>
      <c r="F86" s="55"/>
      <c r="G86" s="55"/>
      <c r="H86" s="37"/>
    </row>
    <row r="87" spans="1:11" ht="12.75" customHeight="1" x14ac:dyDescent="0.2">
      <c r="A87" s="212" t="s">
        <v>288</v>
      </c>
      <c r="C87" s="67"/>
      <c r="D87" s="38"/>
      <c r="E87" s="55"/>
      <c r="F87" s="55"/>
      <c r="G87" s="55"/>
      <c r="H87" s="37"/>
    </row>
    <row r="88" spans="1:11" ht="12.75" customHeight="1" x14ac:dyDescent="0.2">
      <c r="A88" s="212" t="s">
        <v>289</v>
      </c>
      <c r="C88" s="67"/>
      <c r="D88" s="38"/>
      <c r="E88" s="55"/>
      <c r="F88" s="55"/>
      <c r="G88" s="55"/>
      <c r="H88" s="37"/>
    </row>
    <row r="89" spans="1:11" ht="12.75" customHeight="1" x14ac:dyDescent="0.2">
      <c r="A89" s="212" t="s">
        <v>296</v>
      </c>
      <c r="C89" s="67"/>
      <c r="D89" s="38"/>
      <c r="E89" s="55"/>
      <c r="F89" s="55"/>
      <c r="G89" s="55"/>
      <c r="H89" s="37"/>
    </row>
    <row r="90" spans="1:11" ht="12.75" customHeight="1" x14ac:dyDescent="0.2">
      <c r="A90" s="35" t="s">
        <v>290</v>
      </c>
      <c r="D90" s="37"/>
      <c r="E90" s="37"/>
      <c r="F90" s="37"/>
      <c r="G90" s="37"/>
    </row>
    <row r="91" spans="1:11" ht="7.5" customHeight="1" x14ac:dyDescent="0.2"/>
    <row r="92" spans="1:11" x14ac:dyDescent="0.2">
      <c r="C92" s="35" t="s">
        <v>128</v>
      </c>
      <c r="D92" s="133"/>
      <c r="H92" s="35" t="s">
        <v>292</v>
      </c>
    </row>
    <row r="93" spans="1:11" x14ac:dyDescent="0.2">
      <c r="C93" s="35" t="s">
        <v>137</v>
      </c>
      <c r="E93" s="495">
        <v>0.158</v>
      </c>
      <c r="H93" s="35" t="str">
        <f>"  "&amp;'Table 10'!$B$1&amp;"  Column "&amp;"(c)"</f>
        <v xml:space="preserve">  Table 10  Column (c)</v>
      </c>
    </row>
    <row r="111" ht="24.75" customHeight="1" x14ac:dyDescent="0.2"/>
  </sheetData>
  <printOptions horizontalCentered="1"/>
  <pageMargins left="0.25" right="0.25" top="0.75" bottom="0.75" header="0.3" footer="0.3"/>
  <pageSetup scale="63" fitToWidth="0" orientation="portrait" r:id="rId1"/>
  <headerFooter alignWithMargins="0">
    <oddFooter>&amp;L&amp;8NPC Group - &amp;F   ( &amp;A )&amp;C &amp;R &amp;8&amp;D  &amp;T</oddFooter>
  </headerFooter>
  <rowBreaks count="1" manualBreakCount="1">
    <brk id="44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11"/>
  <sheetViews>
    <sheetView topLeftCell="A68" zoomScaleNormal="100" workbookViewId="0">
      <selection activeCell="H94" sqref="H94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150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"&amp;MAX(A10:A27)&amp;")"</f>
        <v>Avoided Resource (2016 through 2027)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BaseLoad'!A27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9">
        <f>'Tables 3 to 5'!$B$13</f>
        <v>2016</v>
      </c>
      <c r="B10" s="50"/>
      <c r="C10" s="51"/>
      <c r="D10" s="51"/>
      <c r="E10" s="51"/>
      <c r="F10" s="490">
        <f>'Table 2A BaseLoad'!F28-INDEX('Table 10'!$F:$F,MATCH($A10,'Table 10'!$B:$B,0),1)</f>
        <v>14.921397053747523</v>
      </c>
      <c r="G10" s="491">
        <f>'Table 2A BaseLoad'!G28-INDEX('Table 10'!$F:$F,MATCH($A10,'Table 10'!$B:$B,0),1)</f>
        <v>16.788964771449749</v>
      </c>
      <c r="H10" s="491">
        <f>'Table 2A BaseLoad'!H28-INDEX('Table 10'!$F:$F,MATCH($A10,'Table 10'!$B:$B,0),1)</f>
        <v>26.88990933551997</v>
      </c>
      <c r="I10" s="491">
        <f>'Table 2A BaseLoad'!I28-INDEX('Table 10'!$F:$F,MATCH($A10,'Table 10'!$B:$B,0),1)</f>
        <v>25.877688679080929</v>
      </c>
      <c r="J10" s="490">
        <f>'Table 2A BaseLoad'!J28-INDEX('Table 10'!$F:$F,MATCH($A10,'Table 10'!$B:$B,0),1)</f>
        <v>22.961951701582247</v>
      </c>
      <c r="K10" s="491">
        <f>'Table 2A BaseLoad'!K28-INDEX('Table 10'!$F:$F,MATCH($A10,'Table 10'!$B:$B,0),1)</f>
        <v>18.003991035293499</v>
      </c>
      <c r="L10" s="491">
        <f>'Table 2A BaseLoad'!L28-INDEX('Table 10'!$F:$F,MATCH($A10,'Table 10'!$B:$B,0),1)</f>
        <v>18.014392136243849</v>
      </c>
      <c r="M10" s="490">
        <f>'Table 2A BaseLoad'!M28-INDEX('Table 10'!$F:$F,MATCH($A10,'Table 10'!$B:$B,0),1)</f>
        <v>22.633874356163876</v>
      </c>
    </row>
    <row r="11" spans="1:13" ht="12.75" customHeight="1" x14ac:dyDescent="0.2">
      <c r="A11" s="53">
        <f t="shared" ref="A11:A21" si="0">A10+1</f>
        <v>2017</v>
      </c>
      <c r="B11" s="470">
        <f>'Table 2A BaseLoad'!B29-INDEX('Table 10'!$F:$F,MATCH($A11,'Table 10'!$B:$B,0),1)</f>
        <v>21.235851508452946</v>
      </c>
      <c r="C11" s="471">
        <f>'Table 2A BaseLoad'!C29-INDEX('Table 10'!$F:$F,MATCH($A11,'Table 10'!$B:$B,0),1)</f>
        <v>21.525328695702687</v>
      </c>
      <c r="D11" s="471">
        <f>'Table 2A BaseLoad'!D29-INDEX('Table 10'!$F:$F,MATCH($A11,'Table 10'!$B:$B,0),1)</f>
        <v>20.223054023855934</v>
      </c>
      <c r="E11" s="471">
        <f>'Table 2A BaseLoad'!E29-INDEX('Table 10'!$F:$F,MATCH($A11,'Table 10'!$B:$B,0),1)</f>
        <v>21.028151491562252</v>
      </c>
      <c r="F11" s="472">
        <f>'Table 2A BaseLoad'!F29-INDEX('Table 10'!$F:$F,MATCH($A11,'Table 10'!$B:$B,0),1)</f>
        <v>18.041699569715178</v>
      </c>
      <c r="G11" s="471">
        <f>'Table 2A BaseLoad'!G29-INDEX('Table 10'!$F:$F,MATCH($A11,'Table 10'!$B:$B,0),1)</f>
        <v>18.481899617599414</v>
      </c>
      <c r="H11" s="471">
        <f>'Table 2A BaseLoad'!H29-INDEX('Table 10'!$F:$F,MATCH($A11,'Table 10'!$B:$B,0),1)</f>
        <v>24.568415504477066</v>
      </c>
      <c r="I11" s="471">
        <f>'Table 2A BaseLoad'!I29-INDEX('Table 10'!$F:$F,MATCH($A11,'Table 10'!$B:$B,0),1)</f>
        <v>24.341668531964931</v>
      </c>
      <c r="J11" s="472">
        <f>'Table 2A BaseLoad'!J29-INDEX('Table 10'!$F:$F,MATCH($A11,'Table 10'!$B:$B,0),1)</f>
        <v>19.563334358014796</v>
      </c>
      <c r="K11" s="471">
        <f>'Table 2A BaseLoad'!K29-INDEX('Table 10'!$F:$F,MATCH($A11,'Table 10'!$B:$B,0),1)</f>
        <v>18.856819830265657</v>
      </c>
      <c r="L11" s="471">
        <f>'Table 2A BaseLoad'!L29-INDEX('Table 10'!$F:$F,MATCH($A11,'Table 10'!$B:$B,0),1)</f>
        <v>19.528655597634081</v>
      </c>
      <c r="M11" s="472">
        <f>'Table 2A BaseLoad'!M29-INDEX('Table 10'!$F:$F,MATCH($A11,'Table 10'!$B:$B,0),1)</f>
        <v>21.597082205709217</v>
      </c>
    </row>
    <row r="12" spans="1:13" ht="12.75" customHeight="1" x14ac:dyDescent="0.2">
      <c r="A12" s="53">
        <f t="shared" si="0"/>
        <v>2018</v>
      </c>
      <c r="B12" s="470">
        <f>'Table 2A BaseLoad'!B30-INDEX('Table 10'!$F:$F,MATCH($A12,'Table 10'!$B:$B,0),1)</f>
        <v>21.84062341098937</v>
      </c>
      <c r="C12" s="471">
        <f>'Table 2A BaseLoad'!C30-INDEX('Table 10'!$F:$F,MATCH($A12,'Table 10'!$B:$B,0),1)</f>
        <v>18.860751612359479</v>
      </c>
      <c r="D12" s="471">
        <f>'Table 2A BaseLoad'!D30-INDEX('Table 10'!$F:$F,MATCH($A12,'Table 10'!$B:$B,0),1)</f>
        <v>18.679945381882067</v>
      </c>
      <c r="E12" s="471">
        <f>'Table 2A BaseLoad'!E30-INDEX('Table 10'!$F:$F,MATCH($A12,'Table 10'!$B:$B,0),1)</f>
        <v>16.958441572875085</v>
      </c>
      <c r="F12" s="472">
        <f>'Table 2A BaseLoad'!F30-INDEX('Table 10'!$F:$F,MATCH($A12,'Table 10'!$B:$B,0),1)</f>
        <v>16.220843518633089</v>
      </c>
      <c r="G12" s="471">
        <f>'Table 2A BaseLoad'!G30-INDEX('Table 10'!$F:$F,MATCH($A12,'Table 10'!$B:$B,0),1)</f>
        <v>18.10228098049317</v>
      </c>
      <c r="H12" s="471">
        <f>'Table 2A BaseLoad'!H30-INDEX('Table 10'!$F:$F,MATCH($A12,'Table 10'!$B:$B,0),1)</f>
        <v>29.755598885557625</v>
      </c>
      <c r="I12" s="471">
        <f>'Table 2A BaseLoad'!I30-INDEX('Table 10'!$F:$F,MATCH($A12,'Table 10'!$B:$B,0),1)</f>
        <v>24.700499573867138</v>
      </c>
      <c r="J12" s="472">
        <f>'Table 2A BaseLoad'!J30-INDEX('Table 10'!$F:$F,MATCH($A12,'Table 10'!$B:$B,0),1)</f>
        <v>21.266944385393145</v>
      </c>
      <c r="K12" s="471">
        <f>'Table 2A BaseLoad'!K30-INDEX('Table 10'!$F:$F,MATCH($A12,'Table 10'!$B:$B,0),1)</f>
        <v>19.972055758549278</v>
      </c>
      <c r="L12" s="471">
        <f>'Table 2A BaseLoad'!L30-INDEX('Table 10'!$F:$F,MATCH($A12,'Table 10'!$B:$B,0),1)</f>
        <v>18.682545349466125</v>
      </c>
      <c r="M12" s="472">
        <f>'Table 2A BaseLoad'!M30-INDEX('Table 10'!$F:$F,MATCH($A12,'Table 10'!$B:$B,0),1)</f>
        <v>21.884290712123864</v>
      </c>
    </row>
    <row r="13" spans="1:13" ht="12.75" customHeight="1" x14ac:dyDescent="0.2">
      <c r="A13" s="53">
        <f t="shared" si="0"/>
        <v>2019</v>
      </c>
      <c r="B13" s="470">
        <f>'Table 2A BaseLoad'!B31-INDEX('Table 10'!$F:$F,MATCH($A13,'Table 10'!$B:$B,0),1)</f>
        <v>15.959101462010064</v>
      </c>
      <c r="C13" s="471">
        <f>'Table 2A BaseLoad'!C31-INDEX('Table 10'!$F:$F,MATCH($A13,'Table 10'!$B:$B,0),1)</f>
        <v>17.757197574205097</v>
      </c>
      <c r="D13" s="471">
        <f>'Table 2A BaseLoad'!D31-INDEX('Table 10'!$F:$F,MATCH($A13,'Table 10'!$B:$B,0),1)</f>
        <v>16.927284352905275</v>
      </c>
      <c r="E13" s="471">
        <f>'Table 2A BaseLoad'!E31-INDEX('Table 10'!$F:$F,MATCH($A13,'Table 10'!$B:$B,0),1)</f>
        <v>17.838826629002241</v>
      </c>
      <c r="F13" s="472">
        <f>'Table 2A BaseLoad'!F31-INDEX('Table 10'!$F:$F,MATCH($A13,'Table 10'!$B:$B,0),1)</f>
        <v>20.053120473799108</v>
      </c>
      <c r="G13" s="471">
        <f>'Table 2A BaseLoad'!G31-INDEX('Table 10'!$F:$F,MATCH($A13,'Table 10'!$B:$B,0),1)</f>
        <v>20.014868744514953</v>
      </c>
      <c r="H13" s="471">
        <f>'Table 2A BaseLoad'!H31-INDEX('Table 10'!$F:$F,MATCH($A13,'Table 10'!$B:$B,0),1)</f>
        <v>29.391009892211972</v>
      </c>
      <c r="I13" s="471">
        <f>'Table 2A BaseLoad'!I31-INDEX('Table 10'!$F:$F,MATCH($A13,'Table 10'!$B:$B,0),1)</f>
        <v>24.108823920441765</v>
      </c>
      <c r="J13" s="472">
        <f>'Table 2A BaseLoad'!J31-INDEX('Table 10'!$F:$F,MATCH($A13,'Table 10'!$B:$B,0),1)</f>
        <v>20.692709214111542</v>
      </c>
      <c r="K13" s="471">
        <f>'Table 2A BaseLoad'!K31-INDEX('Table 10'!$F:$F,MATCH($A13,'Table 10'!$B:$B,0),1)</f>
        <v>18.770627509944088</v>
      </c>
      <c r="L13" s="471">
        <f>'Table 2A BaseLoad'!L31-INDEX('Table 10'!$F:$F,MATCH($A13,'Table 10'!$B:$B,0),1)</f>
        <v>16.733752537168822</v>
      </c>
      <c r="M13" s="472">
        <f>'Table 2A BaseLoad'!M31-INDEX('Table 10'!$F:$F,MATCH($A13,'Table 10'!$B:$B,0),1)</f>
        <v>20.554584726695282</v>
      </c>
    </row>
    <row r="14" spans="1:13" ht="12.75" customHeight="1" x14ac:dyDescent="0.2">
      <c r="A14" s="53">
        <f t="shared" si="0"/>
        <v>2020</v>
      </c>
      <c r="B14" s="470">
        <f>'Table 2A BaseLoad'!B32-INDEX('Table 10'!$F:$F,MATCH($A14,'Table 10'!$B:$B,0),1)</f>
        <v>18.654862371441219</v>
      </c>
      <c r="C14" s="471">
        <f>'Table 2A BaseLoad'!C32-INDEX('Table 10'!$F:$F,MATCH($A14,'Table 10'!$B:$B,0),1)</f>
        <v>21.012725843583087</v>
      </c>
      <c r="D14" s="471">
        <f>'Table 2A BaseLoad'!D32-INDEX('Table 10'!$F:$F,MATCH($A14,'Table 10'!$B:$B,0),1)</f>
        <v>15.472187883477133</v>
      </c>
      <c r="E14" s="471">
        <f>'Table 2A BaseLoad'!E32-INDEX('Table 10'!$F:$F,MATCH($A14,'Table 10'!$B:$B,0),1)</f>
        <v>15.818892747521193</v>
      </c>
      <c r="F14" s="472">
        <f>'Table 2A BaseLoad'!F32-INDEX('Table 10'!$F:$F,MATCH($A14,'Table 10'!$B:$B,0),1)</f>
        <v>17.926390364881115</v>
      </c>
      <c r="G14" s="471">
        <f>'Table 2A BaseLoad'!G32-INDEX('Table 10'!$F:$F,MATCH($A14,'Table 10'!$B:$B,0),1)</f>
        <v>18.472839411117846</v>
      </c>
      <c r="H14" s="471">
        <f>'Table 2A BaseLoad'!H32-INDEX('Table 10'!$F:$F,MATCH($A14,'Table 10'!$B:$B,0),1)</f>
        <v>31.10223561293321</v>
      </c>
      <c r="I14" s="471">
        <f>'Table 2A BaseLoad'!I32-INDEX('Table 10'!$F:$F,MATCH($A14,'Table 10'!$B:$B,0),1)</f>
        <v>24.364215044003632</v>
      </c>
      <c r="J14" s="472">
        <f>'Table 2A BaseLoad'!J32-INDEX('Table 10'!$F:$F,MATCH($A14,'Table 10'!$B:$B,0),1)</f>
        <v>20.925328674737475</v>
      </c>
      <c r="K14" s="471">
        <f>'Table 2A BaseLoad'!K32-INDEX('Table 10'!$F:$F,MATCH($A14,'Table 10'!$B:$B,0),1)</f>
        <v>19.070222676188216</v>
      </c>
      <c r="L14" s="471">
        <f>'Table 2A BaseLoad'!L32-INDEX('Table 10'!$F:$F,MATCH($A14,'Table 10'!$B:$B,0),1)</f>
        <v>18.194891003791099</v>
      </c>
      <c r="M14" s="472">
        <f>'Table 2A BaseLoad'!M32-INDEX('Table 10'!$F:$F,MATCH($A14,'Table 10'!$B:$B,0),1)</f>
        <v>23.200164179301694</v>
      </c>
    </row>
    <row r="15" spans="1:13" ht="12.75" customHeight="1" x14ac:dyDescent="0.2">
      <c r="A15" s="53">
        <f t="shared" si="0"/>
        <v>2021</v>
      </c>
      <c r="B15" s="470">
        <f>'Table 2A BaseLoad'!B33-INDEX('Table 10'!$F:$F,MATCH($A15,'Table 10'!$B:$B,0),1)</f>
        <v>21.0612051388723</v>
      </c>
      <c r="C15" s="471">
        <f>'Table 2A BaseLoad'!C33-INDEX('Table 10'!$F:$F,MATCH($A15,'Table 10'!$B:$B,0),1)</f>
        <v>20.231951326200122</v>
      </c>
      <c r="D15" s="471">
        <f>'Table 2A BaseLoad'!D33-INDEX('Table 10'!$F:$F,MATCH($A15,'Table 10'!$B:$B,0),1)</f>
        <v>18.286911262745321</v>
      </c>
      <c r="E15" s="471">
        <f>'Table 2A BaseLoad'!E33-INDEX('Table 10'!$F:$F,MATCH($A15,'Table 10'!$B:$B,0),1)</f>
        <v>16.908686675147372</v>
      </c>
      <c r="F15" s="472">
        <f>'Table 2A BaseLoad'!F33-INDEX('Table 10'!$F:$F,MATCH($A15,'Table 10'!$B:$B,0),1)</f>
        <v>19.25353883469764</v>
      </c>
      <c r="G15" s="471">
        <f>'Table 2A BaseLoad'!G33-INDEX('Table 10'!$F:$F,MATCH($A15,'Table 10'!$B:$B,0),1)</f>
        <v>19.605371941807313</v>
      </c>
      <c r="H15" s="471">
        <f>'Table 2A BaseLoad'!H33-INDEX('Table 10'!$F:$F,MATCH($A15,'Table 10'!$B:$B,0),1)</f>
        <v>33.216637646501397</v>
      </c>
      <c r="I15" s="471">
        <f>'Table 2A BaseLoad'!I33-INDEX('Table 10'!$F:$F,MATCH($A15,'Table 10'!$B:$B,0),1)</f>
        <v>27.587593761987861</v>
      </c>
      <c r="J15" s="472">
        <f>'Table 2A BaseLoad'!J33-INDEX('Table 10'!$F:$F,MATCH($A15,'Table 10'!$B:$B,0),1)</f>
        <v>22.821478356215568</v>
      </c>
      <c r="K15" s="471">
        <f>'Table 2A BaseLoad'!K33-INDEX('Table 10'!$F:$F,MATCH($A15,'Table 10'!$B:$B,0),1)</f>
        <v>20.57436575186448</v>
      </c>
      <c r="L15" s="471">
        <f>'Table 2A BaseLoad'!L33-INDEX('Table 10'!$F:$F,MATCH($A15,'Table 10'!$B:$B,0),1)</f>
        <v>19.855659996308148</v>
      </c>
      <c r="M15" s="472">
        <f>'Table 2A BaseLoad'!M33-INDEX('Table 10'!$F:$F,MATCH($A15,'Table 10'!$B:$B,0),1)</f>
        <v>23.954774231034708</v>
      </c>
    </row>
    <row r="16" spans="1:13" ht="12.75" customHeight="1" x14ac:dyDescent="0.2">
      <c r="A16" s="53">
        <f t="shared" si="0"/>
        <v>2022</v>
      </c>
      <c r="B16" s="470">
        <f>'Table 2A BaseLoad'!B34-INDEX('Table 10'!$F:$F,MATCH($A16,'Table 10'!$B:$B,0),1)</f>
        <v>22.33250534622659</v>
      </c>
      <c r="C16" s="471">
        <f>'Table 2A BaseLoad'!C34-INDEX('Table 10'!$F:$F,MATCH($A16,'Table 10'!$B:$B,0),1)</f>
        <v>20.427674632909373</v>
      </c>
      <c r="D16" s="471">
        <f>'Table 2A BaseLoad'!D34-INDEX('Table 10'!$F:$F,MATCH($A16,'Table 10'!$B:$B,0),1)</f>
        <v>19.080163393120632</v>
      </c>
      <c r="E16" s="471">
        <f>'Table 2A BaseLoad'!E34-INDEX('Table 10'!$F:$F,MATCH($A16,'Table 10'!$B:$B,0),1)</f>
        <v>17.201017362645004</v>
      </c>
      <c r="F16" s="472">
        <f>'Table 2A BaseLoad'!F34-INDEX('Table 10'!$F:$F,MATCH($A16,'Table 10'!$B:$B,0),1)</f>
        <v>21.231135224644621</v>
      </c>
      <c r="G16" s="471">
        <f>'Table 2A BaseLoad'!G34-INDEX('Table 10'!$F:$F,MATCH($A16,'Table 10'!$B:$B,0),1)</f>
        <v>20.89911747143956</v>
      </c>
      <c r="H16" s="471">
        <f>'Table 2A BaseLoad'!H34-INDEX('Table 10'!$F:$F,MATCH($A16,'Table 10'!$B:$B,0),1)</f>
        <v>37.740452499952092</v>
      </c>
      <c r="I16" s="471">
        <f>'Table 2A BaseLoad'!I34-INDEX('Table 10'!$F:$F,MATCH($A16,'Table 10'!$B:$B,0),1)</f>
        <v>27.773459152554551</v>
      </c>
      <c r="J16" s="472">
        <f>'Table 2A BaseLoad'!J34-INDEX('Table 10'!$F:$F,MATCH($A16,'Table 10'!$B:$B,0),1)</f>
        <v>24.36107574755265</v>
      </c>
      <c r="K16" s="471">
        <f>'Table 2A BaseLoad'!K34-INDEX('Table 10'!$F:$F,MATCH($A16,'Table 10'!$B:$B,0),1)</f>
        <v>23.215255207078009</v>
      </c>
      <c r="L16" s="471">
        <f>'Table 2A BaseLoad'!L34-INDEX('Table 10'!$F:$F,MATCH($A16,'Table 10'!$B:$B,0),1)</f>
        <v>17.289418365329468</v>
      </c>
      <c r="M16" s="472">
        <f>'Table 2A BaseLoad'!M34-INDEX('Table 10'!$F:$F,MATCH($A16,'Table 10'!$B:$B,0),1)</f>
        <v>26.945068356211653</v>
      </c>
    </row>
    <row r="17" spans="1:24" ht="12.75" customHeight="1" x14ac:dyDescent="0.2">
      <c r="A17" s="53">
        <f t="shared" si="0"/>
        <v>2023</v>
      </c>
      <c r="B17" s="470">
        <f>'Table 2A BaseLoad'!B35-INDEX('Table 10'!$F:$F,MATCH($A17,'Table 10'!$B:$B,0),1)</f>
        <v>25.959985097854847</v>
      </c>
      <c r="C17" s="471">
        <f>'Table 2A BaseLoad'!C35-INDEX('Table 10'!$F:$F,MATCH($A17,'Table 10'!$B:$B,0),1)</f>
        <v>21.929469557985904</v>
      </c>
      <c r="D17" s="471">
        <f>'Table 2A BaseLoad'!D35-INDEX('Table 10'!$F:$F,MATCH($A17,'Table 10'!$B:$B,0),1)</f>
        <v>21.661565314101075</v>
      </c>
      <c r="E17" s="471">
        <f>'Table 2A BaseLoad'!E35-INDEX('Table 10'!$F:$F,MATCH($A17,'Table 10'!$B:$B,0),1)</f>
        <v>17.690108698922145</v>
      </c>
      <c r="F17" s="472">
        <f>'Table 2A BaseLoad'!F35-INDEX('Table 10'!$F:$F,MATCH($A17,'Table 10'!$B:$B,0),1)</f>
        <v>23.45429421006542</v>
      </c>
      <c r="G17" s="471">
        <f>'Table 2A BaseLoad'!G35-INDEX('Table 10'!$F:$F,MATCH($A17,'Table 10'!$B:$B,0),1)</f>
        <v>22.111099082140463</v>
      </c>
      <c r="H17" s="471">
        <f>'Table 2A BaseLoad'!H35-INDEX('Table 10'!$F:$F,MATCH($A17,'Table 10'!$B:$B,0),1)</f>
        <v>41.001215231413219</v>
      </c>
      <c r="I17" s="471">
        <f>'Table 2A BaseLoad'!I35-INDEX('Table 10'!$F:$F,MATCH($A17,'Table 10'!$B:$B,0),1)</f>
        <v>18.261404861161299</v>
      </c>
      <c r="J17" s="472">
        <f>'Table 2A BaseLoad'!J35-INDEX('Table 10'!$F:$F,MATCH($A17,'Table 10'!$B:$B,0),1)</f>
        <v>38.902499325833418</v>
      </c>
      <c r="K17" s="471">
        <f>'Table 2A BaseLoad'!K35-INDEX('Table 10'!$F:$F,MATCH($A17,'Table 10'!$B:$B,0),1)</f>
        <v>27.530025616717875</v>
      </c>
      <c r="L17" s="471">
        <f>'Table 2A BaseLoad'!L35-INDEX('Table 10'!$F:$F,MATCH($A17,'Table 10'!$B:$B,0),1)</f>
        <v>24.505430347467268</v>
      </c>
      <c r="M17" s="472">
        <f>'Table 2A BaseLoad'!M35-INDEX('Table 10'!$F:$F,MATCH($A17,'Table 10'!$B:$B,0),1)</f>
        <v>30.658719003083508</v>
      </c>
    </row>
    <row r="18" spans="1:24" ht="12.75" customHeight="1" x14ac:dyDescent="0.2">
      <c r="A18" s="53">
        <f t="shared" si="0"/>
        <v>2024</v>
      </c>
      <c r="B18" s="470">
        <f>'Table 2A BaseLoad'!B36-INDEX('Table 10'!$F:$F,MATCH($A18,'Table 10'!$B:$B,0),1)</f>
        <v>28.636591850090685</v>
      </c>
      <c r="C18" s="471">
        <f>'Table 2A BaseLoad'!C36-INDEX('Table 10'!$F:$F,MATCH($A18,'Table 10'!$B:$B,0),1)</f>
        <v>27.509478401183728</v>
      </c>
      <c r="D18" s="471">
        <f>'Table 2A BaseLoad'!D36-INDEX('Table 10'!$F:$F,MATCH($A18,'Table 10'!$B:$B,0),1)</f>
        <v>23.65102977836899</v>
      </c>
      <c r="E18" s="471">
        <f>'Table 2A BaseLoad'!E36-INDEX('Table 10'!$F:$F,MATCH($A18,'Table 10'!$B:$B,0),1)</f>
        <v>21.272158289130356</v>
      </c>
      <c r="F18" s="472">
        <f>'Table 2A BaseLoad'!F36-INDEX('Table 10'!$F:$F,MATCH($A18,'Table 10'!$B:$B,0),1)</f>
        <v>23.14278666526053</v>
      </c>
      <c r="G18" s="471">
        <f>'Table 2A BaseLoad'!G36-INDEX('Table 10'!$F:$F,MATCH($A18,'Table 10'!$B:$B,0),1)</f>
        <v>21.330705241867239</v>
      </c>
      <c r="H18" s="471">
        <f>'Table 2A BaseLoad'!H36-INDEX('Table 10'!$F:$F,MATCH($A18,'Table 10'!$B:$B,0),1)</f>
        <v>42.802887460765653</v>
      </c>
      <c r="I18" s="471">
        <f>'Table 2A BaseLoad'!I36-INDEX('Table 10'!$F:$F,MATCH($A18,'Table 10'!$B:$B,0),1)</f>
        <v>34.616357949761316</v>
      </c>
      <c r="J18" s="472">
        <f>'Table 2A BaseLoad'!J36-INDEX('Table 10'!$F:$F,MATCH($A18,'Table 10'!$B:$B,0),1)</f>
        <v>34.729483484587703</v>
      </c>
      <c r="K18" s="471">
        <f>'Table 2A BaseLoad'!K36-INDEX('Table 10'!$F:$F,MATCH($A18,'Table 10'!$B:$B,0),1)</f>
        <v>27.08195236114074</v>
      </c>
      <c r="L18" s="471">
        <f>'Table 2A BaseLoad'!L36-INDEX('Table 10'!$F:$F,MATCH($A18,'Table 10'!$B:$B,0),1)</f>
        <v>24.218779715918924</v>
      </c>
      <c r="M18" s="472">
        <f>'Table 2A BaseLoad'!M36-INDEX('Table 10'!$F:$F,MATCH($A18,'Table 10'!$B:$B,0),1)</f>
        <v>32.395102298203149</v>
      </c>
    </row>
    <row r="19" spans="1:24" ht="12.75" customHeight="1" x14ac:dyDescent="0.2">
      <c r="A19" s="53">
        <f t="shared" si="0"/>
        <v>2025</v>
      </c>
      <c r="B19" s="470">
        <f>'Table 2A BaseLoad'!B37-INDEX('Table 10'!$F:$F,MATCH($A19,'Table 10'!$B:$B,0),1)</f>
        <v>31.202565968118812</v>
      </c>
      <c r="C19" s="471">
        <f>'Table 2A BaseLoad'!C37-INDEX('Table 10'!$F:$F,MATCH($A19,'Table 10'!$B:$B,0),1)</f>
        <v>60.51267730954887</v>
      </c>
      <c r="D19" s="471">
        <f>'Table 2A BaseLoad'!D37-INDEX('Table 10'!$F:$F,MATCH($A19,'Table 10'!$B:$B,0),1)</f>
        <v>23.821573034134399</v>
      </c>
      <c r="E19" s="471">
        <f>'Table 2A BaseLoad'!E37-INDEX('Table 10'!$F:$F,MATCH($A19,'Table 10'!$B:$B,0),1)</f>
        <v>22.185117430418519</v>
      </c>
      <c r="F19" s="472">
        <f>'Table 2A BaseLoad'!F37-INDEX('Table 10'!$F:$F,MATCH($A19,'Table 10'!$B:$B,0),1)</f>
        <v>23.559048218726804</v>
      </c>
      <c r="G19" s="471">
        <f>'Table 2A BaseLoad'!G37-INDEX('Table 10'!$F:$F,MATCH($A19,'Table 10'!$B:$B,0),1)</f>
        <v>23.739644981372471</v>
      </c>
      <c r="H19" s="471">
        <f>'Table 2A BaseLoad'!H37-INDEX('Table 10'!$F:$F,MATCH($A19,'Table 10'!$B:$B,0),1)</f>
        <v>43.96778254031215</v>
      </c>
      <c r="I19" s="471">
        <f>'Table 2A BaseLoad'!I37-INDEX('Table 10'!$F:$F,MATCH($A19,'Table 10'!$B:$B,0),1)</f>
        <v>34.653533716241995</v>
      </c>
      <c r="J19" s="472">
        <f>'Table 2A BaseLoad'!J37-INDEX('Table 10'!$F:$F,MATCH($A19,'Table 10'!$B:$B,0),1)</f>
        <v>28.61713489568282</v>
      </c>
      <c r="K19" s="471">
        <f>'Table 2A BaseLoad'!K37-INDEX('Table 10'!$F:$F,MATCH($A19,'Table 10'!$B:$B,0),1)</f>
        <v>30.286831190763209</v>
      </c>
      <c r="L19" s="471">
        <f>'Table 2A BaseLoad'!L37-INDEX('Table 10'!$F:$F,MATCH($A19,'Table 10'!$B:$B,0),1)</f>
        <v>25.91540073334545</v>
      </c>
      <c r="M19" s="472">
        <f>'Table 2A BaseLoad'!M37-INDEX('Table 10'!$F:$F,MATCH($A19,'Table 10'!$B:$B,0),1)</f>
        <v>30.993228614114908</v>
      </c>
    </row>
    <row r="20" spans="1:24" ht="16.5" customHeight="1" x14ac:dyDescent="0.2">
      <c r="A20" s="53">
        <f t="shared" si="0"/>
        <v>2026</v>
      </c>
      <c r="B20" s="470">
        <f>'Table 2A BaseLoad'!B38-INDEX('Table 10'!$F:$F,MATCH($A20,'Table 10'!$B:$B,0),1)</f>
        <v>28.69342072713097</v>
      </c>
      <c r="C20" s="471">
        <f>'Table 2A BaseLoad'!C38-INDEX('Table 10'!$F:$F,MATCH($A20,'Table 10'!$B:$B,0),1)</f>
        <v>27.461719467722101</v>
      </c>
      <c r="D20" s="471">
        <f>'Table 2A BaseLoad'!D38-INDEX('Table 10'!$F:$F,MATCH($A20,'Table 10'!$B:$B,0),1)</f>
        <v>25.446745365019666</v>
      </c>
      <c r="E20" s="471">
        <f>'Table 2A BaseLoad'!E38-INDEX('Table 10'!$F:$F,MATCH($A20,'Table 10'!$B:$B,0),1)</f>
        <v>24.48241266667009</v>
      </c>
      <c r="F20" s="472">
        <f>'Table 2A BaseLoad'!F38-INDEX('Table 10'!$F:$F,MATCH($A20,'Table 10'!$B:$B,0),1)</f>
        <v>25.405760068528611</v>
      </c>
      <c r="G20" s="471">
        <f>'Table 2A BaseLoad'!G38-INDEX('Table 10'!$F:$F,MATCH($A20,'Table 10'!$B:$B,0),1)</f>
        <v>25.037958567703487</v>
      </c>
      <c r="H20" s="471">
        <f>'Table 2A BaseLoad'!H38-INDEX('Table 10'!$F:$F,MATCH($A20,'Table 10'!$B:$B,0),1)</f>
        <v>45.883984664967471</v>
      </c>
      <c r="I20" s="471">
        <f>'Table 2A BaseLoad'!I38-INDEX('Table 10'!$F:$F,MATCH($A20,'Table 10'!$B:$B,0),1)</f>
        <v>36.822802898417869</v>
      </c>
      <c r="J20" s="472">
        <f>'Table 2A BaseLoad'!J38-INDEX('Table 10'!$F:$F,MATCH($A20,'Table 10'!$B:$B,0),1)</f>
        <v>28.369719323777286</v>
      </c>
      <c r="K20" s="471">
        <f>'Table 2A BaseLoad'!K38-INDEX('Table 10'!$F:$F,MATCH($A20,'Table 10'!$B:$B,0),1)</f>
        <v>29.42513273360721</v>
      </c>
      <c r="L20" s="471">
        <f>'Table 2A BaseLoad'!L38-INDEX('Table 10'!$F:$F,MATCH($A20,'Table 10'!$B:$B,0),1)</f>
        <v>26.156436717215829</v>
      </c>
      <c r="M20" s="472">
        <f>'Table 2A BaseLoad'!M38-INDEX('Table 10'!$F:$F,MATCH($A20,'Table 10'!$B:$B,0),1)</f>
        <v>28.933151128628225</v>
      </c>
    </row>
    <row r="21" spans="1:24" ht="12.75" customHeight="1" x14ac:dyDescent="0.2">
      <c r="A21" s="53">
        <f t="shared" si="0"/>
        <v>2027</v>
      </c>
      <c r="B21" s="470">
        <f>'Table 2A BaseLoad'!B39-INDEX('Table 10'!$F:$F,MATCH($A21,'Table 10'!$B:$B,0),1)</f>
        <v>32.408634541685309</v>
      </c>
      <c r="C21" s="471">
        <f>'Table 2A BaseLoad'!C39-INDEX('Table 10'!$F:$F,MATCH($A21,'Table 10'!$B:$B,0),1)</f>
        <v>33.085278310344755</v>
      </c>
      <c r="D21" s="471">
        <f>'Table 2A BaseLoad'!D39-INDEX('Table 10'!$F:$F,MATCH($A21,'Table 10'!$B:$B,0),1)</f>
        <v>29.279045589307643</v>
      </c>
      <c r="E21" s="471">
        <f>'Table 2A BaseLoad'!E39-INDEX('Table 10'!$F:$F,MATCH($A21,'Table 10'!$B:$B,0),1)</f>
        <v>28.470895572309963</v>
      </c>
      <c r="F21" s="472">
        <f>'Table 2A BaseLoad'!F39-INDEX('Table 10'!$F:$F,MATCH($A21,'Table 10'!$B:$B,0),1)</f>
        <v>30.154963625411767</v>
      </c>
      <c r="G21" s="471">
        <f>'Table 2A BaseLoad'!G39-INDEX('Table 10'!$F:$F,MATCH($A21,'Table 10'!$B:$B,0),1)</f>
        <v>29.608480088604907</v>
      </c>
      <c r="H21" s="471">
        <f>'Table 2A BaseLoad'!H39-INDEX('Table 10'!$F:$F,MATCH($A21,'Table 10'!$B:$B,0),1)</f>
        <v>51.331779791248124</v>
      </c>
      <c r="I21" s="471">
        <f>'Table 2A BaseLoad'!I39-INDEX('Table 10'!$F:$F,MATCH($A21,'Table 10'!$B:$B,0),1)</f>
        <v>46.664377256781414</v>
      </c>
      <c r="J21" s="472">
        <f>'Table 2A BaseLoad'!J39-INDEX('Table 10'!$F:$F,MATCH($A21,'Table 10'!$B:$B,0),1)</f>
        <v>36.204312042683931</v>
      </c>
      <c r="K21" s="471">
        <f>'Table 2A BaseLoad'!K39-INDEX('Table 10'!$F:$F,MATCH($A21,'Table 10'!$B:$B,0),1)</f>
        <v>35.770980521207207</v>
      </c>
      <c r="L21" s="471">
        <f>'Table 2A BaseLoad'!L39-INDEX('Table 10'!$F:$F,MATCH($A21,'Table 10'!$B:$B,0),1)</f>
        <v>32.877924501216725</v>
      </c>
      <c r="M21" s="472">
        <f>'Table 2A BaseLoad'!M39-INDEX('Table 10'!$F:$F,MATCH($A21,'Table 10'!$B:$B,0),1)</f>
        <v>42.254988651573164</v>
      </c>
    </row>
    <row r="22" spans="1:24" ht="12.75" customHeight="1" x14ac:dyDescent="0.2">
      <c r="A22" s="53"/>
      <c r="B22" s="54"/>
      <c r="C22" s="55"/>
      <c r="D22" s="55"/>
      <c r="E22" s="55"/>
      <c r="F22" s="56"/>
      <c r="G22" s="55"/>
      <c r="H22" s="55"/>
      <c r="I22" s="55"/>
      <c r="J22" s="56"/>
      <c r="K22" s="55"/>
      <c r="L22" s="55"/>
      <c r="M22" s="56"/>
    </row>
    <row r="23" spans="1:24" ht="12.75" hidden="1" customHeight="1" x14ac:dyDescent="0.2">
      <c r="A23" s="53"/>
      <c r="B23" s="54"/>
      <c r="C23" s="55"/>
      <c r="D23" s="55"/>
      <c r="E23" s="55"/>
      <c r="F23" s="56"/>
      <c r="G23" s="55"/>
      <c r="H23" s="55"/>
      <c r="I23" s="55"/>
      <c r="J23" s="56"/>
      <c r="K23" s="55"/>
      <c r="L23" s="55"/>
      <c r="M23" s="56"/>
    </row>
    <row r="24" spans="1:24" ht="12.75" hidden="1" customHeight="1" x14ac:dyDescent="0.2">
      <c r="A24" s="53"/>
      <c r="B24" s="54"/>
      <c r="C24" s="55"/>
      <c r="D24" s="55"/>
      <c r="E24" s="55"/>
      <c r="F24" s="56"/>
      <c r="G24" s="55"/>
      <c r="H24" s="55"/>
      <c r="I24" s="55"/>
      <c r="J24" s="56"/>
      <c r="K24" s="55"/>
      <c r="L24" s="55"/>
      <c r="M24" s="56"/>
    </row>
    <row r="25" spans="1:24" ht="12.75" hidden="1" customHeight="1" x14ac:dyDescent="0.2">
      <c r="A25" s="57"/>
      <c r="B25" s="58"/>
      <c r="C25" s="59"/>
      <c r="D25" s="59"/>
      <c r="E25" s="59"/>
      <c r="F25" s="60"/>
      <c r="G25" s="59"/>
      <c r="H25" s="59"/>
      <c r="I25" s="59"/>
      <c r="J25" s="60"/>
      <c r="K25" s="59"/>
      <c r="L25" s="59"/>
      <c r="M25" s="60"/>
    </row>
    <row r="26" spans="1:24" ht="12.75" customHeight="1" x14ac:dyDescent="0.2">
      <c r="A26" s="111"/>
      <c r="B26" s="109"/>
      <c r="C26" s="109"/>
      <c r="D26" s="109"/>
      <c r="E26" s="109"/>
      <c r="F26" s="108"/>
      <c r="G26" s="108"/>
      <c r="H26" s="108"/>
      <c r="I26" s="108"/>
      <c r="J26" s="110"/>
      <c r="K26" s="108"/>
      <c r="L26" s="108"/>
      <c r="M26" s="108"/>
    </row>
    <row r="27" spans="1:24" ht="12.75" customHeight="1" x14ac:dyDescent="0.2">
      <c r="A27" s="12" t="s">
        <v>218</v>
      </c>
      <c r="C27" s="40"/>
      <c r="D27" s="40"/>
      <c r="E27" s="40"/>
      <c r="G27" s="40"/>
      <c r="H27" s="40"/>
      <c r="I27" s="40"/>
      <c r="J27" s="48"/>
      <c r="L27" s="40"/>
      <c r="M27" s="37"/>
    </row>
    <row r="28" spans="1:24" ht="12.75" customHeight="1" x14ac:dyDescent="0.2">
      <c r="A28" s="49">
        <f>'Tables 3 to 5'!$B$13</f>
        <v>2016</v>
      </c>
      <c r="B28" s="50"/>
      <c r="C28" s="51"/>
      <c r="D28" s="51"/>
      <c r="E28" s="51"/>
      <c r="F28" s="490">
        <f>'Table 2A BaseLoad'!F46-INDEX('Table 10'!$F:$F,MATCH($A28,'Table 10'!$B:$B,0),1)</f>
        <v>12.124062372119237</v>
      </c>
      <c r="G28" s="491">
        <f>'Table 2A BaseLoad'!G46-INDEX('Table 10'!$F:$F,MATCH($A28,'Table 10'!$B:$B,0),1)</f>
        <v>10.429148942759003</v>
      </c>
      <c r="H28" s="491">
        <f>'Table 2A BaseLoad'!H46-INDEX('Table 10'!$F:$F,MATCH($A28,'Table 10'!$B:$B,0),1)</f>
        <v>15.009091222955773</v>
      </c>
      <c r="I28" s="491">
        <f>'Table 2A BaseLoad'!I46-INDEX('Table 10'!$F:$F,MATCH($A28,'Table 10'!$B:$B,0),1)</f>
        <v>16.381373560594767</v>
      </c>
      <c r="J28" s="490">
        <f>'Table 2A BaseLoad'!J46-INDEX('Table 10'!$F:$F,MATCH($A28,'Table 10'!$B:$B,0),1)</f>
        <v>19.349994056150365</v>
      </c>
      <c r="K28" s="491">
        <f>'Table 2A BaseLoad'!K46-INDEX('Table 10'!$F:$F,MATCH($A28,'Table 10'!$B:$B,0),1)</f>
        <v>15.549264885082863</v>
      </c>
      <c r="L28" s="491">
        <f>'Table 2A BaseLoad'!L46-INDEX('Table 10'!$F:$F,MATCH($A28,'Table 10'!$B:$B,0),1)</f>
        <v>16.284074453295823</v>
      </c>
      <c r="M28" s="490">
        <f>'Table 2A BaseLoad'!M46-INDEX('Table 10'!$F:$F,MATCH($A28,'Table 10'!$B:$B,0),1)</f>
        <v>20.878993781030118</v>
      </c>
    </row>
    <row r="29" spans="1:24" ht="12.75" customHeight="1" x14ac:dyDescent="0.2">
      <c r="A29" s="53">
        <f t="shared" ref="A29:A39" si="1">A28+1</f>
        <v>2017</v>
      </c>
      <c r="B29" s="470">
        <f>'Table 2A BaseLoad'!B47-INDEX('Table 10'!$F:$F,MATCH($A29,'Table 10'!$B:$B,0),1)</f>
        <v>19.118324642111528</v>
      </c>
      <c r="C29" s="471">
        <f>'Table 2A BaseLoad'!C47-INDEX('Table 10'!$F:$F,MATCH($A29,'Table 10'!$B:$B,0),1)</f>
        <v>20.482616868439234</v>
      </c>
      <c r="D29" s="471">
        <f>'Table 2A BaseLoad'!D47-INDEX('Table 10'!$F:$F,MATCH($A29,'Table 10'!$B:$B,0),1)</f>
        <v>17.863640032799523</v>
      </c>
      <c r="E29" s="471">
        <f>'Table 2A BaseLoad'!E47-INDEX('Table 10'!$F:$F,MATCH($A29,'Table 10'!$B:$B,0),1)</f>
        <v>16.543738925469221</v>
      </c>
      <c r="F29" s="472">
        <f>'Table 2A BaseLoad'!F47-INDEX('Table 10'!$F:$F,MATCH($A29,'Table 10'!$B:$B,0),1)</f>
        <v>13.988603051195634</v>
      </c>
      <c r="G29" s="471">
        <f>'Table 2A BaseLoad'!G47-INDEX('Table 10'!$F:$F,MATCH($A29,'Table 10'!$B:$B,0),1)</f>
        <v>12.905922926196883</v>
      </c>
      <c r="H29" s="471">
        <f>'Table 2A BaseLoad'!H47-INDEX('Table 10'!$F:$F,MATCH($A29,'Table 10'!$B:$B,0),1)</f>
        <v>16.329272467615969</v>
      </c>
      <c r="I29" s="471">
        <f>'Table 2A BaseLoad'!I47-INDEX('Table 10'!$F:$F,MATCH($A29,'Table 10'!$B:$B,0),1)</f>
        <v>16.80063056654636</v>
      </c>
      <c r="J29" s="472">
        <f>'Table 2A BaseLoad'!J47-INDEX('Table 10'!$F:$F,MATCH($A29,'Table 10'!$B:$B,0),1)</f>
        <v>16.384125473965192</v>
      </c>
      <c r="K29" s="471">
        <f>'Table 2A BaseLoad'!K47-INDEX('Table 10'!$F:$F,MATCH($A29,'Table 10'!$B:$B,0),1)</f>
        <v>17.038187657766557</v>
      </c>
      <c r="L29" s="471">
        <f>'Table 2A BaseLoad'!L47-INDEX('Table 10'!$F:$F,MATCH($A29,'Table 10'!$B:$B,0),1)</f>
        <v>17.270950923266739</v>
      </c>
      <c r="M29" s="472">
        <f>'Table 2A BaseLoad'!M47-INDEX('Table 10'!$F:$F,MATCH($A29,'Table 10'!$B:$B,0),1)</f>
        <v>19.905682082190445</v>
      </c>
    </row>
    <row r="30" spans="1:24" ht="12.75" customHeight="1" x14ac:dyDescent="0.2">
      <c r="A30" s="53">
        <f t="shared" si="1"/>
        <v>2018</v>
      </c>
      <c r="B30" s="470">
        <f>'Table 2A BaseLoad'!B48-INDEX('Table 10'!$F:$F,MATCH($A30,'Table 10'!$B:$B,0),1)</f>
        <v>19.757114372893948</v>
      </c>
      <c r="C30" s="471">
        <f>'Table 2A BaseLoad'!C48-INDEX('Table 10'!$F:$F,MATCH($A30,'Table 10'!$B:$B,0),1)</f>
        <v>17.769351835097751</v>
      </c>
      <c r="D30" s="471">
        <f>'Table 2A BaseLoad'!D48-INDEX('Table 10'!$F:$F,MATCH($A30,'Table 10'!$B:$B,0),1)</f>
        <v>16.503348390314823</v>
      </c>
      <c r="E30" s="471">
        <f>'Table 2A BaseLoad'!E48-INDEX('Table 10'!$F:$F,MATCH($A30,'Table 10'!$B:$B,0),1)</f>
        <v>14.493359067678156</v>
      </c>
      <c r="F30" s="472">
        <f>'Table 2A BaseLoad'!F48-INDEX('Table 10'!$F:$F,MATCH($A30,'Table 10'!$B:$B,0),1)</f>
        <v>12.434627526659842</v>
      </c>
      <c r="G30" s="471">
        <f>'Table 2A BaseLoad'!G48-INDEX('Table 10'!$F:$F,MATCH($A30,'Table 10'!$B:$B,0),1)</f>
        <v>13.806750726243258</v>
      </c>
      <c r="H30" s="471">
        <f>'Table 2A BaseLoad'!H48-INDEX('Table 10'!$F:$F,MATCH($A30,'Table 10'!$B:$B,0),1)</f>
        <v>19.89597868399466</v>
      </c>
      <c r="I30" s="471">
        <f>'Table 2A BaseLoad'!I48-INDEX('Table 10'!$F:$F,MATCH($A30,'Table 10'!$B:$B,0),1)</f>
        <v>17.418828877355754</v>
      </c>
      <c r="J30" s="472">
        <f>'Table 2A BaseLoad'!J48-INDEX('Table 10'!$F:$F,MATCH($A30,'Table 10'!$B:$B,0),1)</f>
        <v>16.474977035422917</v>
      </c>
      <c r="K30" s="471">
        <f>'Table 2A BaseLoad'!K48-INDEX('Table 10'!$F:$F,MATCH($A30,'Table 10'!$B:$B,0),1)</f>
        <v>18.120341742887117</v>
      </c>
      <c r="L30" s="471">
        <f>'Table 2A BaseLoad'!L48-INDEX('Table 10'!$F:$F,MATCH($A30,'Table 10'!$B:$B,0),1)</f>
        <v>16.664569461691382</v>
      </c>
      <c r="M30" s="472">
        <f>'Table 2A BaseLoad'!M48-INDEX('Table 10'!$F:$F,MATCH($A30,'Table 10'!$B:$B,0),1)</f>
        <v>20.250247359518369</v>
      </c>
      <c r="N30" s="133"/>
      <c r="O30" s="133"/>
      <c r="P30" s="133"/>
      <c r="Q30" s="133"/>
      <c r="R30" s="133"/>
      <c r="S30" s="133"/>
      <c r="T30" s="133"/>
    </row>
    <row r="31" spans="1:24" ht="12.75" customHeight="1" x14ac:dyDescent="0.2">
      <c r="A31" s="53">
        <f t="shared" si="1"/>
        <v>2019</v>
      </c>
      <c r="B31" s="470">
        <f>'Table 2A BaseLoad'!B49-INDEX('Table 10'!$F:$F,MATCH($A31,'Table 10'!$B:$B,0),1)</f>
        <v>15.157184436637408</v>
      </c>
      <c r="C31" s="471">
        <f>'Table 2A BaseLoad'!C49-INDEX('Table 10'!$F:$F,MATCH($A31,'Table 10'!$B:$B,0),1)</f>
        <v>16.347491607904274</v>
      </c>
      <c r="D31" s="471">
        <f>'Table 2A BaseLoad'!D49-INDEX('Table 10'!$F:$F,MATCH($A31,'Table 10'!$B:$B,0),1)</f>
        <v>15.915410460794501</v>
      </c>
      <c r="E31" s="471">
        <f>'Table 2A BaseLoad'!E49-INDEX('Table 10'!$F:$F,MATCH($A31,'Table 10'!$B:$B,0),1)</f>
        <v>12.559478722206913</v>
      </c>
      <c r="F31" s="472">
        <f>'Table 2A BaseLoad'!F49-INDEX('Table 10'!$F:$F,MATCH($A31,'Table 10'!$B:$B,0),1)</f>
        <v>9.6229348202578411</v>
      </c>
      <c r="G31" s="471">
        <f>'Table 2A BaseLoad'!G49-INDEX('Table 10'!$F:$F,MATCH($A31,'Table 10'!$B:$B,0),1)</f>
        <v>9.2069717518156331</v>
      </c>
      <c r="H31" s="471">
        <f>'Table 2A BaseLoad'!H49-INDEX('Table 10'!$F:$F,MATCH($A31,'Table 10'!$B:$B,0),1)</f>
        <v>21.662407630911119</v>
      </c>
      <c r="I31" s="471">
        <f>'Table 2A BaseLoad'!I49-INDEX('Table 10'!$F:$F,MATCH($A31,'Table 10'!$B:$B,0),1)</f>
        <v>18.283786912947477</v>
      </c>
      <c r="J31" s="472">
        <f>'Table 2A BaseLoad'!J49-INDEX('Table 10'!$F:$F,MATCH($A31,'Table 10'!$B:$B,0),1)</f>
        <v>14.808403065323485</v>
      </c>
      <c r="K31" s="471">
        <f>'Table 2A BaseLoad'!K49-INDEX('Table 10'!$F:$F,MATCH($A31,'Table 10'!$B:$B,0),1)</f>
        <v>16.764120417668565</v>
      </c>
      <c r="L31" s="471">
        <f>'Table 2A BaseLoad'!L49-INDEX('Table 10'!$F:$F,MATCH($A31,'Table 10'!$B:$B,0),1)</f>
        <v>14.636619841284521</v>
      </c>
      <c r="M31" s="472">
        <f>'Table 2A BaseLoad'!M49-INDEX('Table 10'!$F:$F,MATCH($A31,'Table 10'!$B:$B,0),1)</f>
        <v>18.720593726099764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2.75" customHeight="1" x14ac:dyDescent="0.2">
      <c r="A32" s="53">
        <f t="shared" si="1"/>
        <v>2020</v>
      </c>
      <c r="B32" s="470">
        <f>'Table 2A BaseLoad'!B50-INDEX('Table 10'!$F:$F,MATCH($A32,'Table 10'!$B:$B,0),1)</f>
        <v>16.61361841132663</v>
      </c>
      <c r="C32" s="471">
        <f>'Table 2A BaseLoad'!C50-INDEX('Table 10'!$F:$F,MATCH($A32,'Table 10'!$B:$B,0),1)</f>
        <v>18.518627917987818</v>
      </c>
      <c r="D32" s="471">
        <f>'Table 2A BaseLoad'!D50-INDEX('Table 10'!$F:$F,MATCH($A32,'Table 10'!$B:$B,0),1)</f>
        <v>13.856975339637435</v>
      </c>
      <c r="E32" s="471">
        <f>'Table 2A BaseLoad'!E50-INDEX('Table 10'!$F:$F,MATCH($A32,'Table 10'!$B:$B,0),1)</f>
        <v>11.959557334080905</v>
      </c>
      <c r="F32" s="472">
        <f>'Table 2A BaseLoad'!F50-INDEX('Table 10'!$F:$F,MATCH($A32,'Table 10'!$B:$B,0),1)</f>
        <v>10.021387035354872</v>
      </c>
      <c r="G32" s="471">
        <f>'Table 2A BaseLoad'!G50-INDEX('Table 10'!$F:$F,MATCH($A32,'Table 10'!$B:$B,0),1)</f>
        <v>9.8930276064422689</v>
      </c>
      <c r="H32" s="471">
        <f>'Table 2A BaseLoad'!H50-INDEX('Table 10'!$F:$F,MATCH($A32,'Table 10'!$B:$B,0),1)</f>
        <v>20.117990900963509</v>
      </c>
      <c r="I32" s="471">
        <f>'Table 2A BaseLoad'!I50-INDEX('Table 10'!$F:$F,MATCH($A32,'Table 10'!$B:$B,0),1)</f>
        <v>16.162006166530023</v>
      </c>
      <c r="J32" s="472">
        <f>'Table 2A BaseLoad'!J50-INDEX('Table 10'!$F:$F,MATCH($A32,'Table 10'!$B:$B,0),1)</f>
        <v>12.866793766795606</v>
      </c>
      <c r="K32" s="471">
        <f>'Table 2A BaseLoad'!K50-INDEX('Table 10'!$F:$F,MATCH($A32,'Table 10'!$B:$B,0),1)</f>
        <v>17.314638080438705</v>
      </c>
      <c r="L32" s="471">
        <f>'Table 2A BaseLoad'!L50-INDEX('Table 10'!$F:$F,MATCH($A32,'Table 10'!$B:$B,0),1)</f>
        <v>16.19722347562006</v>
      </c>
      <c r="M32" s="472">
        <f>'Table 2A BaseLoad'!M50-INDEX('Table 10'!$F:$F,MATCH($A32,'Table 10'!$B:$B,0),1)</f>
        <v>21.452282354789805</v>
      </c>
      <c r="N32" s="133"/>
      <c r="O32" s="133"/>
      <c r="P32" s="133"/>
      <c r="Q32" s="133"/>
      <c r="R32" s="133"/>
      <c r="S32" s="133"/>
      <c r="T32" s="133"/>
    </row>
    <row r="33" spans="1:20" ht="12.75" customHeight="1" x14ac:dyDescent="0.2">
      <c r="A33" s="53">
        <f t="shared" si="1"/>
        <v>2021</v>
      </c>
      <c r="B33" s="470">
        <f>'Table 2A BaseLoad'!B51-INDEX('Table 10'!$F:$F,MATCH($A33,'Table 10'!$B:$B,0),1)</f>
        <v>19.382594039885451</v>
      </c>
      <c r="C33" s="471">
        <f>'Table 2A BaseLoad'!C51-INDEX('Table 10'!$F:$F,MATCH($A33,'Table 10'!$B:$B,0),1)</f>
        <v>18.441082596969526</v>
      </c>
      <c r="D33" s="471">
        <f>'Table 2A BaseLoad'!D51-INDEX('Table 10'!$F:$F,MATCH($A33,'Table 10'!$B:$B,0),1)</f>
        <v>16.974154322970392</v>
      </c>
      <c r="E33" s="471">
        <f>'Table 2A BaseLoad'!E51-INDEX('Table 10'!$F:$F,MATCH($A33,'Table 10'!$B:$B,0),1)</f>
        <v>13.086348405991567</v>
      </c>
      <c r="F33" s="472">
        <f>'Table 2A BaseLoad'!F51-INDEX('Table 10'!$F:$F,MATCH($A33,'Table 10'!$B:$B,0),1)</f>
        <v>11.306031224816678</v>
      </c>
      <c r="G33" s="471">
        <f>'Table 2A BaseLoad'!G51-INDEX('Table 10'!$F:$F,MATCH($A33,'Table 10'!$B:$B,0),1)</f>
        <v>11.03151561210113</v>
      </c>
      <c r="H33" s="471">
        <f>'Table 2A BaseLoad'!H51-INDEX('Table 10'!$F:$F,MATCH($A33,'Table 10'!$B:$B,0),1)</f>
        <v>21.929707969659461</v>
      </c>
      <c r="I33" s="471">
        <f>'Table 2A BaseLoad'!I51-INDEX('Table 10'!$F:$F,MATCH($A33,'Table 10'!$B:$B,0),1)</f>
        <v>18.673995455428411</v>
      </c>
      <c r="J33" s="472">
        <f>'Table 2A BaseLoad'!J51-INDEX('Table 10'!$F:$F,MATCH($A33,'Table 10'!$B:$B,0),1)</f>
        <v>14.413813992621897</v>
      </c>
      <c r="K33" s="471">
        <f>'Table 2A BaseLoad'!K51-INDEX('Table 10'!$F:$F,MATCH($A33,'Table 10'!$B:$B,0),1)</f>
        <v>19.155884625884905</v>
      </c>
      <c r="L33" s="471">
        <f>'Table 2A BaseLoad'!L51-INDEX('Table 10'!$F:$F,MATCH($A33,'Table 10'!$B:$B,0),1)</f>
        <v>18.159278642286996</v>
      </c>
      <c r="M33" s="472">
        <f>'Table 2A BaseLoad'!M51-INDEX('Table 10'!$F:$F,MATCH($A33,'Table 10'!$B:$B,0),1)</f>
        <v>22.647240694410922</v>
      </c>
      <c r="N33" s="133"/>
      <c r="O33" s="133"/>
      <c r="P33" s="133"/>
      <c r="Q33" s="133"/>
      <c r="R33" s="133"/>
      <c r="S33" s="133"/>
      <c r="T33" s="133"/>
    </row>
    <row r="34" spans="1:20" ht="12.75" customHeight="1" x14ac:dyDescent="0.2">
      <c r="A34" s="53">
        <f t="shared" si="1"/>
        <v>2022</v>
      </c>
      <c r="B34" s="470">
        <f>'Table 2A BaseLoad'!B52-INDEX('Table 10'!$F:$F,MATCH($A34,'Table 10'!$B:$B,0),1)</f>
        <v>20.381791619875152</v>
      </c>
      <c r="C34" s="471">
        <f>'Table 2A BaseLoad'!C52-INDEX('Table 10'!$F:$F,MATCH($A34,'Table 10'!$B:$B,0),1)</f>
        <v>18.465367034888814</v>
      </c>
      <c r="D34" s="471">
        <f>'Table 2A BaseLoad'!D52-INDEX('Table 10'!$F:$F,MATCH($A34,'Table 10'!$B:$B,0),1)</f>
        <v>17.542578491809866</v>
      </c>
      <c r="E34" s="471">
        <f>'Table 2A BaseLoad'!E52-INDEX('Table 10'!$F:$F,MATCH($A34,'Table 10'!$B:$B,0),1)</f>
        <v>13.955914014644831</v>
      </c>
      <c r="F34" s="472">
        <f>'Table 2A BaseLoad'!F52-INDEX('Table 10'!$F:$F,MATCH($A34,'Table 10'!$B:$B,0),1)</f>
        <v>13.456148369462387</v>
      </c>
      <c r="G34" s="471">
        <f>'Table 2A BaseLoad'!G52-INDEX('Table 10'!$F:$F,MATCH($A34,'Table 10'!$B:$B,0),1)</f>
        <v>12.680791951153381</v>
      </c>
      <c r="H34" s="471">
        <f>'Table 2A BaseLoad'!H52-INDEX('Table 10'!$F:$F,MATCH($A34,'Table 10'!$B:$B,0),1)</f>
        <v>26.388710628198748</v>
      </c>
      <c r="I34" s="471">
        <f>'Table 2A BaseLoad'!I52-INDEX('Table 10'!$F:$F,MATCH($A34,'Table 10'!$B:$B,0),1)</f>
        <v>19.886351050849964</v>
      </c>
      <c r="J34" s="472">
        <f>'Table 2A BaseLoad'!J52-INDEX('Table 10'!$F:$F,MATCH($A34,'Table 10'!$B:$B,0),1)</f>
        <v>16.462165469408856</v>
      </c>
      <c r="K34" s="471">
        <f>'Table 2A BaseLoad'!K52-INDEX('Table 10'!$F:$F,MATCH($A34,'Table 10'!$B:$B,0),1)</f>
        <v>22.571297207428827</v>
      </c>
      <c r="L34" s="471">
        <f>'Table 2A BaseLoad'!L52-INDEX('Table 10'!$F:$F,MATCH($A34,'Table 10'!$B:$B,0),1)</f>
        <v>16.539271060801994</v>
      </c>
      <c r="M34" s="472">
        <f>'Table 2A BaseLoad'!M52-INDEX('Table 10'!$F:$F,MATCH($A34,'Table 10'!$B:$B,0),1)</f>
        <v>26.501616973821143</v>
      </c>
      <c r="N34" s="133"/>
      <c r="O34" s="133"/>
      <c r="P34" s="133"/>
      <c r="Q34" s="133"/>
      <c r="R34" s="133"/>
      <c r="S34" s="133"/>
      <c r="T34" s="133"/>
    </row>
    <row r="35" spans="1:20" ht="12.75" customHeight="1" x14ac:dyDescent="0.2">
      <c r="A35" s="53">
        <f t="shared" si="1"/>
        <v>2023</v>
      </c>
      <c r="B35" s="470">
        <f>'Table 2A BaseLoad'!B53-INDEX('Table 10'!$F:$F,MATCH($A35,'Table 10'!$B:$B,0),1)</f>
        <v>23.515654825142423</v>
      </c>
      <c r="C35" s="471">
        <f>'Table 2A BaseLoad'!C53-INDEX('Table 10'!$F:$F,MATCH($A35,'Table 10'!$B:$B,0),1)</f>
        <v>19.674529711148821</v>
      </c>
      <c r="D35" s="471">
        <f>'Table 2A BaseLoad'!D53-INDEX('Table 10'!$F:$F,MATCH($A35,'Table 10'!$B:$B,0),1)</f>
        <v>19.746839102042479</v>
      </c>
      <c r="E35" s="471">
        <f>'Table 2A BaseLoad'!E53-INDEX('Table 10'!$F:$F,MATCH($A35,'Table 10'!$B:$B,0),1)</f>
        <v>16.950179135933791</v>
      </c>
      <c r="F35" s="472">
        <f>'Table 2A BaseLoad'!F53-INDEX('Table 10'!$F:$F,MATCH($A35,'Table 10'!$B:$B,0),1)</f>
        <v>18.140321887313707</v>
      </c>
      <c r="G35" s="471">
        <f>'Table 2A BaseLoad'!G53-INDEX('Table 10'!$F:$F,MATCH($A35,'Table 10'!$B:$B,0),1)</f>
        <v>16.659985686039711</v>
      </c>
      <c r="H35" s="471">
        <f>'Table 2A BaseLoad'!H53-INDEX('Table 10'!$F:$F,MATCH($A35,'Table 10'!$B:$B,0),1)</f>
        <v>30.269717850663579</v>
      </c>
      <c r="I35" s="471">
        <f>'Table 2A BaseLoad'!I53-INDEX('Table 10'!$F:$F,MATCH($A35,'Table 10'!$B:$B,0),1)</f>
        <v>13.478997553144758</v>
      </c>
      <c r="J35" s="472">
        <f>'Table 2A BaseLoad'!J53-INDEX('Table 10'!$F:$F,MATCH($A35,'Table 10'!$B:$B,0),1)</f>
        <v>29.271864933729198</v>
      </c>
      <c r="K35" s="471">
        <f>'Table 2A BaseLoad'!K53-INDEX('Table 10'!$F:$F,MATCH($A35,'Table 10'!$B:$B,0),1)</f>
        <v>25.419551172003054</v>
      </c>
      <c r="L35" s="471">
        <f>'Table 2A BaseLoad'!L53-INDEX('Table 10'!$F:$F,MATCH($A35,'Table 10'!$B:$B,0),1)</f>
        <v>22.469988309511368</v>
      </c>
      <c r="M35" s="472">
        <f>'Table 2A BaseLoad'!M53-INDEX('Table 10'!$F:$F,MATCH($A35,'Table 10'!$B:$B,0),1)</f>
        <v>28.852456107100572</v>
      </c>
      <c r="N35" s="133"/>
      <c r="O35" s="133"/>
      <c r="P35" s="133"/>
      <c r="Q35" s="133"/>
      <c r="R35" s="133"/>
      <c r="S35" s="133"/>
      <c r="T35" s="133"/>
    </row>
    <row r="36" spans="1:20" ht="12.75" customHeight="1" x14ac:dyDescent="0.2">
      <c r="A36" s="53">
        <f t="shared" si="1"/>
        <v>2024</v>
      </c>
      <c r="B36" s="470">
        <f>'Table 2A BaseLoad'!B54-INDEX('Table 10'!$F:$F,MATCH($A36,'Table 10'!$B:$B,0),1)</f>
        <v>25.91187233246384</v>
      </c>
      <c r="C36" s="471">
        <f>'Table 2A BaseLoad'!C54-INDEX('Table 10'!$F:$F,MATCH($A36,'Table 10'!$B:$B,0),1)</f>
        <v>24.90284886641572</v>
      </c>
      <c r="D36" s="471">
        <f>'Table 2A BaseLoad'!D54-INDEX('Table 10'!$F:$F,MATCH($A36,'Table 10'!$B:$B,0),1)</f>
        <v>22.018559316339974</v>
      </c>
      <c r="E36" s="471">
        <f>'Table 2A BaseLoad'!E54-INDEX('Table 10'!$F:$F,MATCH($A36,'Table 10'!$B:$B,0),1)</f>
        <v>19.842194552461702</v>
      </c>
      <c r="F36" s="472">
        <f>'Table 2A BaseLoad'!F54-INDEX('Table 10'!$F:$F,MATCH($A36,'Table 10'!$B:$B,0),1)</f>
        <v>20.956527074481816</v>
      </c>
      <c r="G36" s="471">
        <f>'Table 2A BaseLoad'!G54-INDEX('Table 10'!$F:$F,MATCH($A36,'Table 10'!$B:$B,0),1)</f>
        <v>19.099915233035233</v>
      </c>
      <c r="H36" s="471">
        <f>'Table 2A BaseLoad'!H54-INDEX('Table 10'!$F:$F,MATCH($A36,'Table 10'!$B:$B,0),1)</f>
        <v>33.07455394705493</v>
      </c>
      <c r="I36" s="471">
        <f>'Table 2A BaseLoad'!I54-INDEX('Table 10'!$F:$F,MATCH($A36,'Table 10'!$B:$B,0),1)</f>
        <v>26.398922865400543</v>
      </c>
      <c r="J36" s="472">
        <f>'Table 2A BaseLoad'!J54-INDEX('Table 10'!$F:$F,MATCH($A36,'Table 10'!$B:$B,0),1)</f>
        <v>28.425358149451743</v>
      </c>
      <c r="K36" s="471">
        <f>'Table 2A BaseLoad'!K54-INDEX('Table 10'!$F:$F,MATCH($A36,'Table 10'!$B:$B,0),1)</f>
        <v>23.957926823071666</v>
      </c>
      <c r="L36" s="471">
        <f>'Table 2A BaseLoad'!L54-INDEX('Table 10'!$F:$F,MATCH($A36,'Table 10'!$B:$B,0),1)</f>
        <v>21.476182373603859</v>
      </c>
      <c r="M36" s="472">
        <f>'Table 2A BaseLoad'!M54-INDEX('Table 10'!$F:$F,MATCH($A36,'Table 10'!$B:$B,0),1)</f>
        <v>29.414468317787794</v>
      </c>
      <c r="N36" s="133"/>
      <c r="O36" s="133"/>
      <c r="P36" s="133"/>
      <c r="Q36" s="133"/>
      <c r="R36" s="133"/>
      <c r="S36" s="133"/>
      <c r="T36" s="133"/>
    </row>
    <row r="37" spans="1:20" ht="12.75" customHeight="1" x14ac:dyDescent="0.2">
      <c r="A37" s="53">
        <f t="shared" si="1"/>
        <v>2025</v>
      </c>
      <c r="B37" s="470">
        <f>'Table 2A BaseLoad'!B55-INDEX('Table 10'!$F:$F,MATCH($A37,'Table 10'!$B:$B,0),1)</f>
        <v>28.207325522875585</v>
      </c>
      <c r="C37" s="471">
        <f>'Table 2A BaseLoad'!C55-INDEX('Table 10'!$F:$F,MATCH($A37,'Table 10'!$B:$B,0),1)</f>
        <v>55.212769004714161</v>
      </c>
      <c r="D37" s="471">
        <f>'Table 2A BaseLoad'!D55-INDEX('Table 10'!$F:$F,MATCH($A37,'Table 10'!$B:$B,0),1)</f>
        <v>22.558054490010303</v>
      </c>
      <c r="E37" s="471">
        <f>'Table 2A BaseLoad'!E55-INDEX('Table 10'!$F:$F,MATCH($A37,'Table 10'!$B:$B,0),1)</f>
        <v>20.174953082203803</v>
      </c>
      <c r="F37" s="472">
        <f>'Table 2A BaseLoad'!F55-INDEX('Table 10'!$F:$F,MATCH($A37,'Table 10'!$B:$B,0),1)</f>
        <v>21.553865109018481</v>
      </c>
      <c r="G37" s="471">
        <f>'Table 2A BaseLoad'!G55-INDEX('Table 10'!$F:$F,MATCH($A37,'Table 10'!$B:$B,0),1)</f>
        <v>20.774450617493216</v>
      </c>
      <c r="H37" s="471">
        <f>'Table 2A BaseLoad'!H55-INDEX('Table 10'!$F:$F,MATCH($A37,'Table 10'!$B:$B,0),1)</f>
        <v>34.021553601056574</v>
      </c>
      <c r="I37" s="471">
        <f>'Table 2A BaseLoad'!I55-INDEX('Table 10'!$F:$F,MATCH($A37,'Table 10'!$B:$B,0),1)</f>
        <v>26.211114622276462</v>
      </c>
      <c r="J37" s="472">
        <f>'Table 2A BaseLoad'!J55-INDEX('Table 10'!$F:$F,MATCH($A37,'Table 10'!$B:$B,0),1)</f>
        <v>22.810331563380174</v>
      </c>
      <c r="K37" s="471">
        <f>'Table 2A BaseLoad'!K55-INDEX('Table 10'!$F:$F,MATCH($A37,'Table 10'!$B:$B,0),1)</f>
        <v>26.719636115645251</v>
      </c>
      <c r="L37" s="471">
        <f>'Table 2A BaseLoad'!L55-INDEX('Table 10'!$F:$F,MATCH($A37,'Table 10'!$B:$B,0),1)</f>
        <v>23.037740402663239</v>
      </c>
      <c r="M37" s="472">
        <f>'Table 2A BaseLoad'!M55-INDEX('Table 10'!$F:$F,MATCH($A37,'Table 10'!$B:$B,0),1)</f>
        <v>27.785011476175502</v>
      </c>
      <c r="N37" s="133"/>
      <c r="O37" s="133"/>
      <c r="P37" s="133"/>
      <c r="Q37" s="133"/>
      <c r="R37" s="133"/>
      <c r="S37" s="133"/>
      <c r="T37" s="133"/>
    </row>
    <row r="38" spans="1:20" ht="12.75" customHeight="1" x14ac:dyDescent="0.2">
      <c r="A38" s="53">
        <f t="shared" si="1"/>
        <v>2026</v>
      </c>
      <c r="B38" s="470">
        <f>'Table 2A BaseLoad'!B56-INDEX('Table 10'!$F:$F,MATCH($A38,'Table 10'!$B:$B,0),1)</f>
        <v>25.815753769027253</v>
      </c>
      <c r="C38" s="471">
        <f>'Table 2A BaseLoad'!C56-INDEX('Table 10'!$F:$F,MATCH($A38,'Table 10'!$B:$B,0),1)</f>
        <v>24.918537950338763</v>
      </c>
      <c r="D38" s="471">
        <f>'Table 2A BaseLoad'!D56-INDEX('Table 10'!$F:$F,MATCH($A38,'Table 10'!$B:$B,0),1)</f>
        <v>24.186727265301403</v>
      </c>
      <c r="E38" s="471">
        <f>'Table 2A BaseLoad'!E56-INDEX('Table 10'!$F:$F,MATCH($A38,'Table 10'!$B:$B,0),1)</f>
        <v>22.655608625526394</v>
      </c>
      <c r="F38" s="472">
        <f>'Table 2A BaseLoad'!F56-INDEX('Table 10'!$F:$F,MATCH($A38,'Table 10'!$B:$B,0),1)</f>
        <v>23.090108035081009</v>
      </c>
      <c r="G38" s="471">
        <f>'Table 2A BaseLoad'!G56-INDEX('Table 10'!$F:$F,MATCH($A38,'Table 10'!$B:$B,0),1)</f>
        <v>21.733172788670952</v>
      </c>
      <c r="H38" s="471">
        <f>'Table 2A BaseLoad'!H56-INDEX('Table 10'!$F:$F,MATCH($A38,'Table 10'!$B:$B,0),1)</f>
        <v>35.591587688861026</v>
      </c>
      <c r="I38" s="471">
        <f>'Table 2A BaseLoad'!I56-INDEX('Table 10'!$F:$F,MATCH($A38,'Table 10'!$B:$B,0),1)</f>
        <v>28.110425137909772</v>
      </c>
      <c r="J38" s="472">
        <f>'Table 2A BaseLoad'!J56-INDEX('Table 10'!$F:$F,MATCH($A38,'Table 10'!$B:$B,0),1)</f>
        <v>22.931211381831428</v>
      </c>
      <c r="K38" s="471">
        <f>'Table 2A BaseLoad'!K56-INDEX('Table 10'!$F:$F,MATCH($A38,'Table 10'!$B:$B,0),1)</f>
        <v>26.166895517737171</v>
      </c>
      <c r="L38" s="471">
        <f>'Table 2A BaseLoad'!L56-INDEX('Table 10'!$F:$F,MATCH($A38,'Table 10'!$B:$B,0),1)</f>
        <v>23.23153982051711</v>
      </c>
      <c r="M38" s="472">
        <f>'Table 2A BaseLoad'!M56-INDEX('Table 10'!$F:$F,MATCH($A38,'Table 10'!$B:$B,0),1)</f>
        <v>26.019793014340969</v>
      </c>
      <c r="N38" s="134"/>
      <c r="O38" s="134"/>
      <c r="P38" s="134"/>
      <c r="Q38" s="134"/>
      <c r="R38" s="134"/>
      <c r="S38" s="134"/>
      <c r="T38" s="134"/>
    </row>
    <row r="39" spans="1:20" ht="12.75" customHeight="1" x14ac:dyDescent="0.2">
      <c r="A39" s="53">
        <f t="shared" si="1"/>
        <v>2027</v>
      </c>
      <c r="B39" s="470">
        <f>'Table 2A BaseLoad'!B57-INDEX('Table 10'!$F:$F,MATCH($A39,'Table 10'!$B:$B,0),1)</f>
        <v>29.724799835405449</v>
      </c>
      <c r="C39" s="471">
        <f>'Table 2A BaseLoad'!C57-INDEX('Table 10'!$F:$F,MATCH($A39,'Table 10'!$B:$B,0),1)</f>
        <v>30.249422727818946</v>
      </c>
      <c r="D39" s="471">
        <f>'Table 2A BaseLoad'!D57-INDEX('Table 10'!$F:$F,MATCH($A39,'Table 10'!$B:$B,0),1)</f>
        <v>28.199391448532754</v>
      </c>
      <c r="E39" s="471">
        <f>'Table 2A BaseLoad'!E57-INDEX('Table 10'!$F:$F,MATCH($A39,'Table 10'!$B:$B,0),1)</f>
        <v>26.197558439259407</v>
      </c>
      <c r="F39" s="472">
        <f>'Table 2A BaseLoad'!F57-INDEX('Table 10'!$F:$F,MATCH($A39,'Table 10'!$B:$B,0),1)</f>
        <v>27.751944550620607</v>
      </c>
      <c r="G39" s="471">
        <f>'Table 2A BaseLoad'!G57-INDEX('Table 10'!$F:$F,MATCH($A39,'Table 10'!$B:$B,0),1)</f>
        <v>26.050441654174779</v>
      </c>
      <c r="H39" s="471">
        <f>'Table 2A BaseLoad'!H57-INDEX('Table 10'!$F:$F,MATCH($A39,'Table 10'!$B:$B,0),1)</f>
        <v>40.514387454025879</v>
      </c>
      <c r="I39" s="471">
        <f>'Table 2A BaseLoad'!I57-INDEX('Table 10'!$F:$F,MATCH($A39,'Table 10'!$B:$B,0),1)</f>
        <v>35.96052813318019</v>
      </c>
      <c r="J39" s="472">
        <f>'Table 2A BaseLoad'!J57-INDEX('Table 10'!$F:$F,MATCH($A39,'Table 10'!$B:$B,0),1)</f>
        <v>29.849677900009489</v>
      </c>
      <c r="K39" s="471">
        <f>'Table 2A BaseLoad'!K57-INDEX('Table 10'!$F:$F,MATCH($A39,'Table 10'!$B:$B,0),1)</f>
        <v>31.883604342482933</v>
      </c>
      <c r="L39" s="471">
        <f>'Table 2A BaseLoad'!L57-INDEX('Table 10'!$F:$F,MATCH($A39,'Table 10'!$B:$B,0),1)</f>
        <v>28.972515575814644</v>
      </c>
      <c r="M39" s="472">
        <f>'Table 2A BaseLoad'!M57-INDEX('Table 10'!$F:$F,MATCH($A39,'Table 10'!$B:$B,0),1)</f>
        <v>38.659480687060736</v>
      </c>
    </row>
    <row r="40" spans="1:20" ht="12.75" customHeight="1" x14ac:dyDescent="0.2">
      <c r="A40" s="53"/>
      <c r="B40" s="54"/>
      <c r="C40" s="55"/>
      <c r="D40" s="55"/>
      <c r="E40" s="55"/>
      <c r="F40" s="55"/>
      <c r="G40" s="54"/>
      <c r="H40" s="55"/>
      <c r="I40" s="55"/>
      <c r="J40" s="55"/>
      <c r="K40" s="54"/>
      <c r="L40" s="55"/>
      <c r="M40" s="56"/>
    </row>
    <row r="41" spans="1:20" ht="12.75" hidden="1" customHeight="1" x14ac:dyDescent="0.2">
      <c r="A41" s="53"/>
      <c r="B41" s="54"/>
      <c r="C41" s="55"/>
      <c r="D41" s="55"/>
      <c r="E41" s="55"/>
      <c r="F41" s="55"/>
      <c r="G41" s="54"/>
      <c r="H41" s="55"/>
      <c r="I41" s="55"/>
      <c r="J41" s="55"/>
      <c r="K41" s="54"/>
      <c r="L41" s="55"/>
      <c r="M41" s="56"/>
    </row>
    <row r="42" spans="1:20" ht="12.75" hidden="1" customHeight="1" x14ac:dyDescent="0.2">
      <c r="A42" s="53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1:20" ht="12.75" hidden="1" customHeight="1" x14ac:dyDescent="0.2">
      <c r="A43" s="5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</row>
    <row r="44" spans="1:20" ht="12.75" customHeight="1" x14ac:dyDescent="0.2">
      <c r="A44" s="111"/>
      <c r="B44" s="109"/>
      <c r="C44" s="109"/>
      <c r="D44" s="109"/>
      <c r="E44" s="109"/>
      <c r="F44" s="108"/>
      <c r="G44" s="108"/>
      <c r="H44" s="108"/>
      <c r="I44" s="108"/>
      <c r="J44" s="110"/>
      <c r="K44" s="108"/>
      <c r="L44" s="108"/>
      <c r="M44" s="108"/>
    </row>
    <row r="45" spans="1:20" ht="12.75" customHeight="1" x14ac:dyDescent="0.2">
      <c r="A45" s="12" t="s">
        <v>219</v>
      </c>
      <c r="C45" s="40"/>
      <c r="D45" s="40"/>
      <c r="E45" s="40"/>
      <c r="G45" s="40"/>
      <c r="H45" s="40"/>
      <c r="I45" s="40"/>
      <c r="J45" s="48"/>
      <c r="L45" s="40"/>
      <c r="M45" s="37"/>
    </row>
    <row r="46" spans="1:20" ht="12.75" customHeight="1" x14ac:dyDescent="0.2">
      <c r="A46" s="49">
        <f>'Tables 3 to 5'!$B$13</f>
        <v>2016</v>
      </c>
      <c r="B46" s="50"/>
      <c r="C46" s="51"/>
      <c r="D46" s="51"/>
      <c r="E46" s="51"/>
      <c r="F46" s="51">
        <f t="shared" ref="F46:G46" si="2">F10*0.56+F28*0.44</f>
        <v>13.690569793831077</v>
      </c>
      <c r="G46" s="50">
        <f t="shared" si="2"/>
        <v>13.990645806825821</v>
      </c>
      <c r="H46" s="51">
        <f>H10*0.56+H28*0.44</f>
        <v>21.662349365991723</v>
      </c>
      <c r="I46" s="51">
        <f t="shared" ref="I46:M46" si="3">I10*0.56+I28*0.44</f>
        <v>21.699310026947018</v>
      </c>
      <c r="J46" s="51">
        <f t="shared" si="3"/>
        <v>21.372690337592218</v>
      </c>
      <c r="K46" s="50">
        <f t="shared" si="3"/>
        <v>16.923911529200819</v>
      </c>
      <c r="L46" s="51">
        <f t="shared" si="3"/>
        <v>17.253052355746718</v>
      </c>
      <c r="M46" s="52">
        <f t="shared" si="3"/>
        <v>21.861726903105023</v>
      </c>
    </row>
    <row r="47" spans="1:20" ht="12.75" customHeight="1" x14ac:dyDescent="0.2">
      <c r="A47" s="53">
        <f t="shared" ref="A47:A57" si="4">A46+1</f>
        <v>2017</v>
      </c>
      <c r="B47" s="54">
        <f>B11*0.56+B29*0.44</f>
        <v>20.304139687262726</v>
      </c>
      <c r="C47" s="55">
        <f t="shared" ref="C47:M47" si="5">C11*0.56+C29*0.44</f>
        <v>21.066535491706766</v>
      </c>
      <c r="D47" s="55">
        <f t="shared" si="5"/>
        <v>19.184911867791115</v>
      </c>
      <c r="E47" s="55">
        <f t="shared" si="5"/>
        <v>19.055009962481318</v>
      </c>
      <c r="F47" s="55">
        <f t="shared" si="5"/>
        <v>16.258337101566578</v>
      </c>
      <c r="G47" s="54">
        <f t="shared" si="5"/>
        <v>16.028469873382303</v>
      </c>
      <c r="H47" s="55">
        <f t="shared" si="5"/>
        <v>20.943192568258183</v>
      </c>
      <c r="I47" s="55">
        <f t="shared" si="5"/>
        <v>21.023611827180762</v>
      </c>
      <c r="J47" s="55">
        <f t="shared" si="5"/>
        <v>18.164482449032974</v>
      </c>
      <c r="K47" s="54">
        <f t="shared" si="5"/>
        <v>18.056621674366053</v>
      </c>
      <c r="L47" s="55">
        <f t="shared" si="5"/>
        <v>18.535265540912452</v>
      </c>
      <c r="M47" s="56">
        <f t="shared" si="5"/>
        <v>20.85286615136096</v>
      </c>
    </row>
    <row r="48" spans="1:20" ht="12.75" customHeight="1" x14ac:dyDescent="0.2">
      <c r="A48" s="53">
        <f t="shared" si="4"/>
        <v>2018</v>
      </c>
      <c r="B48" s="54">
        <f t="shared" ref="B48:M57" si="6">B12*0.56+B30*0.44</f>
        <v>20.923879434227388</v>
      </c>
      <c r="C48" s="55">
        <f t="shared" si="6"/>
        <v>18.38053571036432</v>
      </c>
      <c r="D48" s="55">
        <f t="shared" si="6"/>
        <v>17.722242705592478</v>
      </c>
      <c r="E48" s="55">
        <f t="shared" si="6"/>
        <v>15.873805270588438</v>
      </c>
      <c r="F48" s="55">
        <f t="shared" si="6"/>
        <v>14.554908482164862</v>
      </c>
      <c r="G48" s="54">
        <f t="shared" si="6"/>
        <v>16.21224766862321</v>
      </c>
      <c r="H48" s="55">
        <f t="shared" si="6"/>
        <v>25.417365996869922</v>
      </c>
      <c r="I48" s="55">
        <f t="shared" si="6"/>
        <v>21.496564467402131</v>
      </c>
      <c r="J48" s="55">
        <f t="shared" si="6"/>
        <v>19.158478751406246</v>
      </c>
      <c r="K48" s="54">
        <f t="shared" si="6"/>
        <v>19.157301591657927</v>
      </c>
      <c r="L48" s="55">
        <f t="shared" si="6"/>
        <v>17.794635958845241</v>
      </c>
      <c r="M48" s="56">
        <f t="shared" si="6"/>
        <v>21.165311636977446</v>
      </c>
    </row>
    <row r="49" spans="1:13" ht="12.75" customHeight="1" x14ac:dyDescent="0.2">
      <c r="A49" s="53">
        <f t="shared" si="4"/>
        <v>2019</v>
      </c>
      <c r="B49" s="54">
        <f t="shared" si="6"/>
        <v>15.606257970846096</v>
      </c>
      <c r="C49" s="55">
        <f t="shared" si="6"/>
        <v>17.136926949032734</v>
      </c>
      <c r="D49" s="55">
        <f t="shared" si="6"/>
        <v>16.482059840376536</v>
      </c>
      <c r="E49" s="55">
        <f t="shared" si="6"/>
        <v>15.515913550012298</v>
      </c>
      <c r="F49" s="55">
        <f t="shared" si="6"/>
        <v>15.463838786240952</v>
      </c>
      <c r="G49" s="54">
        <f t="shared" si="6"/>
        <v>15.259394067727253</v>
      </c>
      <c r="H49" s="55">
        <f t="shared" si="6"/>
        <v>25.990424897239599</v>
      </c>
      <c r="I49" s="55">
        <f t="shared" si="6"/>
        <v>21.545807637144279</v>
      </c>
      <c r="J49" s="55">
        <f t="shared" si="6"/>
        <v>18.103614508644796</v>
      </c>
      <c r="K49" s="54">
        <f t="shared" si="6"/>
        <v>17.887764389342859</v>
      </c>
      <c r="L49" s="55">
        <f t="shared" si="6"/>
        <v>15.81101415097973</v>
      </c>
      <c r="M49" s="56">
        <f t="shared" si="6"/>
        <v>19.747628686433256</v>
      </c>
    </row>
    <row r="50" spans="1:13" ht="12.75" customHeight="1" x14ac:dyDescent="0.2">
      <c r="A50" s="53">
        <f t="shared" si="4"/>
        <v>2020</v>
      </c>
      <c r="B50" s="54">
        <f t="shared" si="6"/>
        <v>17.756715028990801</v>
      </c>
      <c r="C50" s="55">
        <f t="shared" si="6"/>
        <v>19.915322756321171</v>
      </c>
      <c r="D50" s="55">
        <f t="shared" si="6"/>
        <v>14.761494364187666</v>
      </c>
      <c r="E50" s="55">
        <f t="shared" si="6"/>
        <v>14.120785165607469</v>
      </c>
      <c r="F50" s="55">
        <f t="shared" si="6"/>
        <v>14.448188899889569</v>
      </c>
      <c r="G50" s="54">
        <f t="shared" si="6"/>
        <v>14.697722217060594</v>
      </c>
      <c r="H50" s="55">
        <f t="shared" si="6"/>
        <v>26.269167939666545</v>
      </c>
      <c r="I50" s="55">
        <f t="shared" si="6"/>
        <v>20.755243137915244</v>
      </c>
      <c r="J50" s="55">
        <f t="shared" si="6"/>
        <v>17.379573315243054</v>
      </c>
      <c r="K50" s="54">
        <f t="shared" si="6"/>
        <v>18.297765454058432</v>
      </c>
      <c r="L50" s="55">
        <f t="shared" si="6"/>
        <v>17.315917291395841</v>
      </c>
      <c r="M50" s="56">
        <f t="shared" si="6"/>
        <v>22.431096176516462</v>
      </c>
    </row>
    <row r="51" spans="1:13" ht="12.75" customHeight="1" x14ac:dyDescent="0.2">
      <c r="A51" s="53">
        <f t="shared" si="4"/>
        <v>2021</v>
      </c>
      <c r="B51" s="54">
        <f t="shared" si="6"/>
        <v>20.322616255318088</v>
      </c>
      <c r="C51" s="55">
        <f t="shared" si="6"/>
        <v>19.443969085338658</v>
      </c>
      <c r="D51" s="55">
        <f t="shared" si="6"/>
        <v>17.709298209244352</v>
      </c>
      <c r="E51" s="55">
        <f t="shared" si="6"/>
        <v>15.226857836718818</v>
      </c>
      <c r="F51" s="55">
        <f t="shared" si="6"/>
        <v>15.756635486350017</v>
      </c>
      <c r="G51" s="54">
        <f t="shared" si="6"/>
        <v>15.832875156736593</v>
      </c>
      <c r="H51" s="55">
        <f t="shared" si="6"/>
        <v>28.250388588690946</v>
      </c>
      <c r="I51" s="55">
        <f t="shared" si="6"/>
        <v>23.665610507101704</v>
      </c>
      <c r="J51" s="55">
        <f t="shared" si="6"/>
        <v>19.122106036234356</v>
      </c>
      <c r="K51" s="54">
        <f t="shared" si="6"/>
        <v>19.950234056433466</v>
      </c>
      <c r="L51" s="55">
        <f t="shared" si="6"/>
        <v>19.10925220053884</v>
      </c>
      <c r="M51" s="56">
        <f t="shared" si="6"/>
        <v>23.379459474920246</v>
      </c>
    </row>
    <row r="52" spans="1:13" ht="12.75" customHeight="1" x14ac:dyDescent="0.2">
      <c r="A52" s="53">
        <f t="shared" si="4"/>
        <v>2022</v>
      </c>
      <c r="B52" s="54">
        <f t="shared" si="6"/>
        <v>21.474191306631958</v>
      </c>
      <c r="C52" s="55">
        <f t="shared" si="6"/>
        <v>19.564259289780328</v>
      </c>
      <c r="D52" s="55">
        <f t="shared" si="6"/>
        <v>18.403626036543894</v>
      </c>
      <c r="E52" s="55">
        <f t="shared" si="6"/>
        <v>15.77317188952493</v>
      </c>
      <c r="F52" s="55">
        <f t="shared" si="6"/>
        <v>17.81014100836444</v>
      </c>
      <c r="G52" s="54">
        <f t="shared" si="6"/>
        <v>17.283054242513643</v>
      </c>
      <c r="H52" s="55">
        <f t="shared" si="6"/>
        <v>32.745686076380622</v>
      </c>
      <c r="I52" s="55">
        <f t="shared" si="6"/>
        <v>24.303131587804536</v>
      </c>
      <c r="J52" s="55">
        <f t="shared" si="6"/>
        <v>20.885555225169384</v>
      </c>
      <c r="K52" s="54">
        <f t="shared" si="6"/>
        <v>22.93191368723237</v>
      </c>
      <c r="L52" s="55">
        <f t="shared" si="6"/>
        <v>16.959353551337379</v>
      </c>
      <c r="M52" s="56">
        <f t="shared" si="6"/>
        <v>26.749949747959832</v>
      </c>
    </row>
    <row r="53" spans="1:13" ht="12.75" customHeight="1" x14ac:dyDescent="0.2">
      <c r="A53" s="53">
        <f t="shared" si="4"/>
        <v>2023</v>
      </c>
      <c r="B53" s="54">
        <f t="shared" si="6"/>
        <v>24.88447977786138</v>
      </c>
      <c r="C53" s="55">
        <f t="shared" si="6"/>
        <v>20.937296025377588</v>
      </c>
      <c r="D53" s="55">
        <f t="shared" si="6"/>
        <v>20.819085780795294</v>
      </c>
      <c r="E53" s="55">
        <f t="shared" si="6"/>
        <v>17.36453969120727</v>
      </c>
      <c r="F53" s="55">
        <f t="shared" si="6"/>
        <v>21.116146388054666</v>
      </c>
      <c r="G53" s="54">
        <f t="shared" si="6"/>
        <v>19.712609187856131</v>
      </c>
      <c r="H53" s="55">
        <f t="shared" si="6"/>
        <v>36.279356383883382</v>
      </c>
      <c r="I53" s="55">
        <f t="shared" si="6"/>
        <v>16.157145645634024</v>
      </c>
      <c r="J53" s="55">
        <f t="shared" si="6"/>
        <v>34.665020193307562</v>
      </c>
      <c r="K53" s="54">
        <f t="shared" si="6"/>
        <v>26.601416861043354</v>
      </c>
      <c r="L53" s="55">
        <f t="shared" si="6"/>
        <v>23.609835850766672</v>
      </c>
      <c r="M53" s="56">
        <f t="shared" si="6"/>
        <v>29.863963328851021</v>
      </c>
    </row>
    <row r="54" spans="1:13" ht="12.75" customHeight="1" x14ac:dyDescent="0.2">
      <c r="A54" s="53">
        <f t="shared" si="4"/>
        <v>2024</v>
      </c>
      <c r="B54" s="54">
        <f t="shared" si="6"/>
        <v>27.437715262334876</v>
      </c>
      <c r="C54" s="55">
        <f t="shared" si="6"/>
        <v>26.362561405885806</v>
      </c>
      <c r="D54" s="55">
        <f t="shared" si="6"/>
        <v>22.932742775076225</v>
      </c>
      <c r="E54" s="55">
        <f t="shared" si="6"/>
        <v>20.642974244996147</v>
      </c>
      <c r="F54" s="55">
        <f t="shared" si="6"/>
        <v>22.180832445317897</v>
      </c>
      <c r="G54" s="54">
        <f t="shared" si="6"/>
        <v>20.349157637981158</v>
      </c>
      <c r="H54" s="55">
        <f t="shared" si="6"/>
        <v>38.522420714732938</v>
      </c>
      <c r="I54" s="55">
        <f t="shared" si="6"/>
        <v>31.000686512642574</v>
      </c>
      <c r="J54" s="55">
        <f t="shared" si="6"/>
        <v>31.955668337127882</v>
      </c>
      <c r="K54" s="54">
        <f t="shared" si="6"/>
        <v>25.707381124390349</v>
      </c>
      <c r="L54" s="55">
        <f t="shared" si="6"/>
        <v>23.012036885300297</v>
      </c>
      <c r="M54" s="56">
        <f t="shared" si="6"/>
        <v>31.083623346820392</v>
      </c>
    </row>
    <row r="55" spans="1:13" ht="12.75" customHeight="1" x14ac:dyDescent="0.2">
      <c r="A55" s="53">
        <f t="shared" si="4"/>
        <v>2025</v>
      </c>
      <c r="B55" s="54">
        <f t="shared" si="6"/>
        <v>29.884660172211792</v>
      </c>
      <c r="C55" s="55">
        <f t="shared" si="6"/>
        <v>58.180717655421603</v>
      </c>
      <c r="D55" s="55">
        <f t="shared" si="6"/>
        <v>23.265624874719798</v>
      </c>
      <c r="E55" s="55">
        <f t="shared" si="6"/>
        <v>21.300645117204045</v>
      </c>
      <c r="F55" s="55">
        <f t="shared" si="6"/>
        <v>22.676767650455144</v>
      </c>
      <c r="G55" s="54">
        <f t="shared" si="6"/>
        <v>22.434959461265599</v>
      </c>
      <c r="H55" s="55">
        <f t="shared" si="6"/>
        <v>39.591441807039701</v>
      </c>
      <c r="I55" s="55">
        <f t="shared" si="6"/>
        <v>30.938869314897161</v>
      </c>
      <c r="J55" s="55">
        <f t="shared" si="6"/>
        <v>26.062141429469655</v>
      </c>
      <c r="K55" s="54">
        <f t="shared" si="6"/>
        <v>28.717265357711309</v>
      </c>
      <c r="L55" s="55">
        <f t="shared" si="6"/>
        <v>24.649230187845276</v>
      </c>
      <c r="M55" s="56">
        <f t="shared" si="6"/>
        <v>29.581613073421572</v>
      </c>
    </row>
    <row r="56" spans="1:13" ht="12.75" customHeight="1" x14ac:dyDescent="0.2">
      <c r="A56" s="53">
        <f t="shared" si="4"/>
        <v>2026</v>
      </c>
      <c r="B56" s="54">
        <f t="shared" si="6"/>
        <v>27.427247265565335</v>
      </c>
      <c r="C56" s="55">
        <f t="shared" si="6"/>
        <v>26.342719600073433</v>
      </c>
      <c r="D56" s="55">
        <f t="shared" si="6"/>
        <v>24.892337401143632</v>
      </c>
      <c r="E56" s="55">
        <f t="shared" si="6"/>
        <v>23.678618888566866</v>
      </c>
      <c r="F56" s="55">
        <f t="shared" si="6"/>
        <v>24.386873173811665</v>
      </c>
      <c r="G56" s="54">
        <f t="shared" si="6"/>
        <v>23.583852824929174</v>
      </c>
      <c r="H56" s="55">
        <f t="shared" si="6"/>
        <v>41.355329995480638</v>
      </c>
      <c r="I56" s="55">
        <f t="shared" si="6"/>
        <v>32.989356683794306</v>
      </c>
      <c r="J56" s="55">
        <f t="shared" si="6"/>
        <v>25.97677582932111</v>
      </c>
      <c r="K56" s="54">
        <f t="shared" si="6"/>
        <v>27.991508358624394</v>
      </c>
      <c r="L56" s="55">
        <f t="shared" si="6"/>
        <v>24.869482082668394</v>
      </c>
      <c r="M56" s="56">
        <f t="shared" si="6"/>
        <v>27.651273558341835</v>
      </c>
    </row>
    <row r="57" spans="1:13" ht="12.75" customHeight="1" x14ac:dyDescent="0.2">
      <c r="A57" s="53">
        <f t="shared" si="4"/>
        <v>2027</v>
      </c>
      <c r="B57" s="54">
        <f t="shared" si="6"/>
        <v>31.227747270922173</v>
      </c>
      <c r="C57" s="55">
        <f t="shared" si="6"/>
        <v>31.837501854033398</v>
      </c>
      <c r="D57" s="55">
        <f t="shared" si="6"/>
        <v>28.803997767366695</v>
      </c>
      <c r="E57" s="55">
        <f t="shared" si="6"/>
        <v>27.470627233767722</v>
      </c>
      <c r="F57" s="55">
        <f t="shared" si="6"/>
        <v>29.097635232503659</v>
      </c>
      <c r="G57" s="54">
        <f t="shared" si="6"/>
        <v>28.042943177455655</v>
      </c>
      <c r="H57" s="55">
        <f t="shared" si="6"/>
        <v>46.572127162870338</v>
      </c>
      <c r="I57" s="55">
        <f t="shared" si="6"/>
        <v>41.95468364239688</v>
      </c>
      <c r="J57" s="55">
        <f t="shared" si="6"/>
        <v>33.408273019907178</v>
      </c>
      <c r="K57" s="54">
        <f t="shared" si="6"/>
        <v>34.060535002568528</v>
      </c>
      <c r="L57" s="55">
        <f t="shared" si="6"/>
        <v>31.159544574039813</v>
      </c>
      <c r="M57" s="56">
        <f t="shared" si="6"/>
        <v>40.672965147187696</v>
      </c>
    </row>
    <row r="58" spans="1:13" ht="12.75" customHeight="1" x14ac:dyDescent="0.2">
      <c r="A58" s="53"/>
      <c r="B58" s="54"/>
      <c r="C58" s="55"/>
      <c r="D58" s="55"/>
      <c r="E58" s="55"/>
      <c r="F58" s="55"/>
      <c r="G58" s="54"/>
      <c r="H58" s="55"/>
      <c r="I58" s="55"/>
      <c r="J58" s="55"/>
      <c r="K58" s="54"/>
      <c r="L58" s="55"/>
      <c r="M58" s="56"/>
    </row>
    <row r="59" spans="1:13" ht="12.75" hidden="1" customHeight="1" x14ac:dyDescent="0.2">
      <c r="A59" s="53"/>
      <c r="B59" s="54"/>
      <c r="C59" s="55"/>
      <c r="D59" s="55"/>
      <c r="E59" s="55"/>
      <c r="F59" s="55"/>
      <c r="G59" s="54"/>
      <c r="H59" s="55"/>
      <c r="I59" s="55"/>
      <c r="J59" s="55"/>
      <c r="K59" s="54"/>
      <c r="L59" s="55"/>
      <c r="M59" s="56"/>
    </row>
    <row r="60" spans="1:13" ht="12.75" hidden="1" customHeight="1" x14ac:dyDescent="0.2">
      <c r="A60" s="53"/>
      <c r="B60" s="54"/>
      <c r="C60" s="55"/>
      <c r="D60" s="55"/>
      <c r="E60" s="55"/>
      <c r="F60" s="55"/>
      <c r="G60" s="54"/>
      <c r="H60" s="55"/>
      <c r="I60" s="55"/>
      <c r="J60" s="55"/>
      <c r="K60" s="54"/>
      <c r="L60" s="55"/>
      <c r="M60" s="56"/>
    </row>
    <row r="61" spans="1:13" ht="12.75" hidden="1" customHeight="1" x14ac:dyDescent="0.2">
      <c r="A61" s="57"/>
      <c r="B61" s="58"/>
      <c r="C61" s="59"/>
      <c r="D61" s="59"/>
      <c r="E61" s="59"/>
      <c r="F61" s="59"/>
      <c r="G61" s="58"/>
      <c r="H61" s="59"/>
      <c r="I61" s="59"/>
      <c r="J61" s="59"/>
      <c r="K61" s="58"/>
      <c r="L61" s="59"/>
      <c r="M61" s="60"/>
    </row>
    <row r="62" spans="1:13" ht="12.75" customHeight="1" x14ac:dyDescent="0.2">
      <c r="A62" s="108"/>
      <c r="B62" s="109"/>
      <c r="C62" s="109"/>
      <c r="D62" s="109"/>
      <c r="E62" s="108"/>
      <c r="F62" s="108"/>
      <c r="G62" s="108"/>
      <c r="H62" s="108"/>
      <c r="I62" s="108"/>
      <c r="J62" s="108"/>
      <c r="K62" s="110"/>
      <c r="L62" s="108"/>
      <c r="M62" s="108"/>
    </row>
    <row r="63" spans="1:13" ht="12.75" customHeight="1" x14ac:dyDescent="0.2">
      <c r="A63" s="12" t="s">
        <v>65</v>
      </c>
      <c r="C63" s="62"/>
      <c r="D63" s="62"/>
      <c r="K63" s="61"/>
    </row>
    <row r="64" spans="1:13" ht="12.75" customHeight="1" x14ac:dyDescent="0.2">
      <c r="A64" s="63" t="s">
        <v>2</v>
      </c>
      <c r="C64" s="64" t="s">
        <v>56</v>
      </c>
      <c r="D64" s="33"/>
      <c r="E64" s="34"/>
      <c r="F64" s="37"/>
      <c r="G64" s="64" t="s">
        <v>57</v>
      </c>
      <c r="H64" s="33"/>
      <c r="I64" s="34"/>
      <c r="J64" s="37"/>
      <c r="K64" s="64" t="s">
        <v>66</v>
      </c>
      <c r="L64" s="33"/>
      <c r="M64" s="34"/>
    </row>
    <row r="65" spans="1:13" s="37" customFormat="1" ht="12.75" customHeight="1" x14ac:dyDescent="0.2">
      <c r="A65" s="47"/>
      <c r="C65" s="17" t="s">
        <v>78</v>
      </c>
      <c r="D65" s="18" t="s">
        <v>1</v>
      </c>
      <c r="E65" s="18" t="s">
        <v>10</v>
      </c>
      <c r="F65" s="47"/>
      <c r="G65" s="17" t="s">
        <v>78</v>
      </c>
      <c r="H65" s="18" t="s">
        <v>1</v>
      </c>
      <c r="I65" s="18" t="s">
        <v>10</v>
      </c>
      <c r="J65" s="47"/>
      <c r="K65" s="17" t="s">
        <v>78</v>
      </c>
      <c r="L65" s="18" t="s">
        <v>1</v>
      </c>
      <c r="M65" s="18" t="s">
        <v>10</v>
      </c>
    </row>
    <row r="66" spans="1:13" s="37" customFormat="1" ht="12.75" customHeight="1" x14ac:dyDescent="0.2">
      <c r="A66" s="65">
        <f t="shared" ref="A66:A77" si="7">A10</f>
        <v>2016</v>
      </c>
      <c r="C66" s="38">
        <f>ROUND(AVERAGE(B10:F10,K10:M10),2)</f>
        <v>18.39</v>
      </c>
      <c r="D66" s="38">
        <f t="shared" ref="D66:D77" si="8">ROUND(AVERAGE(B28:F28,K28:M28),2)</f>
        <v>16.21</v>
      </c>
      <c r="E66" s="38">
        <f>ROUND(AVERAGE(B46:F46,K46:M46),2)</f>
        <v>17.43</v>
      </c>
      <c r="G66" s="55">
        <f t="shared" ref="G66:G77" si="9">ROUND(AVERAGE(G10:J10),2)</f>
        <v>23.13</v>
      </c>
      <c r="H66" s="55">
        <f t="shared" ref="H66:H77" si="10">ROUND(AVERAGE(G28:J28),2)</f>
        <v>15.29</v>
      </c>
      <c r="I66" s="55">
        <f>ROUND(AVERAGE(G46:J46),2)</f>
        <v>19.68</v>
      </c>
      <c r="K66" s="38">
        <f t="shared" ref="K66:K77" si="11">ROUND(AVERAGE(B10:M10),2)</f>
        <v>20.76</v>
      </c>
      <c r="L66" s="38">
        <f t="shared" ref="L66:L77" si="12">ROUND(AVERAGE(B28:M28),2)</f>
        <v>15.75</v>
      </c>
      <c r="M66" s="38">
        <f>ROUND(AVERAGE(B46:M46),2)</f>
        <v>18.559999999999999</v>
      </c>
    </row>
    <row r="67" spans="1:13" s="37" customFormat="1" ht="12.75" customHeight="1" x14ac:dyDescent="0.2">
      <c r="A67" s="65">
        <f t="shared" si="7"/>
        <v>2017</v>
      </c>
      <c r="C67" s="38">
        <f t="shared" ref="C67:C77" si="13">ROUND(AVERAGE(B11:F11,K11:M11),2)</f>
        <v>20.25</v>
      </c>
      <c r="D67" s="38">
        <f t="shared" si="8"/>
        <v>17.78</v>
      </c>
      <c r="E67" s="38">
        <f>ROUND(AVERAGE(B47:F47,K47:M47),2)</f>
        <v>19.16</v>
      </c>
      <c r="G67" s="55">
        <f t="shared" si="9"/>
        <v>21.74</v>
      </c>
      <c r="H67" s="55">
        <f t="shared" si="10"/>
        <v>15.6</v>
      </c>
      <c r="I67" s="55">
        <f>ROUND(AVERAGE(G47:J47),2)</f>
        <v>19.04</v>
      </c>
      <c r="K67" s="38">
        <f t="shared" si="11"/>
        <v>20.75</v>
      </c>
      <c r="L67" s="38">
        <f t="shared" si="12"/>
        <v>17.05</v>
      </c>
      <c r="M67" s="38">
        <f>ROUND(AVERAGE(B47:M47),2)</f>
        <v>19.12</v>
      </c>
    </row>
    <row r="68" spans="1:13" s="37" customFormat="1" ht="12.75" customHeight="1" x14ac:dyDescent="0.2">
      <c r="A68" s="65">
        <f t="shared" si="7"/>
        <v>2018</v>
      </c>
      <c r="C68" s="38">
        <f t="shared" si="13"/>
        <v>19.14</v>
      </c>
      <c r="D68" s="38">
        <f t="shared" si="8"/>
        <v>17</v>
      </c>
      <c r="E68" s="38">
        <f t="shared" ref="E68:E77" si="14">ROUND(AVERAGE(B48:F48,K48:M48),2)</f>
        <v>18.2</v>
      </c>
      <c r="G68" s="55">
        <f t="shared" si="9"/>
        <v>23.46</v>
      </c>
      <c r="H68" s="55">
        <f t="shared" si="10"/>
        <v>16.899999999999999</v>
      </c>
      <c r="I68" s="55">
        <f t="shared" ref="I68:I77" si="15">ROUND(AVERAGE(G48:J48),2)</f>
        <v>20.57</v>
      </c>
      <c r="K68" s="38">
        <f t="shared" si="11"/>
        <v>20.58</v>
      </c>
      <c r="L68" s="38">
        <f t="shared" si="12"/>
        <v>16.97</v>
      </c>
      <c r="M68" s="38">
        <f t="shared" ref="M68:M77" si="16">ROUND(AVERAGE(B48:M48),2)</f>
        <v>18.989999999999998</v>
      </c>
    </row>
    <row r="69" spans="1:13" s="37" customFormat="1" ht="12.75" customHeight="1" x14ac:dyDescent="0.2">
      <c r="A69" s="65">
        <f t="shared" si="7"/>
        <v>2019</v>
      </c>
      <c r="C69" s="38">
        <f t="shared" si="13"/>
        <v>18.07</v>
      </c>
      <c r="D69" s="38">
        <f t="shared" si="8"/>
        <v>14.97</v>
      </c>
      <c r="E69" s="38">
        <f t="shared" si="14"/>
        <v>16.71</v>
      </c>
      <c r="G69" s="55">
        <f t="shared" si="9"/>
        <v>23.55</v>
      </c>
      <c r="H69" s="55">
        <f t="shared" si="10"/>
        <v>15.99</v>
      </c>
      <c r="I69" s="55">
        <f t="shared" si="15"/>
        <v>20.22</v>
      </c>
      <c r="K69" s="38">
        <f t="shared" si="11"/>
        <v>19.899999999999999</v>
      </c>
      <c r="L69" s="38">
        <f t="shared" si="12"/>
        <v>15.31</v>
      </c>
      <c r="M69" s="38">
        <f t="shared" si="16"/>
        <v>17.88</v>
      </c>
    </row>
    <row r="70" spans="1:13" s="37" customFormat="1" ht="12.75" customHeight="1" x14ac:dyDescent="0.2">
      <c r="A70" s="65">
        <f t="shared" si="7"/>
        <v>2020</v>
      </c>
      <c r="C70" s="38">
        <f t="shared" si="13"/>
        <v>18.670000000000002</v>
      </c>
      <c r="D70" s="38">
        <f t="shared" si="8"/>
        <v>15.74</v>
      </c>
      <c r="E70" s="38">
        <f t="shared" si="14"/>
        <v>17.38</v>
      </c>
      <c r="G70" s="55">
        <f t="shared" si="9"/>
        <v>23.72</v>
      </c>
      <c r="H70" s="55">
        <f t="shared" si="10"/>
        <v>14.76</v>
      </c>
      <c r="I70" s="55">
        <f t="shared" si="15"/>
        <v>19.78</v>
      </c>
      <c r="K70" s="38">
        <f t="shared" si="11"/>
        <v>20.350000000000001</v>
      </c>
      <c r="L70" s="38">
        <f t="shared" si="12"/>
        <v>15.41</v>
      </c>
      <c r="M70" s="38">
        <f t="shared" si="16"/>
        <v>18.18</v>
      </c>
    </row>
    <row r="71" spans="1:13" s="37" customFormat="1" ht="12.75" customHeight="1" x14ac:dyDescent="0.2">
      <c r="A71" s="65">
        <f t="shared" si="7"/>
        <v>2021</v>
      </c>
      <c r="C71" s="38">
        <f t="shared" si="13"/>
        <v>20.02</v>
      </c>
      <c r="D71" s="38">
        <f t="shared" si="8"/>
        <v>17.39</v>
      </c>
      <c r="E71" s="38">
        <f t="shared" si="14"/>
        <v>18.86</v>
      </c>
      <c r="G71" s="55">
        <f t="shared" si="9"/>
        <v>25.81</v>
      </c>
      <c r="H71" s="55">
        <f t="shared" si="10"/>
        <v>16.510000000000002</v>
      </c>
      <c r="I71" s="55">
        <f t="shared" si="15"/>
        <v>21.72</v>
      </c>
      <c r="K71" s="38">
        <f t="shared" si="11"/>
        <v>21.95</v>
      </c>
      <c r="L71" s="38">
        <f t="shared" si="12"/>
        <v>17.100000000000001</v>
      </c>
      <c r="M71" s="38">
        <f t="shared" si="16"/>
        <v>19.809999999999999</v>
      </c>
    </row>
    <row r="72" spans="1:13" s="37" customFormat="1" ht="12.75" customHeight="1" x14ac:dyDescent="0.2">
      <c r="A72" s="65">
        <f t="shared" si="7"/>
        <v>2022</v>
      </c>
      <c r="C72" s="38">
        <f t="shared" si="13"/>
        <v>20.97</v>
      </c>
      <c r="D72" s="38">
        <f t="shared" si="8"/>
        <v>18.68</v>
      </c>
      <c r="E72" s="38">
        <f t="shared" si="14"/>
        <v>19.96</v>
      </c>
      <c r="G72" s="55">
        <f t="shared" si="9"/>
        <v>27.69</v>
      </c>
      <c r="H72" s="55">
        <f t="shared" si="10"/>
        <v>18.850000000000001</v>
      </c>
      <c r="I72" s="55">
        <f t="shared" si="15"/>
        <v>23.8</v>
      </c>
      <c r="K72" s="38">
        <f t="shared" si="11"/>
        <v>23.21</v>
      </c>
      <c r="L72" s="38">
        <f t="shared" si="12"/>
        <v>18.739999999999998</v>
      </c>
      <c r="M72" s="38">
        <f t="shared" si="16"/>
        <v>21.24</v>
      </c>
    </row>
    <row r="73" spans="1:13" s="37" customFormat="1" ht="12.75" customHeight="1" x14ac:dyDescent="0.2">
      <c r="A73" s="65">
        <f t="shared" si="7"/>
        <v>2023</v>
      </c>
      <c r="C73" s="38">
        <f t="shared" si="13"/>
        <v>24.17</v>
      </c>
      <c r="D73" s="38">
        <f t="shared" si="8"/>
        <v>21.85</v>
      </c>
      <c r="E73" s="38">
        <f t="shared" si="14"/>
        <v>23.15</v>
      </c>
      <c r="G73" s="55">
        <f t="shared" si="9"/>
        <v>30.07</v>
      </c>
      <c r="H73" s="55">
        <f t="shared" si="10"/>
        <v>22.42</v>
      </c>
      <c r="I73" s="55">
        <f t="shared" si="15"/>
        <v>26.7</v>
      </c>
      <c r="K73" s="38">
        <f t="shared" si="11"/>
        <v>26.14</v>
      </c>
      <c r="L73" s="38">
        <f t="shared" si="12"/>
        <v>22.04</v>
      </c>
      <c r="M73" s="38">
        <f t="shared" si="16"/>
        <v>24.33</v>
      </c>
    </row>
    <row r="74" spans="1:13" s="37" customFormat="1" ht="12.75" customHeight="1" x14ac:dyDescent="0.2">
      <c r="A74" s="65">
        <f t="shared" si="7"/>
        <v>2024</v>
      </c>
      <c r="C74" s="38">
        <f t="shared" si="13"/>
        <v>25.99</v>
      </c>
      <c r="D74" s="38">
        <f t="shared" si="8"/>
        <v>23.56</v>
      </c>
      <c r="E74" s="38">
        <f t="shared" si="14"/>
        <v>24.92</v>
      </c>
      <c r="G74" s="55">
        <f t="shared" si="9"/>
        <v>33.369999999999997</v>
      </c>
      <c r="H74" s="55">
        <f t="shared" si="10"/>
        <v>26.75</v>
      </c>
      <c r="I74" s="55">
        <f t="shared" si="15"/>
        <v>30.46</v>
      </c>
      <c r="K74" s="38">
        <f t="shared" si="11"/>
        <v>28.45</v>
      </c>
      <c r="L74" s="38">
        <f t="shared" si="12"/>
        <v>24.62</v>
      </c>
      <c r="M74" s="38">
        <f t="shared" si="16"/>
        <v>26.77</v>
      </c>
    </row>
    <row r="75" spans="1:13" s="37" customFormat="1" ht="12.75" customHeight="1" x14ac:dyDescent="0.2">
      <c r="A75" s="65">
        <f t="shared" si="7"/>
        <v>2025</v>
      </c>
      <c r="C75" s="38">
        <f t="shared" si="13"/>
        <v>31.06</v>
      </c>
      <c r="D75" s="38">
        <f t="shared" si="8"/>
        <v>28.16</v>
      </c>
      <c r="E75" s="38">
        <f t="shared" si="14"/>
        <v>29.78</v>
      </c>
      <c r="G75" s="55">
        <f t="shared" si="9"/>
        <v>32.74</v>
      </c>
      <c r="H75" s="55">
        <f t="shared" si="10"/>
        <v>25.95</v>
      </c>
      <c r="I75" s="55">
        <f t="shared" si="15"/>
        <v>29.76</v>
      </c>
      <c r="K75" s="38">
        <f t="shared" si="11"/>
        <v>31.62</v>
      </c>
      <c r="L75" s="38">
        <f t="shared" si="12"/>
        <v>27.42</v>
      </c>
      <c r="M75" s="38">
        <f t="shared" si="16"/>
        <v>29.77</v>
      </c>
    </row>
    <row r="76" spans="1:13" s="37" customFormat="1" ht="12.75" customHeight="1" x14ac:dyDescent="0.2">
      <c r="A76" s="65">
        <f t="shared" si="7"/>
        <v>2026</v>
      </c>
      <c r="C76" s="38">
        <f t="shared" si="13"/>
        <v>27</v>
      </c>
      <c r="D76" s="38">
        <f t="shared" si="8"/>
        <v>24.51</v>
      </c>
      <c r="E76" s="38">
        <f t="shared" si="14"/>
        <v>25.91</v>
      </c>
      <c r="G76" s="55">
        <f t="shared" si="9"/>
        <v>34.03</v>
      </c>
      <c r="H76" s="55">
        <f t="shared" si="10"/>
        <v>27.09</v>
      </c>
      <c r="I76" s="55">
        <f t="shared" si="15"/>
        <v>30.98</v>
      </c>
      <c r="K76" s="38">
        <f t="shared" si="11"/>
        <v>29.34</v>
      </c>
      <c r="L76" s="38">
        <f t="shared" si="12"/>
        <v>25.37</v>
      </c>
      <c r="M76" s="38">
        <f t="shared" si="16"/>
        <v>27.6</v>
      </c>
    </row>
    <row r="77" spans="1:13" s="37" customFormat="1" ht="12.75" customHeight="1" x14ac:dyDescent="0.2">
      <c r="A77" s="65">
        <f t="shared" si="7"/>
        <v>2027</v>
      </c>
      <c r="C77" s="38">
        <f t="shared" si="13"/>
        <v>33.04</v>
      </c>
      <c r="D77" s="38">
        <f t="shared" si="8"/>
        <v>30.2</v>
      </c>
      <c r="E77" s="38">
        <f t="shared" si="14"/>
        <v>31.79</v>
      </c>
      <c r="G77" s="55">
        <f t="shared" si="9"/>
        <v>40.950000000000003</v>
      </c>
      <c r="H77" s="55">
        <f t="shared" si="10"/>
        <v>33.090000000000003</v>
      </c>
      <c r="I77" s="55">
        <f t="shared" si="15"/>
        <v>37.49</v>
      </c>
      <c r="K77" s="38">
        <f t="shared" si="11"/>
        <v>35.68</v>
      </c>
      <c r="L77" s="38">
        <f t="shared" si="12"/>
        <v>31.17</v>
      </c>
      <c r="M77" s="38">
        <f t="shared" si="16"/>
        <v>33.69</v>
      </c>
    </row>
    <row r="78" spans="1:13" s="37" customFormat="1" ht="12.75" customHeight="1" x14ac:dyDescent="0.2">
      <c r="A78" s="65"/>
      <c r="C78" s="38"/>
      <c r="D78" s="38"/>
      <c r="E78" s="38"/>
      <c r="G78" s="55"/>
      <c r="H78" s="55"/>
      <c r="I78" s="55"/>
      <c r="K78" s="38"/>
      <c r="L78" s="38"/>
      <c r="M78" s="38"/>
    </row>
    <row r="79" spans="1:13" s="37" customFormat="1" ht="12.75" customHeight="1" x14ac:dyDescent="0.2">
      <c r="A79" s="65"/>
      <c r="C79" s="38"/>
      <c r="D79" s="38"/>
      <c r="E79" s="38"/>
      <c r="G79" s="55"/>
      <c r="H79" s="55"/>
      <c r="I79" s="55"/>
      <c r="K79" s="38"/>
      <c r="L79" s="38"/>
      <c r="M79" s="38"/>
    </row>
    <row r="80" spans="1:13" s="37" customFormat="1" ht="12.75" hidden="1" customHeight="1" x14ac:dyDescent="0.2">
      <c r="A80" s="66"/>
      <c r="K80" s="61"/>
    </row>
    <row r="81" spans="1:11" s="37" customFormat="1" ht="12.75" hidden="1" customHeight="1" x14ac:dyDescent="0.2">
      <c r="A81" s="66"/>
      <c r="K81" s="61"/>
    </row>
    <row r="82" spans="1:11" s="37" customFormat="1" ht="12.75" customHeight="1" x14ac:dyDescent="0.2">
      <c r="A82" s="35" t="s">
        <v>79</v>
      </c>
      <c r="D82" s="38"/>
      <c r="E82" s="55"/>
      <c r="F82" s="55"/>
      <c r="G82" s="55"/>
      <c r="J82" s="55"/>
      <c r="K82" s="55"/>
    </row>
    <row r="83" spans="1:11" ht="12.75" customHeight="1" x14ac:dyDescent="0.2">
      <c r="A83" s="265" t="s">
        <v>293</v>
      </c>
      <c r="C83" s="67"/>
      <c r="D83" s="38"/>
      <c r="E83" s="55"/>
      <c r="F83" s="55"/>
      <c r="G83" s="55"/>
      <c r="H83" s="37"/>
    </row>
    <row r="84" spans="1:11" ht="12.75" customHeight="1" x14ac:dyDescent="0.2">
      <c r="A84" s="265" t="s">
        <v>294</v>
      </c>
      <c r="C84" s="67"/>
      <c r="D84" s="38"/>
      <c r="E84" s="55"/>
      <c r="F84" s="55"/>
      <c r="G84" s="55"/>
      <c r="H84" s="37"/>
    </row>
    <row r="85" spans="1:11" ht="12.75" customHeight="1" x14ac:dyDescent="0.2">
      <c r="A85" s="212" t="s">
        <v>287</v>
      </c>
      <c r="C85" s="67"/>
      <c r="D85" s="38"/>
      <c r="E85" s="55"/>
      <c r="F85" s="55"/>
      <c r="G85" s="55"/>
      <c r="H85" s="37"/>
    </row>
    <row r="86" spans="1:11" ht="12.75" customHeight="1" x14ac:dyDescent="0.2">
      <c r="A86" s="212" t="s">
        <v>295</v>
      </c>
      <c r="C86" s="67"/>
      <c r="D86" s="38"/>
      <c r="E86" s="55"/>
      <c r="F86" s="55"/>
      <c r="G86" s="55"/>
      <c r="H86" s="37"/>
    </row>
    <row r="87" spans="1:11" ht="12.75" customHeight="1" x14ac:dyDescent="0.2">
      <c r="A87" s="212" t="s">
        <v>288</v>
      </c>
      <c r="C87" s="67"/>
      <c r="D87" s="38"/>
      <c r="E87" s="55"/>
      <c r="F87" s="55"/>
      <c r="G87" s="55"/>
      <c r="H87" s="37"/>
    </row>
    <row r="88" spans="1:11" ht="12.75" customHeight="1" x14ac:dyDescent="0.2">
      <c r="A88" s="212" t="s">
        <v>289</v>
      </c>
      <c r="C88" s="67"/>
      <c r="D88" s="38"/>
      <c r="E88" s="55"/>
      <c r="F88" s="55"/>
      <c r="G88" s="55"/>
      <c r="H88" s="37"/>
    </row>
    <row r="89" spans="1:11" ht="12.75" customHeight="1" x14ac:dyDescent="0.2">
      <c r="A89" s="212" t="s">
        <v>295</v>
      </c>
      <c r="C89" s="67"/>
      <c r="D89" s="38"/>
      <c r="E89" s="55"/>
      <c r="F89" s="55"/>
      <c r="G89" s="55"/>
      <c r="H89" s="37"/>
    </row>
    <row r="90" spans="1:11" ht="12.75" customHeight="1" x14ac:dyDescent="0.2">
      <c r="A90" s="35" t="s">
        <v>290</v>
      </c>
      <c r="D90" s="37"/>
      <c r="E90" s="37"/>
      <c r="F90" s="37"/>
      <c r="G90" s="37"/>
    </row>
    <row r="91" spans="1:11" ht="6.75" customHeight="1" x14ac:dyDescent="0.2"/>
    <row r="92" spans="1:11" x14ac:dyDescent="0.2">
      <c r="C92" s="35" t="s">
        <v>128</v>
      </c>
      <c r="H92" s="35" t="s">
        <v>291</v>
      </c>
    </row>
    <row r="93" spans="1:11" x14ac:dyDescent="0.2">
      <c r="C93" s="35" t="s">
        <v>138</v>
      </c>
      <c r="F93" s="495">
        <v>0.379</v>
      </c>
      <c r="H93" s="488" t="str">
        <f>"  "&amp;'Table 10'!$B$1&amp;"  Column "&amp;"(d)"</f>
        <v xml:space="preserve">  Table 10  Column (d)</v>
      </c>
      <c r="I93" s="489"/>
    </row>
    <row r="111" ht="24.75" customHeight="1" x14ac:dyDescent="0.2"/>
  </sheetData>
  <printOptions horizontalCentered="1"/>
  <pageMargins left="0.25" right="0.25" top="0.75" bottom="0.75" header="0.3" footer="0.3"/>
  <pageSetup scale="58" fitToWidth="0" orientation="portrait" r:id="rId1"/>
  <headerFooter alignWithMargins="0">
    <oddFooter>&amp;L&amp;8NPC Group - &amp;F   ( &amp;A )&amp;C &amp;R &amp;8&amp;D  &amp;T</oddFooter>
  </headerFooter>
  <rowBreaks count="1" manualBreakCount="1">
    <brk id="4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1"/>
  <sheetViews>
    <sheetView topLeftCell="A71" zoomScaleNormal="100" workbookViewId="0">
      <selection activeCell="H93" sqref="H93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151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"&amp;MAX(A10:A27)&amp;")"</f>
        <v>Avoided Resource (2016 through 2027)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BaseLoad'!A27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9">
        <f>'Tables 3 to 5'!$B$13</f>
        <v>2016</v>
      </c>
      <c r="B10" s="50"/>
      <c r="C10" s="51"/>
      <c r="D10" s="51"/>
      <c r="E10" s="51"/>
      <c r="F10" s="490">
        <f>'Table 2A BaseLoad'!F28-INDEX('Table 10'!$F:$F,MATCH($A10,'Table 10'!$B:$B,0),1)</f>
        <v>14.921397053747523</v>
      </c>
      <c r="G10" s="491">
        <f>'Table 2A BaseLoad'!G28-INDEX('Table 10'!$F:$F,MATCH($A10,'Table 10'!$B:$B,0),1)</f>
        <v>16.788964771449749</v>
      </c>
      <c r="H10" s="491">
        <f>'Table 2A BaseLoad'!H28-INDEX('Table 10'!$F:$F,MATCH($A10,'Table 10'!$B:$B,0),1)</f>
        <v>26.88990933551997</v>
      </c>
      <c r="I10" s="491">
        <f>'Table 2A BaseLoad'!I28-INDEX('Table 10'!$F:$F,MATCH($A10,'Table 10'!$B:$B,0),1)</f>
        <v>25.877688679080929</v>
      </c>
      <c r="J10" s="490">
        <f>'Table 2A BaseLoad'!J28-INDEX('Table 10'!$F:$F,MATCH($A10,'Table 10'!$B:$B,0),1)</f>
        <v>22.961951701582247</v>
      </c>
      <c r="K10" s="491">
        <f>'Table 2A BaseLoad'!K28-INDEX('Table 10'!$F:$F,MATCH($A10,'Table 10'!$B:$B,0),1)</f>
        <v>18.003991035293499</v>
      </c>
      <c r="L10" s="491">
        <f>'Table 2A BaseLoad'!L28-INDEX('Table 10'!$F:$F,MATCH($A10,'Table 10'!$B:$B,0),1)</f>
        <v>18.014392136243849</v>
      </c>
      <c r="M10" s="490">
        <f>'Table 2A BaseLoad'!M28-INDEX('Table 10'!$F:$F,MATCH($A10,'Table 10'!$B:$B,0),1)</f>
        <v>22.633874356163876</v>
      </c>
    </row>
    <row r="11" spans="1:13" ht="12.75" customHeight="1" x14ac:dyDescent="0.2">
      <c r="A11" s="53">
        <f t="shared" ref="A11:A21" si="0">A10+1</f>
        <v>2017</v>
      </c>
      <c r="B11" s="470">
        <f>'Table 2A BaseLoad'!B29-INDEX('Table 10'!$F:$F,MATCH($A11,'Table 10'!$B:$B,0),1)</f>
        <v>21.235851508452946</v>
      </c>
      <c r="C11" s="471">
        <f>'Table 2A BaseLoad'!C29-INDEX('Table 10'!$F:$F,MATCH($A11,'Table 10'!$B:$B,0),1)</f>
        <v>21.525328695702687</v>
      </c>
      <c r="D11" s="471">
        <f>'Table 2A BaseLoad'!D29-INDEX('Table 10'!$F:$F,MATCH($A11,'Table 10'!$B:$B,0),1)</f>
        <v>20.223054023855934</v>
      </c>
      <c r="E11" s="471">
        <f>'Table 2A BaseLoad'!E29-INDEX('Table 10'!$F:$F,MATCH($A11,'Table 10'!$B:$B,0),1)</f>
        <v>21.028151491562252</v>
      </c>
      <c r="F11" s="472">
        <f>'Table 2A BaseLoad'!F29-INDEX('Table 10'!$F:$F,MATCH($A11,'Table 10'!$B:$B,0),1)</f>
        <v>18.041699569715178</v>
      </c>
      <c r="G11" s="471">
        <f>'Table 2A BaseLoad'!G29-INDEX('Table 10'!$F:$F,MATCH($A11,'Table 10'!$B:$B,0),1)</f>
        <v>18.481899617599414</v>
      </c>
      <c r="H11" s="471">
        <f>'Table 2A BaseLoad'!H29-INDEX('Table 10'!$F:$F,MATCH($A11,'Table 10'!$B:$B,0),1)</f>
        <v>24.568415504477066</v>
      </c>
      <c r="I11" s="471">
        <f>'Table 2A BaseLoad'!I29-INDEX('Table 10'!$F:$F,MATCH($A11,'Table 10'!$B:$B,0),1)</f>
        <v>24.341668531964931</v>
      </c>
      <c r="J11" s="472">
        <f>'Table 2A BaseLoad'!J29-INDEX('Table 10'!$F:$F,MATCH($A11,'Table 10'!$B:$B,0),1)</f>
        <v>19.563334358014796</v>
      </c>
      <c r="K11" s="471">
        <f>'Table 2A BaseLoad'!K29-INDEX('Table 10'!$F:$F,MATCH($A11,'Table 10'!$B:$B,0),1)</f>
        <v>18.856819830265657</v>
      </c>
      <c r="L11" s="471">
        <f>'Table 2A BaseLoad'!L29-INDEX('Table 10'!$F:$F,MATCH($A11,'Table 10'!$B:$B,0),1)</f>
        <v>19.528655597634081</v>
      </c>
      <c r="M11" s="472">
        <f>'Table 2A BaseLoad'!M29-INDEX('Table 10'!$F:$F,MATCH($A11,'Table 10'!$B:$B,0),1)</f>
        <v>21.597082205709217</v>
      </c>
    </row>
    <row r="12" spans="1:13" ht="12.75" customHeight="1" x14ac:dyDescent="0.2">
      <c r="A12" s="53">
        <f t="shared" si="0"/>
        <v>2018</v>
      </c>
      <c r="B12" s="470">
        <f>'Table 2A BaseLoad'!B30-INDEX('Table 10'!$F:$F,MATCH($A12,'Table 10'!$B:$B,0),1)</f>
        <v>21.84062341098937</v>
      </c>
      <c r="C12" s="471">
        <f>'Table 2A BaseLoad'!C30-INDEX('Table 10'!$F:$F,MATCH($A12,'Table 10'!$B:$B,0),1)</f>
        <v>18.860751612359479</v>
      </c>
      <c r="D12" s="471">
        <f>'Table 2A BaseLoad'!D30-INDEX('Table 10'!$F:$F,MATCH($A12,'Table 10'!$B:$B,0),1)</f>
        <v>18.679945381882067</v>
      </c>
      <c r="E12" s="471">
        <f>'Table 2A BaseLoad'!E30-INDEX('Table 10'!$F:$F,MATCH($A12,'Table 10'!$B:$B,0),1)</f>
        <v>16.958441572875085</v>
      </c>
      <c r="F12" s="472">
        <f>'Table 2A BaseLoad'!F30-INDEX('Table 10'!$F:$F,MATCH($A12,'Table 10'!$B:$B,0),1)</f>
        <v>16.220843518633089</v>
      </c>
      <c r="G12" s="471">
        <f>'Table 2A BaseLoad'!G30-INDEX('Table 10'!$F:$F,MATCH($A12,'Table 10'!$B:$B,0),1)</f>
        <v>18.10228098049317</v>
      </c>
      <c r="H12" s="471">
        <f>'Table 2A BaseLoad'!H30-INDEX('Table 10'!$F:$F,MATCH($A12,'Table 10'!$B:$B,0),1)</f>
        <v>29.755598885557625</v>
      </c>
      <c r="I12" s="471">
        <f>'Table 2A BaseLoad'!I30-INDEX('Table 10'!$F:$F,MATCH($A12,'Table 10'!$B:$B,0),1)</f>
        <v>24.700499573867138</v>
      </c>
      <c r="J12" s="472">
        <f>'Table 2A BaseLoad'!J30-INDEX('Table 10'!$F:$F,MATCH($A12,'Table 10'!$B:$B,0),1)</f>
        <v>21.266944385393145</v>
      </c>
      <c r="K12" s="471">
        <f>'Table 2A BaseLoad'!K30-INDEX('Table 10'!$F:$F,MATCH($A12,'Table 10'!$B:$B,0),1)</f>
        <v>19.972055758549278</v>
      </c>
      <c r="L12" s="471">
        <f>'Table 2A BaseLoad'!L30-INDEX('Table 10'!$F:$F,MATCH($A12,'Table 10'!$B:$B,0),1)</f>
        <v>18.682545349466125</v>
      </c>
      <c r="M12" s="472">
        <f>'Table 2A BaseLoad'!M30-INDEX('Table 10'!$F:$F,MATCH($A12,'Table 10'!$B:$B,0),1)</f>
        <v>21.884290712123864</v>
      </c>
    </row>
    <row r="13" spans="1:13" ht="12.75" customHeight="1" x14ac:dyDescent="0.2">
      <c r="A13" s="53">
        <f t="shared" si="0"/>
        <v>2019</v>
      </c>
      <c r="B13" s="470">
        <f>'Table 2A BaseLoad'!B31-INDEX('Table 10'!$F:$F,MATCH($A13,'Table 10'!$B:$B,0),1)</f>
        <v>15.959101462010064</v>
      </c>
      <c r="C13" s="471">
        <f>'Table 2A BaseLoad'!C31-INDEX('Table 10'!$F:$F,MATCH($A13,'Table 10'!$B:$B,0),1)</f>
        <v>17.757197574205097</v>
      </c>
      <c r="D13" s="471">
        <f>'Table 2A BaseLoad'!D31-INDEX('Table 10'!$F:$F,MATCH($A13,'Table 10'!$B:$B,0),1)</f>
        <v>16.927284352905275</v>
      </c>
      <c r="E13" s="471">
        <f>'Table 2A BaseLoad'!E31-INDEX('Table 10'!$F:$F,MATCH($A13,'Table 10'!$B:$B,0),1)</f>
        <v>17.838826629002241</v>
      </c>
      <c r="F13" s="472">
        <f>'Table 2A BaseLoad'!F31-INDEX('Table 10'!$F:$F,MATCH($A13,'Table 10'!$B:$B,0),1)</f>
        <v>20.053120473799108</v>
      </c>
      <c r="G13" s="471">
        <f>'Table 2A BaseLoad'!G31-INDEX('Table 10'!$F:$F,MATCH($A13,'Table 10'!$B:$B,0),1)</f>
        <v>20.014868744514953</v>
      </c>
      <c r="H13" s="471">
        <f>'Table 2A BaseLoad'!H31-INDEX('Table 10'!$F:$F,MATCH($A13,'Table 10'!$B:$B,0),1)</f>
        <v>29.391009892211972</v>
      </c>
      <c r="I13" s="471">
        <f>'Table 2A BaseLoad'!I31-INDEX('Table 10'!$F:$F,MATCH($A13,'Table 10'!$B:$B,0),1)</f>
        <v>24.108823920441765</v>
      </c>
      <c r="J13" s="472">
        <f>'Table 2A BaseLoad'!J31-INDEX('Table 10'!$F:$F,MATCH($A13,'Table 10'!$B:$B,0),1)</f>
        <v>20.692709214111542</v>
      </c>
      <c r="K13" s="471">
        <f>'Table 2A BaseLoad'!K31-INDEX('Table 10'!$F:$F,MATCH($A13,'Table 10'!$B:$B,0),1)</f>
        <v>18.770627509944088</v>
      </c>
      <c r="L13" s="471">
        <f>'Table 2A BaseLoad'!L31-INDEX('Table 10'!$F:$F,MATCH($A13,'Table 10'!$B:$B,0),1)</f>
        <v>16.733752537168822</v>
      </c>
      <c r="M13" s="472">
        <f>'Table 2A BaseLoad'!M31-INDEX('Table 10'!$F:$F,MATCH($A13,'Table 10'!$B:$B,0),1)</f>
        <v>20.554584726695282</v>
      </c>
    </row>
    <row r="14" spans="1:13" ht="12.75" customHeight="1" x14ac:dyDescent="0.2">
      <c r="A14" s="53">
        <f t="shared" si="0"/>
        <v>2020</v>
      </c>
      <c r="B14" s="470">
        <f>'Table 2A BaseLoad'!B32-INDEX('Table 10'!$F:$F,MATCH($A14,'Table 10'!$B:$B,0),1)</f>
        <v>18.654862371441219</v>
      </c>
      <c r="C14" s="471">
        <f>'Table 2A BaseLoad'!C32-INDEX('Table 10'!$F:$F,MATCH($A14,'Table 10'!$B:$B,0),1)</f>
        <v>21.012725843583087</v>
      </c>
      <c r="D14" s="471">
        <f>'Table 2A BaseLoad'!D32-INDEX('Table 10'!$F:$F,MATCH($A14,'Table 10'!$B:$B,0),1)</f>
        <v>15.472187883477133</v>
      </c>
      <c r="E14" s="471">
        <f>'Table 2A BaseLoad'!E32-INDEX('Table 10'!$F:$F,MATCH($A14,'Table 10'!$B:$B,0),1)</f>
        <v>15.818892747521193</v>
      </c>
      <c r="F14" s="472">
        <f>'Table 2A BaseLoad'!F32-INDEX('Table 10'!$F:$F,MATCH($A14,'Table 10'!$B:$B,0),1)</f>
        <v>17.926390364881115</v>
      </c>
      <c r="G14" s="471">
        <f>'Table 2A BaseLoad'!G32-INDEX('Table 10'!$F:$F,MATCH($A14,'Table 10'!$B:$B,0),1)</f>
        <v>18.472839411117846</v>
      </c>
      <c r="H14" s="471">
        <f>'Table 2A BaseLoad'!H32-INDEX('Table 10'!$F:$F,MATCH($A14,'Table 10'!$B:$B,0),1)</f>
        <v>31.10223561293321</v>
      </c>
      <c r="I14" s="471">
        <f>'Table 2A BaseLoad'!I32-INDEX('Table 10'!$F:$F,MATCH($A14,'Table 10'!$B:$B,0),1)</f>
        <v>24.364215044003632</v>
      </c>
      <c r="J14" s="472">
        <f>'Table 2A BaseLoad'!J32-INDEX('Table 10'!$F:$F,MATCH($A14,'Table 10'!$B:$B,0),1)</f>
        <v>20.925328674737475</v>
      </c>
      <c r="K14" s="471">
        <f>'Table 2A BaseLoad'!K32-INDEX('Table 10'!$F:$F,MATCH($A14,'Table 10'!$B:$B,0),1)</f>
        <v>19.070222676188216</v>
      </c>
      <c r="L14" s="471">
        <f>'Table 2A BaseLoad'!L32-INDEX('Table 10'!$F:$F,MATCH($A14,'Table 10'!$B:$B,0),1)</f>
        <v>18.194891003791099</v>
      </c>
      <c r="M14" s="472">
        <f>'Table 2A BaseLoad'!M32-INDEX('Table 10'!$F:$F,MATCH($A14,'Table 10'!$B:$B,0),1)</f>
        <v>23.200164179301694</v>
      </c>
    </row>
    <row r="15" spans="1:13" ht="12.75" customHeight="1" x14ac:dyDescent="0.2">
      <c r="A15" s="53">
        <f t="shared" si="0"/>
        <v>2021</v>
      </c>
      <c r="B15" s="470">
        <f>'Table 2A BaseLoad'!B33-INDEX('Table 10'!$F:$F,MATCH($A15,'Table 10'!$B:$B,0),1)</f>
        <v>21.0612051388723</v>
      </c>
      <c r="C15" s="471">
        <f>'Table 2A BaseLoad'!C33-INDEX('Table 10'!$F:$F,MATCH($A15,'Table 10'!$B:$B,0),1)</f>
        <v>20.231951326200122</v>
      </c>
      <c r="D15" s="471">
        <f>'Table 2A BaseLoad'!D33-INDEX('Table 10'!$F:$F,MATCH($A15,'Table 10'!$B:$B,0),1)</f>
        <v>18.286911262745321</v>
      </c>
      <c r="E15" s="471">
        <f>'Table 2A BaseLoad'!E33-INDEX('Table 10'!$F:$F,MATCH($A15,'Table 10'!$B:$B,0),1)</f>
        <v>16.908686675147372</v>
      </c>
      <c r="F15" s="472">
        <f>'Table 2A BaseLoad'!F33-INDEX('Table 10'!$F:$F,MATCH($A15,'Table 10'!$B:$B,0),1)</f>
        <v>19.25353883469764</v>
      </c>
      <c r="G15" s="471">
        <f>'Table 2A BaseLoad'!G33-INDEX('Table 10'!$F:$F,MATCH($A15,'Table 10'!$B:$B,0),1)</f>
        <v>19.605371941807313</v>
      </c>
      <c r="H15" s="471">
        <f>'Table 2A BaseLoad'!H33-INDEX('Table 10'!$F:$F,MATCH($A15,'Table 10'!$B:$B,0),1)</f>
        <v>33.216637646501397</v>
      </c>
      <c r="I15" s="471">
        <f>'Table 2A BaseLoad'!I33-INDEX('Table 10'!$F:$F,MATCH($A15,'Table 10'!$B:$B,0),1)</f>
        <v>27.587593761987861</v>
      </c>
      <c r="J15" s="472">
        <f>'Table 2A BaseLoad'!J33-INDEX('Table 10'!$F:$F,MATCH($A15,'Table 10'!$B:$B,0),1)</f>
        <v>22.821478356215568</v>
      </c>
      <c r="K15" s="471">
        <f>'Table 2A BaseLoad'!K33-INDEX('Table 10'!$F:$F,MATCH($A15,'Table 10'!$B:$B,0),1)</f>
        <v>20.57436575186448</v>
      </c>
      <c r="L15" s="471">
        <f>'Table 2A BaseLoad'!L33-INDEX('Table 10'!$F:$F,MATCH($A15,'Table 10'!$B:$B,0),1)</f>
        <v>19.855659996308148</v>
      </c>
      <c r="M15" s="472">
        <f>'Table 2A BaseLoad'!M33-INDEX('Table 10'!$F:$F,MATCH($A15,'Table 10'!$B:$B,0),1)</f>
        <v>23.954774231034708</v>
      </c>
    </row>
    <row r="16" spans="1:13" ht="12.75" customHeight="1" x14ac:dyDescent="0.2">
      <c r="A16" s="53">
        <f t="shared" si="0"/>
        <v>2022</v>
      </c>
      <c r="B16" s="470">
        <f>'Table 2A BaseLoad'!B34-INDEX('Table 10'!$F:$F,MATCH($A16,'Table 10'!$B:$B,0),1)</f>
        <v>22.33250534622659</v>
      </c>
      <c r="C16" s="471">
        <f>'Table 2A BaseLoad'!C34-INDEX('Table 10'!$F:$F,MATCH($A16,'Table 10'!$B:$B,0),1)</f>
        <v>20.427674632909373</v>
      </c>
      <c r="D16" s="471">
        <f>'Table 2A BaseLoad'!D34-INDEX('Table 10'!$F:$F,MATCH($A16,'Table 10'!$B:$B,0),1)</f>
        <v>19.080163393120632</v>
      </c>
      <c r="E16" s="471">
        <f>'Table 2A BaseLoad'!E34-INDEX('Table 10'!$F:$F,MATCH($A16,'Table 10'!$B:$B,0),1)</f>
        <v>17.201017362645004</v>
      </c>
      <c r="F16" s="472">
        <f>'Table 2A BaseLoad'!F34-INDEX('Table 10'!$F:$F,MATCH($A16,'Table 10'!$B:$B,0),1)</f>
        <v>21.231135224644621</v>
      </c>
      <c r="G16" s="471">
        <f>'Table 2A BaseLoad'!G34-INDEX('Table 10'!$F:$F,MATCH($A16,'Table 10'!$B:$B,0),1)</f>
        <v>20.89911747143956</v>
      </c>
      <c r="H16" s="471">
        <f>'Table 2A BaseLoad'!H34-INDEX('Table 10'!$F:$F,MATCH($A16,'Table 10'!$B:$B,0),1)</f>
        <v>37.740452499952092</v>
      </c>
      <c r="I16" s="471">
        <f>'Table 2A BaseLoad'!I34-INDEX('Table 10'!$F:$F,MATCH($A16,'Table 10'!$B:$B,0),1)</f>
        <v>27.773459152554551</v>
      </c>
      <c r="J16" s="472">
        <f>'Table 2A BaseLoad'!J34-INDEX('Table 10'!$F:$F,MATCH($A16,'Table 10'!$B:$B,0),1)</f>
        <v>24.36107574755265</v>
      </c>
      <c r="K16" s="471">
        <f>'Table 2A BaseLoad'!K34-INDEX('Table 10'!$F:$F,MATCH($A16,'Table 10'!$B:$B,0),1)</f>
        <v>23.215255207078009</v>
      </c>
      <c r="L16" s="471">
        <f>'Table 2A BaseLoad'!L34-INDEX('Table 10'!$F:$F,MATCH($A16,'Table 10'!$B:$B,0),1)</f>
        <v>17.289418365329468</v>
      </c>
      <c r="M16" s="472">
        <f>'Table 2A BaseLoad'!M34-INDEX('Table 10'!$F:$F,MATCH($A16,'Table 10'!$B:$B,0),1)</f>
        <v>26.945068356211653</v>
      </c>
    </row>
    <row r="17" spans="1:24" ht="12.75" customHeight="1" x14ac:dyDescent="0.2">
      <c r="A17" s="53">
        <f t="shared" si="0"/>
        <v>2023</v>
      </c>
      <c r="B17" s="470">
        <f>'Table 2A BaseLoad'!B35-INDEX('Table 10'!$F:$F,MATCH($A17,'Table 10'!$B:$B,0),1)</f>
        <v>25.959985097854847</v>
      </c>
      <c r="C17" s="471">
        <f>'Table 2A BaseLoad'!C35-INDEX('Table 10'!$F:$F,MATCH($A17,'Table 10'!$B:$B,0),1)</f>
        <v>21.929469557985904</v>
      </c>
      <c r="D17" s="471">
        <f>'Table 2A BaseLoad'!D35-INDEX('Table 10'!$F:$F,MATCH($A17,'Table 10'!$B:$B,0),1)</f>
        <v>21.661565314101075</v>
      </c>
      <c r="E17" s="471">
        <f>'Table 2A BaseLoad'!E35-INDEX('Table 10'!$F:$F,MATCH($A17,'Table 10'!$B:$B,0),1)</f>
        <v>17.690108698922145</v>
      </c>
      <c r="F17" s="472">
        <f>'Table 2A BaseLoad'!F35-INDEX('Table 10'!$F:$F,MATCH($A17,'Table 10'!$B:$B,0),1)</f>
        <v>23.45429421006542</v>
      </c>
      <c r="G17" s="471">
        <f>'Table 2A BaseLoad'!G35-INDEX('Table 10'!$F:$F,MATCH($A17,'Table 10'!$B:$B,0),1)</f>
        <v>22.111099082140463</v>
      </c>
      <c r="H17" s="471">
        <f>'Table 2A BaseLoad'!H35-INDEX('Table 10'!$F:$F,MATCH($A17,'Table 10'!$B:$B,0),1)</f>
        <v>41.001215231413219</v>
      </c>
      <c r="I17" s="471">
        <f>'Table 2A BaseLoad'!I35-INDEX('Table 10'!$F:$F,MATCH($A17,'Table 10'!$B:$B,0),1)</f>
        <v>18.261404861161299</v>
      </c>
      <c r="J17" s="472">
        <f>'Table 2A BaseLoad'!J35-INDEX('Table 10'!$F:$F,MATCH($A17,'Table 10'!$B:$B,0),1)</f>
        <v>38.902499325833418</v>
      </c>
      <c r="K17" s="471">
        <f>'Table 2A BaseLoad'!K35-INDEX('Table 10'!$F:$F,MATCH($A17,'Table 10'!$B:$B,0),1)</f>
        <v>27.530025616717875</v>
      </c>
      <c r="L17" s="471">
        <f>'Table 2A BaseLoad'!L35-INDEX('Table 10'!$F:$F,MATCH($A17,'Table 10'!$B:$B,0),1)</f>
        <v>24.505430347467268</v>
      </c>
      <c r="M17" s="472">
        <f>'Table 2A BaseLoad'!M35-INDEX('Table 10'!$F:$F,MATCH($A17,'Table 10'!$B:$B,0),1)</f>
        <v>30.658719003083508</v>
      </c>
    </row>
    <row r="18" spans="1:24" ht="12.75" customHeight="1" x14ac:dyDescent="0.2">
      <c r="A18" s="53">
        <f t="shared" si="0"/>
        <v>2024</v>
      </c>
      <c r="B18" s="470">
        <f>'Table 2A BaseLoad'!B36-INDEX('Table 10'!$F:$F,MATCH($A18,'Table 10'!$B:$B,0),1)</f>
        <v>28.636591850090685</v>
      </c>
      <c r="C18" s="471">
        <f>'Table 2A BaseLoad'!C36-INDEX('Table 10'!$F:$F,MATCH($A18,'Table 10'!$B:$B,0),1)</f>
        <v>27.509478401183728</v>
      </c>
      <c r="D18" s="471">
        <f>'Table 2A BaseLoad'!D36-INDEX('Table 10'!$F:$F,MATCH($A18,'Table 10'!$B:$B,0),1)</f>
        <v>23.65102977836899</v>
      </c>
      <c r="E18" s="471">
        <f>'Table 2A BaseLoad'!E36-INDEX('Table 10'!$F:$F,MATCH($A18,'Table 10'!$B:$B,0),1)</f>
        <v>21.272158289130356</v>
      </c>
      <c r="F18" s="472">
        <f>'Table 2A BaseLoad'!F36-INDEX('Table 10'!$F:$F,MATCH($A18,'Table 10'!$B:$B,0),1)</f>
        <v>23.14278666526053</v>
      </c>
      <c r="G18" s="471">
        <f>'Table 2A BaseLoad'!G36-INDEX('Table 10'!$F:$F,MATCH($A18,'Table 10'!$B:$B,0),1)</f>
        <v>21.330705241867239</v>
      </c>
      <c r="H18" s="471">
        <f>'Table 2A BaseLoad'!H36-INDEX('Table 10'!$F:$F,MATCH($A18,'Table 10'!$B:$B,0),1)</f>
        <v>42.802887460765653</v>
      </c>
      <c r="I18" s="471">
        <f>'Table 2A BaseLoad'!I36-INDEX('Table 10'!$F:$F,MATCH($A18,'Table 10'!$B:$B,0),1)</f>
        <v>34.616357949761316</v>
      </c>
      <c r="J18" s="472">
        <f>'Table 2A BaseLoad'!J36-INDEX('Table 10'!$F:$F,MATCH($A18,'Table 10'!$B:$B,0),1)</f>
        <v>34.729483484587703</v>
      </c>
      <c r="K18" s="471">
        <f>'Table 2A BaseLoad'!K36-INDEX('Table 10'!$F:$F,MATCH($A18,'Table 10'!$B:$B,0),1)</f>
        <v>27.08195236114074</v>
      </c>
      <c r="L18" s="471">
        <f>'Table 2A BaseLoad'!L36-INDEX('Table 10'!$F:$F,MATCH($A18,'Table 10'!$B:$B,0),1)</f>
        <v>24.218779715918924</v>
      </c>
      <c r="M18" s="472">
        <f>'Table 2A BaseLoad'!M36-INDEX('Table 10'!$F:$F,MATCH($A18,'Table 10'!$B:$B,0),1)</f>
        <v>32.395102298203149</v>
      </c>
    </row>
    <row r="19" spans="1:24" ht="12.75" customHeight="1" x14ac:dyDescent="0.2">
      <c r="A19" s="53">
        <f t="shared" si="0"/>
        <v>2025</v>
      </c>
      <c r="B19" s="470">
        <f>'Table 2A BaseLoad'!B37-INDEX('Table 10'!$F:$F,MATCH($A19,'Table 10'!$B:$B,0),1)</f>
        <v>31.202565968118812</v>
      </c>
      <c r="C19" s="471">
        <f>'Table 2A BaseLoad'!C37-INDEX('Table 10'!$F:$F,MATCH($A19,'Table 10'!$B:$B,0),1)</f>
        <v>60.51267730954887</v>
      </c>
      <c r="D19" s="471">
        <f>'Table 2A BaseLoad'!D37-INDEX('Table 10'!$F:$F,MATCH($A19,'Table 10'!$B:$B,0),1)</f>
        <v>23.821573034134399</v>
      </c>
      <c r="E19" s="471">
        <f>'Table 2A BaseLoad'!E37-INDEX('Table 10'!$F:$F,MATCH($A19,'Table 10'!$B:$B,0),1)</f>
        <v>22.185117430418519</v>
      </c>
      <c r="F19" s="472">
        <f>'Table 2A BaseLoad'!F37-INDEX('Table 10'!$F:$F,MATCH($A19,'Table 10'!$B:$B,0),1)</f>
        <v>23.559048218726804</v>
      </c>
      <c r="G19" s="471">
        <f>'Table 2A BaseLoad'!G37-INDEX('Table 10'!$F:$F,MATCH($A19,'Table 10'!$B:$B,0),1)</f>
        <v>23.739644981372471</v>
      </c>
      <c r="H19" s="471">
        <f>'Table 2A BaseLoad'!H37-INDEX('Table 10'!$F:$F,MATCH($A19,'Table 10'!$B:$B,0),1)</f>
        <v>43.96778254031215</v>
      </c>
      <c r="I19" s="471">
        <f>'Table 2A BaseLoad'!I37-INDEX('Table 10'!$F:$F,MATCH($A19,'Table 10'!$B:$B,0),1)</f>
        <v>34.653533716241995</v>
      </c>
      <c r="J19" s="472">
        <f>'Table 2A BaseLoad'!J37-INDEX('Table 10'!$F:$F,MATCH($A19,'Table 10'!$B:$B,0),1)</f>
        <v>28.61713489568282</v>
      </c>
      <c r="K19" s="471">
        <f>'Table 2A BaseLoad'!K37-INDEX('Table 10'!$F:$F,MATCH($A19,'Table 10'!$B:$B,0),1)</f>
        <v>30.286831190763209</v>
      </c>
      <c r="L19" s="471">
        <f>'Table 2A BaseLoad'!L37-INDEX('Table 10'!$F:$F,MATCH($A19,'Table 10'!$B:$B,0),1)</f>
        <v>25.91540073334545</v>
      </c>
      <c r="M19" s="472">
        <f>'Table 2A BaseLoad'!M37-INDEX('Table 10'!$F:$F,MATCH($A19,'Table 10'!$B:$B,0),1)</f>
        <v>30.993228614114908</v>
      </c>
    </row>
    <row r="20" spans="1:24" ht="12.75" customHeight="1" x14ac:dyDescent="0.2">
      <c r="A20" s="53">
        <f t="shared" si="0"/>
        <v>2026</v>
      </c>
      <c r="B20" s="470">
        <f>'Table 2A BaseLoad'!B38-INDEX('Table 10'!$F:$F,MATCH($A20,'Table 10'!$B:$B,0),1)</f>
        <v>28.69342072713097</v>
      </c>
      <c r="C20" s="471">
        <f>'Table 2A BaseLoad'!C38-INDEX('Table 10'!$F:$F,MATCH($A20,'Table 10'!$B:$B,0),1)</f>
        <v>27.461719467722101</v>
      </c>
      <c r="D20" s="471">
        <f>'Table 2A BaseLoad'!D38-INDEX('Table 10'!$F:$F,MATCH($A20,'Table 10'!$B:$B,0),1)</f>
        <v>25.446745365019666</v>
      </c>
      <c r="E20" s="471">
        <f>'Table 2A BaseLoad'!E38-INDEX('Table 10'!$F:$F,MATCH($A20,'Table 10'!$B:$B,0),1)</f>
        <v>24.48241266667009</v>
      </c>
      <c r="F20" s="472">
        <f>'Table 2A BaseLoad'!F38-INDEX('Table 10'!$F:$F,MATCH($A20,'Table 10'!$B:$B,0),1)</f>
        <v>25.405760068528611</v>
      </c>
      <c r="G20" s="471">
        <f>'Table 2A BaseLoad'!G38-INDEX('Table 10'!$F:$F,MATCH($A20,'Table 10'!$B:$B,0),1)</f>
        <v>25.037958567703487</v>
      </c>
      <c r="H20" s="471">
        <f>'Table 2A BaseLoad'!H38-INDEX('Table 10'!$F:$F,MATCH($A20,'Table 10'!$B:$B,0),1)</f>
        <v>45.883984664967471</v>
      </c>
      <c r="I20" s="471">
        <f>'Table 2A BaseLoad'!I38-INDEX('Table 10'!$F:$F,MATCH($A20,'Table 10'!$B:$B,0),1)</f>
        <v>36.822802898417869</v>
      </c>
      <c r="J20" s="472">
        <f>'Table 2A BaseLoad'!J38-INDEX('Table 10'!$F:$F,MATCH($A20,'Table 10'!$B:$B,0),1)</f>
        <v>28.369719323777286</v>
      </c>
      <c r="K20" s="471">
        <f>'Table 2A BaseLoad'!K38-INDEX('Table 10'!$F:$F,MATCH($A20,'Table 10'!$B:$B,0),1)</f>
        <v>29.42513273360721</v>
      </c>
      <c r="L20" s="471">
        <f>'Table 2A BaseLoad'!L38-INDEX('Table 10'!$F:$F,MATCH($A20,'Table 10'!$B:$B,0),1)</f>
        <v>26.156436717215829</v>
      </c>
      <c r="M20" s="472">
        <f>'Table 2A BaseLoad'!M38-INDEX('Table 10'!$F:$F,MATCH($A20,'Table 10'!$B:$B,0),1)</f>
        <v>28.933151128628225</v>
      </c>
    </row>
    <row r="21" spans="1:24" ht="12.75" customHeight="1" x14ac:dyDescent="0.2">
      <c r="A21" s="53">
        <f t="shared" si="0"/>
        <v>2027</v>
      </c>
      <c r="B21" s="470">
        <f>'Table 2A BaseLoad'!B39-INDEX('Table 10'!$F:$F,MATCH($A21,'Table 10'!$B:$B,0),1)</f>
        <v>32.408634541685309</v>
      </c>
      <c r="C21" s="471">
        <f>'Table 2A BaseLoad'!C39-INDEX('Table 10'!$F:$F,MATCH($A21,'Table 10'!$B:$B,0),1)</f>
        <v>33.085278310344755</v>
      </c>
      <c r="D21" s="471">
        <f>'Table 2A BaseLoad'!D39-INDEX('Table 10'!$F:$F,MATCH($A21,'Table 10'!$B:$B,0),1)</f>
        <v>29.279045589307643</v>
      </c>
      <c r="E21" s="471">
        <f>'Table 2A BaseLoad'!E39-INDEX('Table 10'!$F:$F,MATCH($A21,'Table 10'!$B:$B,0),1)</f>
        <v>28.470895572309963</v>
      </c>
      <c r="F21" s="472">
        <f>'Table 2A BaseLoad'!F39-INDEX('Table 10'!$F:$F,MATCH($A21,'Table 10'!$B:$B,0),1)</f>
        <v>30.154963625411767</v>
      </c>
      <c r="G21" s="471">
        <f>'Table 2A BaseLoad'!G39-INDEX('Table 10'!$F:$F,MATCH($A21,'Table 10'!$B:$B,0),1)</f>
        <v>29.608480088604907</v>
      </c>
      <c r="H21" s="471">
        <f>'Table 2A BaseLoad'!H39-INDEX('Table 10'!$F:$F,MATCH($A21,'Table 10'!$B:$B,0),1)</f>
        <v>51.331779791248124</v>
      </c>
      <c r="I21" s="471">
        <f>'Table 2A BaseLoad'!I39-INDEX('Table 10'!$F:$F,MATCH($A21,'Table 10'!$B:$B,0),1)</f>
        <v>46.664377256781414</v>
      </c>
      <c r="J21" s="472">
        <f>'Table 2A BaseLoad'!J39-INDEX('Table 10'!$F:$F,MATCH($A21,'Table 10'!$B:$B,0),1)</f>
        <v>36.204312042683931</v>
      </c>
      <c r="K21" s="471">
        <f>'Table 2A BaseLoad'!K39-INDEX('Table 10'!$F:$F,MATCH($A21,'Table 10'!$B:$B,0),1)</f>
        <v>35.770980521207207</v>
      </c>
      <c r="L21" s="471">
        <f>'Table 2A BaseLoad'!L39-INDEX('Table 10'!$F:$F,MATCH($A21,'Table 10'!$B:$B,0),1)</f>
        <v>32.877924501216725</v>
      </c>
      <c r="M21" s="472">
        <f>'Table 2A BaseLoad'!M39-INDEX('Table 10'!$F:$F,MATCH($A21,'Table 10'!$B:$B,0),1)</f>
        <v>42.254988651573164</v>
      </c>
    </row>
    <row r="22" spans="1:24" ht="12.75" customHeight="1" x14ac:dyDescent="0.2">
      <c r="A22" s="53"/>
      <c r="B22" s="54"/>
      <c r="C22" s="55"/>
      <c r="D22" s="55"/>
      <c r="E22" s="55"/>
      <c r="F22" s="56"/>
      <c r="G22" s="55"/>
      <c r="H22" s="55"/>
      <c r="I22" s="55"/>
      <c r="J22" s="56"/>
      <c r="K22" s="55"/>
      <c r="L22" s="55"/>
      <c r="M22" s="56"/>
    </row>
    <row r="23" spans="1:24" ht="12.75" hidden="1" customHeight="1" x14ac:dyDescent="0.2">
      <c r="A23" s="53"/>
      <c r="B23" s="54"/>
      <c r="C23" s="55"/>
      <c r="D23" s="55"/>
      <c r="E23" s="55"/>
      <c r="F23" s="56"/>
      <c r="G23" s="55"/>
      <c r="H23" s="55"/>
      <c r="I23" s="55"/>
      <c r="J23" s="56"/>
      <c r="K23" s="55"/>
      <c r="L23" s="55"/>
      <c r="M23" s="56"/>
    </row>
    <row r="24" spans="1:24" ht="12.75" hidden="1" customHeight="1" x14ac:dyDescent="0.2">
      <c r="A24" s="53"/>
      <c r="B24" s="54"/>
      <c r="C24" s="55"/>
      <c r="D24" s="55"/>
      <c r="E24" s="55"/>
      <c r="F24" s="56"/>
      <c r="G24" s="55"/>
      <c r="H24" s="55"/>
      <c r="I24" s="55"/>
      <c r="J24" s="56"/>
      <c r="K24" s="55"/>
      <c r="L24" s="55"/>
      <c r="M24" s="56"/>
    </row>
    <row r="25" spans="1:24" ht="12.75" hidden="1" customHeight="1" x14ac:dyDescent="0.2">
      <c r="A25" s="57"/>
      <c r="B25" s="58"/>
      <c r="C25" s="59"/>
      <c r="D25" s="59"/>
      <c r="E25" s="59"/>
      <c r="F25" s="60"/>
      <c r="G25" s="59"/>
      <c r="H25" s="59"/>
      <c r="I25" s="59"/>
      <c r="J25" s="60"/>
      <c r="K25" s="59"/>
      <c r="L25" s="59"/>
      <c r="M25" s="60"/>
    </row>
    <row r="26" spans="1:24" ht="12.75" customHeight="1" x14ac:dyDescent="0.2">
      <c r="A26" s="111"/>
      <c r="B26" s="109"/>
      <c r="C26" s="109"/>
      <c r="D26" s="109"/>
      <c r="E26" s="109"/>
      <c r="F26" s="108"/>
      <c r="G26" s="108"/>
      <c r="H26" s="108"/>
      <c r="I26" s="108"/>
      <c r="J26" s="110"/>
      <c r="K26" s="108"/>
      <c r="L26" s="108"/>
      <c r="M26" s="108"/>
    </row>
    <row r="27" spans="1:24" ht="12.75" customHeight="1" x14ac:dyDescent="0.2">
      <c r="A27" s="12" t="s">
        <v>220</v>
      </c>
      <c r="C27" s="40"/>
      <c r="D27" s="40"/>
      <c r="E27" s="40"/>
      <c r="G27" s="40"/>
      <c r="H27" s="40"/>
      <c r="I27" s="40"/>
      <c r="J27" s="48"/>
      <c r="L27" s="40"/>
      <c r="M27" s="37"/>
    </row>
    <row r="28" spans="1:24" ht="12.75" customHeight="1" x14ac:dyDescent="0.2">
      <c r="A28" s="49">
        <f>'Tables 3 to 5'!$B$13</f>
        <v>2016</v>
      </c>
      <c r="B28" s="50"/>
      <c r="C28" s="51"/>
      <c r="D28" s="51"/>
      <c r="E28" s="51"/>
      <c r="F28" s="490">
        <f>'Table 2A BaseLoad'!F46-INDEX('Table 10'!$F:$F,MATCH($A28,'Table 10'!$B:$B,0),1)</f>
        <v>12.124062372119237</v>
      </c>
      <c r="G28" s="491">
        <f>'Table 2A BaseLoad'!G46-INDEX('Table 10'!$F:$F,MATCH($A28,'Table 10'!$B:$B,0),1)</f>
        <v>10.429148942759003</v>
      </c>
      <c r="H28" s="491">
        <f>'Table 2A BaseLoad'!H46-INDEX('Table 10'!$F:$F,MATCH($A28,'Table 10'!$B:$B,0),1)</f>
        <v>15.009091222955773</v>
      </c>
      <c r="I28" s="491">
        <f>'Table 2A BaseLoad'!I46-INDEX('Table 10'!$F:$F,MATCH($A28,'Table 10'!$B:$B,0),1)</f>
        <v>16.381373560594767</v>
      </c>
      <c r="J28" s="490">
        <f>'Table 2A BaseLoad'!J46-INDEX('Table 10'!$F:$F,MATCH($A28,'Table 10'!$B:$B,0),1)</f>
        <v>19.349994056150365</v>
      </c>
      <c r="K28" s="491">
        <f>'Table 2A BaseLoad'!K46-INDEX('Table 10'!$F:$F,MATCH($A28,'Table 10'!$B:$B,0),1)</f>
        <v>15.549264885082863</v>
      </c>
      <c r="L28" s="491">
        <f>'Table 2A BaseLoad'!L46-INDEX('Table 10'!$F:$F,MATCH($A28,'Table 10'!$B:$B,0),1)</f>
        <v>16.284074453295823</v>
      </c>
      <c r="M28" s="490">
        <f>'Table 2A BaseLoad'!M46-INDEX('Table 10'!$F:$F,MATCH($A28,'Table 10'!$B:$B,0),1)</f>
        <v>20.878993781030118</v>
      </c>
    </row>
    <row r="29" spans="1:24" ht="12.75" customHeight="1" x14ac:dyDescent="0.2">
      <c r="A29" s="53">
        <f t="shared" ref="A29:A39" si="1">A28+1</f>
        <v>2017</v>
      </c>
      <c r="B29" s="470">
        <f>'Table 2A BaseLoad'!B47-INDEX('Table 10'!$F:$F,MATCH($A29,'Table 10'!$B:$B,0),1)</f>
        <v>19.118324642111528</v>
      </c>
      <c r="C29" s="471">
        <f>'Table 2A BaseLoad'!C47-INDEX('Table 10'!$F:$F,MATCH($A29,'Table 10'!$B:$B,0),1)</f>
        <v>20.482616868439234</v>
      </c>
      <c r="D29" s="471">
        <f>'Table 2A BaseLoad'!D47-INDEX('Table 10'!$F:$F,MATCH($A29,'Table 10'!$B:$B,0),1)</f>
        <v>17.863640032799523</v>
      </c>
      <c r="E29" s="471">
        <f>'Table 2A BaseLoad'!E47-INDEX('Table 10'!$F:$F,MATCH($A29,'Table 10'!$B:$B,0),1)</f>
        <v>16.543738925469221</v>
      </c>
      <c r="F29" s="472">
        <f>'Table 2A BaseLoad'!F47-INDEX('Table 10'!$F:$F,MATCH($A29,'Table 10'!$B:$B,0),1)</f>
        <v>13.988603051195634</v>
      </c>
      <c r="G29" s="471">
        <f>'Table 2A BaseLoad'!G47-INDEX('Table 10'!$F:$F,MATCH($A29,'Table 10'!$B:$B,0),1)</f>
        <v>12.905922926196883</v>
      </c>
      <c r="H29" s="471">
        <f>'Table 2A BaseLoad'!H47-INDEX('Table 10'!$F:$F,MATCH($A29,'Table 10'!$B:$B,0),1)</f>
        <v>16.329272467615969</v>
      </c>
      <c r="I29" s="471">
        <f>'Table 2A BaseLoad'!I47-INDEX('Table 10'!$F:$F,MATCH($A29,'Table 10'!$B:$B,0),1)</f>
        <v>16.80063056654636</v>
      </c>
      <c r="J29" s="472">
        <f>'Table 2A BaseLoad'!J47-INDEX('Table 10'!$F:$F,MATCH($A29,'Table 10'!$B:$B,0),1)</f>
        <v>16.384125473965192</v>
      </c>
      <c r="K29" s="471">
        <f>'Table 2A BaseLoad'!K47-INDEX('Table 10'!$F:$F,MATCH($A29,'Table 10'!$B:$B,0),1)</f>
        <v>17.038187657766557</v>
      </c>
      <c r="L29" s="471">
        <f>'Table 2A BaseLoad'!L47-INDEX('Table 10'!$F:$F,MATCH($A29,'Table 10'!$B:$B,0),1)</f>
        <v>17.270950923266739</v>
      </c>
      <c r="M29" s="472">
        <f>'Table 2A BaseLoad'!M47-INDEX('Table 10'!$F:$F,MATCH($A29,'Table 10'!$B:$B,0),1)</f>
        <v>19.905682082190445</v>
      </c>
    </row>
    <row r="30" spans="1:24" ht="12.75" customHeight="1" x14ac:dyDescent="0.2">
      <c r="A30" s="53">
        <f t="shared" si="1"/>
        <v>2018</v>
      </c>
      <c r="B30" s="470">
        <f>'Table 2A BaseLoad'!B48-INDEX('Table 10'!$F:$F,MATCH($A30,'Table 10'!$B:$B,0),1)</f>
        <v>19.757114372893948</v>
      </c>
      <c r="C30" s="471">
        <f>'Table 2A BaseLoad'!C48-INDEX('Table 10'!$F:$F,MATCH($A30,'Table 10'!$B:$B,0),1)</f>
        <v>17.769351835097751</v>
      </c>
      <c r="D30" s="471">
        <f>'Table 2A BaseLoad'!D48-INDEX('Table 10'!$F:$F,MATCH($A30,'Table 10'!$B:$B,0),1)</f>
        <v>16.503348390314823</v>
      </c>
      <c r="E30" s="471">
        <f>'Table 2A BaseLoad'!E48-INDEX('Table 10'!$F:$F,MATCH($A30,'Table 10'!$B:$B,0),1)</f>
        <v>14.493359067678156</v>
      </c>
      <c r="F30" s="472">
        <f>'Table 2A BaseLoad'!F48-INDEX('Table 10'!$F:$F,MATCH($A30,'Table 10'!$B:$B,0),1)</f>
        <v>12.434627526659842</v>
      </c>
      <c r="G30" s="471">
        <f>'Table 2A BaseLoad'!G48-INDEX('Table 10'!$F:$F,MATCH($A30,'Table 10'!$B:$B,0),1)</f>
        <v>13.806750726243258</v>
      </c>
      <c r="H30" s="471">
        <f>'Table 2A BaseLoad'!H48-INDEX('Table 10'!$F:$F,MATCH($A30,'Table 10'!$B:$B,0),1)</f>
        <v>19.89597868399466</v>
      </c>
      <c r="I30" s="471">
        <f>'Table 2A BaseLoad'!I48-INDEX('Table 10'!$F:$F,MATCH($A30,'Table 10'!$B:$B,0),1)</f>
        <v>17.418828877355754</v>
      </c>
      <c r="J30" s="472">
        <f>'Table 2A BaseLoad'!J48-INDEX('Table 10'!$F:$F,MATCH($A30,'Table 10'!$B:$B,0),1)</f>
        <v>16.474977035422917</v>
      </c>
      <c r="K30" s="471">
        <f>'Table 2A BaseLoad'!K48-INDEX('Table 10'!$F:$F,MATCH($A30,'Table 10'!$B:$B,0),1)</f>
        <v>18.120341742887117</v>
      </c>
      <c r="L30" s="471">
        <f>'Table 2A BaseLoad'!L48-INDEX('Table 10'!$F:$F,MATCH($A30,'Table 10'!$B:$B,0),1)</f>
        <v>16.664569461691382</v>
      </c>
      <c r="M30" s="472">
        <f>'Table 2A BaseLoad'!M48-INDEX('Table 10'!$F:$F,MATCH($A30,'Table 10'!$B:$B,0),1)</f>
        <v>20.250247359518369</v>
      </c>
      <c r="N30" s="133"/>
      <c r="O30" s="133"/>
      <c r="P30" s="133"/>
      <c r="Q30" s="133"/>
      <c r="R30" s="133"/>
      <c r="S30" s="133"/>
      <c r="T30" s="133"/>
    </row>
    <row r="31" spans="1:24" ht="12.75" customHeight="1" x14ac:dyDescent="0.2">
      <c r="A31" s="53">
        <f t="shared" si="1"/>
        <v>2019</v>
      </c>
      <c r="B31" s="470">
        <f>'Table 2A BaseLoad'!B49-INDEX('Table 10'!$F:$F,MATCH($A31,'Table 10'!$B:$B,0),1)</f>
        <v>15.157184436637408</v>
      </c>
      <c r="C31" s="471">
        <f>'Table 2A BaseLoad'!C49-INDEX('Table 10'!$F:$F,MATCH($A31,'Table 10'!$B:$B,0),1)</f>
        <v>16.347491607904274</v>
      </c>
      <c r="D31" s="471">
        <f>'Table 2A BaseLoad'!D49-INDEX('Table 10'!$F:$F,MATCH($A31,'Table 10'!$B:$B,0),1)</f>
        <v>15.915410460794501</v>
      </c>
      <c r="E31" s="471">
        <f>'Table 2A BaseLoad'!E49-INDEX('Table 10'!$F:$F,MATCH($A31,'Table 10'!$B:$B,0),1)</f>
        <v>12.559478722206913</v>
      </c>
      <c r="F31" s="472">
        <f>'Table 2A BaseLoad'!F49-INDEX('Table 10'!$F:$F,MATCH($A31,'Table 10'!$B:$B,0),1)</f>
        <v>9.6229348202578411</v>
      </c>
      <c r="G31" s="471">
        <f>'Table 2A BaseLoad'!G49-INDEX('Table 10'!$F:$F,MATCH($A31,'Table 10'!$B:$B,0),1)</f>
        <v>9.2069717518156331</v>
      </c>
      <c r="H31" s="471">
        <f>'Table 2A BaseLoad'!H49-INDEX('Table 10'!$F:$F,MATCH($A31,'Table 10'!$B:$B,0),1)</f>
        <v>21.662407630911119</v>
      </c>
      <c r="I31" s="471">
        <f>'Table 2A BaseLoad'!I49-INDEX('Table 10'!$F:$F,MATCH($A31,'Table 10'!$B:$B,0),1)</f>
        <v>18.283786912947477</v>
      </c>
      <c r="J31" s="472">
        <f>'Table 2A BaseLoad'!J49-INDEX('Table 10'!$F:$F,MATCH($A31,'Table 10'!$B:$B,0),1)</f>
        <v>14.808403065323485</v>
      </c>
      <c r="K31" s="471">
        <f>'Table 2A BaseLoad'!K49-INDEX('Table 10'!$F:$F,MATCH($A31,'Table 10'!$B:$B,0),1)</f>
        <v>16.764120417668565</v>
      </c>
      <c r="L31" s="471">
        <f>'Table 2A BaseLoad'!L49-INDEX('Table 10'!$F:$F,MATCH($A31,'Table 10'!$B:$B,0),1)</f>
        <v>14.636619841284521</v>
      </c>
      <c r="M31" s="472">
        <f>'Table 2A BaseLoad'!M49-INDEX('Table 10'!$F:$F,MATCH($A31,'Table 10'!$B:$B,0),1)</f>
        <v>18.720593726099764</v>
      </c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2.75" customHeight="1" x14ac:dyDescent="0.2">
      <c r="A32" s="53">
        <f t="shared" si="1"/>
        <v>2020</v>
      </c>
      <c r="B32" s="470">
        <f>'Table 2A BaseLoad'!B50-INDEX('Table 10'!$F:$F,MATCH($A32,'Table 10'!$B:$B,0),1)</f>
        <v>16.61361841132663</v>
      </c>
      <c r="C32" s="471">
        <f>'Table 2A BaseLoad'!C50-INDEX('Table 10'!$F:$F,MATCH($A32,'Table 10'!$B:$B,0),1)</f>
        <v>18.518627917987818</v>
      </c>
      <c r="D32" s="471">
        <f>'Table 2A BaseLoad'!D50-INDEX('Table 10'!$F:$F,MATCH($A32,'Table 10'!$B:$B,0),1)</f>
        <v>13.856975339637435</v>
      </c>
      <c r="E32" s="471">
        <f>'Table 2A BaseLoad'!E50-INDEX('Table 10'!$F:$F,MATCH($A32,'Table 10'!$B:$B,0),1)</f>
        <v>11.959557334080905</v>
      </c>
      <c r="F32" s="472">
        <f>'Table 2A BaseLoad'!F50-INDEX('Table 10'!$F:$F,MATCH($A32,'Table 10'!$B:$B,0),1)</f>
        <v>10.021387035354872</v>
      </c>
      <c r="G32" s="471">
        <f>'Table 2A BaseLoad'!G50-INDEX('Table 10'!$F:$F,MATCH($A32,'Table 10'!$B:$B,0),1)</f>
        <v>9.8930276064422689</v>
      </c>
      <c r="H32" s="471">
        <f>'Table 2A BaseLoad'!H50-INDEX('Table 10'!$F:$F,MATCH($A32,'Table 10'!$B:$B,0),1)</f>
        <v>20.117990900963509</v>
      </c>
      <c r="I32" s="471">
        <f>'Table 2A BaseLoad'!I50-INDEX('Table 10'!$F:$F,MATCH($A32,'Table 10'!$B:$B,0),1)</f>
        <v>16.162006166530023</v>
      </c>
      <c r="J32" s="472">
        <f>'Table 2A BaseLoad'!J50-INDEX('Table 10'!$F:$F,MATCH($A32,'Table 10'!$B:$B,0),1)</f>
        <v>12.866793766795606</v>
      </c>
      <c r="K32" s="471">
        <f>'Table 2A BaseLoad'!K50-INDEX('Table 10'!$F:$F,MATCH($A32,'Table 10'!$B:$B,0),1)</f>
        <v>17.314638080438705</v>
      </c>
      <c r="L32" s="471">
        <f>'Table 2A BaseLoad'!L50-INDEX('Table 10'!$F:$F,MATCH($A32,'Table 10'!$B:$B,0),1)</f>
        <v>16.19722347562006</v>
      </c>
      <c r="M32" s="472">
        <f>'Table 2A BaseLoad'!M50-INDEX('Table 10'!$F:$F,MATCH($A32,'Table 10'!$B:$B,0),1)</f>
        <v>21.452282354789805</v>
      </c>
      <c r="N32" s="133"/>
      <c r="O32" s="133"/>
      <c r="P32" s="133"/>
      <c r="Q32" s="133"/>
      <c r="R32" s="133"/>
      <c r="S32" s="133"/>
      <c r="T32" s="133"/>
    </row>
    <row r="33" spans="1:20" ht="12.75" customHeight="1" x14ac:dyDescent="0.2">
      <c r="A33" s="53">
        <f t="shared" si="1"/>
        <v>2021</v>
      </c>
      <c r="B33" s="470">
        <f>'Table 2A BaseLoad'!B51-INDEX('Table 10'!$F:$F,MATCH($A33,'Table 10'!$B:$B,0),1)</f>
        <v>19.382594039885451</v>
      </c>
      <c r="C33" s="471">
        <f>'Table 2A BaseLoad'!C51-INDEX('Table 10'!$F:$F,MATCH($A33,'Table 10'!$B:$B,0),1)</f>
        <v>18.441082596969526</v>
      </c>
      <c r="D33" s="471">
        <f>'Table 2A BaseLoad'!D51-INDEX('Table 10'!$F:$F,MATCH($A33,'Table 10'!$B:$B,0),1)</f>
        <v>16.974154322970392</v>
      </c>
      <c r="E33" s="471">
        <f>'Table 2A BaseLoad'!E51-INDEX('Table 10'!$F:$F,MATCH($A33,'Table 10'!$B:$B,0),1)</f>
        <v>13.086348405991567</v>
      </c>
      <c r="F33" s="472">
        <f>'Table 2A BaseLoad'!F51-INDEX('Table 10'!$F:$F,MATCH($A33,'Table 10'!$B:$B,0),1)</f>
        <v>11.306031224816678</v>
      </c>
      <c r="G33" s="471">
        <f>'Table 2A BaseLoad'!G51-INDEX('Table 10'!$F:$F,MATCH($A33,'Table 10'!$B:$B,0),1)</f>
        <v>11.03151561210113</v>
      </c>
      <c r="H33" s="471">
        <f>'Table 2A BaseLoad'!H51-INDEX('Table 10'!$F:$F,MATCH($A33,'Table 10'!$B:$B,0),1)</f>
        <v>21.929707969659461</v>
      </c>
      <c r="I33" s="471">
        <f>'Table 2A BaseLoad'!I51-INDEX('Table 10'!$F:$F,MATCH($A33,'Table 10'!$B:$B,0),1)</f>
        <v>18.673995455428411</v>
      </c>
      <c r="J33" s="472">
        <f>'Table 2A BaseLoad'!J51-INDEX('Table 10'!$F:$F,MATCH($A33,'Table 10'!$B:$B,0),1)</f>
        <v>14.413813992621897</v>
      </c>
      <c r="K33" s="471">
        <f>'Table 2A BaseLoad'!K51-INDEX('Table 10'!$F:$F,MATCH($A33,'Table 10'!$B:$B,0),1)</f>
        <v>19.155884625884905</v>
      </c>
      <c r="L33" s="471">
        <f>'Table 2A BaseLoad'!L51-INDEX('Table 10'!$F:$F,MATCH($A33,'Table 10'!$B:$B,0),1)</f>
        <v>18.159278642286996</v>
      </c>
      <c r="M33" s="472">
        <f>'Table 2A BaseLoad'!M51-INDEX('Table 10'!$F:$F,MATCH($A33,'Table 10'!$B:$B,0),1)</f>
        <v>22.647240694410922</v>
      </c>
      <c r="N33" s="133"/>
      <c r="O33" s="133"/>
      <c r="P33" s="133"/>
      <c r="Q33" s="133"/>
      <c r="R33" s="133"/>
      <c r="S33" s="133"/>
      <c r="T33" s="133"/>
    </row>
    <row r="34" spans="1:20" ht="12.75" customHeight="1" x14ac:dyDescent="0.2">
      <c r="A34" s="53">
        <f t="shared" si="1"/>
        <v>2022</v>
      </c>
      <c r="B34" s="470">
        <f>'Table 2A BaseLoad'!B52-INDEX('Table 10'!$F:$F,MATCH($A34,'Table 10'!$B:$B,0),1)</f>
        <v>20.381791619875152</v>
      </c>
      <c r="C34" s="471">
        <f>'Table 2A BaseLoad'!C52-INDEX('Table 10'!$F:$F,MATCH($A34,'Table 10'!$B:$B,0),1)</f>
        <v>18.465367034888814</v>
      </c>
      <c r="D34" s="471">
        <f>'Table 2A BaseLoad'!D52-INDEX('Table 10'!$F:$F,MATCH($A34,'Table 10'!$B:$B,0),1)</f>
        <v>17.542578491809866</v>
      </c>
      <c r="E34" s="471">
        <f>'Table 2A BaseLoad'!E52-INDEX('Table 10'!$F:$F,MATCH($A34,'Table 10'!$B:$B,0),1)</f>
        <v>13.955914014644831</v>
      </c>
      <c r="F34" s="472">
        <f>'Table 2A BaseLoad'!F52-INDEX('Table 10'!$F:$F,MATCH($A34,'Table 10'!$B:$B,0),1)</f>
        <v>13.456148369462387</v>
      </c>
      <c r="G34" s="471">
        <f>'Table 2A BaseLoad'!G52-INDEX('Table 10'!$F:$F,MATCH($A34,'Table 10'!$B:$B,0),1)</f>
        <v>12.680791951153381</v>
      </c>
      <c r="H34" s="471">
        <f>'Table 2A BaseLoad'!H52-INDEX('Table 10'!$F:$F,MATCH($A34,'Table 10'!$B:$B,0),1)</f>
        <v>26.388710628198748</v>
      </c>
      <c r="I34" s="471">
        <f>'Table 2A BaseLoad'!I52-INDEX('Table 10'!$F:$F,MATCH($A34,'Table 10'!$B:$B,0),1)</f>
        <v>19.886351050849964</v>
      </c>
      <c r="J34" s="472">
        <f>'Table 2A BaseLoad'!J52-INDEX('Table 10'!$F:$F,MATCH($A34,'Table 10'!$B:$B,0),1)</f>
        <v>16.462165469408856</v>
      </c>
      <c r="K34" s="471">
        <f>'Table 2A BaseLoad'!K52-INDEX('Table 10'!$F:$F,MATCH($A34,'Table 10'!$B:$B,0),1)</f>
        <v>22.571297207428827</v>
      </c>
      <c r="L34" s="471">
        <f>'Table 2A BaseLoad'!L52-INDEX('Table 10'!$F:$F,MATCH($A34,'Table 10'!$B:$B,0),1)</f>
        <v>16.539271060801994</v>
      </c>
      <c r="M34" s="472">
        <f>'Table 2A BaseLoad'!M52-INDEX('Table 10'!$F:$F,MATCH($A34,'Table 10'!$B:$B,0),1)</f>
        <v>26.501616973821143</v>
      </c>
      <c r="N34" s="133"/>
      <c r="O34" s="133"/>
      <c r="P34" s="133"/>
      <c r="Q34" s="133"/>
      <c r="R34" s="133"/>
      <c r="S34" s="133"/>
      <c r="T34" s="133"/>
    </row>
    <row r="35" spans="1:20" ht="12.75" customHeight="1" x14ac:dyDescent="0.2">
      <c r="A35" s="53">
        <f t="shared" si="1"/>
        <v>2023</v>
      </c>
      <c r="B35" s="470">
        <f>'Table 2A BaseLoad'!B53-INDEX('Table 10'!$F:$F,MATCH($A35,'Table 10'!$B:$B,0),1)</f>
        <v>23.515654825142423</v>
      </c>
      <c r="C35" s="471">
        <f>'Table 2A BaseLoad'!C53-INDEX('Table 10'!$F:$F,MATCH($A35,'Table 10'!$B:$B,0),1)</f>
        <v>19.674529711148821</v>
      </c>
      <c r="D35" s="471">
        <f>'Table 2A BaseLoad'!D53-INDEX('Table 10'!$F:$F,MATCH($A35,'Table 10'!$B:$B,0),1)</f>
        <v>19.746839102042479</v>
      </c>
      <c r="E35" s="471">
        <f>'Table 2A BaseLoad'!E53-INDEX('Table 10'!$F:$F,MATCH($A35,'Table 10'!$B:$B,0),1)</f>
        <v>16.950179135933791</v>
      </c>
      <c r="F35" s="472">
        <f>'Table 2A BaseLoad'!F53-INDEX('Table 10'!$F:$F,MATCH($A35,'Table 10'!$B:$B,0),1)</f>
        <v>18.140321887313707</v>
      </c>
      <c r="G35" s="471">
        <f>'Table 2A BaseLoad'!G53-INDEX('Table 10'!$F:$F,MATCH($A35,'Table 10'!$B:$B,0),1)</f>
        <v>16.659985686039711</v>
      </c>
      <c r="H35" s="471">
        <f>'Table 2A BaseLoad'!H53-INDEX('Table 10'!$F:$F,MATCH($A35,'Table 10'!$B:$B,0),1)</f>
        <v>30.269717850663579</v>
      </c>
      <c r="I35" s="471">
        <f>'Table 2A BaseLoad'!I53-INDEX('Table 10'!$F:$F,MATCH($A35,'Table 10'!$B:$B,0),1)</f>
        <v>13.478997553144758</v>
      </c>
      <c r="J35" s="472">
        <f>'Table 2A BaseLoad'!J53-INDEX('Table 10'!$F:$F,MATCH($A35,'Table 10'!$B:$B,0),1)</f>
        <v>29.271864933729198</v>
      </c>
      <c r="K35" s="471">
        <f>'Table 2A BaseLoad'!K53-INDEX('Table 10'!$F:$F,MATCH($A35,'Table 10'!$B:$B,0),1)</f>
        <v>25.419551172003054</v>
      </c>
      <c r="L35" s="471">
        <f>'Table 2A BaseLoad'!L53-INDEX('Table 10'!$F:$F,MATCH($A35,'Table 10'!$B:$B,0),1)</f>
        <v>22.469988309511368</v>
      </c>
      <c r="M35" s="472">
        <f>'Table 2A BaseLoad'!M53-INDEX('Table 10'!$F:$F,MATCH($A35,'Table 10'!$B:$B,0),1)</f>
        <v>28.852456107100572</v>
      </c>
      <c r="N35" s="133"/>
      <c r="O35" s="133"/>
      <c r="P35" s="133"/>
      <c r="Q35" s="133"/>
      <c r="R35" s="133"/>
      <c r="S35" s="133"/>
      <c r="T35" s="133"/>
    </row>
    <row r="36" spans="1:20" ht="12.75" customHeight="1" x14ac:dyDescent="0.2">
      <c r="A36" s="53">
        <f t="shared" si="1"/>
        <v>2024</v>
      </c>
      <c r="B36" s="470">
        <f>'Table 2A BaseLoad'!B54-INDEX('Table 10'!$F:$F,MATCH($A36,'Table 10'!$B:$B,0),1)</f>
        <v>25.91187233246384</v>
      </c>
      <c r="C36" s="471">
        <f>'Table 2A BaseLoad'!C54-INDEX('Table 10'!$F:$F,MATCH($A36,'Table 10'!$B:$B,0),1)</f>
        <v>24.90284886641572</v>
      </c>
      <c r="D36" s="471">
        <f>'Table 2A BaseLoad'!D54-INDEX('Table 10'!$F:$F,MATCH($A36,'Table 10'!$B:$B,0),1)</f>
        <v>22.018559316339974</v>
      </c>
      <c r="E36" s="471">
        <f>'Table 2A BaseLoad'!E54-INDEX('Table 10'!$F:$F,MATCH($A36,'Table 10'!$B:$B,0),1)</f>
        <v>19.842194552461702</v>
      </c>
      <c r="F36" s="472">
        <f>'Table 2A BaseLoad'!F54-INDEX('Table 10'!$F:$F,MATCH($A36,'Table 10'!$B:$B,0),1)</f>
        <v>20.956527074481816</v>
      </c>
      <c r="G36" s="471">
        <f>'Table 2A BaseLoad'!G54-INDEX('Table 10'!$F:$F,MATCH($A36,'Table 10'!$B:$B,0),1)</f>
        <v>19.099915233035233</v>
      </c>
      <c r="H36" s="471">
        <f>'Table 2A BaseLoad'!H54-INDEX('Table 10'!$F:$F,MATCH($A36,'Table 10'!$B:$B,0),1)</f>
        <v>33.07455394705493</v>
      </c>
      <c r="I36" s="471">
        <f>'Table 2A BaseLoad'!I54-INDEX('Table 10'!$F:$F,MATCH($A36,'Table 10'!$B:$B,0),1)</f>
        <v>26.398922865400543</v>
      </c>
      <c r="J36" s="472">
        <f>'Table 2A BaseLoad'!J54-INDEX('Table 10'!$F:$F,MATCH($A36,'Table 10'!$B:$B,0),1)</f>
        <v>28.425358149451743</v>
      </c>
      <c r="K36" s="471">
        <f>'Table 2A BaseLoad'!K54-INDEX('Table 10'!$F:$F,MATCH($A36,'Table 10'!$B:$B,0),1)</f>
        <v>23.957926823071666</v>
      </c>
      <c r="L36" s="471">
        <f>'Table 2A BaseLoad'!L54-INDEX('Table 10'!$F:$F,MATCH($A36,'Table 10'!$B:$B,0),1)</f>
        <v>21.476182373603859</v>
      </c>
      <c r="M36" s="472">
        <f>'Table 2A BaseLoad'!M54-INDEX('Table 10'!$F:$F,MATCH($A36,'Table 10'!$B:$B,0),1)</f>
        <v>29.414468317787794</v>
      </c>
      <c r="N36" s="133"/>
      <c r="O36" s="133"/>
      <c r="P36" s="133"/>
      <c r="Q36" s="133"/>
      <c r="R36" s="133"/>
      <c r="S36" s="133"/>
      <c r="T36" s="133"/>
    </row>
    <row r="37" spans="1:20" ht="12.75" customHeight="1" x14ac:dyDescent="0.2">
      <c r="A37" s="53">
        <f t="shared" si="1"/>
        <v>2025</v>
      </c>
      <c r="B37" s="470">
        <f>'Table 2A BaseLoad'!B55-INDEX('Table 10'!$F:$F,MATCH($A37,'Table 10'!$B:$B,0),1)</f>
        <v>28.207325522875585</v>
      </c>
      <c r="C37" s="471">
        <f>'Table 2A BaseLoad'!C55-INDEX('Table 10'!$F:$F,MATCH($A37,'Table 10'!$B:$B,0),1)</f>
        <v>55.212769004714161</v>
      </c>
      <c r="D37" s="471">
        <f>'Table 2A BaseLoad'!D55-INDEX('Table 10'!$F:$F,MATCH($A37,'Table 10'!$B:$B,0),1)</f>
        <v>22.558054490010303</v>
      </c>
      <c r="E37" s="471">
        <f>'Table 2A BaseLoad'!E55-INDEX('Table 10'!$F:$F,MATCH($A37,'Table 10'!$B:$B,0),1)</f>
        <v>20.174953082203803</v>
      </c>
      <c r="F37" s="472">
        <f>'Table 2A BaseLoad'!F55-INDEX('Table 10'!$F:$F,MATCH($A37,'Table 10'!$B:$B,0),1)</f>
        <v>21.553865109018481</v>
      </c>
      <c r="G37" s="471">
        <f>'Table 2A BaseLoad'!G55-INDEX('Table 10'!$F:$F,MATCH($A37,'Table 10'!$B:$B,0),1)</f>
        <v>20.774450617493216</v>
      </c>
      <c r="H37" s="471">
        <f>'Table 2A BaseLoad'!H55-INDEX('Table 10'!$F:$F,MATCH($A37,'Table 10'!$B:$B,0),1)</f>
        <v>34.021553601056574</v>
      </c>
      <c r="I37" s="471">
        <f>'Table 2A BaseLoad'!I55-INDEX('Table 10'!$F:$F,MATCH($A37,'Table 10'!$B:$B,0),1)</f>
        <v>26.211114622276462</v>
      </c>
      <c r="J37" s="472">
        <f>'Table 2A BaseLoad'!J55-INDEX('Table 10'!$F:$F,MATCH($A37,'Table 10'!$B:$B,0),1)</f>
        <v>22.810331563380174</v>
      </c>
      <c r="K37" s="471">
        <f>'Table 2A BaseLoad'!K55-INDEX('Table 10'!$F:$F,MATCH($A37,'Table 10'!$B:$B,0),1)</f>
        <v>26.719636115645251</v>
      </c>
      <c r="L37" s="471">
        <f>'Table 2A BaseLoad'!L55-INDEX('Table 10'!$F:$F,MATCH($A37,'Table 10'!$B:$B,0),1)</f>
        <v>23.037740402663239</v>
      </c>
      <c r="M37" s="472">
        <f>'Table 2A BaseLoad'!M55-INDEX('Table 10'!$F:$F,MATCH($A37,'Table 10'!$B:$B,0),1)</f>
        <v>27.785011476175502</v>
      </c>
      <c r="N37" s="133"/>
      <c r="O37" s="133"/>
      <c r="P37" s="133"/>
      <c r="Q37" s="133"/>
      <c r="R37" s="133"/>
      <c r="S37" s="133"/>
      <c r="T37" s="133"/>
    </row>
    <row r="38" spans="1:20" ht="12.75" customHeight="1" x14ac:dyDescent="0.2">
      <c r="A38" s="53">
        <f t="shared" si="1"/>
        <v>2026</v>
      </c>
      <c r="B38" s="470">
        <f>'Table 2A BaseLoad'!B56-INDEX('Table 10'!$F:$F,MATCH($A38,'Table 10'!$B:$B,0),1)</f>
        <v>25.815753769027253</v>
      </c>
      <c r="C38" s="471">
        <f>'Table 2A BaseLoad'!C56-INDEX('Table 10'!$F:$F,MATCH($A38,'Table 10'!$B:$B,0),1)</f>
        <v>24.918537950338763</v>
      </c>
      <c r="D38" s="471">
        <f>'Table 2A BaseLoad'!D56-INDEX('Table 10'!$F:$F,MATCH($A38,'Table 10'!$B:$B,0),1)</f>
        <v>24.186727265301403</v>
      </c>
      <c r="E38" s="471">
        <f>'Table 2A BaseLoad'!E56-INDEX('Table 10'!$F:$F,MATCH($A38,'Table 10'!$B:$B,0),1)</f>
        <v>22.655608625526394</v>
      </c>
      <c r="F38" s="472">
        <f>'Table 2A BaseLoad'!F56-INDEX('Table 10'!$F:$F,MATCH($A38,'Table 10'!$B:$B,0),1)</f>
        <v>23.090108035081009</v>
      </c>
      <c r="G38" s="471">
        <f>'Table 2A BaseLoad'!G56-INDEX('Table 10'!$F:$F,MATCH($A38,'Table 10'!$B:$B,0),1)</f>
        <v>21.733172788670952</v>
      </c>
      <c r="H38" s="471">
        <f>'Table 2A BaseLoad'!H56-INDEX('Table 10'!$F:$F,MATCH($A38,'Table 10'!$B:$B,0),1)</f>
        <v>35.591587688861026</v>
      </c>
      <c r="I38" s="471">
        <f>'Table 2A BaseLoad'!I56-INDEX('Table 10'!$F:$F,MATCH($A38,'Table 10'!$B:$B,0),1)</f>
        <v>28.110425137909772</v>
      </c>
      <c r="J38" s="472">
        <f>'Table 2A BaseLoad'!J56-INDEX('Table 10'!$F:$F,MATCH($A38,'Table 10'!$B:$B,0),1)</f>
        <v>22.931211381831428</v>
      </c>
      <c r="K38" s="471">
        <f>'Table 2A BaseLoad'!K56-INDEX('Table 10'!$F:$F,MATCH($A38,'Table 10'!$B:$B,0),1)</f>
        <v>26.166895517737171</v>
      </c>
      <c r="L38" s="471">
        <f>'Table 2A BaseLoad'!L56-INDEX('Table 10'!$F:$F,MATCH($A38,'Table 10'!$B:$B,0),1)</f>
        <v>23.23153982051711</v>
      </c>
      <c r="M38" s="472">
        <f>'Table 2A BaseLoad'!M56-INDEX('Table 10'!$F:$F,MATCH($A38,'Table 10'!$B:$B,0),1)</f>
        <v>26.019793014340969</v>
      </c>
      <c r="N38" s="134"/>
      <c r="O38" s="134"/>
      <c r="P38" s="134"/>
      <c r="Q38" s="134"/>
      <c r="R38" s="134"/>
      <c r="S38" s="134"/>
      <c r="T38" s="134"/>
    </row>
    <row r="39" spans="1:20" ht="12.75" customHeight="1" x14ac:dyDescent="0.2">
      <c r="A39" s="53">
        <f t="shared" si="1"/>
        <v>2027</v>
      </c>
      <c r="B39" s="470">
        <f>'Table 2A BaseLoad'!B57-INDEX('Table 10'!$F:$F,MATCH($A39,'Table 10'!$B:$B,0),1)</f>
        <v>29.724799835405449</v>
      </c>
      <c r="C39" s="471">
        <f>'Table 2A BaseLoad'!C57-INDEX('Table 10'!$F:$F,MATCH($A39,'Table 10'!$B:$B,0),1)</f>
        <v>30.249422727818946</v>
      </c>
      <c r="D39" s="471">
        <f>'Table 2A BaseLoad'!D57-INDEX('Table 10'!$F:$F,MATCH($A39,'Table 10'!$B:$B,0),1)</f>
        <v>28.199391448532754</v>
      </c>
      <c r="E39" s="471">
        <f>'Table 2A BaseLoad'!E57-INDEX('Table 10'!$F:$F,MATCH($A39,'Table 10'!$B:$B,0),1)</f>
        <v>26.197558439259407</v>
      </c>
      <c r="F39" s="472">
        <f>'Table 2A BaseLoad'!F57-INDEX('Table 10'!$F:$F,MATCH($A39,'Table 10'!$B:$B,0),1)</f>
        <v>27.751944550620607</v>
      </c>
      <c r="G39" s="471">
        <f>'Table 2A BaseLoad'!G57-INDEX('Table 10'!$F:$F,MATCH($A39,'Table 10'!$B:$B,0),1)</f>
        <v>26.050441654174779</v>
      </c>
      <c r="H39" s="471">
        <f>'Table 2A BaseLoad'!H57-INDEX('Table 10'!$F:$F,MATCH($A39,'Table 10'!$B:$B,0),1)</f>
        <v>40.514387454025879</v>
      </c>
      <c r="I39" s="471">
        <f>'Table 2A BaseLoad'!I57-INDEX('Table 10'!$F:$F,MATCH($A39,'Table 10'!$B:$B,0),1)</f>
        <v>35.96052813318019</v>
      </c>
      <c r="J39" s="472">
        <f>'Table 2A BaseLoad'!J57-INDEX('Table 10'!$F:$F,MATCH($A39,'Table 10'!$B:$B,0),1)</f>
        <v>29.849677900009489</v>
      </c>
      <c r="K39" s="471">
        <f>'Table 2A BaseLoad'!K57-INDEX('Table 10'!$F:$F,MATCH($A39,'Table 10'!$B:$B,0),1)</f>
        <v>31.883604342482933</v>
      </c>
      <c r="L39" s="471">
        <f>'Table 2A BaseLoad'!L57-INDEX('Table 10'!$F:$F,MATCH($A39,'Table 10'!$B:$B,0),1)</f>
        <v>28.972515575814644</v>
      </c>
      <c r="M39" s="472">
        <f>'Table 2A BaseLoad'!M57-INDEX('Table 10'!$F:$F,MATCH($A39,'Table 10'!$B:$B,0),1)</f>
        <v>38.659480687060736</v>
      </c>
    </row>
    <row r="40" spans="1:20" ht="12.75" customHeight="1" x14ac:dyDescent="0.2">
      <c r="A40" s="53"/>
      <c r="B40" s="54"/>
      <c r="C40" s="55"/>
      <c r="D40" s="55"/>
      <c r="E40" s="55"/>
      <c r="F40" s="55"/>
      <c r="G40" s="54"/>
      <c r="H40" s="55"/>
      <c r="I40" s="55"/>
      <c r="J40" s="55"/>
      <c r="K40" s="54"/>
      <c r="L40" s="55"/>
      <c r="M40" s="56"/>
    </row>
    <row r="41" spans="1:20" ht="12.75" hidden="1" customHeight="1" x14ac:dyDescent="0.2">
      <c r="A41" s="53"/>
      <c r="B41" s="54"/>
      <c r="C41" s="55"/>
      <c r="D41" s="55"/>
      <c r="E41" s="55"/>
      <c r="F41" s="55"/>
      <c r="G41" s="54"/>
      <c r="H41" s="55"/>
      <c r="I41" s="55"/>
      <c r="J41" s="55"/>
      <c r="K41" s="54"/>
      <c r="L41" s="55"/>
      <c r="M41" s="56"/>
    </row>
    <row r="42" spans="1:20" ht="12.75" hidden="1" customHeight="1" x14ac:dyDescent="0.2">
      <c r="A42" s="53"/>
      <c r="B42" s="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</row>
    <row r="43" spans="1:20" ht="12.75" hidden="1" customHeight="1" x14ac:dyDescent="0.2">
      <c r="A43" s="5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</row>
    <row r="44" spans="1:20" ht="12.75" customHeight="1" x14ac:dyDescent="0.2">
      <c r="A44" s="111"/>
      <c r="B44" s="109"/>
      <c r="C44" s="109"/>
      <c r="D44" s="109"/>
      <c r="E44" s="109"/>
      <c r="F44" s="108"/>
      <c r="G44" s="108"/>
      <c r="H44" s="108"/>
      <c r="I44" s="108"/>
      <c r="J44" s="110"/>
      <c r="K44" s="108"/>
      <c r="L44" s="108"/>
      <c r="M44" s="108"/>
    </row>
    <row r="45" spans="1:20" ht="12.75" customHeight="1" x14ac:dyDescent="0.2">
      <c r="A45" s="12" t="s">
        <v>219</v>
      </c>
      <c r="C45" s="40"/>
      <c r="D45" s="40"/>
      <c r="E45" s="40"/>
      <c r="G45" s="40"/>
      <c r="H45" s="40"/>
      <c r="I45" s="40"/>
      <c r="J45" s="48"/>
      <c r="L45" s="40"/>
      <c r="M45" s="37"/>
    </row>
    <row r="46" spans="1:20" ht="12.75" customHeight="1" x14ac:dyDescent="0.2">
      <c r="A46" s="49">
        <f>'Tables 3 to 5'!$B$13</f>
        <v>2016</v>
      </c>
      <c r="B46" s="50"/>
      <c r="C46" s="51"/>
      <c r="D46" s="51"/>
      <c r="E46" s="51"/>
      <c r="F46" s="51">
        <f t="shared" ref="F46:G46" si="2">F10*0.56+F28*0.44</f>
        <v>13.690569793831077</v>
      </c>
      <c r="G46" s="50">
        <f t="shared" si="2"/>
        <v>13.990645806825821</v>
      </c>
      <c r="H46" s="51">
        <f>H10*0.56+H28*0.44</f>
        <v>21.662349365991723</v>
      </c>
      <c r="I46" s="51">
        <f t="shared" ref="I46:M46" si="3">I10*0.56+I28*0.44</f>
        <v>21.699310026947018</v>
      </c>
      <c r="J46" s="51">
        <f t="shared" si="3"/>
        <v>21.372690337592218</v>
      </c>
      <c r="K46" s="50">
        <f t="shared" si="3"/>
        <v>16.923911529200819</v>
      </c>
      <c r="L46" s="51">
        <f t="shared" si="3"/>
        <v>17.253052355746718</v>
      </c>
      <c r="M46" s="52">
        <f t="shared" si="3"/>
        <v>21.861726903105023</v>
      </c>
    </row>
    <row r="47" spans="1:20" ht="12.75" customHeight="1" x14ac:dyDescent="0.2">
      <c r="A47" s="53">
        <f t="shared" ref="A47:A57" si="4">A46+1</f>
        <v>2017</v>
      </c>
      <c r="B47" s="54">
        <f>B11*0.56+B29*0.44</f>
        <v>20.304139687262726</v>
      </c>
      <c r="C47" s="55">
        <f t="shared" ref="C47:M47" si="5">C11*0.56+C29*0.44</f>
        <v>21.066535491706766</v>
      </c>
      <c r="D47" s="55">
        <f t="shared" si="5"/>
        <v>19.184911867791115</v>
      </c>
      <c r="E47" s="55">
        <f t="shared" si="5"/>
        <v>19.055009962481318</v>
      </c>
      <c r="F47" s="55">
        <f t="shared" si="5"/>
        <v>16.258337101566578</v>
      </c>
      <c r="G47" s="54">
        <f t="shared" si="5"/>
        <v>16.028469873382303</v>
      </c>
      <c r="H47" s="55">
        <f t="shared" si="5"/>
        <v>20.943192568258183</v>
      </c>
      <c r="I47" s="55">
        <f t="shared" si="5"/>
        <v>21.023611827180762</v>
      </c>
      <c r="J47" s="55">
        <f t="shared" si="5"/>
        <v>18.164482449032974</v>
      </c>
      <c r="K47" s="54">
        <f t="shared" si="5"/>
        <v>18.056621674366053</v>
      </c>
      <c r="L47" s="55">
        <f t="shared" si="5"/>
        <v>18.535265540912452</v>
      </c>
      <c r="M47" s="56">
        <f t="shared" si="5"/>
        <v>20.85286615136096</v>
      </c>
    </row>
    <row r="48" spans="1:20" ht="12.75" customHeight="1" x14ac:dyDescent="0.2">
      <c r="A48" s="53">
        <f t="shared" si="4"/>
        <v>2018</v>
      </c>
      <c r="B48" s="54">
        <f t="shared" ref="B48:M57" si="6">B12*0.56+B30*0.44</f>
        <v>20.923879434227388</v>
      </c>
      <c r="C48" s="55">
        <f t="shared" si="6"/>
        <v>18.38053571036432</v>
      </c>
      <c r="D48" s="55">
        <f t="shared" si="6"/>
        <v>17.722242705592478</v>
      </c>
      <c r="E48" s="55">
        <f t="shared" si="6"/>
        <v>15.873805270588438</v>
      </c>
      <c r="F48" s="55">
        <f t="shared" si="6"/>
        <v>14.554908482164862</v>
      </c>
      <c r="G48" s="54">
        <f t="shared" si="6"/>
        <v>16.21224766862321</v>
      </c>
      <c r="H48" s="55">
        <f t="shared" si="6"/>
        <v>25.417365996869922</v>
      </c>
      <c r="I48" s="55">
        <f t="shared" si="6"/>
        <v>21.496564467402131</v>
      </c>
      <c r="J48" s="55">
        <f t="shared" si="6"/>
        <v>19.158478751406246</v>
      </c>
      <c r="K48" s="54">
        <f t="shared" si="6"/>
        <v>19.157301591657927</v>
      </c>
      <c r="L48" s="55">
        <f t="shared" si="6"/>
        <v>17.794635958845241</v>
      </c>
      <c r="M48" s="56">
        <f t="shared" si="6"/>
        <v>21.165311636977446</v>
      </c>
    </row>
    <row r="49" spans="1:13" ht="12.75" customHeight="1" x14ac:dyDescent="0.2">
      <c r="A49" s="53">
        <f t="shared" si="4"/>
        <v>2019</v>
      </c>
      <c r="B49" s="54">
        <f t="shared" si="6"/>
        <v>15.606257970846096</v>
      </c>
      <c r="C49" s="55">
        <f t="shared" si="6"/>
        <v>17.136926949032734</v>
      </c>
      <c r="D49" s="55">
        <f t="shared" si="6"/>
        <v>16.482059840376536</v>
      </c>
      <c r="E49" s="55">
        <f t="shared" si="6"/>
        <v>15.515913550012298</v>
      </c>
      <c r="F49" s="55">
        <f t="shared" si="6"/>
        <v>15.463838786240952</v>
      </c>
      <c r="G49" s="54">
        <f t="shared" si="6"/>
        <v>15.259394067727253</v>
      </c>
      <c r="H49" s="55">
        <f t="shared" si="6"/>
        <v>25.990424897239599</v>
      </c>
      <c r="I49" s="55">
        <f t="shared" si="6"/>
        <v>21.545807637144279</v>
      </c>
      <c r="J49" s="55">
        <f t="shared" si="6"/>
        <v>18.103614508644796</v>
      </c>
      <c r="K49" s="54">
        <f t="shared" si="6"/>
        <v>17.887764389342859</v>
      </c>
      <c r="L49" s="55">
        <f t="shared" si="6"/>
        <v>15.81101415097973</v>
      </c>
      <c r="M49" s="56">
        <f t="shared" si="6"/>
        <v>19.747628686433256</v>
      </c>
    </row>
    <row r="50" spans="1:13" ht="12.75" customHeight="1" x14ac:dyDescent="0.2">
      <c r="A50" s="53">
        <f t="shared" si="4"/>
        <v>2020</v>
      </c>
      <c r="B50" s="54">
        <f t="shared" si="6"/>
        <v>17.756715028990801</v>
      </c>
      <c r="C50" s="55">
        <f t="shared" si="6"/>
        <v>19.915322756321171</v>
      </c>
      <c r="D50" s="55">
        <f t="shared" si="6"/>
        <v>14.761494364187666</v>
      </c>
      <c r="E50" s="55">
        <f t="shared" si="6"/>
        <v>14.120785165607469</v>
      </c>
      <c r="F50" s="55">
        <f t="shared" si="6"/>
        <v>14.448188899889569</v>
      </c>
      <c r="G50" s="54">
        <f t="shared" si="6"/>
        <v>14.697722217060594</v>
      </c>
      <c r="H50" s="55">
        <f t="shared" si="6"/>
        <v>26.269167939666545</v>
      </c>
      <c r="I50" s="55">
        <f t="shared" si="6"/>
        <v>20.755243137915244</v>
      </c>
      <c r="J50" s="55">
        <f t="shared" si="6"/>
        <v>17.379573315243054</v>
      </c>
      <c r="K50" s="54">
        <f t="shared" si="6"/>
        <v>18.297765454058432</v>
      </c>
      <c r="L50" s="55">
        <f t="shared" si="6"/>
        <v>17.315917291395841</v>
      </c>
      <c r="M50" s="56">
        <f t="shared" si="6"/>
        <v>22.431096176516462</v>
      </c>
    </row>
    <row r="51" spans="1:13" ht="12.75" customHeight="1" x14ac:dyDescent="0.2">
      <c r="A51" s="53">
        <f t="shared" si="4"/>
        <v>2021</v>
      </c>
      <c r="B51" s="54">
        <f t="shared" si="6"/>
        <v>20.322616255318088</v>
      </c>
      <c r="C51" s="55">
        <f t="shared" si="6"/>
        <v>19.443969085338658</v>
      </c>
      <c r="D51" s="55">
        <f t="shared" si="6"/>
        <v>17.709298209244352</v>
      </c>
      <c r="E51" s="55">
        <f t="shared" si="6"/>
        <v>15.226857836718818</v>
      </c>
      <c r="F51" s="55">
        <f t="shared" si="6"/>
        <v>15.756635486350017</v>
      </c>
      <c r="G51" s="54">
        <f t="shared" si="6"/>
        <v>15.832875156736593</v>
      </c>
      <c r="H51" s="55">
        <f t="shared" si="6"/>
        <v>28.250388588690946</v>
      </c>
      <c r="I51" s="55">
        <f t="shared" si="6"/>
        <v>23.665610507101704</v>
      </c>
      <c r="J51" s="55">
        <f t="shared" si="6"/>
        <v>19.122106036234356</v>
      </c>
      <c r="K51" s="54">
        <f t="shared" si="6"/>
        <v>19.950234056433466</v>
      </c>
      <c r="L51" s="55">
        <f t="shared" si="6"/>
        <v>19.10925220053884</v>
      </c>
      <c r="M51" s="56">
        <f t="shared" si="6"/>
        <v>23.379459474920246</v>
      </c>
    </row>
    <row r="52" spans="1:13" ht="12.75" customHeight="1" x14ac:dyDescent="0.2">
      <c r="A52" s="53">
        <f t="shared" si="4"/>
        <v>2022</v>
      </c>
      <c r="B52" s="54">
        <f t="shared" si="6"/>
        <v>21.474191306631958</v>
      </c>
      <c r="C52" s="55">
        <f t="shared" si="6"/>
        <v>19.564259289780328</v>
      </c>
      <c r="D52" s="55">
        <f t="shared" si="6"/>
        <v>18.403626036543894</v>
      </c>
      <c r="E52" s="55">
        <f t="shared" si="6"/>
        <v>15.77317188952493</v>
      </c>
      <c r="F52" s="55">
        <f t="shared" si="6"/>
        <v>17.81014100836444</v>
      </c>
      <c r="G52" s="54">
        <f t="shared" si="6"/>
        <v>17.283054242513643</v>
      </c>
      <c r="H52" s="55">
        <f t="shared" si="6"/>
        <v>32.745686076380622</v>
      </c>
      <c r="I52" s="55">
        <f t="shared" si="6"/>
        <v>24.303131587804536</v>
      </c>
      <c r="J52" s="55">
        <f t="shared" si="6"/>
        <v>20.885555225169384</v>
      </c>
      <c r="K52" s="54">
        <f t="shared" si="6"/>
        <v>22.93191368723237</v>
      </c>
      <c r="L52" s="55">
        <f t="shared" si="6"/>
        <v>16.959353551337379</v>
      </c>
      <c r="M52" s="56">
        <f t="shared" si="6"/>
        <v>26.749949747959832</v>
      </c>
    </row>
    <row r="53" spans="1:13" ht="12.75" customHeight="1" x14ac:dyDescent="0.2">
      <c r="A53" s="53">
        <f t="shared" si="4"/>
        <v>2023</v>
      </c>
      <c r="B53" s="54">
        <f t="shared" si="6"/>
        <v>24.88447977786138</v>
      </c>
      <c r="C53" s="55">
        <f t="shared" si="6"/>
        <v>20.937296025377588</v>
      </c>
      <c r="D53" s="55">
        <f t="shared" si="6"/>
        <v>20.819085780795294</v>
      </c>
      <c r="E53" s="55">
        <f t="shared" si="6"/>
        <v>17.36453969120727</v>
      </c>
      <c r="F53" s="55">
        <f t="shared" si="6"/>
        <v>21.116146388054666</v>
      </c>
      <c r="G53" s="54">
        <f t="shared" si="6"/>
        <v>19.712609187856131</v>
      </c>
      <c r="H53" s="55">
        <f t="shared" si="6"/>
        <v>36.279356383883382</v>
      </c>
      <c r="I53" s="55">
        <f t="shared" si="6"/>
        <v>16.157145645634024</v>
      </c>
      <c r="J53" s="55">
        <f t="shared" si="6"/>
        <v>34.665020193307562</v>
      </c>
      <c r="K53" s="54">
        <f t="shared" si="6"/>
        <v>26.601416861043354</v>
      </c>
      <c r="L53" s="55">
        <f t="shared" si="6"/>
        <v>23.609835850766672</v>
      </c>
      <c r="M53" s="56">
        <f t="shared" si="6"/>
        <v>29.863963328851021</v>
      </c>
    </row>
    <row r="54" spans="1:13" ht="12.75" customHeight="1" x14ac:dyDescent="0.2">
      <c r="A54" s="53">
        <f t="shared" si="4"/>
        <v>2024</v>
      </c>
      <c r="B54" s="54">
        <f t="shared" si="6"/>
        <v>27.437715262334876</v>
      </c>
      <c r="C54" s="55">
        <f t="shared" si="6"/>
        <v>26.362561405885806</v>
      </c>
      <c r="D54" s="55">
        <f t="shared" si="6"/>
        <v>22.932742775076225</v>
      </c>
      <c r="E54" s="55">
        <f t="shared" si="6"/>
        <v>20.642974244996147</v>
      </c>
      <c r="F54" s="55">
        <f t="shared" si="6"/>
        <v>22.180832445317897</v>
      </c>
      <c r="G54" s="54">
        <f t="shared" si="6"/>
        <v>20.349157637981158</v>
      </c>
      <c r="H54" s="55">
        <f t="shared" si="6"/>
        <v>38.522420714732938</v>
      </c>
      <c r="I54" s="55">
        <f t="shared" si="6"/>
        <v>31.000686512642574</v>
      </c>
      <c r="J54" s="55">
        <f t="shared" si="6"/>
        <v>31.955668337127882</v>
      </c>
      <c r="K54" s="54">
        <f t="shared" si="6"/>
        <v>25.707381124390349</v>
      </c>
      <c r="L54" s="55">
        <f t="shared" si="6"/>
        <v>23.012036885300297</v>
      </c>
      <c r="M54" s="56">
        <f t="shared" si="6"/>
        <v>31.083623346820392</v>
      </c>
    </row>
    <row r="55" spans="1:13" ht="12.75" customHeight="1" x14ac:dyDescent="0.2">
      <c r="A55" s="53">
        <f t="shared" si="4"/>
        <v>2025</v>
      </c>
      <c r="B55" s="54">
        <f t="shared" si="6"/>
        <v>29.884660172211792</v>
      </c>
      <c r="C55" s="55">
        <f t="shared" si="6"/>
        <v>58.180717655421603</v>
      </c>
      <c r="D55" s="55">
        <f t="shared" si="6"/>
        <v>23.265624874719798</v>
      </c>
      <c r="E55" s="55">
        <f t="shared" si="6"/>
        <v>21.300645117204045</v>
      </c>
      <c r="F55" s="55">
        <f t="shared" si="6"/>
        <v>22.676767650455144</v>
      </c>
      <c r="G55" s="54">
        <f t="shared" si="6"/>
        <v>22.434959461265599</v>
      </c>
      <c r="H55" s="55">
        <f t="shared" si="6"/>
        <v>39.591441807039701</v>
      </c>
      <c r="I55" s="55">
        <f t="shared" si="6"/>
        <v>30.938869314897161</v>
      </c>
      <c r="J55" s="55">
        <f t="shared" si="6"/>
        <v>26.062141429469655</v>
      </c>
      <c r="K55" s="54">
        <f t="shared" si="6"/>
        <v>28.717265357711309</v>
      </c>
      <c r="L55" s="55">
        <f t="shared" si="6"/>
        <v>24.649230187845276</v>
      </c>
      <c r="M55" s="56">
        <f t="shared" si="6"/>
        <v>29.581613073421572</v>
      </c>
    </row>
    <row r="56" spans="1:13" ht="12.75" customHeight="1" x14ac:dyDescent="0.2">
      <c r="A56" s="53">
        <f t="shared" si="4"/>
        <v>2026</v>
      </c>
      <c r="B56" s="54">
        <f t="shared" si="6"/>
        <v>27.427247265565335</v>
      </c>
      <c r="C56" s="55">
        <f t="shared" si="6"/>
        <v>26.342719600073433</v>
      </c>
      <c r="D56" s="55">
        <f t="shared" si="6"/>
        <v>24.892337401143632</v>
      </c>
      <c r="E56" s="55">
        <f t="shared" si="6"/>
        <v>23.678618888566866</v>
      </c>
      <c r="F56" s="55">
        <f t="shared" si="6"/>
        <v>24.386873173811665</v>
      </c>
      <c r="G56" s="54">
        <f t="shared" si="6"/>
        <v>23.583852824929174</v>
      </c>
      <c r="H56" s="55">
        <f t="shared" si="6"/>
        <v>41.355329995480638</v>
      </c>
      <c r="I56" s="55">
        <f t="shared" si="6"/>
        <v>32.989356683794306</v>
      </c>
      <c r="J56" s="55">
        <f t="shared" si="6"/>
        <v>25.97677582932111</v>
      </c>
      <c r="K56" s="54">
        <f t="shared" si="6"/>
        <v>27.991508358624394</v>
      </c>
      <c r="L56" s="55">
        <f t="shared" si="6"/>
        <v>24.869482082668394</v>
      </c>
      <c r="M56" s="56">
        <f t="shared" si="6"/>
        <v>27.651273558341835</v>
      </c>
    </row>
    <row r="57" spans="1:13" ht="12.75" customHeight="1" x14ac:dyDescent="0.2">
      <c r="A57" s="53">
        <f t="shared" si="4"/>
        <v>2027</v>
      </c>
      <c r="B57" s="54">
        <f t="shared" si="6"/>
        <v>31.227747270922173</v>
      </c>
      <c r="C57" s="55">
        <f t="shared" si="6"/>
        <v>31.837501854033398</v>
      </c>
      <c r="D57" s="55">
        <f t="shared" si="6"/>
        <v>28.803997767366695</v>
      </c>
      <c r="E57" s="55">
        <f t="shared" si="6"/>
        <v>27.470627233767722</v>
      </c>
      <c r="F57" s="55">
        <f t="shared" si="6"/>
        <v>29.097635232503659</v>
      </c>
      <c r="G57" s="54">
        <f t="shared" si="6"/>
        <v>28.042943177455655</v>
      </c>
      <c r="H57" s="55">
        <f t="shared" si="6"/>
        <v>46.572127162870338</v>
      </c>
      <c r="I57" s="55">
        <f t="shared" si="6"/>
        <v>41.95468364239688</v>
      </c>
      <c r="J57" s="55">
        <f t="shared" si="6"/>
        <v>33.408273019907178</v>
      </c>
      <c r="K57" s="54">
        <f t="shared" si="6"/>
        <v>34.060535002568528</v>
      </c>
      <c r="L57" s="55">
        <f t="shared" si="6"/>
        <v>31.159544574039813</v>
      </c>
      <c r="M57" s="56">
        <f t="shared" si="6"/>
        <v>40.672965147187696</v>
      </c>
    </row>
    <row r="58" spans="1:13" ht="12.75" customHeight="1" x14ac:dyDescent="0.2">
      <c r="A58" s="53"/>
      <c r="B58" s="54"/>
      <c r="C58" s="55"/>
      <c r="D58" s="55"/>
      <c r="E58" s="55"/>
      <c r="F58" s="55"/>
      <c r="G58" s="54"/>
      <c r="H58" s="55"/>
      <c r="I58" s="55"/>
      <c r="J58" s="55"/>
      <c r="K58" s="54"/>
      <c r="L58" s="55"/>
      <c r="M58" s="56"/>
    </row>
    <row r="59" spans="1:13" ht="12.75" hidden="1" customHeight="1" x14ac:dyDescent="0.2">
      <c r="A59" s="53"/>
      <c r="B59" s="54"/>
      <c r="C59" s="55"/>
      <c r="D59" s="55"/>
      <c r="E59" s="55"/>
      <c r="F59" s="55"/>
      <c r="G59" s="54"/>
      <c r="H59" s="55"/>
      <c r="I59" s="55"/>
      <c r="J59" s="55"/>
      <c r="K59" s="54"/>
      <c r="L59" s="55"/>
      <c r="M59" s="56"/>
    </row>
    <row r="60" spans="1:13" ht="12.75" hidden="1" customHeight="1" x14ac:dyDescent="0.2">
      <c r="A60" s="53"/>
      <c r="B60" s="54"/>
      <c r="C60" s="55"/>
      <c r="D60" s="55"/>
      <c r="E60" s="55"/>
      <c r="F60" s="55"/>
      <c r="G60" s="54"/>
      <c r="H60" s="55"/>
      <c r="I60" s="55"/>
      <c r="J60" s="55"/>
      <c r="K60" s="54"/>
      <c r="L60" s="55"/>
      <c r="M60" s="56"/>
    </row>
    <row r="61" spans="1:13" ht="12.75" hidden="1" customHeight="1" x14ac:dyDescent="0.2">
      <c r="A61" s="57"/>
      <c r="B61" s="58"/>
      <c r="C61" s="59"/>
      <c r="D61" s="59"/>
      <c r="E61" s="59"/>
      <c r="F61" s="59"/>
      <c r="G61" s="58"/>
      <c r="H61" s="59"/>
      <c r="I61" s="59"/>
      <c r="J61" s="59"/>
      <c r="K61" s="58"/>
      <c r="L61" s="59"/>
      <c r="M61" s="60"/>
    </row>
    <row r="62" spans="1:13" ht="12.75" customHeight="1" x14ac:dyDescent="0.2">
      <c r="A62" s="108"/>
      <c r="B62" s="109"/>
      <c r="C62" s="109"/>
      <c r="D62" s="109"/>
      <c r="E62" s="108"/>
      <c r="F62" s="108"/>
      <c r="G62" s="108"/>
      <c r="H62" s="108"/>
      <c r="I62" s="108"/>
      <c r="J62" s="108"/>
      <c r="K62" s="110"/>
      <c r="L62" s="108"/>
      <c r="M62" s="108"/>
    </row>
    <row r="63" spans="1:13" ht="12.75" customHeight="1" x14ac:dyDescent="0.2">
      <c r="A63" s="12" t="s">
        <v>65</v>
      </c>
      <c r="C63" s="62"/>
      <c r="D63" s="62"/>
      <c r="K63" s="61"/>
    </row>
    <row r="64" spans="1:13" ht="12.75" customHeight="1" x14ac:dyDescent="0.2">
      <c r="A64" s="63" t="s">
        <v>2</v>
      </c>
      <c r="C64" s="64" t="s">
        <v>56</v>
      </c>
      <c r="D64" s="33"/>
      <c r="E64" s="34"/>
      <c r="F64" s="37"/>
      <c r="G64" s="64" t="s">
        <v>57</v>
      </c>
      <c r="H64" s="33"/>
      <c r="I64" s="34"/>
      <c r="J64" s="37"/>
      <c r="K64" s="64" t="s">
        <v>66</v>
      </c>
      <c r="L64" s="33"/>
      <c r="M64" s="34"/>
    </row>
    <row r="65" spans="1:13" s="37" customFormat="1" ht="12.75" customHeight="1" x14ac:dyDescent="0.2">
      <c r="A65" s="47"/>
      <c r="C65" s="17" t="s">
        <v>78</v>
      </c>
      <c r="D65" s="18" t="s">
        <v>1</v>
      </c>
      <c r="E65" s="18" t="s">
        <v>10</v>
      </c>
      <c r="F65" s="47"/>
      <c r="G65" s="17" t="s">
        <v>78</v>
      </c>
      <c r="H65" s="18" t="s">
        <v>1</v>
      </c>
      <c r="I65" s="18" t="s">
        <v>10</v>
      </c>
      <c r="J65" s="47"/>
      <c r="K65" s="17" t="s">
        <v>78</v>
      </c>
      <c r="L65" s="18" t="s">
        <v>1</v>
      </c>
      <c r="M65" s="18" t="s">
        <v>10</v>
      </c>
    </row>
    <row r="66" spans="1:13" s="37" customFormat="1" ht="12.75" customHeight="1" x14ac:dyDescent="0.2">
      <c r="A66" s="65">
        <f t="shared" ref="A66:A77" si="7">A10</f>
        <v>2016</v>
      </c>
      <c r="C66" s="38">
        <f>ROUND(AVERAGE(B10:F10,K10:M10),2)</f>
        <v>18.39</v>
      </c>
      <c r="D66" s="38">
        <f t="shared" ref="D66:D77" si="8">ROUND(AVERAGE(B28:F28,K28:M28),2)</f>
        <v>16.21</v>
      </c>
      <c r="E66" s="38">
        <f>ROUND(AVERAGE(B46:F46,K46:M46),2)</f>
        <v>17.43</v>
      </c>
      <c r="G66" s="55">
        <f t="shared" ref="G66:G77" si="9">ROUND(AVERAGE(G10:J10),2)</f>
        <v>23.13</v>
      </c>
      <c r="H66" s="55">
        <f t="shared" ref="H66:H77" si="10">ROUND(AVERAGE(G28:J28),2)</f>
        <v>15.29</v>
      </c>
      <c r="I66" s="55">
        <f>ROUND(AVERAGE(G46:J46),2)</f>
        <v>19.68</v>
      </c>
      <c r="K66" s="38">
        <f t="shared" ref="K66:K77" si="11">ROUND(AVERAGE(B10:M10),2)</f>
        <v>20.76</v>
      </c>
      <c r="L66" s="38">
        <f t="shared" ref="L66:L77" si="12">ROUND(AVERAGE(B28:M28),2)</f>
        <v>15.75</v>
      </c>
      <c r="M66" s="38">
        <f>ROUND(AVERAGE(B46:M46),2)</f>
        <v>18.559999999999999</v>
      </c>
    </row>
    <row r="67" spans="1:13" s="37" customFormat="1" ht="12.75" customHeight="1" x14ac:dyDescent="0.2">
      <c r="A67" s="65">
        <f t="shared" si="7"/>
        <v>2017</v>
      </c>
      <c r="C67" s="38">
        <f t="shared" ref="C67:C77" si="13">ROUND(AVERAGE(B11:F11,K11:M11),2)</f>
        <v>20.25</v>
      </c>
      <c r="D67" s="38">
        <f t="shared" si="8"/>
        <v>17.78</v>
      </c>
      <c r="E67" s="38">
        <f>ROUND(AVERAGE(B47:F47,K47:M47),2)</f>
        <v>19.16</v>
      </c>
      <c r="G67" s="55">
        <f t="shared" si="9"/>
        <v>21.74</v>
      </c>
      <c r="H67" s="55">
        <f t="shared" si="10"/>
        <v>15.6</v>
      </c>
      <c r="I67" s="55">
        <f>ROUND(AVERAGE(G47:J47),2)</f>
        <v>19.04</v>
      </c>
      <c r="K67" s="38">
        <f t="shared" si="11"/>
        <v>20.75</v>
      </c>
      <c r="L67" s="38">
        <f t="shared" si="12"/>
        <v>17.05</v>
      </c>
      <c r="M67" s="38">
        <f>ROUND(AVERAGE(B47:M47),2)</f>
        <v>19.12</v>
      </c>
    </row>
    <row r="68" spans="1:13" s="37" customFormat="1" ht="12.75" customHeight="1" x14ac:dyDescent="0.2">
      <c r="A68" s="65">
        <f t="shared" si="7"/>
        <v>2018</v>
      </c>
      <c r="C68" s="38">
        <f>ROUND(AVERAGE(B12:F12,K12:M12),2)</f>
        <v>19.14</v>
      </c>
      <c r="D68" s="38">
        <f t="shared" si="8"/>
        <v>17</v>
      </c>
      <c r="E68" s="38">
        <f t="shared" ref="E68:E77" si="14">ROUND(AVERAGE(B48:F48,K48:M48),2)</f>
        <v>18.2</v>
      </c>
      <c r="G68" s="55">
        <f t="shared" si="9"/>
        <v>23.46</v>
      </c>
      <c r="H68" s="55">
        <f t="shared" si="10"/>
        <v>16.899999999999999</v>
      </c>
      <c r="I68" s="55">
        <f t="shared" ref="I68:I77" si="15">ROUND(AVERAGE(G48:J48),2)</f>
        <v>20.57</v>
      </c>
      <c r="K68" s="38">
        <f t="shared" si="11"/>
        <v>20.58</v>
      </c>
      <c r="L68" s="38">
        <f t="shared" si="12"/>
        <v>16.97</v>
      </c>
      <c r="M68" s="38">
        <f t="shared" ref="M68:M77" si="16">ROUND(AVERAGE(B48:M48),2)</f>
        <v>18.989999999999998</v>
      </c>
    </row>
    <row r="69" spans="1:13" s="37" customFormat="1" ht="12.75" customHeight="1" x14ac:dyDescent="0.2">
      <c r="A69" s="65">
        <f t="shared" si="7"/>
        <v>2019</v>
      </c>
      <c r="C69" s="38">
        <f t="shared" si="13"/>
        <v>18.07</v>
      </c>
      <c r="D69" s="38">
        <f t="shared" si="8"/>
        <v>14.97</v>
      </c>
      <c r="E69" s="38">
        <f t="shared" si="14"/>
        <v>16.71</v>
      </c>
      <c r="G69" s="55">
        <f t="shared" si="9"/>
        <v>23.55</v>
      </c>
      <c r="H69" s="55">
        <f t="shared" si="10"/>
        <v>15.99</v>
      </c>
      <c r="I69" s="55">
        <f t="shared" si="15"/>
        <v>20.22</v>
      </c>
      <c r="K69" s="38">
        <f t="shared" si="11"/>
        <v>19.899999999999999</v>
      </c>
      <c r="L69" s="38">
        <f t="shared" si="12"/>
        <v>15.31</v>
      </c>
      <c r="M69" s="38">
        <f t="shared" si="16"/>
        <v>17.88</v>
      </c>
    </row>
    <row r="70" spans="1:13" s="37" customFormat="1" ht="12.75" customHeight="1" x14ac:dyDescent="0.2">
      <c r="A70" s="65">
        <f t="shared" si="7"/>
        <v>2020</v>
      </c>
      <c r="C70" s="38">
        <f t="shared" si="13"/>
        <v>18.670000000000002</v>
      </c>
      <c r="D70" s="38">
        <f t="shared" si="8"/>
        <v>15.74</v>
      </c>
      <c r="E70" s="38">
        <f t="shared" si="14"/>
        <v>17.38</v>
      </c>
      <c r="G70" s="55">
        <f t="shared" si="9"/>
        <v>23.72</v>
      </c>
      <c r="H70" s="55">
        <f t="shared" si="10"/>
        <v>14.76</v>
      </c>
      <c r="I70" s="55">
        <f t="shared" si="15"/>
        <v>19.78</v>
      </c>
      <c r="K70" s="38">
        <f t="shared" si="11"/>
        <v>20.350000000000001</v>
      </c>
      <c r="L70" s="38">
        <f t="shared" si="12"/>
        <v>15.41</v>
      </c>
      <c r="M70" s="38">
        <f t="shared" si="16"/>
        <v>18.18</v>
      </c>
    </row>
    <row r="71" spans="1:13" s="37" customFormat="1" ht="12.75" customHeight="1" x14ac:dyDescent="0.2">
      <c r="A71" s="65">
        <f t="shared" si="7"/>
        <v>2021</v>
      </c>
      <c r="C71" s="38">
        <f t="shared" si="13"/>
        <v>20.02</v>
      </c>
      <c r="D71" s="38">
        <f t="shared" si="8"/>
        <v>17.39</v>
      </c>
      <c r="E71" s="38">
        <f t="shared" si="14"/>
        <v>18.86</v>
      </c>
      <c r="G71" s="55">
        <f t="shared" si="9"/>
        <v>25.81</v>
      </c>
      <c r="H71" s="55">
        <f t="shared" si="10"/>
        <v>16.510000000000002</v>
      </c>
      <c r="I71" s="55">
        <f t="shared" si="15"/>
        <v>21.72</v>
      </c>
      <c r="K71" s="38">
        <f t="shared" si="11"/>
        <v>21.95</v>
      </c>
      <c r="L71" s="38">
        <f t="shared" si="12"/>
        <v>17.100000000000001</v>
      </c>
      <c r="M71" s="38">
        <f t="shared" si="16"/>
        <v>19.809999999999999</v>
      </c>
    </row>
    <row r="72" spans="1:13" s="37" customFormat="1" ht="12.75" customHeight="1" x14ac:dyDescent="0.2">
      <c r="A72" s="65">
        <f t="shared" si="7"/>
        <v>2022</v>
      </c>
      <c r="C72" s="38">
        <f t="shared" si="13"/>
        <v>20.97</v>
      </c>
      <c r="D72" s="38">
        <f t="shared" si="8"/>
        <v>18.68</v>
      </c>
      <c r="E72" s="38">
        <f t="shared" si="14"/>
        <v>19.96</v>
      </c>
      <c r="G72" s="55">
        <f t="shared" si="9"/>
        <v>27.69</v>
      </c>
      <c r="H72" s="55">
        <f t="shared" si="10"/>
        <v>18.850000000000001</v>
      </c>
      <c r="I72" s="55">
        <f t="shared" si="15"/>
        <v>23.8</v>
      </c>
      <c r="K72" s="38">
        <f t="shared" si="11"/>
        <v>23.21</v>
      </c>
      <c r="L72" s="38">
        <f t="shared" si="12"/>
        <v>18.739999999999998</v>
      </c>
      <c r="M72" s="38">
        <f t="shared" si="16"/>
        <v>21.24</v>
      </c>
    </row>
    <row r="73" spans="1:13" s="37" customFormat="1" ht="12.75" customHeight="1" x14ac:dyDescent="0.2">
      <c r="A73" s="65">
        <f t="shared" si="7"/>
        <v>2023</v>
      </c>
      <c r="C73" s="38">
        <f t="shared" si="13"/>
        <v>24.17</v>
      </c>
      <c r="D73" s="38">
        <f t="shared" si="8"/>
        <v>21.85</v>
      </c>
      <c r="E73" s="38">
        <f t="shared" si="14"/>
        <v>23.15</v>
      </c>
      <c r="G73" s="55">
        <f t="shared" si="9"/>
        <v>30.07</v>
      </c>
      <c r="H73" s="55">
        <f t="shared" si="10"/>
        <v>22.42</v>
      </c>
      <c r="I73" s="55">
        <f t="shared" si="15"/>
        <v>26.7</v>
      </c>
      <c r="K73" s="38">
        <f t="shared" si="11"/>
        <v>26.14</v>
      </c>
      <c r="L73" s="38">
        <f t="shared" si="12"/>
        <v>22.04</v>
      </c>
      <c r="M73" s="38">
        <f t="shared" si="16"/>
        <v>24.33</v>
      </c>
    </row>
    <row r="74" spans="1:13" s="37" customFormat="1" ht="12.75" customHeight="1" x14ac:dyDescent="0.2">
      <c r="A74" s="65">
        <f t="shared" si="7"/>
        <v>2024</v>
      </c>
      <c r="C74" s="38">
        <f t="shared" si="13"/>
        <v>25.99</v>
      </c>
      <c r="D74" s="38">
        <f t="shared" si="8"/>
        <v>23.56</v>
      </c>
      <c r="E74" s="38">
        <f t="shared" si="14"/>
        <v>24.92</v>
      </c>
      <c r="G74" s="55">
        <f t="shared" si="9"/>
        <v>33.369999999999997</v>
      </c>
      <c r="H74" s="55">
        <f t="shared" si="10"/>
        <v>26.75</v>
      </c>
      <c r="I74" s="55">
        <f t="shared" si="15"/>
        <v>30.46</v>
      </c>
      <c r="K74" s="38">
        <f t="shared" si="11"/>
        <v>28.45</v>
      </c>
      <c r="L74" s="38">
        <f t="shared" si="12"/>
        <v>24.62</v>
      </c>
      <c r="M74" s="38">
        <f t="shared" si="16"/>
        <v>26.77</v>
      </c>
    </row>
    <row r="75" spans="1:13" s="37" customFormat="1" ht="12.75" customHeight="1" x14ac:dyDescent="0.2">
      <c r="A75" s="65">
        <f t="shared" si="7"/>
        <v>2025</v>
      </c>
      <c r="C75" s="38">
        <f t="shared" si="13"/>
        <v>31.06</v>
      </c>
      <c r="D75" s="38">
        <f t="shared" si="8"/>
        <v>28.16</v>
      </c>
      <c r="E75" s="38">
        <f t="shared" si="14"/>
        <v>29.78</v>
      </c>
      <c r="G75" s="55">
        <f t="shared" si="9"/>
        <v>32.74</v>
      </c>
      <c r="H75" s="55">
        <f t="shared" si="10"/>
        <v>25.95</v>
      </c>
      <c r="I75" s="55">
        <f t="shared" si="15"/>
        <v>29.76</v>
      </c>
      <c r="K75" s="38">
        <f t="shared" si="11"/>
        <v>31.62</v>
      </c>
      <c r="L75" s="38">
        <f t="shared" si="12"/>
        <v>27.42</v>
      </c>
      <c r="M75" s="38">
        <f t="shared" si="16"/>
        <v>29.77</v>
      </c>
    </row>
    <row r="76" spans="1:13" s="37" customFormat="1" ht="12.75" customHeight="1" x14ac:dyDescent="0.2">
      <c r="A76" s="65">
        <f t="shared" si="7"/>
        <v>2026</v>
      </c>
      <c r="C76" s="38">
        <f t="shared" si="13"/>
        <v>27</v>
      </c>
      <c r="D76" s="38">
        <f t="shared" si="8"/>
        <v>24.51</v>
      </c>
      <c r="E76" s="38">
        <f t="shared" si="14"/>
        <v>25.91</v>
      </c>
      <c r="G76" s="55">
        <f t="shared" si="9"/>
        <v>34.03</v>
      </c>
      <c r="H76" s="55">
        <f t="shared" si="10"/>
        <v>27.09</v>
      </c>
      <c r="I76" s="55">
        <f t="shared" si="15"/>
        <v>30.98</v>
      </c>
      <c r="K76" s="38">
        <f t="shared" si="11"/>
        <v>29.34</v>
      </c>
      <c r="L76" s="38">
        <f t="shared" si="12"/>
        <v>25.37</v>
      </c>
      <c r="M76" s="38">
        <f t="shared" si="16"/>
        <v>27.6</v>
      </c>
    </row>
    <row r="77" spans="1:13" s="37" customFormat="1" ht="12.75" customHeight="1" x14ac:dyDescent="0.2">
      <c r="A77" s="65">
        <f t="shared" si="7"/>
        <v>2027</v>
      </c>
      <c r="C77" s="38">
        <f t="shared" si="13"/>
        <v>33.04</v>
      </c>
      <c r="D77" s="38">
        <f t="shared" si="8"/>
        <v>30.2</v>
      </c>
      <c r="E77" s="38">
        <f t="shared" si="14"/>
        <v>31.79</v>
      </c>
      <c r="G77" s="55">
        <f t="shared" si="9"/>
        <v>40.950000000000003</v>
      </c>
      <c r="H77" s="55">
        <f t="shared" si="10"/>
        <v>33.090000000000003</v>
      </c>
      <c r="I77" s="55">
        <f t="shared" si="15"/>
        <v>37.49</v>
      </c>
      <c r="K77" s="38">
        <f t="shared" si="11"/>
        <v>35.68</v>
      </c>
      <c r="L77" s="38">
        <f t="shared" si="12"/>
        <v>31.17</v>
      </c>
      <c r="M77" s="38">
        <f t="shared" si="16"/>
        <v>33.69</v>
      </c>
    </row>
    <row r="78" spans="1:13" s="37" customFormat="1" ht="12.75" customHeight="1" x14ac:dyDescent="0.2">
      <c r="A78" s="65"/>
      <c r="C78" s="38"/>
      <c r="D78" s="38"/>
      <c r="E78" s="38"/>
      <c r="G78" s="55"/>
      <c r="H78" s="55"/>
      <c r="I78" s="55"/>
      <c r="K78" s="38"/>
      <c r="L78" s="38"/>
      <c r="M78" s="38"/>
    </row>
    <row r="79" spans="1:13" s="37" customFormat="1" ht="12.75" customHeight="1" x14ac:dyDescent="0.2">
      <c r="A79" s="65"/>
      <c r="C79" s="38"/>
      <c r="D79" s="38"/>
      <c r="E79" s="38"/>
      <c r="G79" s="55"/>
      <c r="H79" s="55"/>
      <c r="I79" s="55"/>
      <c r="K79" s="38"/>
      <c r="L79" s="38"/>
      <c r="M79" s="38"/>
    </row>
    <row r="80" spans="1:13" s="37" customFormat="1" ht="12.75" hidden="1" customHeight="1" x14ac:dyDescent="0.2">
      <c r="A80" s="66"/>
      <c r="K80" s="61"/>
    </row>
    <row r="81" spans="1:11" s="37" customFormat="1" ht="12.75" hidden="1" customHeight="1" x14ac:dyDescent="0.2">
      <c r="A81" s="66"/>
      <c r="K81" s="61"/>
    </row>
    <row r="82" spans="1:11" s="37" customFormat="1" ht="12.75" customHeight="1" x14ac:dyDescent="0.2">
      <c r="A82" s="35" t="s">
        <v>79</v>
      </c>
      <c r="D82" s="38"/>
      <c r="E82" s="55"/>
      <c r="F82" s="55"/>
      <c r="G82" s="55"/>
      <c r="J82" s="55"/>
      <c r="K82" s="55"/>
    </row>
    <row r="83" spans="1:11" ht="12.75" customHeight="1" x14ac:dyDescent="0.2">
      <c r="A83" s="265" t="s">
        <v>293</v>
      </c>
      <c r="C83" s="67"/>
      <c r="D83" s="38"/>
      <c r="E83" s="55"/>
      <c r="F83" s="55"/>
      <c r="G83" s="55"/>
      <c r="H83" s="37"/>
    </row>
    <row r="84" spans="1:11" ht="12.75" customHeight="1" x14ac:dyDescent="0.2">
      <c r="A84" s="265" t="s">
        <v>294</v>
      </c>
      <c r="C84" s="67"/>
      <c r="D84" s="38"/>
      <c r="E84" s="55"/>
      <c r="F84" s="55"/>
      <c r="G84" s="55"/>
      <c r="H84" s="37"/>
    </row>
    <row r="85" spans="1:11" ht="12.75" customHeight="1" x14ac:dyDescent="0.2">
      <c r="A85" s="212" t="s">
        <v>287</v>
      </c>
      <c r="C85" s="67"/>
      <c r="D85" s="38"/>
      <c r="E85" s="55"/>
      <c r="F85" s="55"/>
      <c r="G85" s="55"/>
      <c r="H85" s="37"/>
    </row>
    <row r="86" spans="1:11" ht="12.75" customHeight="1" x14ac:dyDescent="0.2">
      <c r="A86" s="212" t="s">
        <v>295</v>
      </c>
      <c r="C86" s="67"/>
      <c r="D86" s="38"/>
      <c r="E86" s="55"/>
      <c r="F86" s="55"/>
      <c r="G86" s="55"/>
      <c r="H86" s="37"/>
    </row>
    <row r="87" spans="1:11" ht="12.75" customHeight="1" x14ac:dyDescent="0.2">
      <c r="A87" s="212" t="s">
        <v>288</v>
      </c>
      <c r="C87" s="67"/>
      <c r="D87" s="38"/>
      <c r="E87" s="55"/>
      <c r="F87" s="55"/>
      <c r="G87" s="55"/>
      <c r="H87" s="37"/>
    </row>
    <row r="88" spans="1:11" ht="12.75" customHeight="1" x14ac:dyDescent="0.2">
      <c r="A88" s="212" t="s">
        <v>289</v>
      </c>
      <c r="C88" s="67"/>
      <c r="D88" s="38"/>
      <c r="E88" s="55"/>
      <c r="F88" s="55"/>
      <c r="G88" s="55"/>
      <c r="H88" s="37"/>
    </row>
    <row r="89" spans="1:11" ht="12.75" customHeight="1" x14ac:dyDescent="0.2">
      <c r="A89" s="212" t="s">
        <v>295</v>
      </c>
      <c r="C89" s="67"/>
      <c r="D89" s="38"/>
      <c r="E89" s="55"/>
      <c r="F89" s="55"/>
      <c r="G89" s="55"/>
      <c r="H89" s="37"/>
    </row>
    <row r="90" spans="1:11" ht="12.75" customHeight="1" x14ac:dyDescent="0.2">
      <c r="A90" s="35" t="s">
        <v>290</v>
      </c>
      <c r="D90" s="37"/>
      <c r="E90" s="37"/>
      <c r="F90" s="37"/>
      <c r="G90" s="37"/>
    </row>
    <row r="91" spans="1:11" ht="9" customHeight="1" x14ac:dyDescent="0.2"/>
    <row r="92" spans="1:11" x14ac:dyDescent="0.2">
      <c r="C92" s="35" t="s">
        <v>128</v>
      </c>
      <c r="H92" s="35" t="s">
        <v>291</v>
      </c>
    </row>
    <row r="93" spans="1:11" x14ac:dyDescent="0.2">
      <c r="C93" s="35" t="s">
        <v>139</v>
      </c>
      <c r="F93" s="495">
        <v>0.59699999999999998</v>
      </c>
      <c r="H93" s="488" t="str">
        <f>"  "&amp;'Table 10'!$B$1&amp;"  Column "&amp;"(d)"</f>
        <v xml:space="preserve">  Table 10  Column (d)</v>
      </c>
      <c r="I93" s="489"/>
    </row>
    <row r="111" ht="24.75" customHeight="1" x14ac:dyDescent="0.2"/>
  </sheetData>
  <printOptions horizontalCentered="1"/>
  <pageMargins left="0.25" right="0.25" top="0.75" bottom="0.75" header="0.3" footer="0.3"/>
  <pageSetup scale="62" fitToWidth="0" orientation="portrait" r:id="rId1"/>
  <headerFooter alignWithMargins="0">
    <oddFooter>&amp;L&amp;8NPC Group - &amp;F   ( &amp;A )&amp;C &amp;R &amp;8&amp;D  &amp;T</oddFooter>
  </headerFooter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S52"/>
  <sheetViews>
    <sheetView topLeftCell="Z1" zoomScale="80" zoomScaleNormal="80" workbookViewId="0">
      <selection activeCell="AR13" sqref="AR13"/>
    </sheetView>
  </sheetViews>
  <sheetFormatPr defaultRowHeight="12.75" x14ac:dyDescent="0.2"/>
  <cols>
    <col min="1" max="1" width="1.6640625" style="35" customWidth="1"/>
    <col min="2" max="2" width="12.1640625" style="35" customWidth="1"/>
    <col min="3" max="6" width="20" style="35" customWidth="1"/>
    <col min="7" max="7" width="1.6640625" style="37" customWidth="1"/>
    <col min="8" max="8" width="12.1640625" style="35" customWidth="1"/>
    <col min="9" max="12" width="20" style="35" customWidth="1"/>
    <col min="13" max="13" width="1.83203125" style="37" customWidth="1"/>
    <col min="14" max="14" width="11.1640625" style="35" customWidth="1"/>
    <col min="15" max="15" width="16" style="35" customWidth="1"/>
    <col min="16" max="17" width="16.5" style="35" customWidth="1"/>
    <col min="18" max="18" width="14" style="35" customWidth="1"/>
    <col min="19" max="20" width="14.83203125" style="35" customWidth="1"/>
    <col min="21" max="21" width="1.6640625" style="37" customWidth="1"/>
    <col min="22" max="22" width="11.1640625" style="35" customWidth="1"/>
    <col min="23" max="23" width="17.83203125" style="35" customWidth="1"/>
    <col min="24" max="24" width="16.5" style="35" customWidth="1"/>
    <col min="25" max="25" width="13.6640625" style="35" customWidth="1"/>
    <col min="26" max="26" width="14" style="35" customWidth="1"/>
    <col min="27" max="28" width="14.83203125" style="35" customWidth="1"/>
    <col min="29" max="29" width="1.6640625" style="37" customWidth="1"/>
    <col min="30" max="30" width="11.1640625" style="35" customWidth="1"/>
    <col min="31" max="32" width="16.5" style="35" customWidth="1"/>
    <col min="33" max="33" width="13.6640625" style="35" customWidth="1"/>
    <col min="34" max="34" width="14" style="35" customWidth="1"/>
    <col min="35" max="36" width="14.83203125" style="35" customWidth="1"/>
    <col min="37" max="37" width="1.6640625" style="37" customWidth="1"/>
    <col min="38" max="38" width="11.1640625" style="35" customWidth="1"/>
    <col min="39" max="40" width="16.5" style="35" customWidth="1"/>
    <col min="41" max="41" width="13.6640625" style="35" customWidth="1"/>
    <col min="42" max="42" width="14" style="35" customWidth="1"/>
    <col min="43" max="44" width="14.83203125" style="35" customWidth="1"/>
    <col min="45" max="45" width="5" style="35" customWidth="1"/>
    <col min="46" max="16384" width="9.33203125" style="35"/>
  </cols>
  <sheetData>
    <row r="1" spans="2:45" s="5" customFormat="1" ht="15.75" x14ac:dyDescent="0.25">
      <c r="B1" s="1" t="s">
        <v>31</v>
      </c>
      <c r="C1" s="1"/>
      <c r="D1" s="1"/>
      <c r="E1" s="1"/>
      <c r="F1" s="1"/>
      <c r="G1" s="8"/>
      <c r="H1" s="1" t="s">
        <v>32</v>
      </c>
      <c r="I1" s="1"/>
      <c r="J1" s="1"/>
      <c r="K1" s="1"/>
      <c r="L1" s="1"/>
      <c r="M1" s="9"/>
      <c r="N1" s="146" t="s">
        <v>261</v>
      </c>
      <c r="O1" s="147"/>
      <c r="P1" s="147"/>
      <c r="Q1" s="147"/>
      <c r="R1" s="147"/>
      <c r="S1" s="147"/>
      <c r="T1" s="147"/>
      <c r="U1" s="147"/>
      <c r="V1" s="146" t="s">
        <v>262</v>
      </c>
      <c r="W1" s="147"/>
      <c r="X1" s="147"/>
      <c r="Y1" s="147"/>
      <c r="Z1" s="147"/>
      <c r="AA1" s="147"/>
      <c r="AB1" s="149"/>
      <c r="AC1" s="141"/>
      <c r="AD1" s="146" t="s">
        <v>263</v>
      </c>
      <c r="AE1" s="146"/>
      <c r="AF1" s="146"/>
      <c r="AG1" s="147"/>
      <c r="AH1" s="147"/>
      <c r="AI1" s="147"/>
      <c r="AJ1" s="147"/>
      <c r="AK1" s="141"/>
      <c r="AL1" s="146" t="s">
        <v>264</v>
      </c>
      <c r="AM1" s="147"/>
      <c r="AN1" s="147"/>
      <c r="AO1" s="147"/>
      <c r="AP1" s="147"/>
      <c r="AQ1" s="147"/>
      <c r="AR1" s="147"/>
      <c r="AS1" s="141"/>
    </row>
    <row r="2" spans="2:45" s="7" customFormat="1" ht="15" x14ac:dyDescent="0.25">
      <c r="B2" s="3" t="s">
        <v>16</v>
      </c>
      <c r="C2" s="3"/>
      <c r="D2" s="3"/>
      <c r="E2" s="3"/>
      <c r="F2" s="3"/>
      <c r="G2" s="9"/>
      <c r="H2" s="3" t="s">
        <v>17</v>
      </c>
      <c r="I2" s="3"/>
      <c r="J2" s="3"/>
      <c r="K2" s="3"/>
      <c r="L2" s="3"/>
      <c r="M2" s="9"/>
      <c r="N2" s="148" t="s">
        <v>152</v>
      </c>
      <c r="O2" s="147"/>
      <c r="P2" s="147"/>
      <c r="Q2" s="147"/>
      <c r="R2" s="147"/>
      <c r="S2" s="147"/>
      <c r="T2" s="147"/>
      <c r="U2" s="147"/>
      <c r="V2" s="148" t="s">
        <v>153</v>
      </c>
      <c r="W2" s="147"/>
      <c r="X2" s="147"/>
      <c r="Y2" s="147"/>
      <c r="Z2" s="147"/>
      <c r="AA2" s="147"/>
      <c r="AB2" s="150"/>
      <c r="AC2" s="142"/>
      <c r="AD2" s="148" t="s">
        <v>154</v>
      </c>
      <c r="AE2" s="148"/>
      <c r="AF2" s="148"/>
      <c r="AG2" s="147"/>
      <c r="AH2" s="147"/>
      <c r="AI2" s="147"/>
      <c r="AJ2" s="147"/>
      <c r="AK2" s="147"/>
      <c r="AL2" s="148" t="s">
        <v>155</v>
      </c>
      <c r="AM2" s="147"/>
      <c r="AN2" s="147"/>
      <c r="AO2" s="147"/>
      <c r="AP2" s="147"/>
      <c r="AQ2" s="147"/>
      <c r="AR2" s="147"/>
      <c r="AS2" s="142"/>
    </row>
    <row r="3" spans="2:45" s="7" customFormat="1" ht="15" x14ac:dyDescent="0.25">
      <c r="B3" s="3"/>
      <c r="C3" s="3"/>
      <c r="D3" s="313"/>
      <c r="E3" s="3"/>
      <c r="F3" s="3"/>
      <c r="G3" s="9"/>
      <c r="H3" s="3"/>
      <c r="I3" s="3"/>
      <c r="J3" s="3"/>
      <c r="K3" s="3"/>
      <c r="L3" s="3"/>
      <c r="M3" s="9"/>
      <c r="N3" s="3"/>
      <c r="O3" s="3"/>
      <c r="P3" s="3"/>
      <c r="Q3" s="3"/>
      <c r="R3" s="3"/>
      <c r="S3" s="3"/>
      <c r="T3" s="3"/>
      <c r="U3" s="9"/>
      <c r="V3" s="3"/>
      <c r="W3" s="3"/>
      <c r="X3" s="3"/>
      <c r="Y3" s="3"/>
      <c r="Z3" s="3"/>
      <c r="AA3" s="3"/>
      <c r="AB3" s="3"/>
      <c r="AC3" s="9"/>
      <c r="AD3" s="3"/>
      <c r="AE3" s="3"/>
      <c r="AF3" s="3"/>
      <c r="AG3" s="3"/>
      <c r="AH3" s="3"/>
      <c r="AI3" s="3"/>
      <c r="AJ3" s="3"/>
      <c r="AK3" s="9"/>
      <c r="AL3" s="3"/>
      <c r="AM3" s="3"/>
      <c r="AN3" s="3"/>
      <c r="AO3" s="3"/>
      <c r="AP3" s="3"/>
      <c r="AQ3" s="3"/>
      <c r="AR3" s="3"/>
    </row>
    <row r="4" spans="2:45" x14ac:dyDescent="0.2">
      <c r="G4" s="47"/>
      <c r="M4" s="47"/>
      <c r="N4" s="139"/>
      <c r="O4" s="140"/>
      <c r="P4" s="496" t="s">
        <v>136</v>
      </c>
      <c r="Q4" s="497"/>
      <c r="R4" s="497"/>
      <c r="S4" s="497"/>
      <c r="T4" s="498"/>
      <c r="U4" s="47"/>
      <c r="V4" s="139"/>
      <c r="W4" s="496" t="s">
        <v>137</v>
      </c>
      <c r="X4" s="497"/>
      <c r="Y4" s="497"/>
      <c r="Z4" s="497"/>
      <c r="AA4" s="497"/>
      <c r="AB4" s="498"/>
      <c r="AC4" s="47"/>
      <c r="AD4" s="139"/>
      <c r="AE4" s="496" t="s">
        <v>138</v>
      </c>
      <c r="AF4" s="497"/>
      <c r="AG4" s="497"/>
      <c r="AH4" s="497"/>
      <c r="AI4" s="497"/>
      <c r="AJ4" s="498"/>
      <c r="AK4" s="47"/>
      <c r="AL4" s="139"/>
      <c r="AM4" s="496" t="s">
        <v>139</v>
      </c>
      <c r="AN4" s="497"/>
      <c r="AO4" s="497"/>
      <c r="AP4" s="497"/>
      <c r="AQ4" s="497"/>
      <c r="AR4" s="498"/>
    </row>
    <row r="5" spans="2:45" x14ac:dyDescent="0.2">
      <c r="B5" s="75"/>
      <c r="C5" s="87" t="s">
        <v>97</v>
      </c>
      <c r="D5" s="78" t="s">
        <v>3</v>
      </c>
      <c r="E5" s="41"/>
      <c r="F5" s="88" t="s">
        <v>9</v>
      </c>
      <c r="G5" s="47"/>
      <c r="H5" s="89"/>
      <c r="I5" s="76"/>
      <c r="J5" s="76"/>
      <c r="K5" s="88" t="s">
        <v>9</v>
      </c>
      <c r="L5" s="76" t="s">
        <v>15</v>
      </c>
      <c r="M5" s="47"/>
      <c r="N5" s="75"/>
      <c r="O5" s="87" t="s">
        <v>24</v>
      </c>
      <c r="P5" s="41" t="s">
        <v>26</v>
      </c>
      <c r="Q5" s="78" t="s">
        <v>15</v>
      </c>
      <c r="R5" s="78" t="s">
        <v>15</v>
      </c>
      <c r="S5" s="41" t="s">
        <v>140</v>
      </c>
      <c r="T5" s="41" t="s">
        <v>141</v>
      </c>
      <c r="U5" s="47"/>
      <c r="V5" s="75"/>
      <c r="W5" s="41" t="s">
        <v>26</v>
      </c>
      <c r="X5" s="78" t="s">
        <v>15</v>
      </c>
      <c r="Y5" s="78" t="s">
        <v>15</v>
      </c>
      <c r="Z5" s="87" t="s">
        <v>129</v>
      </c>
      <c r="AA5" s="41" t="s">
        <v>140</v>
      </c>
      <c r="AB5" s="41" t="s">
        <v>141</v>
      </c>
      <c r="AC5" s="47"/>
      <c r="AD5" s="75"/>
      <c r="AE5" s="41" t="s">
        <v>26</v>
      </c>
      <c r="AF5" s="78" t="s">
        <v>15</v>
      </c>
      <c r="AG5" s="78" t="s">
        <v>15</v>
      </c>
      <c r="AH5" s="87" t="s">
        <v>144</v>
      </c>
      <c r="AI5" s="41" t="s">
        <v>140</v>
      </c>
      <c r="AJ5" s="41" t="s">
        <v>141</v>
      </c>
      <c r="AK5" s="47"/>
      <c r="AL5" s="75"/>
      <c r="AM5" s="41" t="s">
        <v>26</v>
      </c>
      <c r="AN5" s="78" t="s">
        <v>15</v>
      </c>
      <c r="AO5" s="78" t="s">
        <v>15</v>
      </c>
      <c r="AP5" s="87" t="s">
        <v>144</v>
      </c>
      <c r="AQ5" s="41" t="s">
        <v>140</v>
      </c>
      <c r="AR5" s="41" t="s">
        <v>141</v>
      </c>
    </row>
    <row r="6" spans="2:45" x14ac:dyDescent="0.2">
      <c r="B6" s="80" t="s">
        <v>2</v>
      </c>
      <c r="C6" s="90" t="s">
        <v>11</v>
      </c>
      <c r="D6" s="90" t="s">
        <v>11</v>
      </c>
      <c r="E6" s="80" t="s">
        <v>6</v>
      </c>
      <c r="F6" s="79" t="s">
        <v>7</v>
      </c>
      <c r="G6" s="47"/>
      <c r="H6" s="77" t="s">
        <v>2</v>
      </c>
      <c r="I6" s="80" t="s">
        <v>95</v>
      </c>
      <c r="J6" s="80" t="s">
        <v>13</v>
      </c>
      <c r="K6" s="79" t="s">
        <v>7</v>
      </c>
      <c r="L6" s="91" t="s">
        <v>14</v>
      </c>
      <c r="M6" s="47"/>
      <c r="N6" s="80" t="s">
        <v>2</v>
      </c>
      <c r="O6" s="77" t="s">
        <v>25</v>
      </c>
      <c r="P6" s="80" t="s">
        <v>27</v>
      </c>
      <c r="Q6" s="90" t="s">
        <v>14</v>
      </c>
      <c r="R6" s="90" t="s">
        <v>14</v>
      </c>
      <c r="S6" s="80" t="str">
        <f>TEXT((0.56*8760),"0,000")&amp;" Hours"</f>
        <v>4,906 Hours</v>
      </c>
      <c r="T6" s="80" t="str">
        <f>TEXT((0.44*8760),"0,000")&amp;" Hours"</f>
        <v>3,854 Hours</v>
      </c>
      <c r="U6" s="47"/>
      <c r="V6" s="80" t="s">
        <v>2</v>
      </c>
      <c r="W6" s="80" t="s">
        <v>27</v>
      </c>
      <c r="X6" s="90" t="s">
        <v>14</v>
      </c>
      <c r="Y6" s="90" t="s">
        <v>14</v>
      </c>
      <c r="Z6" s="77" t="s">
        <v>143</v>
      </c>
      <c r="AA6" s="80" t="str">
        <f>TEXT((0.56*8760),"0,000")&amp;" Hours"</f>
        <v>4,906 Hours</v>
      </c>
      <c r="AB6" s="80" t="str">
        <f>TEXT((0.44*8760),"0,000")&amp;" Hours"</f>
        <v>3,854 Hours</v>
      </c>
      <c r="AC6" s="47"/>
      <c r="AD6" s="80" t="s">
        <v>2</v>
      </c>
      <c r="AE6" s="80" t="s">
        <v>27</v>
      </c>
      <c r="AF6" s="90" t="s">
        <v>14</v>
      </c>
      <c r="AG6" s="90" t="s">
        <v>14</v>
      </c>
      <c r="AH6" s="77" t="s">
        <v>143</v>
      </c>
      <c r="AI6" s="80" t="str">
        <f>TEXT((0.56*8760),"0,000")&amp;" Hours"</f>
        <v>4,906 Hours</v>
      </c>
      <c r="AJ6" s="80" t="str">
        <f>TEXT((0.44*8760),"0,000")&amp;" Hours"</f>
        <v>3,854 Hours</v>
      </c>
      <c r="AK6" s="47"/>
      <c r="AL6" s="80" t="s">
        <v>2</v>
      </c>
      <c r="AM6" s="80" t="s">
        <v>27</v>
      </c>
      <c r="AN6" s="90" t="s">
        <v>14</v>
      </c>
      <c r="AO6" s="90" t="s">
        <v>14</v>
      </c>
      <c r="AP6" s="77" t="s">
        <v>143</v>
      </c>
      <c r="AQ6" s="80" t="str">
        <f>TEXT((0.56*8760),"0,000")&amp;" Hours"</f>
        <v>4,906 Hours</v>
      </c>
      <c r="AR6" s="80" t="str">
        <f>TEXT((0.44*8760),"0,000")&amp;" Hours"</f>
        <v>3,854 Hours</v>
      </c>
    </row>
    <row r="7" spans="2:45" ht="25.5" x14ac:dyDescent="0.2">
      <c r="B7" s="92"/>
      <c r="C7" s="77" t="s">
        <v>4</v>
      </c>
      <c r="D7" s="90" t="s">
        <v>4</v>
      </c>
      <c r="E7" s="80" t="s">
        <v>7</v>
      </c>
      <c r="F7" s="93" t="str">
        <f>TEXT('Table 7'!$D$115,"0.0%")&amp;" CF"</f>
        <v>69.5% CF</v>
      </c>
      <c r="G7" s="40"/>
      <c r="H7" s="81"/>
      <c r="I7" s="44" t="s">
        <v>96</v>
      </c>
      <c r="J7" s="31"/>
      <c r="K7" s="93" t="str">
        <f>F7</f>
        <v>69.5% CF</v>
      </c>
      <c r="L7" s="91" t="s">
        <v>13</v>
      </c>
      <c r="M7" s="40"/>
      <c r="N7" s="92"/>
      <c r="O7" s="77" t="s">
        <v>8</v>
      </c>
      <c r="P7" s="80" t="s">
        <v>0</v>
      </c>
      <c r="Q7" s="266" t="s">
        <v>225</v>
      </c>
      <c r="R7" s="266" t="s">
        <v>226</v>
      </c>
      <c r="S7" s="80"/>
      <c r="T7" s="80"/>
      <c r="U7" s="40"/>
      <c r="V7" s="92"/>
      <c r="W7" s="80" t="s">
        <v>0</v>
      </c>
      <c r="X7" s="266" t="s">
        <v>225</v>
      </c>
      <c r="Y7" s="266" t="s">
        <v>226</v>
      </c>
      <c r="Z7" s="77" t="s">
        <v>142</v>
      </c>
      <c r="AA7" s="80"/>
      <c r="AB7" s="80"/>
      <c r="AC7" s="40"/>
      <c r="AD7" s="92"/>
      <c r="AE7" s="80" t="s">
        <v>0</v>
      </c>
      <c r="AF7" s="266" t="s">
        <v>225</v>
      </c>
      <c r="AG7" s="266" t="s">
        <v>226</v>
      </c>
      <c r="AH7" s="77" t="s">
        <v>142</v>
      </c>
      <c r="AI7" s="80"/>
      <c r="AJ7" s="80"/>
      <c r="AK7" s="40"/>
      <c r="AL7" s="92"/>
      <c r="AM7" s="80" t="s">
        <v>0</v>
      </c>
      <c r="AN7" s="266" t="s">
        <v>225</v>
      </c>
      <c r="AO7" s="266" t="s">
        <v>226</v>
      </c>
      <c r="AP7" s="77" t="s">
        <v>142</v>
      </c>
      <c r="AQ7" s="80"/>
      <c r="AR7" s="80"/>
    </row>
    <row r="8" spans="2:45" x14ac:dyDescent="0.2">
      <c r="B8" s="94"/>
      <c r="C8" s="43" t="s">
        <v>5</v>
      </c>
      <c r="D8" s="96" t="s">
        <v>5</v>
      </c>
      <c r="E8" s="43" t="s">
        <v>5</v>
      </c>
      <c r="F8" s="107" t="s">
        <v>99</v>
      </c>
      <c r="G8" s="40"/>
      <c r="H8" s="94"/>
      <c r="I8" s="95" t="s">
        <v>12</v>
      </c>
      <c r="J8" s="44" t="s">
        <v>99</v>
      </c>
      <c r="K8" s="63" t="s">
        <v>99</v>
      </c>
      <c r="L8" s="42" t="s">
        <v>99</v>
      </c>
      <c r="M8" s="40"/>
      <c r="N8" s="94"/>
      <c r="O8" s="96" t="s">
        <v>5</v>
      </c>
      <c r="P8" s="63" t="s">
        <v>99</v>
      </c>
      <c r="Q8" s="64" t="s">
        <v>99</v>
      </c>
      <c r="R8" s="64" t="s">
        <v>99</v>
      </c>
      <c r="S8" s="63" t="s">
        <v>99</v>
      </c>
      <c r="T8" s="63" t="s">
        <v>99</v>
      </c>
      <c r="U8" s="40"/>
      <c r="V8" s="94"/>
      <c r="W8" s="63" t="s">
        <v>99</v>
      </c>
      <c r="X8" s="64" t="s">
        <v>99</v>
      </c>
      <c r="Y8" s="64" t="s">
        <v>99</v>
      </c>
      <c r="Z8" s="64" t="s">
        <v>99</v>
      </c>
      <c r="AA8" s="63" t="s">
        <v>99</v>
      </c>
      <c r="AB8" s="63" t="s">
        <v>99</v>
      </c>
      <c r="AC8" s="40"/>
      <c r="AD8" s="94"/>
      <c r="AE8" s="63" t="s">
        <v>99</v>
      </c>
      <c r="AF8" s="64" t="s">
        <v>99</v>
      </c>
      <c r="AG8" s="64" t="s">
        <v>99</v>
      </c>
      <c r="AH8" s="64" t="s">
        <v>99</v>
      </c>
      <c r="AI8" s="63" t="s">
        <v>99</v>
      </c>
      <c r="AJ8" s="63" t="s">
        <v>99</v>
      </c>
      <c r="AK8" s="40"/>
      <c r="AL8" s="94"/>
      <c r="AM8" s="63" t="s">
        <v>99</v>
      </c>
      <c r="AN8" s="64" t="s">
        <v>99</v>
      </c>
      <c r="AO8" s="64" t="s">
        <v>99</v>
      </c>
      <c r="AP8" s="64" t="s">
        <v>99</v>
      </c>
      <c r="AQ8" s="63" t="s">
        <v>99</v>
      </c>
      <c r="AR8" s="63" t="s">
        <v>99</v>
      </c>
    </row>
    <row r="9" spans="2:45" x14ac:dyDescent="0.2">
      <c r="C9" s="40" t="s">
        <v>19</v>
      </c>
      <c r="D9" s="82" t="s">
        <v>20</v>
      </c>
      <c r="E9" s="40" t="s">
        <v>21</v>
      </c>
      <c r="F9" s="40" t="s">
        <v>22</v>
      </c>
      <c r="I9" s="40" t="s">
        <v>19</v>
      </c>
      <c r="J9" s="40" t="s">
        <v>20</v>
      </c>
      <c r="K9" s="40" t="s">
        <v>21</v>
      </c>
      <c r="L9" s="82" t="s">
        <v>22</v>
      </c>
      <c r="O9" s="40" t="s">
        <v>19</v>
      </c>
      <c r="P9" s="82" t="s">
        <v>20</v>
      </c>
      <c r="Q9" s="40" t="s">
        <v>21</v>
      </c>
      <c r="R9" s="40" t="s">
        <v>22</v>
      </c>
      <c r="S9" s="40" t="s">
        <v>23</v>
      </c>
      <c r="T9" s="40" t="s">
        <v>29</v>
      </c>
      <c r="W9" s="40" t="s">
        <v>19</v>
      </c>
      <c r="X9" s="40" t="s">
        <v>20</v>
      </c>
      <c r="Y9" s="40" t="s">
        <v>21</v>
      </c>
      <c r="Z9" s="40" t="s">
        <v>22</v>
      </c>
      <c r="AA9" s="40" t="s">
        <v>23</v>
      </c>
      <c r="AB9" s="40" t="s">
        <v>29</v>
      </c>
      <c r="AE9" s="40" t="s">
        <v>19</v>
      </c>
      <c r="AF9" s="40" t="s">
        <v>20</v>
      </c>
      <c r="AG9" s="40" t="s">
        <v>21</v>
      </c>
      <c r="AH9" s="40" t="s">
        <v>22</v>
      </c>
      <c r="AI9" s="40" t="s">
        <v>23</v>
      </c>
      <c r="AJ9" s="40" t="s">
        <v>29</v>
      </c>
      <c r="AM9" s="40" t="s">
        <v>19</v>
      </c>
      <c r="AN9" s="40" t="s">
        <v>20</v>
      </c>
      <c r="AO9" s="40" t="s">
        <v>21</v>
      </c>
      <c r="AP9" s="40" t="s">
        <v>22</v>
      </c>
      <c r="AQ9" s="40" t="s">
        <v>23</v>
      </c>
      <c r="AR9" s="40" t="s">
        <v>29</v>
      </c>
    </row>
    <row r="10" spans="2:45" x14ac:dyDescent="0.2">
      <c r="C10" s="40"/>
      <c r="D10" s="40"/>
      <c r="E10" s="4" t="str">
        <f>"("&amp;C9&amp;" - "&amp;D9&amp;") x 50%)"</f>
        <v>((a) - (b)) x 50%)</v>
      </c>
      <c r="F10" s="4" t="str">
        <f>E9&amp;"/(8.760 x "&amp;TEXT('Table 7'!$D$115,"0.0%")&amp;")"</f>
        <v>(c)/(8.760 x 69.5%)</v>
      </c>
      <c r="I10" s="40"/>
      <c r="K10" s="40"/>
      <c r="L10" s="10" t="str">
        <f>J9&amp;" + "&amp;K9</f>
        <v>(b) + (c)</v>
      </c>
      <c r="O10" s="11"/>
      <c r="P10" s="4" t="str">
        <f>" "&amp;O9&amp;" /(8.76 x "&amp;TEXT('Table 7'!D116,"0.0%")&amp;" x 56%)"</f>
        <v xml:space="preserve"> (a) /(8.76 x 100.0% x 56%)</v>
      </c>
      <c r="Q10" s="4"/>
      <c r="R10" s="40"/>
      <c r="S10" s="4" t="str">
        <f>P9&amp;" + "&amp;R9</f>
        <v>(b) + (d)</v>
      </c>
      <c r="T10" s="113" t="str">
        <f>R9</f>
        <v>(d)</v>
      </c>
      <c r="W10" s="4" t="str">
        <f>N1&amp;" "&amp;P9&amp;" *  "&amp;TEXT('Table 2B Wind'!Capacity_Contr_Wind,"0.0%")</f>
        <v>Table 5a (b) *  15.8%</v>
      </c>
      <c r="X10" s="4"/>
      <c r="Y10" s="40"/>
      <c r="Z10" s="40"/>
      <c r="AA10" s="4" t="str">
        <f>W9&amp;" + "&amp;X9&amp;" - "&amp;Z9</f>
        <v>(a) + (b) - (d)</v>
      </c>
      <c r="AB10" s="4" t="str">
        <f>Y9&amp;"-"&amp;Z9</f>
        <v>(c)-(d)</v>
      </c>
      <c r="AE10" s="4" t="str">
        <f>N1&amp;" "&amp;P9&amp;" *  "&amp;TEXT('Table 2C SolarFixed'!Capacity_Contr_Solar_Fixed,"0.0%")</f>
        <v>Table 5a (b) *  37.9%</v>
      </c>
      <c r="AF10" s="4"/>
      <c r="AG10" s="40"/>
      <c r="AH10" s="40"/>
      <c r="AI10" s="4" t="str">
        <f>AE9&amp;" + "&amp;AF9&amp;" - "&amp;AH9</f>
        <v>(a) + (b) - (d)</v>
      </c>
      <c r="AJ10" s="4" t="str">
        <f>AG9&amp;"-"&amp;AH9</f>
        <v>(c)-(d)</v>
      </c>
      <c r="AM10" s="4" t="str">
        <f>N1&amp;" "&amp;P9&amp;" *  "&amp;TEXT('Table 2D SolarTracking'!Capacity_Contr_Solar_Tracking,"0.0%")</f>
        <v>Table 5a (b) *  59.7%</v>
      </c>
      <c r="AN10" s="4"/>
      <c r="AO10" s="40"/>
      <c r="AP10" s="40"/>
      <c r="AQ10" s="4" t="str">
        <f>AM9&amp;" + "&amp;AN9&amp;" - "&amp;AP9</f>
        <v>(a) + (b) - (d)</v>
      </c>
      <c r="AR10" s="4" t="str">
        <f>AO9&amp;"-"&amp;AP9</f>
        <v>(c)-(d)</v>
      </c>
    </row>
    <row r="11" spans="2:45" ht="3.75" customHeight="1" x14ac:dyDescent="0.2">
      <c r="C11" s="62"/>
      <c r="D11" s="62"/>
    </row>
    <row r="12" spans="2:45" s="37" customFormat="1" x14ac:dyDescent="0.2">
      <c r="B12" s="12" t="s">
        <v>62</v>
      </c>
      <c r="C12" s="55"/>
      <c r="D12" s="28"/>
      <c r="E12" s="97"/>
      <c r="F12" s="55"/>
      <c r="G12" s="55"/>
      <c r="H12" s="12" t="s">
        <v>62</v>
      </c>
      <c r="I12" s="83"/>
      <c r="K12" s="83"/>
      <c r="L12" s="83"/>
      <c r="M12" s="55"/>
      <c r="N12" s="12" t="s">
        <v>62</v>
      </c>
      <c r="O12" s="55"/>
      <c r="P12" s="83"/>
      <c r="Q12" s="83"/>
      <c r="R12" s="83"/>
      <c r="S12" s="83"/>
      <c r="T12" s="83"/>
      <c r="U12" s="55"/>
      <c r="V12" s="12" t="s">
        <v>62</v>
      </c>
      <c r="W12" s="83"/>
      <c r="X12" s="83"/>
      <c r="Y12" s="83"/>
      <c r="Z12" s="83"/>
      <c r="AA12" s="83"/>
      <c r="AB12" s="83"/>
      <c r="AC12" s="55"/>
      <c r="AD12" s="12" t="s">
        <v>62</v>
      </c>
      <c r="AE12" s="83"/>
      <c r="AF12" s="83"/>
      <c r="AG12" s="83"/>
      <c r="AH12" s="83"/>
      <c r="AI12" s="83"/>
      <c r="AJ12" s="83"/>
      <c r="AK12" s="55"/>
      <c r="AL12" s="12" t="s">
        <v>62</v>
      </c>
      <c r="AM12" s="83"/>
      <c r="AN12" s="83"/>
      <c r="AO12" s="83"/>
      <c r="AP12" s="83"/>
      <c r="AQ12" s="83"/>
      <c r="AR12" s="83"/>
    </row>
    <row r="13" spans="2:45" s="37" customFormat="1" x14ac:dyDescent="0.2">
      <c r="B13" s="98">
        <v>2016</v>
      </c>
      <c r="C13" s="51"/>
      <c r="D13" s="51"/>
      <c r="E13" s="51"/>
      <c r="F13" s="52"/>
      <c r="G13" s="55"/>
      <c r="H13" s="98">
        <f>$B13</f>
        <v>2016</v>
      </c>
      <c r="I13" s="99"/>
      <c r="J13" s="99"/>
      <c r="K13" s="99"/>
      <c r="L13" s="100">
        <f>'Table 2A BaseLoad'!L84</f>
        <v>16.350000000000001</v>
      </c>
      <c r="M13" s="55"/>
      <c r="N13" s="98">
        <f>$B13</f>
        <v>2016</v>
      </c>
      <c r="O13" s="51">
        <f t="shared" ref="O13:O24" si="0">D13</f>
        <v>0</v>
      </c>
      <c r="P13" s="99">
        <f>ROUND(O13/(6.6*'Table 7'!$D$116*0.56),2)</f>
        <v>0</v>
      </c>
      <c r="Q13" s="267">
        <f>'Table 2A BaseLoad'!K84</f>
        <v>21.36</v>
      </c>
      <c r="R13" s="99">
        <f t="shared" ref="R13:R24" si="1">L13</f>
        <v>16.350000000000001</v>
      </c>
      <c r="S13" s="99">
        <f>P13+Q13</f>
        <v>21.36</v>
      </c>
      <c r="T13" s="100">
        <f>R13</f>
        <v>16.350000000000001</v>
      </c>
      <c r="U13" s="55"/>
      <c r="V13" s="98">
        <f>$B13</f>
        <v>2016</v>
      </c>
      <c r="W13" s="99">
        <f>P13*'Table 2B Wind'!Capacity_Contr_Wind</f>
        <v>0</v>
      </c>
      <c r="X13" s="99">
        <f>Q13</f>
        <v>21.36</v>
      </c>
      <c r="Y13" s="99">
        <f>R13</f>
        <v>16.350000000000001</v>
      </c>
      <c r="Z13" s="99">
        <f>INDEX('Table 10'!$E:$E,MATCH($N13,'Table 10'!$B:$B,0))</f>
        <v>0.57343056832764572</v>
      </c>
      <c r="AA13" s="99">
        <f>W13+X13-Z13</f>
        <v>20.786569431672355</v>
      </c>
      <c r="AB13" s="100">
        <f>Y13-Z13</f>
        <v>15.776569431672355</v>
      </c>
      <c r="AC13" s="55"/>
      <c r="AD13" s="98">
        <f>$B13</f>
        <v>2016</v>
      </c>
      <c r="AE13" s="99">
        <f>P13*'Table 2C SolarFixed'!Capacity_Contr_Solar_Fixed</f>
        <v>0</v>
      </c>
      <c r="AF13" s="99">
        <f>Q13</f>
        <v>21.36</v>
      </c>
      <c r="AG13" s="99">
        <f t="shared" ref="AG13:AG24" si="2">R13</f>
        <v>16.350000000000001</v>
      </c>
      <c r="AH13" s="492">
        <f>INDEX('Table 10'!$F:$F,MATCH($N13,'Table 10'!$B:$B,0))</f>
        <v>0.60254441547472848</v>
      </c>
      <c r="AI13" s="99">
        <f>AE13+AF13-AH13</f>
        <v>20.757455584525271</v>
      </c>
      <c r="AJ13" s="100">
        <f>AG13-AH13</f>
        <v>15.747455584525273</v>
      </c>
      <c r="AK13" s="55"/>
      <c r="AL13" s="98">
        <f>$B13</f>
        <v>2016</v>
      </c>
      <c r="AM13" s="99">
        <f>P13*'Table 2D SolarTracking'!Capacity_Contr_Solar_Tracking</f>
        <v>0</v>
      </c>
      <c r="AN13" s="99">
        <f>Q13</f>
        <v>21.36</v>
      </c>
      <c r="AO13" s="99">
        <f>R13</f>
        <v>16.350000000000001</v>
      </c>
      <c r="AP13" s="492">
        <f>INDEX('Table 10'!$F:$F,MATCH($N13,'Table 10'!$B:$B,0))</f>
        <v>0.60254441547472848</v>
      </c>
      <c r="AQ13" s="99">
        <f>AM13+AN13-AP13</f>
        <v>20.757455584525271</v>
      </c>
      <c r="AR13" s="100">
        <f>AO13-AP13</f>
        <v>15.747455584525273</v>
      </c>
    </row>
    <row r="14" spans="2:45" s="37" customFormat="1" x14ac:dyDescent="0.2">
      <c r="B14" s="53">
        <f>B13+1</f>
        <v>2017</v>
      </c>
      <c r="C14" s="55"/>
      <c r="D14" s="55"/>
      <c r="E14" s="97"/>
      <c r="F14" s="56"/>
      <c r="G14" s="55"/>
      <c r="H14" s="53">
        <f>$B14</f>
        <v>2017</v>
      </c>
      <c r="I14" s="83"/>
      <c r="J14" s="83"/>
      <c r="K14" s="83"/>
      <c r="L14" s="101">
        <f>'Table 2A BaseLoad'!L85</f>
        <v>17.66</v>
      </c>
      <c r="M14" s="55"/>
      <c r="N14" s="53">
        <f t="shared" ref="N14:N24" si="3">$B14</f>
        <v>2017</v>
      </c>
      <c r="O14" s="55">
        <f t="shared" si="0"/>
        <v>0</v>
      </c>
      <c r="P14" s="83">
        <f>ROUND(O14/(8.76*'Table 7'!$D$116*0.56),2)</f>
        <v>0</v>
      </c>
      <c r="Q14" s="83">
        <f>'Table 2A BaseLoad'!K85</f>
        <v>21.35</v>
      </c>
      <c r="R14" s="83">
        <f t="shared" si="1"/>
        <v>17.66</v>
      </c>
      <c r="S14" s="83">
        <f t="shared" ref="S14:S24" si="4">P14+Q14</f>
        <v>21.35</v>
      </c>
      <c r="T14" s="101">
        <f t="shared" ref="T14:T24" si="5">R14</f>
        <v>17.66</v>
      </c>
      <c r="U14" s="55"/>
      <c r="V14" s="53">
        <f t="shared" ref="V14:V24" si="6">$B14</f>
        <v>2017</v>
      </c>
      <c r="W14" s="83">
        <f>P14*'Table 2B Wind'!Capacity_Contr_Wind</f>
        <v>0</v>
      </c>
      <c r="X14" s="83">
        <f t="shared" ref="X14:X24" si="7">Q14</f>
        <v>21.35</v>
      </c>
      <c r="Y14" s="83">
        <f t="shared" ref="Y14:Y24" si="8">R14</f>
        <v>17.66</v>
      </c>
      <c r="Z14" s="83">
        <f>INDEX('Table 10'!$E:$E,MATCH($N14,'Table 10'!$B:$B,0))</f>
        <v>0.57343056832764572</v>
      </c>
      <c r="AA14" s="83">
        <f t="shared" ref="AA14:AA24" si="9">W14+X14-Z14</f>
        <v>20.776569431672357</v>
      </c>
      <c r="AB14" s="101">
        <f t="shared" ref="AB14:AB24" si="10">Y14-Z14</f>
        <v>17.086569431672356</v>
      </c>
      <c r="AC14" s="55"/>
      <c r="AD14" s="53">
        <f t="shared" ref="AD14:AD24" si="11">$B14</f>
        <v>2017</v>
      </c>
      <c r="AE14" s="83">
        <f>P14*'Table 2C SolarFixed'!Capacity_Contr_Solar_Fixed</f>
        <v>0</v>
      </c>
      <c r="AF14" s="83">
        <f t="shared" ref="AF14:AF24" si="12">Q14</f>
        <v>21.35</v>
      </c>
      <c r="AG14" s="83">
        <f t="shared" si="2"/>
        <v>17.66</v>
      </c>
      <c r="AH14" s="493">
        <f>INDEX('Table 10'!$F:$F,MATCH($N14,'Table 10'!$B:$B,0))</f>
        <v>0.60254441547472848</v>
      </c>
      <c r="AI14" s="83">
        <f t="shared" ref="AI14:AI24" si="13">AE14+AF14-AH14</f>
        <v>20.747455584525273</v>
      </c>
      <c r="AJ14" s="101">
        <f t="shared" ref="AJ14:AJ24" si="14">AG14-AH14</f>
        <v>17.057455584525272</v>
      </c>
      <c r="AK14" s="55"/>
      <c r="AL14" s="53">
        <f t="shared" ref="AL14:AL24" si="15">$B14</f>
        <v>2017</v>
      </c>
      <c r="AM14" s="83">
        <f>P14*'Table 2D SolarTracking'!Capacity_Contr_Solar_Tracking</f>
        <v>0</v>
      </c>
      <c r="AN14" s="83">
        <f t="shared" ref="AN14:AN24" si="16">Q14</f>
        <v>21.35</v>
      </c>
      <c r="AO14" s="83">
        <f t="shared" ref="AO14:AO24" si="17">R14</f>
        <v>17.66</v>
      </c>
      <c r="AP14" s="493">
        <f>INDEX('Table 10'!$F:$F,MATCH($N14,'Table 10'!$B:$B,0))</f>
        <v>0.60254441547472848</v>
      </c>
      <c r="AQ14" s="83">
        <f t="shared" ref="AQ14:AQ24" si="18">AM14+AN14-AP14</f>
        <v>20.747455584525273</v>
      </c>
      <c r="AR14" s="101">
        <f t="shared" ref="AR14:AR24" si="19">AO14-AP14</f>
        <v>17.057455584525272</v>
      </c>
    </row>
    <row r="15" spans="2:45" s="37" customFormat="1" x14ac:dyDescent="0.2">
      <c r="B15" s="53">
        <f t="shared" ref="B15:B24" si="20">B14+1</f>
        <v>2018</v>
      </c>
      <c r="C15" s="55"/>
      <c r="D15" s="55"/>
      <c r="E15" s="97"/>
      <c r="F15" s="56"/>
      <c r="G15" s="55"/>
      <c r="H15" s="53">
        <f t="shared" ref="H15:H24" si="21">$B15</f>
        <v>2018</v>
      </c>
      <c r="I15" s="83"/>
      <c r="J15" s="83"/>
      <c r="K15" s="83"/>
      <c r="L15" s="101">
        <f>'Table 2A BaseLoad'!L86</f>
        <v>17.57</v>
      </c>
      <c r="M15" s="55"/>
      <c r="N15" s="53">
        <f t="shared" si="3"/>
        <v>2018</v>
      </c>
      <c r="O15" s="55">
        <f t="shared" si="0"/>
        <v>0</v>
      </c>
      <c r="P15" s="83">
        <f>ROUND(O15/(8.76*'Table 7'!$D$116*0.56),2)</f>
        <v>0</v>
      </c>
      <c r="Q15" s="83">
        <f>'Table 2A BaseLoad'!K86</f>
        <v>21.18</v>
      </c>
      <c r="R15" s="83">
        <f t="shared" si="1"/>
        <v>17.57</v>
      </c>
      <c r="S15" s="83">
        <f t="shared" si="4"/>
        <v>21.18</v>
      </c>
      <c r="T15" s="101">
        <f t="shared" si="5"/>
        <v>17.57</v>
      </c>
      <c r="U15" s="55"/>
      <c r="V15" s="53">
        <f t="shared" si="6"/>
        <v>2018</v>
      </c>
      <c r="W15" s="83">
        <f>P15*'Table 2B Wind'!Capacity_Contr_Wind</f>
        <v>0</v>
      </c>
      <c r="X15" s="83">
        <f t="shared" si="7"/>
        <v>21.18</v>
      </c>
      <c r="Y15" s="83">
        <f t="shared" si="8"/>
        <v>17.57</v>
      </c>
      <c r="Z15" s="83">
        <f>INDEX('Table 10'!$E:$E,MATCH($N15,'Table 10'!$B:$B,0))</f>
        <v>0.57343056832764572</v>
      </c>
      <c r="AA15" s="83">
        <f t="shared" si="9"/>
        <v>20.606569431672355</v>
      </c>
      <c r="AB15" s="101">
        <f t="shared" si="10"/>
        <v>16.996569431672356</v>
      </c>
      <c r="AC15" s="55"/>
      <c r="AD15" s="53">
        <f t="shared" si="11"/>
        <v>2018</v>
      </c>
      <c r="AE15" s="83">
        <f>P15*'Table 2C SolarFixed'!Capacity_Contr_Solar_Fixed</f>
        <v>0</v>
      </c>
      <c r="AF15" s="83">
        <f t="shared" si="12"/>
        <v>21.18</v>
      </c>
      <c r="AG15" s="83">
        <f t="shared" si="2"/>
        <v>17.57</v>
      </c>
      <c r="AH15" s="493">
        <f>INDEX('Table 10'!$F:$F,MATCH($N15,'Table 10'!$B:$B,0))</f>
        <v>0.60254441547472848</v>
      </c>
      <c r="AI15" s="83">
        <f t="shared" si="13"/>
        <v>20.577455584525271</v>
      </c>
      <c r="AJ15" s="101">
        <f t="shared" si="14"/>
        <v>16.967455584525272</v>
      </c>
      <c r="AK15" s="55"/>
      <c r="AL15" s="53">
        <f t="shared" si="15"/>
        <v>2018</v>
      </c>
      <c r="AM15" s="83">
        <f>P15*'Table 2D SolarTracking'!Capacity_Contr_Solar_Tracking</f>
        <v>0</v>
      </c>
      <c r="AN15" s="83">
        <f t="shared" si="16"/>
        <v>21.18</v>
      </c>
      <c r="AO15" s="83">
        <f t="shared" si="17"/>
        <v>17.57</v>
      </c>
      <c r="AP15" s="493">
        <f>INDEX('Table 10'!$F:$F,MATCH($N15,'Table 10'!$B:$B,0))</f>
        <v>0.60254441547472848</v>
      </c>
      <c r="AQ15" s="83">
        <f t="shared" si="18"/>
        <v>20.577455584525271</v>
      </c>
      <c r="AR15" s="101">
        <f t="shared" si="19"/>
        <v>16.967455584525272</v>
      </c>
    </row>
    <row r="16" spans="2:45" x14ac:dyDescent="0.2">
      <c r="B16" s="53">
        <f t="shared" si="20"/>
        <v>2019</v>
      </c>
      <c r="C16" s="55"/>
      <c r="D16" s="55"/>
      <c r="E16" s="55"/>
      <c r="F16" s="56"/>
      <c r="G16" s="55"/>
      <c r="H16" s="53">
        <f t="shared" si="21"/>
        <v>2019</v>
      </c>
      <c r="I16" s="83"/>
      <c r="J16" s="83"/>
      <c r="K16" s="83"/>
      <c r="L16" s="101">
        <f>'Table 2A BaseLoad'!L87</f>
        <v>15.91</v>
      </c>
      <c r="M16" s="55"/>
      <c r="N16" s="53">
        <f t="shared" si="3"/>
        <v>2019</v>
      </c>
      <c r="O16" s="55">
        <f t="shared" si="0"/>
        <v>0</v>
      </c>
      <c r="P16" s="83">
        <f>ROUND(O16/(8.76*'Table 7'!$D$116*0.56),2)</f>
        <v>0</v>
      </c>
      <c r="Q16" s="83">
        <f>'Table 2A BaseLoad'!K87</f>
        <v>20.5</v>
      </c>
      <c r="R16" s="83">
        <f t="shared" si="1"/>
        <v>15.91</v>
      </c>
      <c r="S16" s="83">
        <f t="shared" si="4"/>
        <v>20.5</v>
      </c>
      <c r="T16" s="101">
        <f t="shared" si="5"/>
        <v>15.91</v>
      </c>
      <c r="U16" s="55"/>
      <c r="V16" s="53">
        <f t="shared" si="6"/>
        <v>2019</v>
      </c>
      <c r="W16" s="83">
        <f>P16*'Table 2B Wind'!Capacity_Contr_Wind</f>
        <v>0</v>
      </c>
      <c r="X16" s="83">
        <f t="shared" si="7"/>
        <v>20.5</v>
      </c>
      <c r="Y16" s="83">
        <f t="shared" si="8"/>
        <v>15.91</v>
      </c>
      <c r="Z16" s="83">
        <f>INDEX('Table 10'!$E:$E,MATCH($N16,'Table 10'!$B:$B,0))</f>
        <v>0.57343056832764572</v>
      </c>
      <c r="AA16" s="83">
        <f t="shared" si="9"/>
        <v>19.926569431672355</v>
      </c>
      <c r="AB16" s="101">
        <f t="shared" si="10"/>
        <v>15.336569431672354</v>
      </c>
      <c r="AC16" s="55"/>
      <c r="AD16" s="53">
        <f t="shared" si="11"/>
        <v>2019</v>
      </c>
      <c r="AE16" s="83">
        <f>P16*'Table 2C SolarFixed'!Capacity_Contr_Solar_Fixed</f>
        <v>0</v>
      </c>
      <c r="AF16" s="83">
        <f t="shared" si="12"/>
        <v>20.5</v>
      </c>
      <c r="AG16" s="83">
        <f t="shared" si="2"/>
        <v>15.91</v>
      </c>
      <c r="AH16" s="493">
        <f>INDEX('Table 10'!$F:$F,MATCH($N16,'Table 10'!$B:$B,0))</f>
        <v>0.60254441547472848</v>
      </c>
      <c r="AI16" s="83">
        <f t="shared" si="13"/>
        <v>19.897455584525272</v>
      </c>
      <c r="AJ16" s="101">
        <f t="shared" si="14"/>
        <v>15.307455584525272</v>
      </c>
      <c r="AK16" s="55"/>
      <c r="AL16" s="53">
        <f t="shared" si="15"/>
        <v>2019</v>
      </c>
      <c r="AM16" s="83">
        <f>P16*'Table 2D SolarTracking'!Capacity_Contr_Solar_Tracking</f>
        <v>0</v>
      </c>
      <c r="AN16" s="83">
        <f t="shared" si="16"/>
        <v>20.5</v>
      </c>
      <c r="AO16" s="83">
        <f t="shared" si="17"/>
        <v>15.91</v>
      </c>
      <c r="AP16" s="493">
        <f>INDEX('Table 10'!$F:$F,MATCH($N16,'Table 10'!$B:$B,0))</f>
        <v>0.60254441547472848</v>
      </c>
      <c r="AQ16" s="83">
        <f t="shared" si="18"/>
        <v>19.897455584525272</v>
      </c>
      <c r="AR16" s="101">
        <f t="shared" si="19"/>
        <v>15.307455584525272</v>
      </c>
    </row>
    <row r="17" spans="2:45" x14ac:dyDescent="0.2">
      <c r="B17" s="53">
        <f t="shared" si="20"/>
        <v>2020</v>
      </c>
      <c r="C17" s="55"/>
      <c r="D17" s="55"/>
      <c r="E17" s="55"/>
      <c r="F17" s="56"/>
      <c r="G17" s="55"/>
      <c r="H17" s="53">
        <f t="shared" si="21"/>
        <v>2020</v>
      </c>
      <c r="I17" s="83"/>
      <c r="J17" s="83"/>
      <c r="K17" s="83"/>
      <c r="L17" s="101">
        <f>'Table 2A BaseLoad'!L88</f>
        <v>16.02</v>
      </c>
      <c r="M17" s="55"/>
      <c r="N17" s="53">
        <f t="shared" si="3"/>
        <v>2020</v>
      </c>
      <c r="O17" s="55">
        <f t="shared" si="0"/>
        <v>0</v>
      </c>
      <c r="P17" s="83">
        <f>ROUND(O17/(8.76*'Table 7'!$D$116*0.56),2)</f>
        <v>0</v>
      </c>
      <c r="Q17" s="83">
        <f>'Table 2A BaseLoad'!K88</f>
        <v>20.95</v>
      </c>
      <c r="R17" s="83">
        <f t="shared" si="1"/>
        <v>16.02</v>
      </c>
      <c r="S17" s="83">
        <f t="shared" si="4"/>
        <v>20.95</v>
      </c>
      <c r="T17" s="101">
        <f t="shared" si="5"/>
        <v>16.02</v>
      </c>
      <c r="U17" s="55"/>
      <c r="V17" s="53">
        <f t="shared" si="6"/>
        <v>2020</v>
      </c>
      <c r="W17" s="83">
        <f>P17*'Table 2B Wind'!Capacity_Contr_Wind</f>
        <v>0</v>
      </c>
      <c r="X17" s="83">
        <f t="shared" si="7"/>
        <v>20.95</v>
      </c>
      <c r="Y17" s="83">
        <f t="shared" si="8"/>
        <v>16.02</v>
      </c>
      <c r="Z17" s="83">
        <f>INDEX('Table 10'!$E:$E,MATCH($N17,'Table 10'!$B:$B,0))</f>
        <v>0.57343056832764572</v>
      </c>
      <c r="AA17" s="83">
        <f t="shared" si="9"/>
        <v>20.376569431672355</v>
      </c>
      <c r="AB17" s="101">
        <f t="shared" si="10"/>
        <v>15.446569431672353</v>
      </c>
      <c r="AC17" s="55"/>
      <c r="AD17" s="53">
        <f t="shared" si="11"/>
        <v>2020</v>
      </c>
      <c r="AE17" s="83">
        <f>P17*'Table 2C SolarFixed'!Capacity_Contr_Solar_Fixed</f>
        <v>0</v>
      </c>
      <c r="AF17" s="83">
        <f t="shared" si="12"/>
        <v>20.95</v>
      </c>
      <c r="AG17" s="83">
        <f t="shared" si="2"/>
        <v>16.02</v>
      </c>
      <c r="AH17" s="493">
        <f>INDEX('Table 10'!$F:$F,MATCH($N17,'Table 10'!$B:$B,0))</f>
        <v>0.60254441547472848</v>
      </c>
      <c r="AI17" s="83">
        <f t="shared" si="13"/>
        <v>20.347455584525271</v>
      </c>
      <c r="AJ17" s="101">
        <f t="shared" si="14"/>
        <v>15.417455584525271</v>
      </c>
      <c r="AK17" s="55"/>
      <c r="AL17" s="53">
        <f t="shared" si="15"/>
        <v>2020</v>
      </c>
      <c r="AM17" s="83">
        <f>P17*'Table 2D SolarTracking'!Capacity_Contr_Solar_Tracking</f>
        <v>0</v>
      </c>
      <c r="AN17" s="83">
        <f t="shared" si="16"/>
        <v>20.95</v>
      </c>
      <c r="AO17" s="83">
        <f t="shared" si="17"/>
        <v>16.02</v>
      </c>
      <c r="AP17" s="493">
        <f>INDEX('Table 10'!$F:$F,MATCH($N17,'Table 10'!$B:$B,0))</f>
        <v>0.60254441547472848</v>
      </c>
      <c r="AQ17" s="83">
        <f t="shared" si="18"/>
        <v>20.347455584525271</v>
      </c>
      <c r="AR17" s="101">
        <f t="shared" si="19"/>
        <v>15.417455584525271</v>
      </c>
    </row>
    <row r="18" spans="2:45" x14ac:dyDescent="0.2">
      <c r="B18" s="53">
        <f t="shared" si="20"/>
        <v>2021</v>
      </c>
      <c r="C18" s="55"/>
      <c r="D18" s="55"/>
      <c r="E18" s="55"/>
      <c r="F18" s="56"/>
      <c r="G18" s="55"/>
      <c r="H18" s="53">
        <f t="shared" si="21"/>
        <v>2021</v>
      </c>
      <c r="I18" s="83"/>
      <c r="J18" s="83"/>
      <c r="K18" s="83"/>
      <c r="L18" s="101">
        <f>'Table 2A BaseLoad'!L89</f>
        <v>17.71</v>
      </c>
      <c r="M18" s="55"/>
      <c r="N18" s="53">
        <f t="shared" si="3"/>
        <v>2021</v>
      </c>
      <c r="O18" s="55">
        <f t="shared" si="0"/>
        <v>0</v>
      </c>
      <c r="P18" s="83">
        <f>ROUND(O18/(8.76*'Table 7'!$D$116*0.56),2)</f>
        <v>0</v>
      </c>
      <c r="Q18" s="83">
        <f>'Table 2A BaseLoad'!K89</f>
        <v>22.56</v>
      </c>
      <c r="R18" s="83">
        <f t="shared" si="1"/>
        <v>17.71</v>
      </c>
      <c r="S18" s="83">
        <f t="shared" si="4"/>
        <v>22.56</v>
      </c>
      <c r="T18" s="101">
        <f t="shared" si="5"/>
        <v>17.71</v>
      </c>
      <c r="U18" s="55"/>
      <c r="V18" s="53">
        <f t="shared" si="6"/>
        <v>2021</v>
      </c>
      <c r="W18" s="83">
        <f>P18*'Table 2B Wind'!Capacity_Contr_Wind</f>
        <v>0</v>
      </c>
      <c r="X18" s="83">
        <f t="shared" si="7"/>
        <v>22.56</v>
      </c>
      <c r="Y18" s="83">
        <f t="shared" si="8"/>
        <v>17.71</v>
      </c>
      <c r="Z18" s="83">
        <f>INDEX('Table 10'!$E:$E,MATCH($N18,'Table 10'!$B:$B,0))</f>
        <v>0.5803117351475775</v>
      </c>
      <c r="AA18" s="83">
        <f t="shared" si="9"/>
        <v>21.97968826485242</v>
      </c>
      <c r="AB18" s="101">
        <f t="shared" si="10"/>
        <v>17.129688264852422</v>
      </c>
      <c r="AC18" s="55"/>
      <c r="AD18" s="53">
        <f t="shared" si="11"/>
        <v>2021</v>
      </c>
      <c r="AE18" s="83">
        <f>P18*'Table 2C SolarFixed'!Capacity_Contr_Solar_Fixed</f>
        <v>0</v>
      </c>
      <c r="AF18" s="83">
        <f t="shared" si="12"/>
        <v>22.56</v>
      </c>
      <c r="AG18" s="83">
        <f t="shared" si="2"/>
        <v>17.71</v>
      </c>
      <c r="AH18" s="493">
        <f>INDEX('Table 10'!$F:$F,MATCH($N18,'Table 10'!$B:$B,0))</f>
        <v>0.60977494846042524</v>
      </c>
      <c r="AI18" s="83">
        <f t="shared" si="13"/>
        <v>21.950225051539572</v>
      </c>
      <c r="AJ18" s="101">
        <f t="shared" si="14"/>
        <v>17.100225051539574</v>
      </c>
      <c r="AK18" s="55"/>
      <c r="AL18" s="53">
        <f t="shared" si="15"/>
        <v>2021</v>
      </c>
      <c r="AM18" s="83">
        <f>P18*'Table 2D SolarTracking'!Capacity_Contr_Solar_Tracking</f>
        <v>0</v>
      </c>
      <c r="AN18" s="83">
        <f t="shared" si="16"/>
        <v>22.56</v>
      </c>
      <c r="AO18" s="83">
        <f t="shared" si="17"/>
        <v>17.71</v>
      </c>
      <c r="AP18" s="493">
        <f>INDEX('Table 10'!$F:$F,MATCH($N18,'Table 10'!$B:$B,0))</f>
        <v>0.60977494846042524</v>
      </c>
      <c r="AQ18" s="83">
        <f t="shared" si="18"/>
        <v>21.950225051539572</v>
      </c>
      <c r="AR18" s="101">
        <f t="shared" si="19"/>
        <v>17.100225051539574</v>
      </c>
    </row>
    <row r="19" spans="2:45" x14ac:dyDescent="0.2">
      <c r="B19" s="53">
        <f t="shared" si="20"/>
        <v>2022</v>
      </c>
      <c r="C19" s="55"/>
      <c r="D19" s="55"/>
      <c r="E19" s="55"/>
      <c r="F19" s="56"/>
      <c r="G19" s="55"/>
      <c r="H19" s="53">
        <f t="shared" si="21"/>
        <v>2022</v>
      </c>
      <c r="I19" s="83"/>
      <c r="J19" s="83"/>
      <c r="K19" s="83"/>
      <c r="L19" s="101">
        <f>'Table 2A BaseLoad'!L90</f>
        <v>19.36</v>
      </c>
      <c r="M19" s="55"/>
      <c r="N19" s="53">
        <f t="shared" si="3"/>
        <v>2022</v>
      </c>
      <c r="O19" s="55">
        <f t="shared" si="0"/>
        <v>0</v>
      </c>
      <c r="P19" s="83">
        <f>ROUND(O19/(8.76*'Table 7'!$D$116*0.56),2)</f>
        <v>0</v>
      </c>
      <c r="Q19" s="83">
        <f>'Table 2A BaseLoad'!K90</f>
        <v>23.83</v>
      </c>
      <c r="R19" s="83">
        <f t="shared" si="1"/>
        <v>19.36</v>
      </c>
      <c r="S19" s="83">
        <f t="shared" si="4"/>
        <v>23.83</v>
      </c>
      <c r="T19" s="101">
        <f t="shared" si="5"/>
        <v>19.36</v>
      </c>
      <c r="U19" s="55"/>
      <c r="V19" s="53">
        <f t="shared" si="6"/>
        <v>2022</v>
      </c>
      <c r="W19" s="83">
        <f>P19*'Table 2B Wind'!Capacity_Contr_Wind</f>
        <v>0</v>
      </c>
      <c r="X19" s="83">
        <f t="shared" si="7"/>
        <v>23.83</v>
      </c>
      <c r="Y19" s="83">
        <f t="shared" si="8"/>
        <v>19.36</v>
      </c>
      <c r="Z19" s="83">
        <f>INDEX('Table 10'!$E:$E,MATCH($N19,'Table 10'!$B:$B,0))</f>
        <v>0.59307859332082424</v>
      </c>
      <c r="AA19" s="83">
        <f t="shared" si="9"/>
        <v>23.236921406679173</v>
      </c>
      <c r="AB19" s="101">
        <f t="shared" si="10"/>
        <v>18.766921406679174</v>
      </c>
      <c r="AC19" s="55"/>
      <c r="AD19" s="53">
        <f t="shared" si="11"/>
        <v>2022</v>
      </c>
      <c r="AE19" s="83">
        <f>P19*'Table 2C SolarFixed'!Capacity_Contr_Solar_Fixed</f>
        <v>0</v>
      </c>
      <c r="AF19" s="83">
        <f t="shared" si="12"/>
        <v>23.83</v>
      </c>
      <c r="AG19" s="83">
        <f t="shared" si="2"/>
        <v>19.36</v>
      </c>
      <c r="AH19" s="493">
        <f>INDEX('Table 10'!$F:$F,MATCH($N19,'Table 10'!$B:$B,0))</f>
        <v>0.62318999732655456</v>
      </c>
      <c r="AI19" s="83">
        <f t="shared" si="13"/>
        <v>23.206810002673443</v>
      </c>
      <c r="AJ19" s="101">
        <f t="shared" si="14"/>
        <v>18.736810002673444</v>
      </c>
      <c r="AK19" s="55"/>
      <c r="AL19" s="53">
        <f t="shared" si="15"/>
        <v>2022</v>
      </c>
      <c r="AM19" s="83">
        <f>P19*'Table 2D SolarTracking'!Capacity_Contr_Solar_Tracking</f>
        <v>0</v>
      </c>
      <c r="AN19" s="83">
        <f t="shared" si="16"/>
        <v>23.83</v>
      </c>
      <c r="AO19" s="83">
        <f t="shared" si="17"/>
        <v>19.36</v>
      </c>
      <c r="AP19" s="493">
        <f>INDEX('Table 10'!$F:$F,MATCH($N19,'Table 10'!$B:$B,0))</f>
        <v>0.62318999732655456</v>
      </c>
      <c r="AQ19" s="83">
        <f t="shared" si="18"/>
        <v>23.206810002673443</v>
      </c>
      <c r="AR19" s="101">
        <f t="shared" si="19"/>
        <v>18.736810002673444</v>
      </c>
    </row>
    <row r="20" spans="2:45" x14ac:dyDescent="0.2">
      <c r="B20" s="53">
        <f t="shared" si="20"/>
        <v>2023</v>
      </c>
      <c r="C20" s="55"/>
      <c r="D20" s="55"/>
      <c r="E20" s="55"/>
      <c r="F20" s="56"/>
      <c r="G20" s="55"/>
      <c r="H20" s="53">
        <f t="shared" si="21"/>
        <v>2023</v>
      </c>
      <c r="I20" s="83"/>
      <c r="J20" s="83"/>
      <c r="K20" s="83"/>
      <c r="L20" s="101">
        <f>'Table 2A BaseLoad'!L91</f>
        <v>22.68</v>
      </c>
      <c r="M20" s="55"/>
      <c r="N20" s="53">
        <f t="shared" si="3"/>
        <v>2023</v>
      </c>
      <c r="O20" s="55">
        <f t="shared" si="0"/>
        <v>0</v>
      </c>
      <c r="P20" s="83">
        <f>ROUND(O20/(8.76*'Table 7'!$D$116*0.56),2)</f>
        <v>0</v>
      </c>
      <c r="Q20" s="83">
        <f>'Table 2A BaseLoad'!K91</f>
        <v>26.78</v>
      </c>
      <c r="R20" s="83">
        <f t="shared" si="1"/>
        <v>22.68</v>
      </c>
      <c r="S20" s="83">
        <f t="shared" si="4"/>
        <v>26.78</v>
      </c>
      <c r="T20" s="101">
        <f t="shared" si="5"/>
        <v>22.68</v>
      </c>
      <c r="U20" s="55"/>
      <c r="V20" s="53">
        <f t="shared" si="6"/>
        <v>2023</v>
      </c>
      <c r="W20" s="83">
        <f>P20*'Table 2B Wind'!Capacity_Contr_Wind</f>
        <v>0</v>
      </c>
      <c r="X20" s="83">
        <f t="shared" si="7"/>
        <v>26.78</v>
      </c>
      <c r="Y20" s="83">
        <f t="shared" si="8"/>
        <v>22.68</v>
      </c>
      <c r="Z20" s="83">
        <f>INDEX('Table 10'!$E:$E,MATCH($N20,'Table 10'!$B:$B,0))</f>
        <v>0.60731247956052403</v>
      </c>
      <c r="AA20" s="83">
        <f t="shared" si="9"/>
        <v>26.172687520439478</v>
      </c>
      <c r="AB20" s="101">
        <f t="shared" si="10"/>
        <v>22.072687520439477</v>
      </c>
      <c r="AC20" s="55"/>
      <c r="AD20" s="53">
        <f t="shared" si="11"/>
        <v>2023</v>
      </c>
      <c r="AE20" s="83">
        <f>P20*'Table 2C SolarFixed'!Capacity_Contr_Solar_Fixed</f>
        <v>0</v>
      </c>
      <c r="AF20" s="83">
        <f t="shared" si="12"/>
        <v>26.78</v>
      </c>
      <c r="AG20" s="83">
        <f t="shared" si="2"/>
        <v>22.68</v>
      </c>
      <c r="AH20" s="493">
        <f>INDEX('Table 10'!$F:$F,MATCH($N20,'Table 10'!$B:$B,0))</f>
        <v>0.63814655726239189</v>
      </c>
      <c r="AI20" s="83">
        <f t="shared" si="13"/>
        <v>26.141853442737609</v>
      </c>
      <c r="AJ20" s="101">
        <f t="shared" si="14"/>
        <v>22.041853442737608</v>
      </c>
      <c r="AK20" s="55"/>
      <c r="AL20" s="53">
        <f t="shared" si="15"/>
        <v>2023</v>
      </c>
      <c r="AM20" s="83">
        <f>P20*'Table 2D SolarTracking'!Capacity_Contr_Solar_Tracking</f>
        <v>0</v>
      </c>
      <c r="AN20" s="83">
        <f t="shared" si="16"/>
        <v>26.78</v>
      </c>
      <c r="AO20" s="83">
        <f t="shared" si="17"/>
        <v>22.68</v>
      </c>
      <c r="AP20" s="493">
        <f>INDEX('Table 10'!$F:$F,MATCH($N20,'Table 10'!$B:$B,0))</f>
        <v>0.63814655726239189</v>
      </c>
      <c r="AQ20" s="83">
        <f t="shared" si="18"/>
        <v>26.141853442737609</v>
      </c>
      <c r="AR20" s="101">
        <f t="shared" si="19"/>
        <v>22.041853442737608</v>
      </c>
    </row>
    <row r="21" spans="2:45" x14ac:dyDescent="0.2">
      <c r="B21" s="53">
        <f t="shared" si="20"/>
        <v>2024</v>
      </c>
      <c r="C21" s="55"/>
      <c r="D21" s="55"/>
      <c r="E21" s="55"/>
      <c r="F21" s="56"/>
      <c r="G21" s="55"/>
      <c r="H21" s="53">
        <f t="shared" si="21"/>
        <v>2024</v>
      </c>
      <c r="I21" s="83"/>
      <c r="J21" s="83"/>
      <c r="K21" s="83"/>
      <c r="L21" s="101">
        <f>'Table 2A BaseLoad'!L92</f>
        <v>25.28</v>
      </c>
      <c r="M21" s="55"/>
      <c r="N21" s="53">
        <f t="shared" si="3"/>
        <v>2024</v>
      </c>
      <c r="O21" s="55">
        <f t="shared" si="0"/>
        <v>0</v>
      </c>
      <c r="P21" s="83">
        <f>ROUND(O21/(8.76*'Table 7'!$D$116*0.56),2)</f>
        <v>0</v>
      </c>
      <c r="Q21" s="83">
        <f>'Table 2A BaseLoad'!K92</f>
        <v>29.1</v>
      </c>
      <c r="R21" s="83">
        <f t="shared" si="1"/>
        <v>25.28</v>
      </c>
      <c r="S21" s="83">
        <f t="shared" si="4"/>
        <v>29.1</v>
      </c>
      <c r="T21" s="101">
        <f t="shared" si="5"/>
        <v>25.28</v>
      </c>
      <c r="U21" s="55"/>
      <c r="V21" s="53">
        <f t="shared" si="6"/>
        <v>2024</v>
      </c>
      <c r="W21" s="83">
        <f>P21*'Table 2B Wind'!Capacity_Contr_Wind</f>
        <v>0</v>
      </c>
      <c r="X21" s="83">
        <f t="shared" si="7"/>
        <v>29.1</v>
      </c>
      <c r="Y21" s="83">
        <f t="shared" si="8"/>
        <v>25.28</v>
      </c>
      <c r="Z21" s="83">
        <f>INDEX('Table 10'!$E:$E,MATCH($N21,'Table 10'!$B:$B,0))</f>
        <v>0.62188797906997662</v>
      </c>
      <c r="AA21" s="83">
        <f t="shared" si="9"/>
        <v>28.478112020930023</v>
      </c>
      <c r="AB21" s="101">
        <f t="shared" si="10"/>
        <v>24.658112020930023</v>
      </c>
      <c r="AC21" s="55"/>
      <c r="AD21" s="53">
        <f t="shared" si="11"/>
        <v>2024</v>
      </c>
      <c r="AE21" s="83">
        <f>P21*'Table 2C SolarFixed'!Capacity_Contr_Solar_Fixed</f>
        <v>0</v>
      </c>
      <c r="AF21" s="83">
        <f t="shared" si="12"/>
        <v>29.1</v>
      </c>
      <c r="AG21" s="83">
        <f t="shared" si="2"/>
        <v>25.28</v>
      </c>
      <c r="AH21" s="493">
        <f>INDEX('Table 10'!$F:$F,MATCH($N21,'Table 10'!$B:$B,0))</f>
        <v>0.65346207463668926</v>
      </c>
      <c r="AI21" s="83">
        <f t="shared" si="13"/>
        <v>28.446537925363312</v>
      </c>
      <c r="AJ21" s="101">
        <f t="shared" si="14"/>
        <v>24.626537925363312</v>
      </c>
      <c r="AK21" s="55"/>
      <c r="AL21" s="53">
        <f t="shared" si="15"/>
        <v>2024</v>
      </c>
      <c r="AM21" s="83">
        <f>P21*'Table 2D SolarTracking'!Capacity_Contr_Solar_Tracking</f>
        <v>0</v>
      </c>
      <c r="AN21" s="83">
        <f t="shared" si="16"/>
        <v>29.1</v>
      </c>
      <c r="AO21" s="83">
        <f t="shared" si="17"/>
        <v>25.28</v>
      </c>
      <c r="AP21" s="493">
        <f>INDEX('Table 10'!$F:$F,MATCH($N21,'Table 10'!$B:$B,0))</f>
        <v>0.65346207463668926</v>
      </c>
      <c r="AQ21" s="83">
        <f t="shared" si="18"/>
        <v>28.446537925363312</v>
      </c>
      <c r="AR21" s="101">
        <f t="shared" si="19"/>
        <v>24.626537925363312</v>
      </c>
    </row>
    <row r="22" spans="2:45" x14ac:dyDescent="0.2">
      <c r="B22" s="53">
        <f t="shared" si="20"/>
        <v>2025</v>
      </c>
      <c r="C22" s="55"/>
      <c r="D22" s="55"/>
      <c r="E22" s="55"/>
      <c r="F22" s="56"/>
      <c r="G22" s="55"/>
      <c r="H22" s="53">
        <f t="shared" si="21"/>
        <v>2025</v>
      </c>
      <c r="I22" s="83"/>
      <c r="J22" s="83"/>
      <c r="K22" s="83"/>
      <c r="L22" s="101">
        <f>'Table 2A BaseLoad'!L93</f>
        <v>28.09</v>
      </c>
      <c r="M22" s="55"/>
      <c r="N22" s="53">
        <f t="shared" si="3"/>
        <v>2025</v>
      </c>
      <c r="O22" s="55">
        <f t="shared" si="0"/>
        <v>0</v>
      </c>
      <c r="P22" s="83">
        <f>ROUND(O22/(8.76*'Table 7'!$D$116*0.56),2)</f>
        <v>0</v>
      </c>
      <c r="Q22" s="83">
        <f>'Table 2A BaseLoad'!K93</f>
        <v>32.29</v>
      </c>
      <c r="R22" s="83">
        <f t="shared" si="1"/>
        <v>28.09</v>
      </c>
      <c r="S22" s="83">
        <f t="shared" si="4"/>
        <v>32.29</v>
      </c>
      <c r="T22" s="101">
        <f t="shared" si="5"/>
        <v>28.09</v>
      </c>
      <c r="U22" s="55"/>
      <c r="V22" s="53">
        <f t="shared" si="6"/>
        <v>2025</v>
      </c>
      <c r="W22" s="83">
        <f>P22*'Table 2B Wind'!Capacity_Contr_Wind</f>
        <v>0</v>
      </c>
      <c r="X22" s="83">
        <f t="shared" si="7"/>
        <v>32.29</v>
      </c>
      <c r="Y22" s="83">
        <f t="shared" si="8"/>
        <v>28.09</v>
      </c>
      <c r="Z22" s="83">
        <f>INDEX('Table 10'!$E:$E,MATCH($N22,'Table 10'!$B:$B,0))</f>
        <v>0.63681329056765612</v>
      </c>
      <c r="AA22" s="83">
        <f t="shared" si="9"/>
        <v>31.653186709432344</v>
      </c>
      <c r="AB22" s="101">
        <f t="shared" si="10"/>
        <v>27.453186709432345</v>
      </c>
      <c r="AC22" s="55"/>
      <c r="AD22" s="53">
        <f t="shared" si="11"/>
        <v>2025</v>
      </c>
      <c r="AE22" s="83">
        <f>P22*'Table 2C SolarFixed'!Capacity_Contr_Solar_Fixed</f>
        <v>0</v>
      </c>
      <c r="AF22" s="83">
        <f t="shared" si="12"/>
        <v>32.29</v>
      </c>
      <c r="AG22" s="83">
        <f t="shared" si="2"/>
        <v>28.09</v>
      </c>
      <c r="AH22" s="493">
        <f>INDEX('Table 10'!$F:$F,MATCH($N22,'Table 10'!$B:$B,0))</f>
        <v>0.66914516442796979</v>
      </c>
      <c r="AI22" s="83">
        <f t="shared" si="13"/>
        <v>31.620854835572029</v>
      </c>
      <c r="AJ22" s="101">
        <f t="shared" si="14"/>
        <v>27.42085483557203</v>
      </c>
      <c r="AK22" s="55"/>
      <c r="AL22" s="53">
        <f t="shared" si="15"/>
        <v>2025</v>
      </c>
      <c r="AM22" s="83">
        <f>P22*'Table 2D SolarTracking'!Capacity_Contr_Solar_Tracking</f>
        <v>0</v>
      </c>
      <c r="AN22" s="83">
        <f t="shared" si="16"/>
        <v>32.29</v>
      </c>
      <c r="AO22" s="83">
        <f t="shared" si="17"/>
        <v>28.09</v>
      </c>
      <c r="AP22" s="493">
        <f>INDEX('Table 10'!$F:$F,MATCH($N22,'Table 10'!$B:$B,0))</f>
        <v>0.66914516442796979</v>
      </c>
      <c r="AQ22" s="83">
        <f t="shared" si="18"/>
        <v>31.620854835572029</v>
      </c>
      <c r="AR22" s="101">
        <f t="shared" si="19"/>
        <v>27.42085483557203</v>
      </c>
    </row>
    <row r="23" spans="2:45" x14ac:dyDescent="0.2">
      <c r="B23" s="53">
        <f t="shared" si="20"/>
        <v>2026</v>
      </c>
      <c r="C23" s="55"/>
      <c r="D23" s="55"/>
      <c r="E23" s="55"/>
      <c r="F23" s="56"/>
      <c r="G23" s="55"/>
      <c r="H23" s="53">
        <f t="shared" si="21"/>
        <v>2026</v>
      </c>
      <c r="I23" s="83"/>
      <c r="J23" s="83"/>
      <c r="K23" s="83"/>
      <c r="L23" s="101">
        <f>'Table 2A BaseLoad'!L94</f>
        <v>26.06</v>
      </c>
      <c r="M23" s="55"/>
      <c r="N23" s="53">
        <f t="shared" si="3"/>
        <v>2026</v>
      </c>
      <c r="O23" s="55">
        <f t="shared" si="0"/>
        <v>0</v>
      </c>
      <c r="P23" s="83">
        <f>ROUND(O23/(8.76*'Table 7'!$D$116*0.56),2)</f>
        <v>0</v>
      </c>
      <c r="Q23" s="83">
        <f>'Table 2A BaseLoad'!K94</f>
        <v>30.03</v>
      </c>
      <c r="R23" s="83">
        <f t="shared" si="1"/>
        <v>26.06</v>
      </c>
      <c r="S23" s="83">
        <f t="shared" si="4"/>
        <v>30.03</v>
      </c>
      <c r="T23" s="101">
        <f t="shared" si="5"/>
        <v>26.06</v>
      </c>
      <c r="U23" s="55"/>
      <c r="V23" s="53">
        <f t="shared" si="6"/>
        <v>2026</v>
      </c>
      <c r="W23" s="83">
        <f>P23*'Table 2B Wind'!Capacity_Contr_Wind</f>
        <v>0</v>
      </c>
      <c r="X23" s="83">
        <f t="shared" si="7"/>
        <v>30.03</v>
      </c>
      <c r="Y23" s="83">
        <f t="shared" si="8"/>
        <v>26.06</v>
      </c>
      <c r="Z23" s="83">
        <f>INDEX('Table 10'!$E:$E,MATCH($N23,'Table 10'!$B:$B,0))</f>
        <v>0.65209680954127991</v>
      </c>
      <c r="AA23" s="83">
        <f t="shared" si="9"/>
        <v>29.377903190458721</v>
      </c>
      <c r="AB23" s="101">
        <f t="shared" si="10"/>
        <v>25.407903190458718</v>
      </c>
      <c r="AC23" s="55"/>
      <c r="AD23" s="53">
        <f t="shared" si="11"/>
        <v>2026</v>
      </c>
      <c r="AE23" s="83">
        <f>P23*'Table 2C SolarFixed'!Capacity_Contr_Solar_Fixed</f>
        <v>0</v>
      </c>
      <c r="AF23" s="83">
        <f t="shared" si="12"/>
        <v>30.03</v>
      </c>
      <c r="AG23" s="83">
        <f t="shared" si="2"/>
        <v>26.06</v>
      </c>
      <c r="AH23" s="493">
        <f>INDEX('Table 10'!$F:$F,MATCH($N23,'Table 10'!$B:$B,0))</f>
        <v>0.68520464837424111</v>
      </c>
      <c r="AI23" s="83">
        <f t="shared" si="13"/>
        <v>29.344795351625759</v>
      </c>
      <c r="AJ23" s="101">
        <f t="shared" si="14"/>
        <v>25.374795351625757</v>
      </c>
      <c r="AK23" s="55"/>
      <c r="AL23" s="53">
        <f t="shared" si="15"/>
        <v>2026</v>
      </c>
      <c r="AM23" s="83">
        <f>P23*'Table 2D SolarTracking'!Capacity_Contr_Solar_Tracking</f>
        <v>0</v>
      </c>
      <c r="AN23" s="83">
        <f t="shared" si="16"/>
        <v>30.03</v>
      </c>
      <c r="AO23" s="83">
        <f t="shared" si="17"/>
        <v>26.06</v>
      </c>
      <c r="AP23" s="493">
        <f>INDEX('Table 10'!$F:$F,MATCH($N23,'Table 10'!$B:$B,0))</f>
        <v>0.68520464837424111</v>
      </c>
      <c r="AQ23" s="83">
        <f t="shared" si="18"/>
        <v>29.344795351625759</v>
      </c>
      <c r="AR23" s="101">
        <f t="shared" si="19"/>
        <v>25.374795351625757</v>
      </c>
    </row>
    <row r="24" spans="2:45" x14ac:dyDescent="0.2">
      <c r="B24" s="57">
        <f t="shared" si="20"/>
        <v>2027</v>
      </c>
      <c r="C24" s="59"/>
      <c r="D24" s="59"/>
      <c r="E24" s="59"/>
      <c r="F24" s="60"/>
      <c r="G24" s="55"/>
      <c r="H24" s="57">
        <f t="shared" si="21"/>
        <v>2027</v>
      </c>
      <c r="I24" s="102"/>
      <c r="J24" s="102"/>
      <c r="K24" s="102"/>
      <c r="L24" s="103">
        <f>'Table 2A BaseLoad'!L95</f>
        <v>31.87</v>
      </c>
      <c r="M24" s="55"/>
      <c r="N24" s="57">
        <f t="shared" si="3"/>
        <v>2027</v>
      </c>
      <c r="O24" s="59">
        <f t="shared" si="0"/>
        <v>0</v>
      </c>
      <c r="P24" s="102">
        <f>ROUND(O24/(8.76*'Table 7'!$D$116*0.56),2)</f>
        <v>0</v>
      </c>
      <c r="Q24" s="102">
        <f>'Table 2A BaseLoad'!K95</f>
        <v>36.380000000000003</v>
      </c>
      <c r="R24" s="102">
        <f t="shared" si="1"/>
        <v>31.87</v>
      </c>
      <c r="S24" s="102">
        <f t="shared" si="4"/>
        <v>36.380000000000003</v>
      </c>
      <c r="T24" s="103">
        <f t="shared" si="5"/>
        <v>31.87</v>
      </c>
      <c r="U24" s="55"/>
      <c r="V24" s="57">
        <f t="shared" si="6"/>
        <v>2027</v>
      </c>
      <c r="W24" s="102">
        <f>P24*'Table 2B Wind'!Capacity_Contr_Wind</f>
        <v>0</v>
      </c>
      <c r="X24" s="102">
        <f t="shared" si="7"/>
        <v>36.380000000000003</v>
      </c>
      <c r="Y24" s="102">
        <f t="shared" si="8"/>
        <v>31.87</v>
      </c>
      <c r="Z24" s="102">
        <f>INDEX('Table 10'!$E:$E,MATCH($N24,'Table 10'!$B:$B,0))</f>
        <v>0.66709503616072929</v>
      </c>
      <c r="AA24" s="102">
        <f t="shared" si="9"/>
        <v>35.712904963839271</v>
      </c>
      <c r="AB24" s="103">
        <f t="shared" si="10"/>
        <v>31.202904963839273</v>
      </c>
      <c r="AC24" s="55"/>
      <c r="AD24" s="57">
        <f t="shared" si="11"/>
        <v>2027</v>
      </c>
      <c r="AE24" s="102">
        <f>P24*'Table 2C SolarFixed'!Capacity_Contr_Solar_Fixed</f>
        <v>0</v>
      </c>
      <c r="AF24" s="102">
        <f t="shared" si="12"/>
        <v>36.380000000000003</v>
      </c>
      <c r="AG24" s="102">
        <f t="shared" si="2"/>
        <v>31.87</v>
      </c>
      <c r="AH24" s="494">
        <f>INDEX('Table 10'!$F:$F,MATCH($N24,'Table 10'!$B:$B,0))</f>
        <v>0.70096435528684864</v>
      </c>
      <c r="AI24" s="102">
        <f t="shared" si="13"/>
        <v>35.679035644713153</v>
      </c>
      <c r="AJ24" s="103">
        <f t="shared" si="14"/>
        <v>31.169035644713151</v>
      </c>
      <c r="AK24" s="55"/>
      <c r="AL24" s="57">
        <f t="shared" si="15"/>
        <v>2027</v>
      </c>
      <c r="AM24" s="102">
        <f>P24*'Table 2D SolarTracking'!Capacity_Contr_Solar_Tracking</f>
        <v>0</v>
      </c>
      <c r="AN24" s="102">
        <f t="shared" si="16"/>
        <v>36.380000000000003</v>
      </c>
      <c r="AO24" s="102">
        <f t="shared" si="17"/>
        <v>31.87</v>
      </c>
      <c r="AP24" s="494">
        <f>INDEX('Table 10'!$F:$F,MATCH($N24,'Table 10'!$B:$B,0))</f>
        <v>0.70096435528684864</v>
      </c>
      <c r="AQ24" s="102">
        <f t="shared" si="18"/>
        <v>35.679035644713153</v>
      </c>
      <c r="AR24" s="103">
        <f t="shared" si="19"/>
        <v>31.169035644713151</v>
      </c>
    </row>
    <row r="25" spans="2:45" ht="7.5" customHeight="1" x14ac:dyDescent="0.2">
      <c r="B25" s="65"/>
      <c r="C25" s="104"/>
      <c r="D25" s="104"/>
      <c r="E25" s="104"/>
      <c r="F25" s="104"/>
      <c r="G25" s="55"/>
      <c r="H25" s="65"/>
      <c r="I25" s="83"/>
      <c r="J25" s="83"/>
      <c r="K25" s="83"/>
      <c r="L25" s="83"/>
      <c r="M25" s="55"/>
      <c r="N25" s="65"/>
      <c r="O25" s="55"/>
      <c r="P25" s="83"/>
      <c r="Q25" s="83"/>
      <c r="R25" s="83"/>
      <c r="S25" s="83"/>
      <c r="T25" s="83"/>
      <c r="U25" s="55"/>
      <c r="V25" s="65"/>
      <c r="W25" s="83"/>
      <c r="X25" s="83"/>
      <c r="Y25" s="83"/>
      <c r="Z25" s="83"/>
      <c r="AA25" s="83"/>
      <c r="AB25" s="83"/>
      <c r="AC25" s="55"/>
      <c r="AD25" s="65"/>
      <c r="AE25" s="83"/>
      <c r="AF25" s="83"/>
      <c r="AG25" s="83"/>
      <c r="AH25" s="493"/>
      <c r="AI25" s="83"/>
      <c r="AJ25" s="83"/>
      <c r="AK25" s="55"/>
      <c r="AL25" s="65"/>
      <c r="AM25" s="83"/>
      <c r="AN25" s="83"/>
      <c r="AO25" s="83"/>
      <c r="AP25" s="493"/>
      <c r="AQ25" s="83"/>
      <c r="AR25" s="83"/>
    </row>
    <row r="26" spans="2:45" x14ac:dyDescent="0.2">
      <c r="B26" s="19" t="s">
        <v>80</v>
      </c>
      <c r="C26" s="55"/>
      <c r="D26" s="28" t="s">
        <v>77</v>
      </c>
      <c r="E26" s="55"/>
      <c r="F26" s="55"/>
      <c r="G26" s="55"/>
      <c r="H26" s="19" t="s">
        <v>80</v>
      </c>
      <c r="I26" s="83"/>
      <c r="J26" s="39" t="str">
        <f>$I$9&amp;" x "&amp;TEXT('Table 7'!$K$95/1000,"0.000")</f>
        <v>(a) x 6.630</v>
      </c>
      <c r="K26" s="83"/>
      <c r="L26" s="83"/>
      <c r="M26" s="55"/>
      <c r="N26" s="19" t="s">
        <v>80</v>
      </c>
      <c r="O26" s="55"/>
      <c r="P26" s="83"/>
      <c r="Q26" s="83"/>
      <c r="R26" s="83"/>
      <c r="S26" s="83"/>
      <c r="T26" s="83"/>
      <c r="U26" s="55"/>
      <c r="V26" s="19" t="s">
        <v>80</v>
      </c>
      <c r="W26" s="83"/>
      <c r="X26" s="83"/>
      <c r="Y26" s="83"/>
      <c r="Z26" s="83"/>
      <c r="AA26" s="83"/>
      <c r="AB26" s="83"/>
      <c r="AC26" s="55"/>
      <c r="AD26" s="19" t="s">
        <v>80</v>
      </c>
      <c r="AE26" s="83"/>
      <c r="AF26" s="83"/>
      <c r="AG26" s="83"/>
      <c r="AH26" s="493"/>
      <c r="AI26" s="83"/>
      <c r="AJ26" s="83"/>
      <c r="AK26" s="55"/>
      <c r="AL26" s="19" t="s">
        <v>80</v>
      </c>
      <c r="AM26" s="83"/>
      <c r="AN26" s="83"/>
      <c r="AO26" s="83"/>
      <c r="AP26" s="493"/>
      <c r="AQ26" s="83"/>
      <c r="AR26" s="83"/>
    </row>
    <row r="27" spans="2:45" x14ac:dyDescent="0.2">
      <c r="B27" s="98">
        <f>B24+1</f>
        <v>2028</v>
      </c>
      <c r="C27" s="51">
        <f>INDEX('Table 7'!$H$57:$H$82,MATCH($B27,'Table 7'!$B$57:$B$82,0))</f>
        <v>142.57</v>
      </c>
      <c r="D27" s="51">
        <f>INDEX('Table 7'!$H$12:$H$29,MATCH($B27,'Table 7'!$B$12:$B$29,0))</f>
        <v>142.91999999999999</v>
      </c>
      <c r="E27" s="51">
        <f>IF((C27-D27)*0.5&lt;0,0,ROUND((C27-D27)*0.5,2))</f>
        <v>0</v>
      </c>
      <c r="F27" s="52">
        <f>ROUND(E27/(8.76*'Table 7'!$D$115),2)</f>
        <v>0</v>
      </c>
      <c r="G27" s="55"/>
      <c r="H27" s="98">
        <f t="shared" ref="H27:H32" si="22">$B27</f>
        <v>2028</v>
      </c>
      <c r="I27" s="99">
        <f>INDEX('Table 8'!E:E,MATCH('Tables 3 to 5'!$H27,'Table 8'!B:B,0))</f>
        <v>4.1500000000000004</v>
      </c>
      <c r="J27" s="99">
        <f>I27*'Table 7'!$K$95/1000</f>
        <v>27.514500000000005</v>
      </c>
      <c r="K27" s="99">
        <f t="shared" ref="K27" si="23">F27</f>
        <v>0</v>
      </c>
      <c r="L27" s="100">
        <f t="shared" ref="L27" si="24">J27+K27</f>
        <v>27.514500000000005</v>
      </c>
      <c r="M27" s="55"/>
      <c r="N27" s="98">
        <f t="shared" ref="N27:N32" si="25">$B27</f>
        <v>2028</v>
      </c>
      <c r="O27" s="51">
        <f t="shared" ref="O27:O32" si="26">D27+E27</f>
        <v>142.91999999999999</v>
      </c>
      <c r="P27" s="99">
        <f>ROUND(O27/(8.76*'Table 7'!$D$116*0.56),2)</f>
        <v>29.13</v>
      </c>
      <c r="Q27" s="99">
        <f>R27</f>
        <v>27.514500000000005</v>
      </c>
      <c r="R27" s="99">
        <f t="shared" ref="R27:R32" si="27">L27</f>
        <v>27.514500000000005</v>
      </c>
      <c r="S27" s="99">
        <f>P27+Q27</f>
        <v>56.644500000000008</v>
      </c>
      <c r="T27" s="100">
        <f t="shared" ref="T27" si="28">R27</f>
        <v>27.514500000000005</v>
      </c>
      <c r="U27" s="55"/>
      <c r="V27" s="98">
        <f t="shared" ref="V27:V32" si="29">$B27</f>
        <v>2028</v>
      </c>
      <c r="W27" s="99">
        <f>P27*'Table 2B Wind'!Capacity_Contr_Wind</f>
        <v>4.6025400000000003</v>
      </c>
      <c r="X27" s="99">
        <f t="shared" ref="X27:X32" si="30">Q27</f>
        <v>27.514500000000005</v>
      </c>
      <c r="Y27" s="99">
        <f t="shared" ref="Y27:Y32" si="31">R27</f>
        <v>27.514500000000005</v>
      </c>
      <c r="Z27" s="99">
        <f>INDEX('Table 10'!$E:$E,MATCH($N27,'Table 10'!$B:$B,0))</f>
        <v>0.68243822199242599</v>
      </c>
      <c r="AA27" s="99">
        <f t="shared" ref="AA27:AA32" si="32">W27+X27-Z27</f>
        <v>31.434601778007575</v>
      </c>
      <c r="AB27" s="100">
        <f t="shared" ref="AB27:AB32" si="33">Y27-Z27</f>
        <v>26.832061778007578</v>
      </c>
      <c r="AC27" s="55"/>
      <c r="AD27" s="98">
        <f t="shared" ref="AD27:AD32" si="34">$B27</f>
        <v>2028</v>
      </c>
      <c r="AE27" s="99">
        <f>P27*'Table 2C SolarFixed'!Capacity_Contr_Solar_Fixed</f>
        <v>11.04027</v>
      </c>
      <c r="AF27" s="99">
        <f t="shared" ref="AF27:AF32" si="35">Q27</f>
        <v>27.514500000000005</v>
      </c>
      <c r="AG27" s="99">
        <f t="shared" ref="AG27:AG32" si="36">R27</f>
        <v>27.514500000000005</v>
      </c>
      <c r="AH27" s="492">
        <f>INDEX('Table 10'!$F:$F,MATCH($N27,'Table 10'!$B:$B,0))</f>
        <v>0.71708653545844614</v>
      </c>
      <c r="AI27" s="99">
        <f t="shared" ref="AI27:AI32" si="37">AE27+AF27-AH27</f>
        <v>37.837683464541556</v>
      </c>
      <c r="AJ27" s="100">
        <f t="shared" ref="AJ27:AJ32" si="38">AG27-AH27</f>
        <v>26.79741346454156</v>
      </c>
      <c r="AK27" s="55"/>
      <c r="AL27" s="98">
        <f t="shared" ref="AL27:AL32" si="39">$B27</f>
        <v>2028</v>
      </c>
      <c r="AM27" s="99">
        <f>P27*'Table 2D SolarTracking'!Capacity_Contr_Solar_Tracking</f>
        <v>17.390609999999999</v>
      </c>
      <c r="AN27" s="99">
        <f t="shared" ref="AN27:AN32" si="40">Q27</f>
        <v>27.514500000000005</v>
      </c>
      <c r="AO27" s="99">
        <f t="shared" ref="AO27:AO32" si="41">R27</f>
        <v>27.514500000000005</v>
      </c>
      <c r="AP27" s="492">
        <f>INDEX('Table 10'!$F:$F,MATCH($N27,'Table 10'!$B:$B,0))</f>
        <v>0.71708653545844614</v>
      </c>
      <c r="AQ27" s="99">
        <f t="shared" ref="AQ27:AQ32" si="42">AM27+AN27-AP27</f>
        <v>44.188023464541558</v>
      </c>
      <c r="AR27" s="100">
        <f t="shared" ref="AR27:AR32" si="43">AO27-AP27</f>
        <v>26.79741346454156</v>
      </c>
      <c r="AS27" s="37"/>
    </row>
    <row r="28" spans="2:45" x14ac:dyDescent="0.2">
      <c r="B28" s="53">
        <f t="shared" ref="B28:B32" si="44">B27+1</f>
        <v>2029</v>
      </c>
      <c r="C28" s="55">
        <f>INDEX('Table 7'!$H$57:$H$82,MATCH($B28,'Table 7'!$B$57:$B$82,0))</f>
        <v>145.55000000000001</v>
      </c>
      <c r="D28" s="55">
        <f>INDEX('Table 7'!$H$12:$H$29,MATCH($B28,'Table 7'!$B$12:$B$29,0))</f>
        <v>145.94</v>
      </c>
      <c r="E28" s="55">
        <f t="shared" ref="E28:E32" si="45">IF((C28-D28)*0.5&lt;0,0,ROUND((C28-D28)*0.5,2))</f>
        <v>0</v>
      </c>
      <c r="F28" s="56">
        <f>ROUND(E28/(8.76*'Table 7'!$D$115),2)</f>
        <v>0</v>
      </c>
      <c r="G28" s="55"/>
      <c r="H28" s="53">
        <f t="shared" si="22"/>
        <v>2029</v>
      </c>
      <c r="I28" s="83">
        <f>INDEX('Table 8'!E:E,MATCH('Tables 3 to 5'!$H28,'Table 8'!B:B,0))</f>
        <v>4.49</v>
      </c>
      <c r="J28" s="83">
        <f>I28*'Table 7'!$K$95/1000</f>
        <v>29.768699999999999</v>
      </c>
      <c r="K28" s="83">
        <f t="shared" ref="K28:K32" si="46">F28</f>
        <v>0</v>
      </c>
      <c r="L28" s="101">
        <f t="shared" ref="L28:L32" si="47">J28+K28</f>
        <v>29.768699999999999</v>
      </c>
      <c r="M28" s="55"/>
      <c r="N28" s="53">
        <f t="shared" si="25"/>
        <v>2029</v>
      </c>
      <c r="O28" s="55">
        <f t="shared" si="26"/>
        <v>145.94</v>
      </c>
      <c r="P28" s="83">
        <f>ROUND(O28/(8.76*'Table 7'!$D$116*0.56),2)</f>
        <v>29.75</v>
      </c>
      <c r="Q28" s="83">
        <f t="shared" ref="Q28:Q32" si="48">R28</f>
        <v>29.768699999999999</v>
      </c>
      <c r="R28" s="83">
        <f t="shared" si="27"/>
        <v>29.768699999999999</v>
      </c>
      <c r="S28" s="83">
        <f t="shared" ref="S28:S32" si="49">P28+Q28</f>
        <v>59.518699999999995</v>
      </c>
      <c r="T28" s="101">
        <f t="shared" ref="T28:T32" si="50">R28</f>
        <v>29.768699999999999</v>
      </c>
      <c r="U28" s="55"/>
      <c r="V28" s="53">
        <f t="shared" si="29"/>
        <v>2029</v>
      </c>
      <c r="W28" s="83">
        <f>P28*'Table 2B Wind'!Capacity_Contr_Wind</f>
        <v>4.7004999999999999</v>
      </c>
      <c r="X28" s="83">
        <f t="shared" si="30"/>
        <v>29.768699999999999</v>
      </c>
      <c r="Y28" s="83">
        <f t="shared" si="31"/>
        <v>29.768699999999999</v>
      </c>
      <c r="Z28" s="83">
        <f>INDEX('Table 10'!$E:$E,MATCH($N28,'Table 10'!$B:$B,0))</f>
        <v>0.6981343010982517</v>
      </c>
      <c r="AA28" s="83">
        <f t="shared" si="32"/>
        <v>33.771065698901751</v>
      </c>
      <c r="AB28" s="101">
        <f t="shared" si="33"/>
        <v>29.070565698901746</v>
      </c>
      <c r="AC28" s="55"/>
      <c r="AD28" s="53">
        <f t="shared" si="34"/>
        <v>2029</v>
      </c>
      <c r="AE28" s="83">
        <f>P28*'Table 2C SolarFixed'!Capacity_Contr_Solar_Fixed</f>
        <v>11.27525</v>
      </c>
      <c r="AF28" s="83">
        <f t="shared" si="35"/>
        <v>29.768699999999999</v>
      </c>
      <c r="AG28" s="83">
        <f t="shared" si="36"/>
        <v>29.768699999999999</v>
      </c>
      <c r="AH28" s="493">
        <f>INDEX('Table 10'!$F:$F,MATCH($N28,'Table 10'!$B:$B,0))</f>
        <v>0.73357952577399033</v>
      </c>
      <c r="AI28" s="83">
        <f t="shared" si="37"/>
        <v>40.310370474226005</v>
      </c>
      <c r="AJ28" s="101">
        <f t="shared" si="38"/>
        <v>29.035120474226009</v>
      </c>
      <c r="AK28" s="55"/>
      <c r="AL28" s="53">
        <f t="shared" si="39"/>
        <v>2029</v>
      </c>
      <c r="AM28" s="83">
        <f>P28*'Table 2D SolarTracking'!Capacity_Contr_Solar_Tracking</f>
        <v>17.760749999999998</v>
      </c>
      <c r="AN28" s="83">
        <f t="shared" si="40"/>
        <v>29.768699999999999</v>
      </c>
      <c r="AO28" s="83">
        <f t="shared" si="41"/>
        <v>29.768699999999999</v>
      </c>
      <c r="AP28" s="493">
        <f>INDEX('Table 10'!$F:$F,MATCH($N28,'Table 10'!$B:$B,0))</f>
        <v>0.73357952577399033</v>
      </c>
      <c r="AQ28" s="83">
        <f t="shared" si="42"/>
        <v>46.795870474226007</v>
      </c>
      <c r="AR28" s="101">
        <f t="shared" si="43"/>
        <v>29.035120474226009</v>
      </c>
    </row>
    <row r="29" spans="2:45" x14ac:dyDescent="0.2">
      <c r="B29" s="53">
        <f t="shared" si="44"/>
        <v>2030</v>
      </c>
      <c r="C29" s="55">
        <f>INDEX('Table 7'!$H$57:$H$82,MATCH($B29,'Table 7'!$B$57:$B$82,0))</f>
        <v>148.79</v>
      </c>
      <c r="D29" s="55">
        <f>INDEX('Table 7'!$H$12:$H$29,MATCH($B29,'Table 7'!$B$12:$B$29,0))</f>
        <v>149.16</v>
      </c>
      <c r="E29" s="55">
        <f t="shared" si="45"/>
        <v>0</v>
      </c>
      <c r="F29" s="56">
        <f>ROUND(E29/(8.76*'Table 7'!$D$115),2)</f>
        <v>0</v>
      </c>
      <c r="G29" s="55"/>
      <c r="H29" s="53">
        <f t="shared" si="22"/>
        <v>2030</v>
      </c>
      <c r="I29" s="83">
        <f>INDEX('Table 8'!E:E,MATCH('Tables 3 to 5'!$H29,'Table 8'!B:B,0))</f>
        <v>4.84</v>
      </c>
      <c r="J29" s="83">
        <f>I29*'Table 7'!$K$95/1000</f>
        <v>32.089199999999998</v>
      </c>
      <c r="K29" s="83">
        <f t="shared" si="46"/>
        <v>0</v>
      </c>
      <c r="L29" s="101">
        <f t="shared" si="47"/>
        <v>32.089199999999998</v>
      </c>
      <c r="M29" s="55"/>
      <c r="N29" s="53">
        <f t="shared" si="25"/>
        <v>2030</v>
      </c>
      <c r="O29" s="55">
        <f t="shared" si="26"/>
        <v>149.16</v>
      </c>
      <c r="P29" s="83">
        <f>ROUND(O29/(8.76*'Table 7'!$D$116*0.56),2)</f>
        <v>30.41</v>
      </c>
      <c r="Q29" s="83">
        <f t="shared" si="48"/>
        <v>32.089199999999998</v>
      </c>
      <c r="R29" s="83">
        <f t="shared" si="27"/>
        <v>32.089199999999998</v>
      </c>
      <c r="S29" s="83">
        <f t="shared" si="49"/>
        <v>62.499200000000002</v>
      </c>
      <c r="T29" s="101">
        <f t="shared" si="50"/>
        <v>32.089199999999998</v>
      </c>
      <c r="U29" s="55"/>
      <c r="V29" s="53">
        <f t="shared" si="29"/>
        <v>2030</v>
      </c>
      <c r="W29" s="83">
        <f>P29*'Table 2B Wind'!Capacity_Contr_Wind</f>
        <v>4.8047800000000001</v>
      </c>
      <c r="X29" s="83">
        <f t="shared" si="30"/>
        <v>32.089199999999998</v>
      </c>
      <c r="Y29" s="83">
        <f t="shared" si="31"/>
        <v>32.089199999999998</v>
      </c>
      <c r="Z29" s="83">
        <f>INDEX('Table 10'!$E:$E,MATCH($N29,'Table 10'!$B:$B,0))</f>
        <v>0.71349325572241329</v>
      </c>
      <c r="AA29" s="83">
        <f t="shared" si="32"/>
        <v>36.180486744277587</v>
      </c>
      <c r="AB29" s="101">
        <f t="shared" si="33"/>
        <v>31.375706744277586</v>
      </c>
      <c r="AC29" s="55"/>
      <c r="AD29" s="53">
        <f t="shared" si="34"/>
        <v>2030</v>
      </c>
      <c r="AE29" s="83">
        <f>P29*'Table 2C SolarFixed'!Capacity_Contr_Solar_Fixed</f>
        <v>11.52539</v>
      </c>
      <c r="AF29" s="83">
        <f t="shared" si="35"/>
        <v>32.089199999999998</v>
      </c>
      <c r="AG29" s="83">
        <f t="shared" si="36"/>
        <v>32.089199999999998</v>
      </c>
      <c r="AH29" s="493">
        <f>INDEX('Table 10'!$F:$F,MATCH($N29,'Table 10'!$B:$B,0))</f>
        <v>0.74971827534101809</v>
      </c>
      <c r="AI29" s="83">
        <f t="shared" si="37"/>
        <v>42.864871724658983</v>
      </c>
      <c r="AJ29" s="101">
        <f t="shared" si="38"/>
        <v>31.339481724658981</v>
      </c>
      <c r="AK29" s="55"/>
      <c r="AL29" s="53">
        <f t="shared" si="39"/>
        <v>2030</v>
      </c>
      <c r="AM29" s="83">
        <f>P29*'Table 2D SolarTracking'!Capacity_Contr_Solar_Tracking</f>
        <v>18.154769999999999</v>
      </c>
      <c r="AN29" s="83">
        <f t="shared" si="40"/>
        <v>32.089199999999998</v>
      </c>
      <c r="AO29" s="83">
        <f t="shared" si="41"/>
        <v>32.089199999999998</v>
      </c>
      <c r="AP29" s="493">
        <f>INDEX('Table 10'!$F:$F,MATCH($N29,'Table 10'!$B:$B,0))</f>
        <v>0.74971827534101809</v>
      </c>
      <c r="AQ29" s="83">
        <f t="shared" si="42"/>
        <v>49.49425172465898</v>
      </c>
      <c r="AR29" s="101">
        <f t="shared" si="43"/>
        <v>31.339481724658981</v>
      </c>
    </row>
    <row r="30" spans="2:45" x14ac:dyDescent="0.2">
      <c r="B30" s="53">
        <f t="shared" si="44"/>
        <v>2031</v>
      </c>
      <c r="C30" s="55">
        <f>INDEX('Table 7'!$H$57:$H$82,MATCH($B30,'Table 7'!$B$57:$B$82,0))</f>
        <v>152.08000000000001</v>
      </c>
      <c r="D30" s="55">
        <f>INDEX('Table 7'!$H$12:$H$29,MATCH($B30,'Table 7'!$B$12:$B$29,0))</f>
        <v>152.44</v>
      </c>
      <c r="E30" s="55">
        <f t="shared" si="45"/>
        <v>0</v>
      </c>
      <c r="F30" s="56">
        <f>ROUND(E30/(8.76*'Table 7'!$D$115),2)</f>
        <v>0</v>
      </c>
      <c r="G30" s="55"/>
      <c r="H30" s="53">
        <f t="shared" si="22"/>
        <v>2031</v>
      </c>
      <c r="I30" s="83">
        <f>INDEX('Table 8'!E:E,MATCH('Tables 3 to 5'!$H30,'Table 8'!B:B,0))</f>
        <v>5.07</v>
      </c>
      <c r="J30" s="83">
        <f>I30*'Table 7'!$K$95/1000</f>
        <v>33.614100000000001</v>
      </c>
      <c r="K30" s="83">
        <f t="shared" si="46"/>
        <v>0</v>
      </c>
      <c r="L30" s="101">
        <f t="shared" si="47"/>
        <v>33.614100000000001</v>
      </c>
      <c r="M30" s="55"/>
      <c r="N30" s="53">
        <f t="shared" si="25"/>
        <v>2031</v>
      </c>
      <c r="O30" s="55">
        <f t="shared" si="26"/>
        <v>152.44</v>
      </c>
      <c r="P30" s="83">
        <f>ROUND(O30/(8.76*'Table 7'!$D$116*0.56),2)</f>
        <v>31.07</v>
      </c>
      <c r="Q30" s="83">
        <f t="shared" si="48"/>
        <v>33.614100000000001</v>
      </c>
      <c r="R30" s="83">
        <f t="shared" si="27"/>
        <v>33.614100000000001</v>
      </c>
      <c r="S30" s="83">
        <f t="shared" si="49"/>
        <v>64.684100000000001</v>
      </c>
      <c r="T30" s="101">
        <f t="shared" si="50"/>
        <v>33.614100000000001</v>
      </c>
      <c r="U30" s="55"/>
      <c r="V30" s="53">
        <f t="shared" si="29"/>
        <v>2031</v>
      </c>
      <c r="W30" s="83">
        <f>P30*'Table 2B Wind'!Capacity_Contr_Wind</f>
        <v>4.9090600000000002</v>
      </c>
      <c r="X30" s="83">
        <f t="shared" si="30"/>
        <v>33.614100000000001</v>
      </c>
      <c r="Y30" s="83">
        <f t="shared" si="31"/>
        <v>33.614100000000001</v>
      </c>
      <c r="Z30" s="83">
        <f>INDEX('Table 10'!$E:$E,MATCH($N30,'Table 10'!$B:$B,0))</f>
        <v>0.72919010734830636</v>
      </c>
      <c r="AA30" s="83">
        <f t="shared" si="32"/>
        <v>37.793969892651695</v>
      </c>
      <c r="AB30" s="101">
        <f t="shared" si="33"/>
        <v>32.884909892651692</v>
      </c>
      <c r="AC30" s="55"/>
      <c r="AD30" s="53">
        <f t="shared" si="34"/>
        <v>2031</v>
      </c>
      <c r="AE30" s="83">
        <f>P30*'Table 2C SolarFixed'!Capacity_Contr_Solar_Fixed</f>
        <v>11.77553</v>
      </c>
      <c r="AF30" s="83">
        <f t="shared" si="35"/>
        <v>33.614100000000001</v>
      </c>
      <c r="AG30" s="83">
        <f t="shared" si="36"/>
        <v>33.614100000000001</v>
      </c>
      <c r="AH30" s="493">
        <f>INDEX('Table 10'!$F:$F,MATCH($N30,'Table 10'!$B:$B,0))</f>
        <v>0.76621207739852049</v>
      </c>
      <c r="AI30" s="83">
        <f t="shared" si="37"/>
        <v>44.623417922601476</v>
      </c>
      <c r="AJ30" s="101">
        <f t="shared" si="38"/>
        <v>32.84788792260148</v>
      </c>
      <c r="AK30" s="55"/>
      <c r="AL30" s="53">
        <f t="shared" si="39"/>
        <v>2031</v>
      </c>
      <c r="AM30" s="83">
        <f>P30*'Table 2D SolarTracking'!Capacity_Contr_Solar_Tracking</f>
        <v>18.54879</v>
      </c>
      <c r="AN30" s="83">
        <f t="shared" si="40"/>
        <v>33.614100000000001</v>
      </c>
      <c r="AO30" s="83">
        <f t="shared" si="41"/>
        <v>33.614100000000001</v>
      </c>
      <c r="AP30" s="493">
        <f>INDEX('Table 10'!$F:$F,MATCH($N30,'Table 10'!$B:$B,0))</f>
        <v>0.76621207739852049</v>
      </c>
      <c r="AQ30" s="83">
        <f t="shared" si="42"/>
        <v>51.396677922601484</v>
      </c>
      <c r="AR30" s="101">
        <f t="shared" si="43"/>
        <v>32.84788792260148</v>
      </c>
    </row>
    <row r="31" spans="2:45" x14ac:dyDescent="0.2">
      <c r="B31" s="53">
        <f t="shared" si="44"/>
        <v>2032</v>
      </c>
      <c r="C31" s="55">
        <f>INDEX('Table 7'!$H$57:$H$82,MATCH($B31,'Table 7'!$B$57:$B$82,0))</f>
        <v>155.44</v>
      </c>
      <c r="D31" s="55">
        <f>INDEX('Table 7'!$H$12:$H$29,MATCH($B31,'Table 7'!$B$12:$B$29,0))</f>
        <v>155.79</v>
      </c>
      <c r="E31" s="55">
        <f t="shared" si="45"/>
        <v>0</v>
      </c>
      <c r="F31" s="56">
        <f>ROUND(E31/(8.76*'Table 7'!$D$115),2)</f>
        <v>0</v>
      </c>
      <c r="G31" s="55"/>
      <c r="H31" s="53">
        <f t="shared" si="22"/>
        <v>2032</v>
      </c>
      <c r="I31" s="83">
        <f>INDEX('Table 8'!E:E,MATCH('Tables 3 to 5'!$H31,'Table 8'!B:B,0))</f>
        <v>5.32</v>
      </c>
      <c r="J31" s="83">
        <f>I31*'Table 7'!$K$95/1000</f>
        <v>35.271599999999999</v>
      </c>
      <c r="K31" s="83">
        <f t="shared" si="46"/>
        <v>0</v>
      </c>
      <c r="L31" s="101">
        <f t="shared" si="47"/>
        <v>35.271599999999999</v>
      </c>
      <c r="M31" s="55"/>
      <c r="N31" s="53">
        <f t="shared" si="25"/>
        <v>2032</v>
      </c>
      <c r="O31" s="55">
        <f t="shared" si="26"/>
        <v>155.79</v>
      </c>
      <c r="P31" s="83">
        <f>ROUND(O31/(8.76*'Table 7'!$D$116*0.56),2)</f>
        <v>31.76</v>
      </c>
      <c r="Q31" s="83">
        <f t="shared" si="48"/>
        <v>35.271599999999999</v>
      </c>
      <c r="R31" s="83">
        <f t="shared" si="27"/>
        <v>35.271599999999999</v>
      </c>
      <c r="S31" s="83">
        <f t="shared" si="49"/>
        <v>67.031599999999997</v>
      </c>
      <c r="T31" s="101">
        <f t="shared" si="50"/>
        <v>35.271599999999999</v>
      </c>
      <c r="U31" s="55"/>
      <c r="V31" s="53">
        <f t="shared" si="29"/>
        <v>2032</v>
      </c>
      <c r="W31" s="83">
        <f>P31*'Table 2B Wind'!Capacity_Contr_Wind</f>
        <v>5.0180800000000003</v>
      </c>
      <c r="X31" s="83">
        <f t="shared" si="30"/>
        <v>35.271599999999999</v>
      </c>
      <c r="Y31" s="83">
        <f t="shared" si="31"/>
        <v>35.271599999999999</v>
      </c>
      <c r="Z31" s="83">
        <f>INDEX('Table 10'!$E:$E,MATCH($N31,'Table 10'!$B:$B,0))</f>
        <v>0.74523228970996913</v>
      </c>
      <c r="AA31" s="83">
        <f t="shared" si="32"/>
        <v>39.544447710290029</v>
      </c>
      <c r="AB31" s="101">
        <f t="shared" si="33"/>
        <v>34.526367710290032</v>
      </c>
      <c r="AC31" s="55"/>
      <c r="AD31" s="53">
        <f t="shared" si="34"/>
        <v>2032</v>
      </c>
      <c r="AE31" s="83">
        <f>P31*'Table 2C SolarFixed'!Capacity_Contr_Solar_Fixed</f>
        <v>12.037040000000001</v>
      </c>
      <c r="AF31" s="83">
        <f t="shared" si="35"/>
        <v>35.271599999999999</v>
      </c>
      <c r="AG31" s="83">
        <f t="shared" si="36"/>
        <v>35.271599999999999</v>
      </c>
      <c r="AH31" s="493">
        <f>INDEX('Table 10'!$F:$F,MATCH($N31,'Table 10'!$B:$B,0))</f>
        <v>0.78306874310128793</v>
      </c>
      <c r="AI31" s="83">
        <f t="shared" si="37"/>
        <v>46.525571256898708</v>
      </c>
      <c r="AJ31" s="101">
        <f t="shared" si="38"/>
        <v>34.48853125689871</v>
      </c>
      <c r="AK31" s="55"/>
      <c r="AL31" s="53">
        <f t="shared" si="39"/>
        <v>2032</v>
      </c>
      <c r="AM31" s="83">
        <f>P31*'Table 2D SolarTracking'!Capacity_Contr_Solar_Tracking</f>
        <v>18.960719999999998</v>
      </c>
      <c r="AN31" s="83">
        <f t="shared" si="40"/>
        <v>35.271599999999999</v>
      </c>
      <c r="AO31" s="83">
        <f t="shared" si="41"/>
        <v>35.271599999999999</v>
      </c>
      <c r="AP31" s="493">
        <f>INDEX('Table 10'!$F:$F,MATCH($N31,'Table 10'!$B:$B,0))</f>
        <v>0.78306874310128793</v>
      </c>
      <c r="AQ31" s="83">
        <f t="shared" si="42"/>
        <v>53.449251256898712</v>
      </c>
      <c r="AR31" s="101">
        <f t="shared" si="43"/>
        <v>34.48853125689871</v>
      </c>
    </row>
    <row r="32" spans="2:45" x14ac:dyDescent="0.2">
      <c r="B32" s="57">
        <f t="shared" si="44"/>
        <v>2033</v>
      </c>
      <c r="C32" s="59">
        <f>INDEX('Table 7'!$H$57:$H$82,MATCH($B32,'Table 7'!$B$57:$B$82,0))</f>
        <v>158.86000000000001</v>
      </c>
      <c r="D32" s="59">
        <f>INDEX('Table 7'!$H$12:$H$29,MATCH($B32,'Table 7'!$B$12:$B$29,0))</f>
        <v>159.22999999999999</v>
      </c>
      <c r="E32" s="59">
        <f t="shared" si="45"/>
        <v>0</v>
      </c>
      <c r="F32" s="60">
        <f>ROUND(E32/(8.76*'Table 7'!$D$115),2)</f>
        <v>0</v>
      </c>
      <c r="G32" s="55"/>
      <c r="H32" s="57">
        <f t="shared" si="22"/>
        <v>2033</v>
      </c>
      <c r="I32" s="102">
        <f>INDEX('Table 8'!E:E,MATCH('Tables 3 to 5'!$H32,'Table 8'!B:B,0))</f>
        <v>5.68</v>
      </c>
      <c r="J32" s="102">
        <f>I32*'Table 7'!$K$95/1000</f>
        <v>37.6584</v>
      </c>
      <c r="K32" s="102">
        <f t="shared" si="46"/>
        <v>0</v>
      </c>
      <c r="L32" s="103">
        <f t="shared" si="47"/>
        <v>37.6584</v>
      </c>
      <c r="M32" s="55"/>
      <c r="N32" s="57">
        <f t="shared" si="25"/>
        <v>2033</v>
      </c>
      <c r="O32" s="59">
        <f t="shared" si="26"/>
        <v>159.22999999999999</v>
      </c>
      <c r="P32" s="102">
        <f>ROUND(O32/(8.76*'Table 7'!$D$116*0.56),2)</f>
        <v>32.46</v>
      </c>
      <c r="Q32" s="102">
        <f t="shared" si="48"/>
        <v>37.6584</v>
      </c>
      <c r="R32" s="102">
        <f t="shared" si="27"/>
        <v>37.6584</v>
      </c>
      <c r="S32" s="102">
        <f t="shared" si="49"/>
        <v>70.118400000000008</v>
      </c>
      <c r="T32" s="103">
        <f t="shared" si="50"/>
        <v>37.6584</v>
      </c>
      <c r="U32" s="55"/>
      <c r="V32" s="57">
        <f t="shared" si="29"/>
        <v>2033</v>
      </c>
      <c r="W32" s="102">
        <f>P32*'Table 2B Wind'!Capacity_Contr_Wind</f>
        <v>5.1286800000000001</v>
      </c>
      <c r="X32" s="102">
        <f t="shared" si="30"/>
        <v>37.6584</v>
      </c>
      <c r="Y32" s="102">
        <f t="shared" si="31"/>
        <v>37.6584</v>
      </c>
      <c r="Z32" s="102">
        <f>INDEX('Table 10'!$E:$E,MATCH($N32,'Table 10'!$B:$B,0))</f>
        <v>0.76162740008358842</v>
      </c>
      <c r="AA32" s="102">
        <f t="shared" si="32"/>
        <v>42.025452599916413</v>
      </c>
      <c r="AB32" s="103">
        <f t="shared" si="33"/>
        <v>36.89677259991641</v>
      </c>
      <c r="AC32" s="55"/>
      <c r="AD32" s="57">
        <f t="shared" si="34"/>
        <v>2033</v>
      </c>
      <c r="AE32" s="102">
        <f>P32*'Table 2C SolarFixed'!Capacity_Contr_Solar_Fixed</f>
        <v>12.302340000000001</v>
      </c>
      <c r="AF32" s="102">
        <f t="shared" si="35"/>
        <v>37.6584</v>
      </c>
      <c r="AG32" s="102">
        <f t="shared" si="36"/>
        <v>37.6584</v>
      </c>
      <c r="AH32" s="494">
        <f>INDEX('Table 10'!$F:$F,MATCH($N32,'Table 10'!$B:$B,0))</f>
        <v>0.80029625544951632</v>
      </c>
      <c r="AI32" s="102">
        <f t="shared" si="37"/>
        <v>49.160443744550484</v>
      </c>
      <c r="AJ32" s="103">
        <f t="shared" si="38"/>
        <v>36.858103744550483</v>
      </c>
      <c r="AK32" s="55"/>
      <c r="AL32" s="57">
        <f t="shared" si="39"/>
        <v>2033</v>
      </c>
      <c r="AM32" s="102">
        <f>P32*'Table 2D SolarTracking'!Capacity_Contr_Solar_Tracking</f>
        <v>19.378619999999998</v>
      </c>
      <c r="AN32" s="102">
        <f t="shared" si="40"/>
        <v>37.6584</v>
      </c>
      <c r="AO32" s="102">
        <f t="shared" si="41"/>
        <v>37.6584</v>
      </c>
      <c r="AP32" s="494">
        <f>INDEX('Table 10'!$F:$F,MATCH($N32,'Table 10'!$B:$B,0))</f>
        <v>0.80029625544951632</v>
      </c>
      <c r="AQ32" s="102">
        <f t="shared" si="42"/>
        <v>56.236723744550481</v>
      </c>
      <c r="AR32" s="103">
        <f t="shared" si="43"/>
        <v>36.858103744550483</v>
      </c>
    </row>
    <row r="33" spans="2:44" hidden="1" x14ac:dyDescent="0.2">
      <c r="B33" s="53"/>
      <c r="C33" s="55"/>
      <c r="D33" s="55"/>
      <c r="E33" s="55"/>
      <c r="F33" s="56"/>
      <c r="G33" s="55"/>
      <c r="H33" s="53"/>
      <c r="I33" s="83"/>
      <c r="J33" s="83"/>
      <c r="K33" s="83"/>
      <c r="L33" s="101"/>
      <c r="M33" s="55"/>
      <c r="N33" s="53"/>
      <c r="O33" s="55"/>
      <c r="P33" s="83"/>
      <c r="Q33" s="83"/>
      <c r="R33" s="83"/>
      <c r="S33" s="83"/>
      <c r="T33" s="101"/>
      <c r="U33" s="55"/>
      <c r="V33" s="53"/>
      <c r="W33" s="83"/>
      <c r="X33" s="83"/>
      <c r="Y33" s="83"/>
      <c r="Z33" s="83"/>
      <c r="AA33" s="83"/>
      <c r="AB33" s="101"/>
      <c r="AC33" s="55"/>
      <c r="AD33" s="53"/>
      <c r="AE33" s="83"/>
      <c r="AF33" s="83"/>
      <c r="AG33" s="83"/>
      <c r="AH33" s="83"/>
      <c r="AI33" s="83"/>
      <c r="AJ33" s="101"/>
      <c r="AK33" s="55"/>
      <c r="AL33" s="53"/>
      <c r="AM33" s="83"/>
      <c r="AN33" s="83"/>
      <c r="AO33" s="83"/>
      <c r="AP33" s="83"/>
      <c r="AQ33" s="83"/>
      <c r="AR33" s="101"/>
    </row>
    <row r="34" spans="2:44" hidden="1" x14ac:dyDescent="0.2">
      <c r="B34" s="53"/>
      <c r="C34" s="55"/>
      <c r="D34" s="55"/>
      <c r="E34" s="55"/>
      <c r="F34" s="56"/>
      <c r="G34" s="55"/>
      <c r="H34" s="53"/>
      <c r="I34" s="83"/>
      <c r="J34" s="83"/>
      <c r="K34" s="83"/>
      <c r="L34" s="101"/>
      <c r="M34" s="55"/>
      <c r="N34" s="53"/>
      <c r="O34" s="55"/>
      <c r="P34" s="83"/>
      <c r="Q34" s="83"/>
      <c r="R34" s="83"/>
      <c r="S34" s="83"/>
      <c r="T34" s="101"/>
      <c r="U34" s="55"/>
      <c r="V34" s="53"/>
      <c r="W34" s="83"/>
      <c r="X34" s="83"/>
      <c r="Y34" s="83"/>
      <c r="Z34" s="83"/>
      <c r="AA34" s="83"/>
      <c r="AB34" s="101"/>
      <c r="AC34" s="55"/>
      <c r="AD34" s="53"/>
      <c r="AE34" s="83"/>
      <c r="AF34" s="83"/>
      <c r="AG34" s="83"/>
      <c r="AH34" s="83"/>
      <c r="AI34" s="83"/>
      <c r="AJ34" s="101"/>
      <c r="AK34" s="55"/>
      <c r="AL34" s="53"/>
      <c r="AM34" s="83"/>
      <c r="AN34" s="83"/>
      <c r="AO34" s="83"/>
      <c r="AP34" s="83"/>
      <c r="AQ34" s="83"/>
      <c r="AR34" s="101"/>
    </row>
    <row r="35" spans="2:44" hidden="1" x14ac:dyDescent="0.2">
      <c r="B35" s="53"/>
      <c r="C35" s="55"/>
      <c r="D35" s="55"/>
      <c r="E35" s="55"/>
      <c r="F35" s="56"/>
      <c r="G35" s="55"/>
      <c r="H35" s="53"/>
      <c r="I35" s="83"/>
      <c r="J35" s="83"/>
      <c r="K35" s="83"/>
      <c r="L35" s="101"/>
      <c r="M35" s="55"/>
      <c r="N35" s="53"/>
      <c r="O35" s="55"/>
      <c r="P35" s="83"/>
      <c r="Q35" s="83"/>
      <c r="R35" s="83"/>
      <c r="S35" s="83"/>
      <c r="T35" s="101"/>
      <c r="U35" s="55"/>
      <c r="V35" s="53"/>
      <c r="W35" s="83"/>
      <c r="X35" s="83"/>
      <c r="Y35" s="83"/>
      <c r="Z35" s="83"/>
      <c r="AA35" s="83"/>
      <c r="AB35" s="101"/>
      <c r="AC35" s="55"/>
      <c r="AD35" s="53"/>
      <c r="AE35" s="83"/>
      <c r="AF35" s="83"/>
      <c r="AG35" s="83"/>
      <c r="AH35" s="83"/>
      <c r="AI35" s="83"/>
      <c r="AJ35" s="101"/>
      <c r="AK35" s="55"/>
      <c r="AL35" s="53"/>
      <c r="AM35" s="83"/>
      <c r="AN35" s="83"/>
      <c r="AO35" s="83"/>
      <c r="AP35" s="83"/>
      <c r="AQ35" s="83"/>
      <c r="AR35" s="101"/>
    </row>
    <row r="36" spans="2:44" hidden="1" x14ac:dyDescent="0.2">
      <c r="B36" s="53"/>
      <c r="C36" s="55"/>
      <c r="D36" s="55"/>
      <c r="E36" s="55"/>
      <c r="F36" s="56"/>
      <c r="G36" s="55"/>
      <c r="H36" s="53"/>
      <c r="I36" s="83"/>
      <c r="J36" s="83"/>
      <c r="K36" s="83"/>
      <c r="L36" s="101"/>
      <c r="M36" s="55"/>
      <c r="N36" s="53"/>
      <c r="O36" s="55"/>
      <c r="P36" s="83"/>
      <c r="Q36" s="83"/>
      <c r="R36" s="83"/>
      <c r="S36" s="83"/>
      <c r="T36" s="101"/>
      <c r="U36" s="55"/>
      <c r="V36" s="53"/>
      <c r="W36" s="83"/>
      <c r="X36" s="83"/>
      <c r="Y36" s="83"/>
      <c r="Z36" s="83"/>
      <c r="AA36" s="83"/>
      <c r="AB36" s="101"/>
      <c r="AC36" s="55"/>
      <c r="AD36" s="53"/>
      <c r="AE36" s="83"/>
      <c r="AF36" s="83"/>
      <c r="AG36" s="83"/>
      <c r="AH36" s="83"/>
      <c r="AI36" s="83"/>
      <c r="AJ36" s="101"/>
      <c r="AK36" s="55"/>
      <c r="AL36" s="53"/>
      <c r="AM36" s="83"/>
      <c r="AN36" s="83"/>
      <c r="AO36" s="83"/>
      <c r="AP36" s="83"/>
      <c r="AQ36" s="83"/>
      <c r="AR36" s="101"/>
    </row>
    <row r="37" spans="2:44" hidden="1" x14ac:dyDescent="0.2">
      <c r="B37" s="53"/>
      <c r="C37" s="55"/>
      <c r="D37" s="55"/>
      <c r="E37" s="55"/>
      <c r="F37" s="56"/>
      <c r="G37" s="55"/>
      <c r="H37" s="53"/>
      <c r="I37" s="83"/>
      <c r="J37" s="83"/>
      <c r="K37" s="83"/>
      <c r="L37" s="101"/>
      <c r="M37" s="55"/>
      <c r="N37" s="53"/>
      <c r="O37" s="55"/>
      <c r="P37" s="83"/>
      <c r="Q37" s="83"/>
      <c r="R37" s="83"/>
      <c r="S37" s="83"/>
      <c r="T37" s="101"/>
      <c r="U37" s="55"/>
      <c r="V37" s="53"/>
      <c r="W37" s="83"/>
      <c r="X37" s="83"/>
      <c r="Y37" s="83"/>
      <c r="Z37" s="83"/>
      <c r="AA37" s="83"/>
      <c r="AB37" s="101"/>
      <c r="AC37" s="55"/>
      <c r="AD37" s="53"/>
      <c r="AE37" s="83"/>
      <c r="AF37" s="83"/>
      <c r="AG37" s="83"/>
      <c r="AH37" s="83"/>
      <c r="AI37" s="83"/>
      <c r="AJ37" s="101"/>
      <c r="AK37" s="55"/>
      <c r="AL37" s="53"/>
      <c r="AM37" s="83"/>
      <c r="AN37" s="83"/>
      <c r="AO37" s="83"/>
      <c r="AP37" s="83"/>
      <c r="AQ37" s="83"/>
      <c r="AR37" s="101"/>
    </row>
    <row r="38" spans="2:44" hidden="1" x14ac:dyDescent="0.2">
      <c r="B38" s="57"/>
      <c r="C38" s="59"/>
      <c r="D38" s="59"/>
      <c r="E38" s="59"/>
      <c r="F38" s="60"/>
      <c r="G38" s="55"/>
      <c r="H38" s="57"/>
      <c r="I38" s="102"/>
      <c r="J38" s="102"/>
      <c r="K38" s="102"/>
      <c r="L38" s="103"/>
      <c r="M38" s="55"/>
      <c r="N38" s="57"/>
      <c r="O38" s="59"/>
      <c r="P38" s="102"/>
      <c r="Q38" s="102"/>
      <c r="R38" s="102"/>
      <c r="S38" s="102"/>
      <c r="T38" s="103"/>
      <c r="U38" s="55"/>
      <c r="V38" s="57"/>
      <c r="W38" s="102"/>
      <c r="X38" s="102"/>
      <c r="Y38" s="102"/>
      <c r="Z38" s="102"/>
      <c r="AA38" s="102"/>
      <c r="AB38" s="103"/>
      <c r="AC38" s="55"/>
      <c r="AD38" s="57"/>
      <c r="AE38" s="102"/>
      <c r="AF38" s="102"/>
      <c r="AG38" s="102"/>
      <c r="AH38" s="102"/>
      <c r="AI38" s="102"/>
      <c r="AJ38" s="103"/>
      <c r="AK38" s="55"/>
      <c r="AL38" s="57"/>
      <c r="AM38" s="102"/>
      <c r="AN38" s="102"/>
      <c r="AO38" s="102"/>
      <c r="AP38" s="102"/>
      <c r="AQ38" s="102"/>
      <c r="AR38" s="103"/>
    </row>
    <row r="40" spans="2:44" x14ac:dyDescent="0.2">
      <c r="B40" s="35" t="s">
        <v>18</v>
      </c>
      <c r="H40" s="35" t="s">
        <v>18</v>
      </c>
      <c r="N40" s="35" t="s">
        <v>18</v>
      </c>
      <c r="V40" s="35" t="s">
        <v>18</v>
      </c>
      <c r="AD40" s="35" t="s">
        <v>18</v>
      </c>
      <c r="AL40" s="35" t="s">
        <v>18</v>
      </c>
    </row>
    <row r="41" spans="2:44" x14ac:dyDescent="0.2">
      <c r="B41" s="84" t="str">
        <f>C9</f>
        <v>(a)</v>
      </c>
      <c r="C41" s="106" t="str">
        <f>"  "&amp;'Table 7'!$B$1&amp;"  Column "&amp;'Table 7'!$H$7</f>
        <v xml:space="preserve">  Table 7  Column (f)</v>
      </c>
      <c r="H41" s="84" t="str">
        <f>I9</f>
        <v>(a)</v>
      </c>
      <c r="I41" s="35" t="str">
        <f>"  "&amp;'Table 7'!$B$1&amp;"  Column "&amp;'Table 7'!$I$52</f>
        <v xml:space="preserve">  Table 7  Column (g)</v>
      </c>
      <c r="N41" s="105" t="str">
        <f>O9</f>
        <v>(a)</v>
      </c>
      <c r="O41" s="37" t="str">
        <f>"  "&amp;$B$1&amp;"  Column "&amp;$D$9&amp;" + "&amp;$B$1&amp;"  Column "&amp;$E$9</f>
        <v xml:space="preserve">  Table 3  Column (b) + Table 3  Column (c)</v>
      </c>
      <c r="R41" s="37"/>
      <c r="V41" s="105" t="str">
        <f>W9</f>
        <v>(a)</v>
      </c>
      <c r="W41" s="35" t="str">
        <f>"  "&amp;$N$1&amp;"  Column "&amp;$P$9&amp;" multiplied by Capacity Contribution of "&amp;TEXT('Table 2B Wind'!Capacity_Contr_Wind,"0.0%")</f>
        <v xml:space="preserve">  Table 5a  Column (b) multiplied by Capacity Contribution of 15.8%</v>
      </c>
      <c r="Y41" s="37"/>
      <c r="Z41" s="37"/>
      <c r="AD41" s="105" t="str">
        <f>AE9</f>
        <v>(a)</v>
      </c>
      <c r="AE41" s="35" t="str">
        <f>"  "&amp;$N$1&amp;"  Column "&amp;$P$9&amp;" multiplied by Capacity Contribution of "&amp;TEXT('Table 2C SolarFixed'!Capacity_Contr_Solar_Fixed,"0.0%")</f>
        <v xml:space="preserve">  Table 5a  Column (b) multiplied by Capacity Contribution of 37.9%</v>
      </c>
      <c r="AG41" s="37"/>
      <c r="AH41" s="37"/>
      <c r="AL41" s="105" t="s">
        <v>19</v>
      </c>
      <c r="AM41" s="35" t="str">
        <f>"  "&amp;$N$1&amp;"  Column "&amp;$P$9&amp;" multiplied by Capacity Contribution of "&amp;TEXT('Table 2D SolarTracking'!Capacity_Contr_Solar_Tracking,"0.0%")</f>
        <v xml:space="preserve">  Table 5a  Column (b) multiplied by Capacity Contribution of 59.7%</v>
      </c>
      <c r="AO41" s="37"/>
      <c r="AP41" s="37"/>
    </row>
    <row r="42" spans="2:44" x14ac:dyDescent="0.2">
      <c r="B42" s="84" t="str">
        <f>D9</f>
        <v>(b)</v>
      </c>
      <c r="C42" s="106" t="str">
        <f>C41</f>
        <v xml:space="preserve">  Table 7  Column (f)</v>
      </c>
      <c r="H42" s="84" t="str">
        <f>J9</f>
        <v>(b)</v>
      </c>
      <c r="I42" s="35" t="str">
        <f>"  "&amp;'Table 7'!$B$1&amp;"  Column "&amp;'Table 7'!K52&amp;" Heat rate "&amp;TEXT('Table 7'!$K$95/1000,"?.000")&amp;" MMBtu/MWh"</f>
        <v xml:space="preserve">  Table 7  Column (i) Heat rate 6.630 MMBtu/MWh</v>
      </c>
      <c r="N42" s="105" t="str">
        <f>P9</f>
        <v>(b)</v>
      </c>
      <c r="O42" s="35" t="str">
        <f>"  "&amp;'Table 7'!B1&amp;"   "&amp;TEXT('Table 7'!$D$116,"0.0%")&amp;" is the on-peak capacity factor of the proxy resource"</f>
        <v xml:space="preserve">  Table 7   100.0% is the on-peak capacity factor of the proxy resource</v>
      </c>
      <c r="V42" s="105" t="str">
        <f>X9</f>
        <v>(b)</v>
      </c>
      <c r="W42" s="35" t="str">
        <f>"  "&amp;$N$1&amp;"  Column "&amp;$Q$9</f>
        <v xml:space="preserve">  Table 5a  Column (c)</v>
      </c>
      <c r="AD42" s="105" t="str">
        <f>AF9</f>
        <v>(b)</v>
      </c>
      <c r="AE42" s="35" t="str">
        <f>"  "&amp;$N$1&amp;"  Column "&amp;$Q$9</f>
        <v xml:space="preserve">  Table 5a  Column (c)</v>
      </c>
      <c r="AL42" s="105" t="str">
        <f>AN9</f>
        <v>(b)</v>
      </c>
      <c r="AM42" s="35" t="str">
        <f>"  "&amp;$N$1&amp;"  Column "&amp;$Q$9</f>
        <v xml:space="preserve">  Table 5a  Column (c)</v>
      </c>
    </row>
    <row r="43" spans="2:44" x14ac:dyDescent="0.2">
      <c r="B43" s="84" t="str">
        <f>E9</f>
        <v>(c)</v>
      </c>
      <c r="C43" s="106" t="s">
        <v>127</v>
      </c>
      <c r="H43" s="84" t="str">
        <f>K9</f>
        <v>(c)</v>
      </c>
      <c r="I43" s="35" t="str">
        <f>"  "&amp;$B$1&amp;"  Column "&amp;$F$9</f>
        <v xml:space="preserve">  Table 3  Column (d)</v>
      </c>
      <c r="N43" s="105" t="str">
        <f>Q9</f>
        <v>(c)</v>
      </c>
      <c r="O43" s="35" t="str">
        <f>"  On-Peak Avoided Energy values  for "&amp;N13&amp;"-"&amp;MAX(N15:N26)&amp;" -  from "&amp;'Table 2A BaseLoad'!$A$1</f>
        <v xml:space="preserve">  On-Peak Avoided Energy values  for 2016-2027 -  from Table 2A</v>
      </c>
      <c r="V43" s="105" t="str">
        <f>Y9</f>
        <v>(c)</v>
      </c>
      <c r="W43" s="35" t="str">
        <f>"  "&amp;$N$1&amp;"  Column "&amp;$R$9</f>
        <v xml:space="preserve">  Table 5a  Column (d)</v>
      </c>
      <c r="AD43" s="105" t="str">
        <f>AG9</f>
        <v>(c)</v>
      </c>
      <c r="AE43" s="35" t="str">
        <f>"  "&amp;$N$1&amp;"  Column "&amp;$R$9</f>
        <v xml:space="preserve">  Table 5a  Column (d)</v>
      </c>
      <c r="AL43" s="105" t="str">
        <f>AO9</f>
        <v>(c)</v>
      </c>
      <c r="AM43" s="35" t="str">
        <f>"  "&amp;$N$1&amp;"  Column "&amp;$R$9</f>
        <v xml:space="preserve">  Table 5a  Column (d)</v>
      </c>
    </row>
    <row r="44" spans="2:44" x14ac:dyDescent="0.2">
      <c r="C44" s="35" t="s">
        <v>297</v>
      </c>
      <c r="H44" s="86" t="str">
        <f>L9</f>
        <v>(d)</v>
      </c>
      <c r="I44" s="35" t="str">
        <f>"  For "&amp;H13&amp;"-"&amp;MAX(H15:H26)&amp;" - "&amp;'Table 2A BaseLoad'!A1</f>
        <v xml:space="preserve">  For 2016-2027 - Table 2A</v>
      </c>
      <c r="N44" s="105" t="str">
        <f>R9</f>
        <v>(d)</v>
      </c>
      <c r="O44" s="35" t="str">
        <f>"  "&amp;$H$1&amp;"  Column "&amp;$L$9</f>
        <v xml:space="preserve">  Table 4  Column (d)</v>
      </c>
      <c r="V44" s="105" t="str">
        <f>Z9</f>
        <v>(d)</v>
      </c>
      <c r="W44" s="35" t="str">
        <f>"  "&amp;'Table 10'!$B$1&amp;"  Column (c)"</f>
        <v xml:space="preserve">  Table 10  Column (c)</v>
      </c>
      <c r="AD44" s="105" t="str">
        <f>AH9</f>
        <v>(d)</v>
      </c>
      <c r="AE44" s="35" t="str">
        <f>"  "&amp;'Table 10'!$B$1&amp;"  Column (c)"</f>
        <v xml:space="preserve">  Table 10  Column (c)</v>
      </c>
      <c r="AL44" s="105" t="str">
        <f>AP9</f>
        <v>(d)</v>
      </c>
      <c r="AM44" s="35" t="str">
        <f>"  "&amp;'Table 10'!$B$1&amp;"  Column (c)"</f>
        <v xml:space="preserve">  Table 10  Column (c)</v>
      </c>
    </row>
    <row r="45" spans="2:44" x14ac:dyDescent="0.2">
      <c r="B45" s="84" t="str">
        <f>F9</f>
        <v>(d)</v>
      </c>
      <c r="C45" s="106" t="str">
        <f>"  "&amp;TEXT('Table 7'!$D$115,"0.0%")&amp;" CCCT energy weighted capacity factor - "&amp;'Table 7'!$B$1&amp;" page 3"</f>
        <v xml:space="preserve">  69.5% CCCT energy weighted capacity factor - Table 7 page 3</v>
      </c>
      <c r="H45" s="86"/>
      <c r="V45" s="105"/>
      <c r="AD45" s="105"/>
      <c r="AL45" s="105"/>
    </row>
    <row r="46" spans="2:44" hidden="1" x14ac:dyDescent="0.2">
      <c r="G46" s="35"/>
      <c r="M46" s="35"/>
      <c r="N46" s="105"/>
      <c r="U46" s="35"/>
      <c r="V46" s="105"/>
      <c r="AC46" s="35"/>
      <c r="AD46" s="105"/>
      <c r="AK46" s="35"/>
      <c r="AL46" s="105"/>
    </row>
    <row r="47" spans="2:44" hidden="1" x14ac:dyDescent="0.2">
      <c r="N47" s="105"/>
      <c r="V47" s="105"/>
      <c r="AD47" s="105"/>
      <c r="AL47" s="105"/>
    </row>
    <row r="48" spans="2:44" x14ac:dyDescent="0.2">
      <c r="N48" s="105"/>
      <c r="V48" s="105"/>
      <c r="AD48" s="105"/>
      <c r="AL48" s="105"/>
    </row>
    <row r="49" spans="14:38" x14ac:dyDescent="0.2">
      <c r="N49" s="105"/>
      <c r="V49" s="105"/>
      <c r="AD49" s="105"/>
      <c r="AL49" s="105"/>
    </row>
    <row r="50" spans="14:38" x14ac:dyDescent="0.2">
      <c r="N50" s="105"/>
      <c r="V50" s="105"/>
      <c r="AD50" s="105"/>
      <c r="AL50" s="105"/>
    </row>
    <row r="51" spans="14:38" x14ac:dyDescent="0.2">
      <c r="N51" s="105"/>
      <c r="V51" s="105"/>
      <c r="AD51" s="105"/>
      <c r="AL51" s="105"/>
    </row>
    <row r="52" spans="14:38" x14ac:dyDescent="0.2">
      <c r="N52" s="105"/>
      <c r="V52" s="105"/>
      <c r="AD52" s="105"/>
      <c r="AL52" s="105"/>
    </row>
  </sheetData>
  <mergeCells count="4">
    <mergeCell ref="P4:T4"/>
    <mergeCell ref="W4:AB4"/>
    <mergeCell ref="AE4:AJ4"/>
    <mergeCell ref="AM4:AR4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  <colBreaks count="5" manualBreakCount="5">
    <brk id="6" max="49" man="1"/>
    <brk id="12" max="49" man="1"/>
    <brk id="20" max="1048575" man="1"/>
    <brk id="28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V56"/>
  <sheetViews>
    <sheetView zoomScale="80" zoomScaleNormal="80" zoomScaleSheetLayoutView="90" workbookViewId="0">
      <pane xSplit="2" ySplit="4" topLeftCell="C5" activePane="bottomRight" state="frozen"/>
      <selection activeCell="D76" sqref="D76"/>
      <selection pane="topRight" activeCell="D76" sqref="D76"/>
      <selection pane="bottomLeft" activeCell="D76" sqref="D76"/>
      <selection pane="bottomRight" activeCell="G49" sqref="G49"/>
    </sheetView>
  </sheetViews>
  <sheetFormatPr defaultColWidth="9.33203125" defaultRowHeight="12.75" x14ac:dyDescent="0.2"/>
  <cols>
    <col min="1" max="1" width="1.6640625" style="212" customWidth="1"/>
    <col min="2" max="2" width="18.83203125" style="212" customWidth="1"/>
    <col min="3" max="14" width="15.33203125" style="212" customWidth="1"/>
    <col min="15" max="15" width="4.5" style="212" customWidth="1"/>
    <col min="16" max="16384" width="9.33203125" style="212"/>
  </cols>
  <sheetData>
    <row r="1" spans="2:19" s="5" customFormat="1" ht="15.75" x14ac:dyDescent="0.25">
      <c r="B1" s="1" t="s">
        <v>265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2"/>
    </row>
    <row r="2" spans="2:19" s="7" customFormat="1" ht="15" x14ac:dyDescent="0.25">
      <c r="B2" s="3" t="s">
        <v>64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2"/>
    </row>
    <row r="3" spans="2:19" s="7" customFormat="1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32"/>
    </row>
    <row r="4" spans="2:19" x14ac:dyDescent="0.2">
      <c r="C4" s="346" t="s">
        <v>227</v>
      </c>
      <c r="D4" s="347"/>
      <c r="E4" s="348"/>
      <c r="F4" s="346" t="s">
        <v>228</v>
      </c>
      <c r="G4" s="347"/>
      <c r="H4" s="348"/>
      <c r="I4" s="346" t="s">
        <v>229</v>
      </c>
      <c r="J4" s="347"/>
      <c r="K4" s="348"/>
      <c r="L4" s="346" t="s">
        <v>230</v>
      </c>
      <c r="M4" s="347"/>
      <c r="N4" s="348"/>
      <c r="O4" s="132"/>
    </row>
    <row r="5" spans="2:19" x14ac:dyDescent="0.2">
      <c r="B5" s="132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132"/>
    </row>
    <row r="6" spans="2:19" x14ac:dyDescent="0.2">
      <c r="B6" s="344"/>
      <c r="C6" s="473" t="s">
        <v>317</v>
      </c>
      <c r="D6" s="473" t="s">
        <v>316</v>
      </c>
      <c r="E6" s="345" t="s">
        <v>28</v>
      </c>
      <c r="F6" s="473" t="s">
        <v>317</v>
      </c>
      <c r="G6" s="473" t="s">
        <v>316</v>
      </c>
      <c r="H6" s="345" t="s">
        <v>28</v>
      </c>
      <c r="I6" s="473" t="s">
        <v>317</v>
      </c>
      <c r="J6" s="473" t="s">
        <v>316</v>
      </c>
      <c r="K6" s="345" t="s">
        <v>28</v>
      </c>
      <c r="L6" s="473" t="s">
        <v>317</v>
      </c>
      <c r="M6" s="473" t="s">
        <v>316</v>
      </c>
      <c r="N6" s="345" t="s">
        <v>28</v>
      </c>
      <c r="O6" s="132"/>
    </row>
    <row r="7" spans="2:19" x14ac:dyDescent="0.2">
      <c r="B7" s="268" t="s">
        <v>2</v>
      </c>
      <c r="C7" s="270" t="s">
        <v>63</v>
      </c>
      <c r="D7" s="271" t="s">
        <v>63</v>
      </c>
      <c r="E7" s="269"/>
      <c r="F7" s="270" t="s">
        <v>63</v>
      </c>
      <c r="G7" s="271" t="s">
        <v>63</v>
      </c>
      <c r="H7" s="269"/>
      <c r="I7" s="270" t="s">
        <v>63</v>
      </c>
      <c r="J7" s="271" t="s">
        <v>63</v>
      </c>
      <c r="K7" s="269"/>
      <c r="L7" s="270" t="s">
        <v>63</v>
      </c>
      <c r="M7" s="271" t="s">
        <v>63</v>
      </c>
      <c r="N7" s="269"/>
      <c r="O7" s="132"/>
    </row>
    <row r="8" spans="2:19" x14ac:dyDescent="0.2">
      <c r="B8" s="272"/>
      <c r="C8" s="273" t="s">
        <v>99</v>
      </c>
      <c r="D8" s="274" t="s">
        <v>99</v>
      </c>
      <c r="E8" s="275" t="s">
        <v>99</v>
      </c>
      <c r="F8" s="273" t="s">
        <v>99</v>
      </c>
      <c r="G8" s="274" t="s">
        <v>99</v>
      </c>
      <c r="H8" s="275" t="s">
        <v>99</v>
      </c>
      <c r="I8" s="273" t="s">
        <v>99</v>
      </c>
      <c r="J8" s="274" t="s">
        <v>99</v>
      </c>
      <c r="K8" s="275" t="s">
        <v>99</v>
      </c>
      <c r="L8" s="273" t="s">
        <v>99</v>
      </c>
      <c r="M8" s="274" t="s">
        <v>99</v>
      </c>
      <c r="N8" s="275" t="s">
        <v>99</v>
      </c>
      <c r="O8" s="132"/>
    </row>
    <row r="9" spans="2:19" x14ac:dyDescent="0.2">
      <c r="C9" s="276" t="s">
        <v>19</v>
      </c>
      <c r="D9" s="277" t="s">
        <v>20</v>
      </c>
      <c r="E9" s="277" t="s">
        <v>21</v>
      </c>
      <c r="F9" s="278" t="s">
        <v>19</v>
      </c>
      <c r="G9" s="277" t="s">
        <v>20</v>
      </c>
      <c r="H9" s="277" t="s">
        <v>21</v>
      </c>
      <c r="I9" s="278" t="s">
        <v>19</v>
      </c>
      <c r="J9" s="277" t="s">
        <v>20</v>
      </c>
      <c r="K9" s="277" t="s">
        <v>21</v>
      </c>
      <c r="L9" s="278" t="s">
        <v>19</v>
      </c>
      <c r="M9" s="277" t="s">
        <v>20</v>
      </c>
      <c r="N9" s="277" t="s">
        <v>21</v>
      </c>
      <c r="O9" s="132"/>
    </row>
    <row r="10" spans="2:19" x14ac:dyDescent="0.2">
      <c r="C10" s="277"/>
      <c r="D10" s="277"/>
      <c r="E10" s="4" t="str">
        <f>C9&amp;" - "&amp;D9</f>
        <v>(a) - (b)</v>
      </c>
      <c r="F10" s="279"/>
      <c r="G10" s="277"/>
      <c r="H10" s="4" t="str">
        <f>F9&amp;" - "&amp;G9</f>
        <v>(a) - (b)</v>
      </c>
      <c r="I10" s="279"/>
      <c r="J10" s="277"/>
      <c r="K10" s="4" t="str">
        <f>I9&amp;" - "&amp;J9</f>
        <v>(a) - (b)</v>
      </c>
      <c r="L10" s="279"/>
      <c r="M10" s="277"/>
      <c r="N10" s="4" t="str">
        <f>L9&amp;" - "&amp;M9</f>
        <v>(a) - (b)</v>
      </c>
      <c r="O10" s="132"/>
    </row>
    <row r="11" spans="2:19" x14ac:dyDescent="0.2">
      <c r="C11" s="277"/>
      <c r="D11" s="277"/>
      <c r="E11" s="4"/>
      <c r="F11" s="279"/>
      <c r="G11" s="277"/>
      <c r="H11" s="4"/>
      <c r="I11" s="279"/>
      <c r="J11" s="277"/>
      <c r="K11" s="4"/>
      <c r="L11" s="279"/>
      <c r="M11" s="277"/>
      <c r="N11" s="4"/>
      <c r="O11" s="132"/>
    </row>
    <row r="12" spans="2:19" x14ac:dyDescent="0.2">
      <c r="B12" s="280">
        <f>'Tables 3 to 5'!B13</f>
        <v>2016</v>
      </c>
      <c r="C12" s="281">
        <f>($D$45*INDEX('Tariff Page'!$D$9:$D$32,MATCH($B12,'Tariff Page'!$B$9:$B$32,0))+$D$46*INDEX('Tariff Page'!$C$9:$C$32,MATCH($B12,'Tariff Page'!$B$9:$B$32,0))+$D$47*INDEX('Tariff Page'!$F$9:$F$32,MATCH($B12,'Tariff Page'!$B$9:$B$32,0))+$D$48*INDEX('Tariff Page'!$E$9:$E$32,MATCH($B12,'Tariff Page'!$B$9:$B$32,0)))*10</f>
        <v>18.783095890410962</v>
      </c>
      <c r="D12" s="281">
        <v>18.783095890410962</v>
      </c>
      <c r="E12" s="282">
        <f>C12-D12</f>
        <v>0</v>
      </c>
      <c r="F12" s="283">
        <f>($H$45*INDEX('Tariff Page Wind'!$D$9:$D$32,MATCH($B12,'Tariff Page Wind'!$B$9:$B$32,0))+$H$46*INDEX('Tariff Page Wind'!$C$9:$C$32,MATCH($B12,'Tariff Page Wind'!$B$9:$B$32,0))+$H$47*INDEX('Tariff Page Wind'!$F$9:$F$32,MATCH($B12,'Tariff Page Wind'!$B$9:$B$32,0))+$H$48*INDEX('Tariff Page Wind'!$E$9:$E$32,MATCH($B12,'Tariff Page Wind'!$B$9:$B$32,0)))*10</f>
        <v>18.167503309159525</v>
      </c>
      <c r="G12" s="281">
        <v>18.167503309159525</v>
      </c>
      <c r="H12" s="282">
        <f>F12-G12</f>
        <v>0</v>
      </c>
      <c r="I12" s="283">
        <f>($K$45*INDEX('Tariff Page Solar Fixed'!$D$9:$D$32,MATCH($B12,'Tariff Page Solar Fixed'!$B$9:$B$32,0))+$K$46*INDEX('Tariff Page Solar Fixed'!$C$9:$C$32,MATCH($B12,'Tariff Page Solar Fixed'!$B$9:$B$32,0))+$K$47*INDEX('Tariff Page Solar Fixed'!$F$9:$F$32,MATCH($B12,'Tariff Page Solar Fixed'!$B$9:$B$32,0))+$K$48*INDEX('Tariff Page Solar Fixed'!$E$9:$E$32,MATCH($B12,'Tariff Page Solar Fixed'!$B$9:$B$32,0)))*10</f>
        <v>19.581780857230569</v>
      </c>
      <c r="J12" s="281">
        <v>19.581780857230569</v>
      </c>
      <c r="K12" s="282">
        <f>I12-J12</f>
        <v>0</v>
      </c>
      <c r="L12" s="283">
        <f>($N$45*INDEX('Tariff Page Solar Tracking'!$D$9:$D$32,MATCH($B12,'Tariff Page Solar Tracking'!$B$9:$B$32,0))+$N$46*INDEX('Tariff Page Solar Tracking'!$C$9:$C$32,MATCH($B12,'Tariff Page Solar Tracking'!$B$9:$B$32,0))+$N$47*INDEX('Tariff Page Solar Tracking'!$F$9:$F$32,MATCH($B12,'Tariff Page Solar Tracking'!$B$9:$B$32,0))+$N$48*INDEX('Tariff Page Solar Tracking'!$E$9:$E$32,MATCH($B12,'Tariff Page Solar Tracking'!$B$9:$B$32,0)))*10</f>
        <v>19.634902027547273</v>
      </c>
      <c r="M12" s="281">
        <v>19.634902027547273</v>
      </c>
      <c r="N12" s="282">
        <f>L12-M12</f>
        <v>0</v>
      </c>
      <c r="O12" s="132"/>
      <c r="Q12" s="263"/>
      <c r="R12" s="263"/>
    </row>
    <row r="13" spans="2:19" s="132" customFormat="1" x14ac:dyDescent="0.2">
      <c r="B13" s="280">
        <f>B12+1</f>
        <v>2017</v>
      </c>
      <c r="C13" s="281">
        <f>($D$45*INDEX('Tariff Page'!$D$9:$D$32,MATCH($B13,'Tariff Page'!$B$9:$B$32,0))+$D$46*INDEX('Tariff Page'!$C$9:$C$32,MATCH($B13,'Tariff Page'!$B$9:$B$32,0))+$D$47*INDEX('Tariff Page'!$F$9:$F$32,MATCH($B13,'Tariff Page'!$B$9:$B$32,0))+$D$48*INDEX('Tariff Page'!$E$9:$E$32,MATCH($B13,'Tariff Page'!$B$9:$B$32,0)))*10</f>
        <v>19.725296803652967</v>
      </c>
      <c r="D13" s="281">
        <v>19.725296803652967</v>
      </c>
      <c r="E13" s="282">
        <f t="shared" ref="E13:E29" si="0">C13-D13</f>
        <v>0</v>
      </c>
      <c r="F13" s="283">
        <f>($H$45*INDEX('Tariff Page Wind'!$D$9:$D$32,MATCH($B13,'Tariff Page Wind'!$B$9:$B$32,0))+$H$46*INDEX('Tariff Page Wind'!$C$9:$C$32,MATCH($B13,'Tariff Page Wind'!$B$9:$B$32,0))+$H$47*INDEX('Tariff Page Wind'!$F$9:$F$32,MATCH($B13,'Tariff Page Wind'!$B$9:$B$32,0))+$H$48*INDEX('Tariff Page Wind'!$E$9:$E$32,MATCH($B13,'Tariff Page Wind'!$B$9:$B$32,0)))*10</f>
        <v>19.179943318865426</v>
      </c>
      <c r="G13" s="281">
        <v>19.179943318865426</v>
      </c>
      <c r="H13" s="282">
        <f t="shared" ref="H13:H29" si="1">F13-G13</f>
        <v>0</v>
      </c>
      <c r="I13" s="283">
        <f>($K$45*INDEX('Tariff Page Solar Fixed'!$D$9:$D$32,MATCH($B13,'Tariff Page Solar Fixed'!$B$9:$B$32,0))+$K$46*INDEX('Tariff Page Solar Fixed'!$C$9:$C$32,MATCH($B13,'Tariff Page Solar Fixed'!$B$9:$B$32,0))+$K$47*INDEX('Tariff Page Solar Fixed'!$F$9:$F$32,MATCH($B13,'Tariff Page Solar Fixed'!$B$9:$B$32,0))+$K$48*INDEX('Tariff Page Solar Fixed'!$E$9:$E$32,MATCH($B13,'Tariff Page Solar Fixed'!$B$9:$B$32,0)))*10</f>
        <v>20.259853117986676</v>
      </c>
      <c r="J13" s="281">
        <v>20.259853117986676</v>
      </c>
      <c r="K13" s="282">
        <f t="shared" ref="K13:K29" si="2">I13-J13</f>
        <v>0</v>
      </c>
      <c r="L13" s="283">
        <f>($N$45*INDEX('Tariff Page Solar Tracking'!$D$9:$D$32,MATCH($B13,'Tariff Page Solar Tracking'!$B$9:$B$32,0))+$N$46*INDEX('Tariff Page Solar Tracking'!$C$9:$C$32,MATCH($B13,'Tariff Page Solar Tracking'!$B$9:$B$32,0))+$N$47*INDEX('Tariff Page Solar Tracking'!$F$9:$F$32,MATCH($B13,'Tariff Page Solar Tracking'!$B$9:$B$32,0))+$N$48*INDEX('Tariff Page Solar Tracking'!$E$9:$E$32,MATCH($B13,'Tariff Page Solar Tracking'!$B$9:$B$32,0)))*10</f>
        <v>20.232850395309928</v>
      </c>
      <c r="M13" s="281">
        <v>20.232850395309928</v>
      </c>
      <c r="N13" s="282">
        <f t="shared" ref="N13:N29" si="3">L13-M13</f>
        <v>0</v>
      </c>
      <c r="S13" s="284"/>
    </row>
    <row r="14" spans="2:19" x14ac:dyDescent="0.2">
      <c r="B14" s="280">
        <f t="shared" ref="B14:B29" si="4">B13+1</f>
        <v>2018</v>
      </c>
      <c r="C14" s="281">
        <f>($D$45*INDEX('Tariff Page'!$D$9:$D$32,MATCH($B14,'Tariff Page'!$B$9:$B$32,0))+$D$46*INDEX('Tariff Page'!$C$9:$C$32,MATCH($B14,'Tariff Page'!$B$9:$B$32,0))+$D$47*INDEX('Tariff Page'!$F$9:$F$32,MATCH($B14,'Tariff Page'!$B$9:$B$32,0))+$D$48*INDEX('Tariff Page'!$E$9:$E$32,MATCH($B14,'Tariff Page'!$B$9:$B$32,0)))*10</f>
        <v>19.58999086757991</v>
      </c>
      <c r="D14" s="281">
        <v>19.58999086757991</v>
      </c>
      <c r="E14" s="282">
        <f t="shared" si="0"/>
        <v>0</v>
      </c>
      <c r="F14" s="283">
        <f>($H$45*INDEX('Tariff Page Wind'!$D$9:$D$32,MATCH($B14,'Tariff Page Wind'!$B$9:$B$32,0))+$H$46*INDEX('Tariff Page Wind'!$C$9:$C$32,MATCH($B14,'Tariff Page Wind'!$B$9:$B$32,0))+$H$47*INDEX('Tariff Page Wind'!$F$9:$F$32,MATCH($B14,'Tariff Page Wind'!$B$9:$B$32,0))+$H$48*INDEX('Tariff Page Wind'!$E$9:$E$32,MATCH($B14,'Tariff Page Wind'!$B$9:$B$32,0)))*10</f>
        <v>18.967771937706395</v>
      </c>
      <c r="G14" s="281">
        <v>18.967771937706395</v>
      </c>
      <c r="H14" s="282">
        <f t="shared" si="1"/>
        <v>0</v>
      </c>
      <c r="I14" s="283">
        <f>($K$45*INDEX('Tariff Page Solar Fixed'!$D$9:$D$32,MATCH($B14,'Tariff Page Solar Fixed'!$B$9:$B$32,0))+$K$46*INDEX('Tariff Page Solar Fixed'!$C$9:$C$32,MATCH($B14,'Tariff Page Solar Fixed'!$B$9:$B$32,0))+$K$47*INDEX('Tariff Page Solar Fixed'!$F$9:$F$32,MATCH($B14,'Tariff Page Solar Fixed'!$B$9:$B$32,0))+$K$48*INDEX('Tariff Page Solar Fixed'!$E$9:$E$32,MATCH($B14,'Tariff Page Solar Fixed'!$B$9:$B$32,0)))*10</f>
        <v>20.245532113218058</v>
      </c>
      <c r="J14" s="281">
        <v>20.245532113218058</v>
      </c>
      <c r="K14" s="282">
        <f t="shared" si="2"/>
        <v>0</v>
      </c>
      <c r="L14" s="283">
        <f>($N$45*INDEX('Tariff Page Solar Tracking'!$D$9:$D$32,MATCH($B14,'Tariff Page Solar Tracking'!$B$9:$B$32,0))+$N$46*INDEX('Tariff Page Solar Tracking'!$C$9:$C$32,MATCH($B14,'Tariff Page Solar Tracking'!$B$9:$B$32,0))+$N$47*INDEX('Tariff Page Solar Tracking'!$F$9:$F$32,MATCH($B14,'Tariff Page Solar Tracking'!$B$9:$B$32,0))+$N$48*INDEX('Tariff Page Solar Tracking'!$E$9:$E$32,MATCH($B14,'Tariff Page Solar Tracking'!$B$9:$B$32,0)))*10</f>
        <v>20.301261459101685</v>
      </c>
      <c r="M14" s="281">
        <v>20.301261459101685</v>
      </c>
      <c r="N14" s="282">
        <f t="shared" si="3"/>
        <v>0</v>
      </c>
      <c r="S14" s="263"/>
    </row>
    <row r="15" spans="2:19" x14ac:dyDescent="0.2">
      <c r="B15" s="280">
        <f t="shared" si="4"/>
        <v>2019</v>
      </c>
      <c r="C15" s="281">
        <f>($D$45*INDEX('Tariff Page'!$D$9:$D$32,MATCH($B15,'Tariff Page'!$B$9:$B$32,0))+$D$46*INDEX('Tariff Page'!$C$9:$C$32,MATCH($B15,'Tariff Page'!$B$9:$B$32,0))+$D$47*INDEX('Tariff Page'!$F$9:$F$32,MATCH($B15,'Tariff Page'!$B$9:$B$32,0))+$D$48*INDEX('Tariff Page'!$E$9:$E$32,MATCH($B15,'Tariff Page'!$B$9:$B$32,0)))*10</f>
        <v>18.483844748858449</v>
      </c>
      <c r="D15" s="281">
        <v>18.483844748858449</v>
      </c>
      <c r="E15" s="282">
        <f t="shared" si="0"/>
        <v>0</v>
      </c>
      <c r="F15" s="283">
        <f>($H$45*INDEX('Tariff Page Wind'!$D$9:$D$32,MATCH($B15,'Tariff Page Wind'!$B$9:$B$32,0))+$H$46*INDEX('Tariff Page Wind'!$C$9:$C$32,MATCH($B15,'Tariff Page Wind'!$B$9:$B$32,0))+$H$47*INDEX('Tariff Page Wind'!$F$9:$F$32,MATCH($B15,'Tariff Page Wind'!$B$9:$B$32,0))+$H$48*INDEX('Tariff Page Wind'!$E$9:$E$32,MATCH($B15,'Tariff Page Wind'!$B$9:$B$32,0)))*10</f>
        <v>17.819390063193111</v>
      </c>
      <c r="G15" s="281">
        <v>17.819390063193111</v>
      </c>
      <c r="H15" s="282">
        <f t="shared" si="1"/>
        <v>0</v>
      </c>
      <c r="I15" s="283">
        <f>($K$45*INDEX('Tariff Page Solar Fixed'!$D$9:$D$32,MATCH($B15,'Tariff Page Solar Fixed'!$B$9:$B$32,0))+$K$46*INDEX('Tariff Page Solar Fixed'!$C$9:$C$32,MATCH($B15,'Tariff Page Solar Fixed'!$B$9:$B$32,0))+$K$47*INDEX('Tariff Page Solar Fixed'!$F$9:$F$32,MATCH($B15,'Tariff Page Solar Fixed'!$B$9:$B$32,0))+$K$48*INDEX('Tariff Page Solar Fixed'!$E$9:$E$32,MATCH($B15,'Tariff Page Solar Fixed'!$B$9:$B$32,0)))*10</f>
        <v>19.481081302594891</v>
      </c>
      <c r="J15" s="281">
        <v>19.481081302594891</v>
      </c>
      <c r="K15" s="282">
        <f t="shared" si="2"/>
        <v>0</v>
      </c>
      <c r="L15" s="283">
        <f>($N$45*INDEX('Tariff Page Solar Tracking'!$D$9:$D$32,MATCH($B15,'Tariff Page Solar Tracking'!$B$9:$B$32,0))+$N$46*INDEX('Tariff Page Solar Tracking'!$C$9:$C$32,MATCH($B15,'Tariff Page Solar Tracking'!$B$9:$B$32,0))+$N$47*INDEX('Tariff Page Solar Tracking'!$F$9:$F$32,MATCH($B15,'Tariff Page Solar Tracking'!$B$9:$B$32,0))+$N$48*INDEX('Tariff Page Solar Tracking'!$E$9:$E$32,MATCH($B15,'Tariff Page Solar Tracking'!$B$9:$B$32,0)))*10</f>
        <v>19.561443196923705</v>
      </c>
      <c r="M15" s="281">
        <v>19.561443196923705</v>
      </c>
      <c r="N15" s="282">
        <f t="shared" si="3"/>
        <v>0</v>
      </c>
      <c r="S15" s="263"/>
    </row>
    <row r="16" spans="2:19" x14ac:dyDescent="0.2">
      <c r="B16" s="280">
        <f t="shared" si="4"/>
        <v>2020</v>
      </c>
      <c r="C16" s="281">
        <f>($D$45*INDEX('Tariff Page'!$D$9:$D$32,MATCH($B16,'Tariff Page'!$B$9:$B$32,0))+$D$46*INDEX('Tariff Page'!$C$9:$C$32,MATCH($B16,'Tariff Page'!$B$9:$B$32,0))+$D$47*INDEX('Tariff Page'!$F$9:$F$32,MATCH($B16,'Tariff Page'!$B$9:$B$32,0))+$D$48*INDEX('Tariff Page'!$E$9:$E$32,MATCH($B16,'Tariff Page'!$B$9:$B$32,0)))*10</f>
        <v>18.778776255707761</v>
      </c>
      <c r="D16" s="281">
        <v>18.778776255707761</v>
      </c>
      <c r="E16" s="282">
        <f t="shared" si="0"/>
        <v>0</v>
      </c>
      <c r="F16" s="283">
        <f>($H$45*INDEX('Tariff Page Wind'!$D$9:$D$32,MATCH($B16,'Tariff Page Wind'!$B$9:$B$32,0))+$H$46*INDEX('Tariff Page Wind'!$C$9:$C$32,MATCH($B16,'Tariff Page Wind'!$B$9:$B$32,0))+$H$47*INDEX('Tariff Page Wind'!$F$9:$F$32,MATCH($B16,'Tariff Page Wind'!$B$9:$B$32,0))+$H$48*INDEX('Tariff Page Wind'!$E$9:$E$32,MATCH($B16,'Tariff Page Wind'!$B$9:$B$32,0)))*10</f>
        <v>18.166134838981613</v>
      </c>
      <c r="G16" s="281">
        <v>18.166134838981613</v>
      </c>
      <c r="H16" s="282">
        <f t="shared" si="1"/>
        <v>0</v>
      </c>
      <c r="I16" s="283">
        <f>($K$45*INDEX('Tariff Page Solar Fixed'!$D$9:$D$32,MATCH($B16,'Tariff Page Solar Fixed'!$B$9:$B$32,0))+$K$46*INDEX('Tariff Page Solar Fixed'!$C$9:$C$32,MATCH($B16,'Tariff Page Solar Fixed'!$B$9:$B$32,0))+$K$47*INDEX('Tariff Page Solar Fixed'!$F$9:$F$32,MATCH($B16,'Tariff Page Solar Fixed'!$B$9:$B$32,0))+$K$48*INDEX('Tariff Page Solar Fixed'!$E$9:$E$32,MATCH($B16,'Tariff Page Solar Fixed'!$B$9:$B$32,0)))*10</f>
        <v>19.851773997943663</v>
      </c>
      <c r="J16" s="281">
        <v>19.851773997943663</v>
      </c>
      <c r="K16" s="282">
        <f t="shared" si="2"/>
        <v>0</v>
      </c>
      <c r="L16" s="283">
        <f>($N$45*INDEX('Tariff Page Solar Tracking'!$D$9:$D$32,MATCH($B16,'Tariff Page Solar Tracking'!$B$9:$B$32,0))+$N$46*INDEX('Tariff Page Solar Tracking'!$C$9:$C$32,MATCH($B16,'Tariff Page Solar Tracking'!$B$9:$B$32,0))+$N$47*INDEX('Tariff Page Solar Tracking'!$F$9:$F$32,MATCH($B16,'Tariff Page Solar Tracking'!$B$9:$B$32,0))+$N$48*INDEX('Tariff Page Solar Tracking'!$E$9:$E$32,MATCH($B16,'Tariff Page Solar Tracking'!$B$9:$B$32,0)))*10</f>
        <v>19.901403484001086</v>
      </c>
      <c r="M16" s="281">
        <v>19.901403484001086</v>
      </c>
      <c r="N16" s="282">
        <f t="shared" si="3"/>
        <v>0</v>
      </c>
      <c r="S16" s="263"/>
    </row>
    <row r="17" spans="2:19" x14ac:dyDescent="0.2">
      <c r="B17" s="280">
        <f t="shared" si="4"/>
        <v>2021</v>
      </c>
      <c r="C17" s="281">
        <f>($D$45*INDEX('Tariff Page'!$D$9:$D$32,MATCH($B17,'Tariff Page'!$B$9:$B$32,0))+$D$46*INDEX('Tariff Page'!$C$9:$C$32,MATCH($B17,'Tariff Page'!$B$9:$B$32,0))+$D$47*INDEX('Tariff Page'!$F$9:$F$32,MATCH($B17,'Tariff Page'!$B$9:$B$32,0))+$D$48*INDEX('Tariff Page'!$E$9:$E$32,MATCH($B17,'Tariff Page'!$B$9:$B$32,0)))*10</f>
        <v>20.423214611872144</v>
      </c>
      <c r="D17" s="281">
        <v>20.423214611872144</v>
      </c>
      <c r="E17" s="282">
        <f t="shared" si="0"/>
        <v>0</v>
      </c>
      <c r="F17" s="283">
        <f>($H$45*INDEX('Tariff Page Wind'!$D$9:$D$32,MATCH($B17,'Tariff Page Wind'!$B$9:$B$32,0))+$H$46*INDEX('Tariff Page Wind'!$C$9:$C$32,MATCH($B17,'Tariff Page Wind'!$B$9:$B$32,0))+$H$47*INDEX('Tariff Page Wind'!$F$9:$F$32,MATCH($B17,'Tariff Page Wind'!$B$9:$B$32,0))+$H$48*INDEX('Tariff Page Wind'!$E$9:$E$32,MATCH($B17,'Tariff Page Wind'!$B$9:$B$32,0)))*10</f>
        <v>19.787180688914511</v>
      </c>
      <c r="G17" s="281">
        <v>19.787180688914511</v>
      </c>
      <c r="H17" s="282">
        <f t="shared" si="1"/>
        <v>0</v>
      </c>
      <c r="I17" s="283">
        <f>($K$45*INDEX('Tariff Page Solar Fixed'!$D$9:$D$32,MATCH($B17,'Tariff Page Solar Fixed'!$B$9:$B$32,0))+$K$46*INDEX('Tariff Page Solar Fixed'!$C$9:$C$32,MATCH($B17,'Tariff Page Solar Fixed'!$B$9:$B$32,0))+$K$47*INDEX('Tariff Page Solar Fixed'!$F$9:$F$32,MATCH($B17,'Tariff Page Solar Fixed'!$B$9:$B$32,0))+$K$48*INDEX('Tariff Page Solar Fixed'!$E$9:$E$32,MATCH($B17,'Tariff Page Solar Fixed'!$B$9:$B$32,0)))*10</f>
        <v>21.494259694141036</v>
      </c>
      <c r="J17" s="281">
        <v>21.494259694141036</v>
      </c>
      <c r="K17" s="282">
        <f t="shared" si="2"/>
        <v>0</v>
      </c>
      <c r="L17" s="283">
        <f>($N$45*INDEX('Tariff Page Solar Tracking'!$D$9:$D$32,MATCH($B17,'Tariff Page Solar Tracking'!$B$9:$B$32,0))+$N$46*INDEX('Tariff Page Solar Tracking'!$C$9:$C$32,MATCH($B17,'Tariff Page Solar Tracking'!$B$9:$B$32,0))+$N$47*INDEX('Tariff Page Solar Tracking'!$F$9:$F$32,MATCH($B17,'Tariff Page Solar Tracking'!$B$9:$B$32,0))+$N$48*INDEX('Tariff Page Solar Tracking'!$E$9:$E$32,MATCH($B17,'Tariff Page Solar Tracking'!$B$9:$B$32,0)))*10</f>
        <v>21.562520752833379</v>
      </c>
      <c r="M17" s="281">
        <v>21.562520752833379</v>
      </c>
      <c r="N17" s="282">
        <f t="shared" si="3"/>
        <v>0</v>
      </c>
      <c r="S17" s="263"/>
    </row>
    <row r="18" spans="2:19" x14ac:dyDescent="0.2">
      <c r="B18" s="280">
        <f t="shared" si="4"/>
        <v>2022</v>
      </c>
      <c r="C18" s="281">
        <f>($D$45*INDEX('Tariff Page'!$D$9:$D$32,MATCH($B18,'Tariff Page'!$B$9:$B$32,0))+$D$46*INDEX('Tariff Page'!$C$9:$C$32,MATCH($B18,'Tariff Page'!$B$9:$B$32,0))+$D$47*INDEX('Tariff Page'!$F$9:$F$32,MATCH($B18,'Tariff Page'!$B$9:$B$32,0))+$D$48*INDEX('Tariff Page'!$E$9:$E$32,MATCH($B18,'Tariff Page'!$B$9:$B$32,0)))*10</f>
        <v>21.864511415525115</v>
      </c>
      <c r="D18" s="281">
        <v>21.864511415525115</v>
      </c>
      <c r="E18" s="282">
        <f t="shared" si="0"/>
        <v>0</v>
      </c>
      <c r="F18" s="283">
        <f>($H$45*INDEX('Tariff Page Wind'!$D$9:$D$32,MATCH($B18,'Tariff Page Wind'!$B$9:$B$32,0))+$H$46*INDEX('Tariff Page Wind'!$C$9:$C$32,MATCH($B18,'Tariff Page Wind'!$B$9:$B$32,0))+$H$47*INDEX('Tariff Page Wind'!$F$9:$F$32,MATCH($B18,'Tariff Page Wind'!$B$9:$B$32,0))+$H$48*INDEX('Tariff Page Wind'!$E$9:$E$32,MATCH($B18,'Tariff Page Wind'!$B$9:$B$32,0)))*10</f>
        <v>21.180186353802863</v>
      </c>
      <c r="G18" s="281">
        <v>21.180186353802863</v>
      </c>
      <c r="H18" s="282">
        <f t="shared" si="1"/>
        <v>0</v>
      </c>
      <c r="I18" s="283">
        <f>($K$45*INDEX('Tariff Page Solar Fixed'!$D$9:$D$32,MATCH($B18,'Tariff Page Solar Fixed'!$B$9:$B$32,0))+$K$46*INDEX('Tariff Page Solar Fixed'!$C$9:$C$32,MATCH($B18,'Tariff Page Solar Fixed'!$B$9:$B$32,0))+$K$47*INDEX('Tariff Page Solar Fixed'!$F$9:$F$32,MATCH($B18,'Tariff Page Solar Fixed'!$B$9:$B$32,0))+$K$48*INDEX('Tariff Page Solar Fixed'!$E$9:$E$32,MATCH($B18,'Tariff Page Solar Fixed'!$B$9:$B$32,0)))*10</f>
        <v>22.858464386659378</v>
      </c>
      <c r="J18" s="281">
        <v>22.858464386659378</v>
      </c>
      <c r="K18" s="282">
        <f t="shared" si="2"/>
        <v>0</v>
      </c>
      <c r="L18" s="283">
        <f>($N$45*INDEX('Tariff Page Solar Tracking'!$D$9:$D$32,MATCH($B18,'Tariff Page Solar Tracking'!$B$9:$B$32,0))+$N$46*INDEX('Tariff Page Solar Tracking'!$C$9:$C$32,MATCH($B18,'Tariff Page Solar Tracking'!$B$9:$B$32,0))+$N$47*INDEX('Tariff Page Solar Tracking'!$F$9:$F$32,MATCH($B18,'Tariff Page Solar Tracking'!$B$9:$B$32,0))+$N$48*INDEX('Tariff Page Solar Tracking'!$E$9:$E$32,MATCH($B18,'Tariff Page Solar Tracking'!$B$9:$B$32,0)))*10</f>
        <v>22.961071205825721</v>
      </c>
      <c r="M18" s="281">
        <v>22.961071205825721</v>
      </c>
      <c r="N18" s="282">
        <f t="shared" si="3"/>
        <v>0</v>
      </c>
      <c r="S18" s="263"/>
    </row>
    <row r="19" spans="2:19" x14ac:dyDescent="0.2">
      <c r="B19" s="280">
        <f t="shared" si="4"/>
        <v>2023</v>
      </c>
      <c r="C19" s="281">
        <f>($D$45*INDEX('Tariff Page'!$D$9:$D$32,MATCH($B19,'Tariff Page'!$B$9:$B$32,0))+$D$46*INDEX('Tariff Page'!$C$9:$C$32,MATCH($B19,'Tariff Page'!$B$9:$B$32,0))+$D$47*INDEX('Tariff Page'!$F$9:$F$32,MATCH($B19,'Tariff Page'!$B$9:$B$32,0))+$D$48*INDEX('Tariff Page'!$E$9:$E$32,MATCH($B19,'Tariff Page'!$B$9:$B$32,0)))*10</f>
        <v>24.971488584474884</v>
      </c>
      <c r="D19" s="281">
        <v>24.971488584474884</v>
      </c>
      <c r="E19" s="282">
        <f t="shared" si="0"/>
        <v>0</v>
      </c>
      <c r="F19" s="283">
        <f>($H$45*INDEX('Tariff Page Wind'!$D$9:$D$32,MATCH($B19,'Tariff Page Wind'!$B$9:$B$32,0))+$H$46*INDEX('Tariff Page Wind'!$C$9:$C$32,MATCH($B19,'Tariff Page Wind'!$B$9:$B$32,0))+$H$47*INDEX('Tariff Page Wind'!$F$9:$F$32,MATCH($B19,'Tariff Page Wind'!$B$9:$B$32,0))+$H$48*INDEX('Tariff Page Wind'!$E$9:$E$32,MATCH($B19,'Tariff Page Wind'!$B$9:$B$32,0)))*10</f>
        <v>24.277212199904575</v>
      </c>
      <c r="G19" s="281">
        <v>24.277212199904575</v>
      </c>
      <c r="H19" s="282">
        <f t="shared" si="1"/>
        <v>0</v>
      </c>
      <c r="I19" s="283">
        <f>($K$45*INDEX('Tariff Page Solar Fixed'!$D$9:$D$32,MATCH($B19,'Tariff Page Solar Fixed'!$B$9:$B$32,0))+$K$46*INDEX('Tariff Page Solar Fixed'!$C$9:$C$32,MATCH($B19,'Tariff Page Solar Fixed'!$B$9:$B$32,0))+$K$47*INDEX('Tariff Page Solar Fixed'!$F$9:$F$32,MATCH($B19,'Tariff Page Solar Fixed'!$B$9:$B$32,0))+$K$48*INDEX('Tariff Page Solar Fixed'!$E$9:$E$32,MATCH($B19,'Tariff Page Solar Fixed'!$B$9:$B$32,0)))*10</f>
        <v>25.806880586506207</v>
      </c>
      <c r="J19" s="281">
        <v>25.806880586506207</v>
      </c>
      <c r="K19" s="282">
        <f t="shared" si="2"/>
        <v>0</v>
      </c>
      <c r="L19" s="283">
        <f>($N$45*INDEX('Tariff Page Solar Tracking'!$D$9:$D$32,MATCH($B19,'Tariff Page Solar Tracking'!$B$9:$B$32,0))+$N$46*INDEX('Tariff Page Solar Tracking'!$C$9:$C$32,MATCH($B19,'Tariff Page Solar Tracking'!$B$9:$B$32,0))+$N$47*INDEX('Tariff Page Solar Tracking'!$F$9:$F$32,MATCH($B19,'Tariff Page Solar Tracking'!$B$9:$B$32,0))+$N$48*INDEX('Tariff Page Solar Tracking'!$E$9:$E$32,MATCH($B19,'Tariff Page Solar Tracking'!$B$9:$B$32,0)))*10</f>
        <v>25.898586097075253</v>
      </c>
      <c r="M19" s="281">
        <v>25.898586097075253</v>
      </c>
      <c r="N19" s="282">
        <f t="shared" si="3"/>
        <v>0</v>
      </c>
      <c r="S19" s="263"/>
    </row>
    <row r="20" spans="2:19" x14ac:dyDescent="0.2">
      <c r="B20" s="280">
        <f t="shared" si="4"/>
        <v>2024</v>
      </c>
      <c r="C20" s="281">
        <f>($D$45*INDEX('Tariff Page'!$D$9:$D$32,MATCH($B20,'Tariff Page'!$B$9:$B$32,0))+$D$46*INDEX('Tariff Page'!$C$9:$C$32,MATCH($B20,'Tariff Page'!$B$9:$B$32,0))+$D$47*INDEX('Tariff Page'!$F$9:$F$32,MATCH($B20,'Tariff Page'!$B$9:$B$32,0))+$D$48*INDEX('Tariff Page'!$E$9:$E$32,MATCH($B20,'Tariff Page'!$B$9:$B$32,0)))*10</f>
        <v>27.419424657534247</v>
      </c>
      <c r="D20" s="281">
        <v>27.419424657534247</v>
      </c>
      <c r="E20" s="282">
        <f t="shared" si="0"/>
        <v>0</v>
      </c>
      <c r="F20" s="283">
        <f>($H$45*INDEX('Tariff Page Wind'!$D$9:$D$32,MATCH($B20,'Tariff Page Wind'!$B$9:$B$32,0))+$H$46*INDEX('Tariff Page Wind'!$C$9:$C$32,MATCH($B20,'Tariff Page Wind'!$B$9:$B$32,0))+$H$47*INDEX('Tariff Page Wind'!$F$9:$F$32,MATCH($B20,'Tariff Page Wind'!$B$9:$B$32,0))+$H$48*INDEX('Tariff Page Wind'!$E$9:$E$32,MATCH($B20,'Tariff Page Wind'!$B$9:$B$32,0)))*10</f>
        <v>26.63998111089402</v>
      </c>
      <c r="G20" s="281">
        <v>26.63998111089402</v>
      </c>
      <c r="H20" s="282">
        <f t="shared" si="1"/>
        <v>0</v>
      </c>
      <c r="I20" s="283">
        <f>($K$45*INDEX('Tariff Page Solar Fixed'!$D$9:$D$32,MATCH($B20,'Tariff Page Solar Fixed'!$B$9:$B$32,0))+$K$46*INDEX('Tariff Page Solar Fixed'!$C$9:$C$32,MATCH($B20,'Tariff Page Solar Fixed'!$B$9:$B$32,0))+$K$47*INDEX('Tariff Page Solar Fixed'!$F$9:$F$32,MATCH($B20,'Tariff Page Solar Fixed'!$B$9:$B$32,0))+$K$48*INDEX('Tariff Page Solar Fixed'!$E$9:$E$32,MATCH($B20,'Tariff Page Solar Fixed'!$B$9:$B$32,0)))*10</f>
        <v>28.24513715976336</v>
      </c>
      <c r="J20" s="281">
        <v>28.24513715976336</v>
      </c>
      <c r="K20" s="282">
        <f t="shared" si="2"/>
        <v>0</v>
      </c>
      <c r="L20" s="283">
        <f>($N$45*INDEX('Tariff Page Solar Tracking'!$D$9:$D$32,MATCH($B20,'Tariff Page Solar Tracking'!$B$9:$B$32,0))+$N$46*INDEX('Tariff Page Solar Tracking'!$C$9:$C$32,MATCH($B20,'Tariff Page Solar Tracking'!$B$9:$B$32,0))+$N$47*INDEX('Tariff Page Solar Tracking'!$F$9:$F$32,MATCH($B20,'Tariff Page Solar Tracking'!$B$9:$B$32,0))+$N$48*INDEX('Tariff Page Solar Tracking'!$E$9:$E$32,MATCH($B20,'Tariff Page Solar Tracking'!$B$9:$B$32,0)))*10</f>
        <v>28.395690487255273</v>
      </c>
      <c r="M20" s="281">
        <v>28.395690487255273</v>
      </c>
      <c r="N20" s="282">
        <f t="shared" si="3"/>
        <v>0</v>
      </c>
      <c r="S20" s="263"/>
    </row>
    <row r="21" spans="2:19" x14ac:dyDescent="0.2">
      <c r="B21" s="280">
        <f t="shared" si="4"/>
        <v>2025</v>
      </c>
      <c r="C21" s="281">
        <f>($D$45*INDEX('Tariff Page'!$D$9:$D$32,MATCH($B21,'Tariff Page'!$B$9:$B$32,0))+$D$46*INDEX('Tariff Page'!$C$9:$C$32,MATCH($B21,'Tariff Page'!$B$9:$B$32,0))+$D$47*INDEX('Tariff Page'!$F$9:$F$32,MATCH($B21,'Tariff Page'!$B$9:$B$32,0))+$D$48*INDEX('Tariff Page'!$E$9:$E$32,MATCH($B21,'Tariff Page'!$B$9:$B$32,0)))*10</f>
        <v>30.442146118721464</v>
      </c>
      <c r="D21" s="281">
        <v>30.442146118721464</v>
      </c>
      <c r="E21" s="282">
        <f t="shared" si="0"/>
        <v>0</v>
      </c>
      <c r="F21" s="283">
        <f>($H$45*INDEX('Tariff Page Wind'!$D$9:$D$32,MATCH($B21,'Tariff Page Wind'!$B$9:$B$32,0))+$H$46*INDEX('Tariff Page Wind'!$C$9:$C$32,MATCH($B21,'Tariff Page Wind'!$B$9:$B$32,0))+$H$47*INDEX('Tariff Page Wind'!$F$9:$F$32,MATCH($B21,'Tariff Page Wind'!$B$9:$B$32,0))+$H$48*INDEX('Tariff Page Wind'!$E$9:$E$32,MATCH($B21,'Tariff Page Wind'!$B$9:$B$32,0)))*10</f>
        <v>29.834305336104563</v>
      </c>
      <c r="G21" s="281">
        <v>29.834305336104563</v>
      </c>
      <c r="H21" s="282">
        <f t="shared" si="1"/>
        <v>0</v>
      </c>
      <c r="I21" s="283">
        <f>($K$45*INDEX('Tariff Page Solar Fixed'!$D$9:$D$32,MATCH($B21,'Tariff Page Solar Fixed'!$B$9:$B$32,0))+$K$46*INDEX('Tariff Page Solar Fixed'!$C$9:$C$32,MATCH($B21,'Tariff Page Solar Fixed'!$B$9:$B$32,0))+$K$47*INDEX('Tariff Page Solar Fixed'!$F$9:$F$32,MATCH($B21,'Tariff Page Solar Fixed'!$B$9:$B$32,0))+$K$48*INDEX('Tariff Page Solar Fixed'!$E$9:$E$32,MATCH($B21,'Tariff Page Solar Fixed'!$B$9:$B$32,0)))*10</f>
        <v>31.06839836675233</v>
      </c>
      <c r="J21" s="281">
        <v>31.06839836675233</v>
      </c>
      <c r="K21" s="282">
        <f t="shared" si="2"/>
        <v>0</v>
      </c>
      <c r="L21" s="283">
        <f>($N$45*INDEX('Tariff Page Solar Tracking'!$D$9:$D$32,MATCH($B21,'Tariff Page Solar Tracking'!$B$9:$B$32,0))+$N$46*INDEX('Tariff Page Solar Tracking'!$C$9:$C$32,MATCH($B21,'Tariff Page Solar Tracking'!$B$9:$B$32,0))+$N$47*INDEX('Tariff Page Solar Tracking'!$F$9:$F$32,MATCH($B21,'Tariff Page Solar Tracking'!$B$9:$B$32,0))+$N$48*INDEX('Tariff Page Solar Tracking'!$E$9:$E$32,MATCH($B21,'Tariff Page Solar Tracking'!$B$9:$B$32,0)))*10</f>
        <v>31.039679235821566</v>
      </c>
      <c r="M21" s="281">
        <v>31.039679235821566</v>
      </c>
      <c r="N21" s="282">
        <f t="shared" si="3"/>
        <v>0</v>
      </c>
      <c r="S21" s="263"/>
    </row>
    <row r="22" spans="2:19" x14ac:dyDescent="0.2">
      <c r="B22" s="280">
        <f t="shared" si="4"/>
        <v>2026</v>
      </c>
      <c r="C22" s="281">
        <f>($D$45*INDEX('Tariff Page'!$D$9:$D$32,MATCH($B22,'Tariff Page'!$B$9:$B$32,0))+$D$46*INDEX('Tariff Page'!$C$9:$C$32,MATCH($B22,'Tariff Page'!$B$9:$B$32,0))+$D$47*INDEX('Tariff Page'!$F$9:$F$32,MATCH($B22,'Tariff Page'!$B$9:$B$32,0))+$D$48*INDEX('Tariff Page'!$E$9:$E$32,MATCH($B22,'Tariff Page'!$B$9:$B$32,0)))*10</f>
        <v>28.285753424657536</v>
      </c>
      <c r="D22" s="281">
        <v>28.285753424657536</v>
      </c>
      <c r="E22" s="282">
        <f t="shared" si="0"/>
        <v>0</v>
      </c>
      <c r="F22" s="283">
        <f>($H$45*INDEX('Tariff Page Wind'!$D$9:$D$32,MATCH($B22,'Tariff Page Wind'!$B$9:$B$32,0))+$H$46*INDEX('Tariff Page Wind'!$C$9:$C$32,MATCH($B22,'Tariff Page Wind'!$B$9:$B$32,0))+$H$47*INDEX('Tariff Page Wind'!$F$9:$F$32,MATCH($B22,'Tariff Page Wind'!$B$9:$B$32,0))+$H$48*INDEX('Tariff Page Wind'!$E$9:$E$32,MATCH($B22,'Tariff Page Wind'!$B$9:$B$32,0)))*10</f>
        <v>27.485346390962849</v>
      </c>
      <c r="G22" s="281">
        <v>27.485346390962849</v>
      </c>
      <c r="H22" s="282">
        <f t="shared" si="1"/>
        <v>0</v>
      </c>
      <c r="I22" s="283">
        <f>($K$45*INDEX('Tariff Page Solar Fixed'!$D$9:$D$32,MATCH($B22,'Tariff Page Solar Fixed'!$B$9:$B$32,0))+$K$46*INDEX('Tariff Page Solar Fixed'!$C$9:$C$32,MATCH($B22,'Tariff Page Solar Fixed'!$B$9:$B$32,0))+$K$47*INDEX('Tariff Page Solar Fixed'!$F$9:$F$32,MATCH($B22,'Tariff Page Solar Fixed'!$B$9:$B$32,0))+$K$48*INDEX('Tariff Page Solar Fixed'!$E$9:$E$32,MATCH($B22,'Tariff Page Solar Fixed'!$B$9:$B$32,0)))*10</f>
        <v>29.097012029370198</v>
      </c>
      <c r="J22" s="281">
        <v>29.097012029370198</v>
      </c>
      <c r="K22" s="282">
        <f t="shared" si="2"/>
        <v>0</v>
      </c>
      <c r="L22" s="283">
        <f>($N$45*INDEX('Tariff Page Solar Tracking'!$D$9:$D$32,MATCH($B22,'Tariff Page Solar Tracking'!$B$9:$B$32,0))+$N$46*INDEX('Tariff Page Solar Tracking'!$C$9:$C$32,MATCH($B22,'Tariff Page Solar Tracking'!$B$9:$B$32,0))+$N$47*INDEX('Tariff Page Solar Tracking'!$F$9:$F$32,MATCH($B22,'Tariff Page Solar Tracking'!$B$9:$B$32,0))+$N$48*INDEX('Tariff Page Solar Tracking'!$E$9:$E$32,MATCH($B22,'Tariff Page Solar Tracking'!$B$9:$B$32,0)))*10</f>
        <v>29.232779830145329</v>
      </c>
      <c r="M22" s="281">
        <v>29.232779830145329</v>
      </c>
      <c r="N22" s="282">
        <f t="shared" si="3"/>
        <v>0</v>
      </c>
      <c r="S22" s="263"/>
    </row>
    <row r="23" spans="2:19" x14ac:dyDescent="0.2">
      <c r="B23" s="280">
        <f t="shared" si="4"/>
        <v>2027</v>
      </c>
      <c r="C23" s="281">
        <f>($D$45*INDEX('Tariff Page'!$D$9:$D$32,MATCH($B23,'Tariff Page'!$B$9:$B$32,0))+$D$46*INDEX('Tariff Page'!$C$9:$C$32,MATCH($B23,'Tariff Page'!$B$9:$B$32,0))+$D$47*INDEX('Tariff Page'!$F$9:$F$32,MATCH($B23,'Tariff Page'!$B$9:$B$32,0))+$D$48*INDEX('Tariff Page'!$E$9:$E$32,MATCH($B23,'Tariff Page'!$B$9:$B$32,0)))*10</f>
        <v>34.396593607305938</v>
      </c>
      <c r="D23" s="281">
        <v>34.396593607305938</v>
      </c>
      <c r="E23" s="282">
        <f t="shared" si="0"/>
        <v>0</v>
      </c>
      <c r="F23" s="283">
        <f>($H$45*INDEX('Tariff Page Wind'!$D$9:$D$32,MATCH($B23,'Tariff Page Wind'!$B$9:$B$32,0))+$H$46*INDEX('Tariff Page Wind'!$C$9:$C$32,MATCH($B23,'Tariff Page Wind'!$B$9:$B$32,0))+$H$47*INDEX('Tariff Page Wind'!$F$9:$F$32,MATCH($B23,'Tariff Page Wind'!$B$9:$B$32,0))+$H$48*INDEX('Tariff Page Wind'!$E$9:$E$32,MATCH($B23,'Tariff Page Wind'!$B$9:$B$32,0)))*10</f>
        <v>33.570062055508949</v>
      </c>
      <c r="G23" s="281">
        <v>33.570062055508949</v>
      </c>
      <c r="H23" s="282">
        <f t="shared" si="1"/>
        <v>0</v>
      </c>
      <c r="I23" s="283">
        <f>($K$45*INDEX('Tariff Page Solar Fixed'!$D$9:$D$32,MATCH($B23,'Tariff Page Solar Fixed'!$B$9:$B$32,0))+$K$46*INDEX('Tariff Page Solar Fixed'!$C$9:$C$32,MATCH($B23,'Tariff Page Solar Fixed'!$B$9:$B$32,0))+$K$47*INDEX('Tariff Page Solar Fixed'!$F$9:$F$32,MATCH($B23,'Tariff Page Solar Fixed'!$B$9:$B$32,0))+$K$48*INDEX('Tariff Page Solar Fixed'!$E$9:$E$32,MATCH($B23,'Tariff Page Solar Fixed'!$B$9:$B$32,0)))*10</f>
        <v>35.393235438669919</v>
      </c>
      <c r="J23" s="281">
        <v>35.393235438669919</v>
      </c>
      <c r="K23" s="282">
        <f t="shared" si="2"/>
        <v>0</v>
      </c>
      <c r="L23" s="283">
        <f>($N$45*INDEX('Tariff Page Solar Tracking'!$D$9:$D$32,MATCH($B23,'Tariff Page Solar Tracking'!$B$9:$B$32,0))+$N$46*INDEX('Tariff Page Solar Tracking'!$C$9:$C$32,MATCH($B23,'Tariff Page Solar Tracking'!$B$9:$B$32,0))+$N$47*INDEX('Tariff Page Solar Tracking'!$F$9:$F$32,MATCH($B23,'Tariff Page Solar Tracking'!$B$9:$B$32,0))+$N$48*INDEX('Tariff Page Solar Tracking'!$E$9:$E$32,MATCH($B23,'Tariff Page Solar Tracking'!$B$9:$B$32,0)))*10</f>
        <v>35.545399728091823</v>
      </c>
      <c r="M23" s="281">
        <v>35.545399728091823</v>
      </c>
      <c r="N23" s="282">
        <f t="shared" si="3"/>
        <v>0</v>
      </c>
      <c r="S23" s="263"/>
    </row>
    <row r="24" spans="2:19" x14ac:dyDescent="0.2">
      <c r="B24" s="280">
        <f t="shared" si="4"/>
        <v>2028</v>
      </c>
      <c r="C24" s="281">
        <f>($D$45*INDEX('Tariff Page'!$D$9:$D$32,MATCH($B24,'Tariff Page'!$B$9:$B$32,0))+$D$46*INDEX('Tariff Page'!$C$9:$C$32,MATCH($B24,'Tariff Page'!$B$9:$B$32,0))+$D$47*INDEX('Tariff Page'!$F$9:$F$32,MATCH($B24,'Tariff Page'!$B$9:$B$32,0))+$D$48*INDEX('Tariff Page'!$E$9:$E$32,MATCH($B24,'Tariff Page'!$B$9:$B$32,0)))*10</f>
        <v>43.844082191780828</v>
      </c>
      <c r="D24" s="281">
        <v>43.844082191780828</v>
      </c>
      <c r="E24" s="282">
        <f t="shared" si="0"/>
        <v>0</v>
      </c>
      <c r="F24" s="283">
        <f>($H$45*INDEX('Tariff Page Wind'!$D$9:$D$32,MATCH($B24,'Tariff Page Wind'!$B$9:$B$32,0))+$H$46*INDEX('Tariff Page Wind'!$C$9:$C$32,MATCH($B24,'Tariff Page Wind'!$B$9:$B$32,0))+$H$47*INDEX('Tariff Page Wind'!$F$9:$F$32,MATCH($B24,'Tariff Page Wind'!$B$9:$B$32,0))+$H$48*INDEX('Tariff Page Wind'!$E$9:$E$32,MATCH($B24,'Tariff Page Wind'!$B$9:$B$32,0)))*10</f>
        <v>29.424106113755421</v>
      </c>
      <c r="G24" s="281">
        <v>29.215449752431617</v>
      </c>
      <c r="H24" s="282">
        <f t="shared" si="1"/>
        <v>0.20865636132380416</v>
      </c>
      <c r="I24" s="283">
        <f>($K$45*INDEX('Tariff Page Solar Fixed'!$D$9:$D$32,MATCH($B24,'Tariff Page Solar Fixed'!$B$9:$B$32,0))+$K$46*INDEX('Tariff Page Solar Fixed'!$C$9:$C$32,MATCH($B24,'Tariff Page Solar Fixed'!$B$9:$B$32,0))+$K$47*INDEX('Tariff Page Solar Fixed'!$F$9:$F$32,MATCH($B24,'Tariff Page Solar Fixed'!$B$9:$B$32,0))+$K$48*INDEX('Tariff Page Solar Fixed'!$E$9:$E$32,MATCH($B24,'Tariff Page Solar Fixed'!$B$9:$B$32,0)))*10</f>
        <v>36.241325905575366</v>
      </c>
      <c r="J24" s="281">
        <v>35.292062159634369</v>
      </c>
      <c r="K24" s="282">
        <f t="shared" si="2"/>
        <v>0.94926374594099627</v>
      </c>
      <c r="L24" s="283">
        <f>($N$45*INDEX('Tariff Page Solar Tracking'!$D$9:$D$32,MATCH($B24,'Tariff Page Solar Tracking'!$B$9:$B$32,0))+$N$46*INDEX('Tariff Page Solar Tracking'!$C$9:$C$32,MATCH($B24,'Tariff Page Solar Tracking'!$B$9:$B$32,0))+$N$47*INDEX('Tariff Page Solar Tracking'!$F$9:$F$32,MATCH($B24,'Tariff Page Solar Tracking'!$B$9:$B$32,0))+$N$48*INDEX('Tariff Page Solar Tracking'!$E$9:$E$32,MATCH($B24,'Tariff Page Solar Tracking'!$B$9:$B$32,0)))*10</f>
        <v>41.472313944636511</v>
      </c>
      <c r="M24" s="281">
        <v>36.409985959138005</v>
      </c>
      <c r="N24" s="282">
        <f t="shared" si="3"/>
        <v>5.0623279854985057</v>
      </c>
      <c r="S24" s="263"/>
    </row>
    <row r="25" spans="2:19" x14ac:dyDescent="0.2">
      <c r="B25" s="280">
        <f t="shared" si="4"/>
        <v>2029</v>
      </c>
      <c r="C25" s="281">
        <f>($D$45*INDEX('Tariff Page'!$D$9:$D$32,MATCH($B25,'Tariff Page'!$B$9:$B$32,0))+$D$46*INDEX('Tariff Page'!$C$9:$C$32,MATCH($B25,'Tariff Page'!$B$9:$B$32,0))+$D$47*INDEX('Tariff Page'!$F$9:$F$32,MATCH($B25,'Tariff Page'!$B$9:$B$32,0))+$D$48*INDEX('Tariff Page'!$E$9:$E$32,MATCH($B25,'Tariff Page'!$B$9:$B$32,0)))*10</f>
        <v>46.451735159817353</v>
      </c>
      <c r="D25" s="281">
        <v>46.451735159817353</v>
      </c>
      <c r="E25" s="282">
        <f t="shared" si="0"/>
        <v>0</v>
      </c>
      <c r="F25" s="283">
        <f>($H$45*INDEX('Tariff Page Wind'!$D$9:$D$32,MATCH($B25,'Tariff Page Wind'!$B$9:$B$32,0))+$H$46*INDEX('Tariff Page Wind'!$C$9:$C$32,MATCH($B25,'Tariff Page Wind'!$B$9:$B$32,0))+$H$47*INDEX('Tariff Page Wind'!$F$9:$F$32,MATCH($B25,'Tariff Page Wind'!$B$9:$B$32,0))+$H$48*INDEX('Tariff Page Wind'!$E$9:$E$32,MATCH($B25,'Tariff Page Wind'!$B$9:$B$32,0)))*10</f>
        <v>31.720499724924021</v>
      </c>
      <c r="G25" s="281">
        <v>31.500564641366498</v>
      </c>
      <c r="H25" s="282">
        <f t="shared" si="1"/>
        <v>0.21993508355752311</v>
      </c>
      <c r="I25" s="283">
        <f>($K$45*INDEX('Tariff Page Solar Fixed'!$D$9:$D$32,MATCH($B25,'Tariff Page Solar Fixed'!$B$9:$B$32,0))+$K$46*INDEX('Tariff Page Solar Fixed'!$C$9:$C$32,MATCH($B25,'Tariff Page Solar Fixed'!$B$9:$B$32,0))+$K$47*INDEX('Tariff Page Solar Fixed'!$F$9:$F$32,MATCH($B25,'Tariff Page Solar Fixed'!$B$9:$B$32,0))+$K$48*INDEX('Tariff Page Solar Fixed'!$E$9:$E$32,MATCH($B25,'Tariff Page Solar Fixed'!$B$9:$B$32,0)))*10</f>
        <v>38.678020195274847</v>
      </c>
      <c r="J25" s="281">
        <v>37.711652598055636</v>
      </c>
      <c r="K25" s="282">
        <f t="shared" si="2"/>
        <v>0.96636759721921095</v>
      </c>
      <c r="L25" s="283">
        <f>($N$45*INDEX('Tariff Page Solar Tracking'!$D$9:$D$32,MATCH($B25,'Tariff Page Solar Tracking'!$B$9:$B$32,0))+$N$46*INDEX('Tariff Page Solar Tracking'!$C$9:$C$32,MATCH($B25,'Tariff Page Solar Tracking'!$B$9:$B$32,0))+$N$47*INDEX('Tariff Page Solar Tracking'!$F$9:$F$32,MATCH($B25,'Tariff Page Solar Tracking'!$B$9:$B$32,0))+$N$48*INDEX('Tariff Page Solar Tracking'!$E$9:$E$32,MATCH($B25,'Tariff Page Solar Tracking'!$B$9:$B$32,0)))*10</f>
        <v>44.024490837075582</v>
      </c>
      <c r="M25" s="281">
        <v>38.852479078557948</v>
      </c>
      <c r="N25" s="282">
        <f t="shared" si="3"/>
        <v>5.172011758517634</v>
      </c>
      <c r="S25" s="263"/>
    </row>
    <row r="26" spans="2:19" x14ac:dyDescent="0.2">
      <c r="B26" s="280">
        <f t="shared" si="4"/>
        <v>2030</v>
      </c>
      <c r="C26" s="281">
        <f>($D$45*INDEX('Tariff Page'!$D$9:$D$32,MATCH($B26,'Tariff Page'!$B$9:$B$32,0))+$D$46*INDEX('Tariff Page'!$C$9:$C$32,MATCH($B26,'Tariff Page'!$B$9:$B$32,0))+$D$47*INDEX('Tariff Page'!$F$9:$F$32,MATCH($B26,'Tariff Page'!$B$9:$B$32,0))+$D$48*INDEX('Tariff Page'!$E$9:$E$32,MATCH($B26,'Tariff Page'!$B$9:$B$32,0)))*10</f>
        <v>49.141817351598178</v>
      </c>
      <c r="D26" s="281">
        <v>49.141817351598178</v>
      </c>
      <c r="E26" s="282">
        <f t="shared" si="0"/>
        <v>0</v>
      </c>
      <c r="F26" s="283">
        <f>($H$45*INDEX('Tariff Page Wind'!$D$9:$D$32,MATCH($B26,'Tariff Page Wind'!$B$9:$B$32,0))+$H$46*INDEX('Tariff Page Wind'!$C$9:$C$32,MATCH($B26,'Tariff Page Wind'!$B$9:$B$32,0))+$H$47*INDEX('Tariff Page Wind'!$F$9:$F$32,MATCH($B26,'Tariff Page Wind'!$B$9:$B$32,0))+$H$48*INDEX('Tariff Page Wind'!$E$9:$E$32,MATCH($B26,'Tariff Page Wind'!$B$9:$B$32,0)))*10</f>
        <v>34.086893336092615</v>
      </c>
      <c r="G26" s="281">
        <v>33.866958252535099</v>
      </c>
      <c r="H26" s="282">
        <f t="shared" si="1"/>
        <v>0.21993508355751601</v>
      </c>
      <c r="I26" s="283">
        <f>($K$45*INDEX('Tariff Page Solar Fixed'!$D$9:$D$32,MATCH($B26,'Tariff Page Solar Fixed'!$B$9:$B$32,0))+$K$46*INDEX('Tariff Page Solar Fixed'!$C$9:$C$32,MATCH($B26,'Tariff Page Solar Fixed'!$B$9:$B$32,0))+$K$47*INDEX('Tariff Page Solar Fixed'!$F$9:$F$32,MATCH($B26,'Tariff Page Solar Fixed'!$B$9:$B$32,0))+$K$48*INDEX('Tariff Page Solar Fixed'!$E$9:$E$32,MATCH($B26,'Tariff Page Solar Fixed'!$B$9:$B$32,0)))*10</f>
        <v>41.191818336252553</v>
      </c>
      <c r="J26" s="281">
        <v>40.20834688775512</v>
      </c>
      <c r="K26" s="282">
        <f t="shared" si="2"/>
        <v>0.98347144849743273</v>
      </c>
      <c r="L26" s="283">
        <f>($N$45*INDEX('Tariff Page Solar Tracking'!$D$9:$D$32,MATCH($B26,'Tariff Page Solar Tracking'!$B$9:$B$32,0))+$N$46*INDEX('Tariff Page Solar Tracking'!$C$9:$C$32,MATCH($B26,'Tariff Page Solar Tracking'!$B$9:$B$32,0))+$N$47*INDEX('Tariff Page Solar Tracking'!$F$9:$F$32,MATCH($B26,'Tariff Page Solar Tracking'!$B$9:$B$32,0))+$N$48*INDEX('Tariff Page Solar Tracking'!$E$9:$E$32,MATCH($B26,'Tariff Page Solar Tracking'!$B$9:$B$32,0)))*10</f>
        <v>46.653542156132993</v>
      </c>
      <c r="M26" s="281">
        <v>41.371846624596209</v>
      </c>
      <c r="N26" s="282">
        <f t="shared" si="3"/>
        <v>5.2816955315367835</v>
      </c>
      <c r="S26" s="263"/>
    </row>
    <row r="27" spans="2:19" x14ac:dyDescent="0.2">
      <c r="B27" s="280">
        <f t="shared" si="4"/>
        <v>2031</v>
      </c>
      <c r="C27" s="281">
        <f>($D$45*INDEX('Tariff Page'!$D$9:$D$32,MATCH($B27,'Tariff Page'!$B$9:$B$32,0))+$D$46*INDEX('Tariff Page'!$C$9:$C$32,MATCH($B27,'Tariff Page'!$B$9:$B$32,0))+$D$47*INDEX('Tariff Page'!$F$9:$F$32,MATCH($B27,'Tariff Page'!$B$9:$B$32,0))+$D$48*INDEX('Tariff Page'!$E$9:$E$32,MATCH($B27,'Tariff Page'!$B$9:$B$32,0)))*10</f>
        <v>51.031899543378998</v>
      </c>
      <c r="D27" s="281">
        <v>51.031899543378998</v>
      </c>
      <c r="E27" s="282">
        <f t="shared" si="0"/>
        <v>0</v>
      </c>
      <c r="F27" s="283">
        <f>($H$45*INDEX('Tariff Page Wind'!$D$9:$D$32,MATCH($B27,'Tariff Page Wind'!$B$9:$B$32,0))+$H$46*INDEX('Tariff Page Wind'!$C$9:$C$32,MATCH($B27,'Tariff Page Wind'!$B$9:$B$32,0))+$H$47*INDEX('Tariff Page Wind'!$F$9:$F$32,MATCH($B27,'Tariff Page Wind'!$B$9:$B$32,0))+$H$48*INDEX('Tariff Page Wind'!$E$9:$E$32,MATCH($B27,'Tariff Page Wind'!$B$9:$B$32,0)))*10</f>
        <v>35.648926308378073</v>
      </c>
      <c r="G27" s="281">
        <v>35.423351863703687</v>
      </c>
      <c r="H27" s="282">
        <f t="shared" si="1"/>
        <v>0.22557444467438614</v>
      </c>
      <c r="I27" s="283">
        <f>($K$45*INDEX('Tariff Page Solar Fixed'!$D$9:$D$32,MATCH($B27,'Tariff Page Solar Fixed'!$B$9:$B$32,0))+$K$46*INDEX('Tariff Page Solar Fixed'!$C$9:$C$32,MATCH($B27,'Tariff Page Solar Fixed'!$B$9:$B$32,0))+$K$47*INDEX('Tariff Page Solar Fixed'!$F$9:$F$32,MATCH($B27,'Tariff Page Solar Fixed'!$B$9:$B$32,0))+$K$48*INDEX('Tariff Page Solar Fixed'!$E$9:$E$32,MATCH($B27,'Tariff Page Solar Fixed'!$B$9:$B$32,0)))*10</f>
        <v>42.915616477230252</v>
      </c>
      <c r="J27" s="281">
        <v>41.906489251815501</v>
      </c>
      <c r="K27" s="282">
        <f t="shared" si="2"/>
        <v>1.0091272254147512</v>
      </c>
      <c r="L27" s="283">
        <f>($N$45*INDEX('Tariff Page Solar Tracking'!$D$9:$D$32,MATCH($B27,'Tariff Page Solar Tracking'!$B$9:$B$32,0))+$N$46*INDEX('Tariff Page Solar Tracking'!$C$9:$C$32,MATCH($B27,'Tariff Page Solar Tracking'!$B$9:$B$32,0))+$N$47*INDEX('Tariff Page Solar Tracking'!$F$9:$F$32,MATCH($B27,'Tariff Page Solar Tracking'!$B$9:$B$32,0))+$N$48*INDEX('Tariff Page Solar Tracking'!$E$9:$E$32,MATCH($B27,'Tariff Page Solar Tracking'!$B$9:$B$32,0)))*10</f>
        <v>48.501030688499547</v>
      </c>
      <c r="M27" s="281">
        <v>43.101214170634485</v>
      </c>
      <c r="N27" s="282">
        <f t="shared" si="3"/>
        <v>5.3998165178650623</v>
      </c>
      <c r="S27" s="263"/>
    </row>
    <row r="28" spans="2:19" x14ac:dyDescent="0.2">
      <c r="B28" s="280">
        <f t="shared" si="4"/>
        <v>2032</v>
      </c>
      <c r="C28" s="281">
        <f>($D$45*INDEX('Tariff Page'!$D$9:$D$32,MATCH($B28,'Tariff Page'!$B$9:$B$32,0))+$D$46*INDEX('Tariff Page'!$C$9:$C$32,MATCH($B28,'Tariff Page'!$B$9:$B$32,0))+$D$47*INDEX('Tariff Page'!$F$9:$F$32,MATCH($B28,'Tariff Page'!$B$9:$B$32,0))+$D$48*INDEX('Tariff Page'!$E$9:$E$32,MATCH($B28,'Tariff Page'!$B$9:$B$32,0)))*10</f>
        <v>53.078803652968034</v>
      </c>
      <c r="D28" s="281">
        <v>53.078803652968034</v>
      </c>
      <c r="E28" s="282">
        <f t="shared" si="0"/>
        <v>0</v>
      </c>
      <c r="F28" s="283">
        <f>($H$45*INDEX('Tariff Page Wind'!$D$9:$D$32,MATCH($B28,'Tariff Page Wind'!$B$9:$B$32,0))+$H$46*INDEX('Tariff Page Wind'!$C$9:$C$32,MATCH($B28,'Tariff Page Wind'!$B$9:$B$32,0))+$H$47*INDEX('Tariff Page Wind'!$F$9:$F$32,MATCH($B28,'Tariff Page Wind'!$B$9:$B$32,0))+$H$48*INDEX('Tariff Page Wind'!$E$9:$E$32,MATCH($B28,'Tariff Page Wind'!$B$9:$B$32,0)))*10</f>
        <v>37.355319919546666</v>
      </c>
      <c r="G28" s="281">
        <v>37.124106113755417</v>
      </c>
      <c r="H28" s="282">
        <f t="shared" si="1"/>
        <v>0.23121380579124917</v>
      </c>
      <c r="I28" s="283">
        <f>($K$45*INDEX('Tariff Page Solar Fixed'!$D$9:$D$32,MATCH($B28,'Tariff Page Solar Fixed'!$B$9:$B$32,0))+$K$46*INDEX('Tariff Page Solar Fixed'!$C$9:$C$32,MATCH($B28,'Tariff Page Solar Fixed'!$B$9:$B$32,0))+$K$47*INDEX('Tariff Page Solar Fixed'!$F$9:$F$32,MATCH($B28,'Tariff Page Solar Fixed'!$B$9:$B$32,0))+$K$48*INDEX('Tariff Page Solar Fixed'!$E$9:$E$32,MATCH($B28,'Tariff Page Solar Fixed'!$B$9:$B$32,0)))*10</f>
        <v>44.786518469486168</v>
      </c>
      <c r="J28" s="281">
        <v>43.751735467154091</v>
      </c>
      <c r="K28" s="282">
        <f t="shared" si="2"/>
        <v>1.0347830023320768</v>
      </c>
      <c r="L28" s="283">
        <f>($N$45*INDEX('Tariff Page Solar Tracking'!$D$9:$D$32,MATCH($B28,'Tariff Page Solar Tracking'!$B$9:$B$32,0))+$N$46*INDEX('Tariff Page Solar Tracking'!$C$9:$C$32,MATCH($B28,'Tariff Page Solar Tracking'!$B$9:$B$32,0))+$N$47*INDEX('Tariff Page Solar Tracking'!$F$9:$F$32,MATCH($B28,'Tariff Page Solar Tracking'!$B$9:$B$32,0))+$N$48*INDEX('Tariff Page Solar Tracking'!$E$9:$E$32,MATCH($B28,'Tariff Page Solar Tracking'!$B$9:$B$32,0)))*10</f>
        <v>50.486956434175283</v>
      </c>
      <c r="M28" s="281">
        <v>44.969018929981914</v>
      </c>
      <c r="N28" s="282">
        <f t="shared" si="3"/>
        <v>5.5179375041933696</v>
      </c>
      <c r="S28" s="263"/>
    </row>
    <row r="29" spans="2:19" x14ac:dyDescent="0.2">
      <c r="B29" s="280">
        <f t="shared" si="4"/>
        <v>2033</v>
      </c>
      <c r="C29" s="281">
        <f>($D$45*INDEX('Tariff Page'!$D$9:$D$32,MATCH($B29,'Tariff Page'!$B$9:$B$32,0))+$D$46*INDEX('Tariff Page'!$C$9:$C$32,MATCH($B29,'Tariff Page'!$B$9:$B$32,0))+$D$47*INDEX('Tariff Page'!$F$9:$F$32,MATCH($B29,'Tariff Page'!$B$9:$B$32,0))+$D$48*INDEX('Tariff Page'!$E$9:$E$32,MATCH($B29,'Tariff Page'!$B$9:$B$32,0)))*10</f>
        <v>55.861315068493141</v>
      </c>
      <c r="D29" s="281">
        <v>55.861315068493141</v>
      </c>
      <c r="E29" s="282">
        <f t="shared" si="0"/>
        <v>0</v>
      </c>
      <c r="F29" s="283">
        <f>($H$45*INDEX('Tariff Page Wind'!$D$9:$D$32,MATCH($B29,'Tariff Page Wind'!$B$9:$B$32,0))+$H$46*INDEX('Tariff Page Wind'!$C$9:$C$32,MATCH($B29,'Tariff Page Wind'!$B$9:$B$32,0))+$H$47*INDEX('Tariff Page Wind'!$F$9:$F$32,MATCH($B29,'Tariff Page Wind'!$B$9:$B$32,0))+$H$48*INDEX('Tariff Page Wind'!$E$9:$E$32,MATCH($B29,'Tariff Page Wind'!$B$9:$B$32,0)))*10</f>
        <v>39.792992252948984</v>
      </c>
      <c r="G29" s="281">
        <v>39.550499724924023</v>
      </c>
      <c r="H29" s="282">
        <f t="shared" si="1"/>
        <v>0.24249252802496102</v>
      </c>
      <c r="I29" s="283">
        <f>($K$45*INDEX('Tariff Page Solar Fixed'!$D$9:$D$32,MATCH($B29,'Tariff Page Solar Fixed'!$B$9:$B$32,0))+$K$46*INDEX('Tariff Page Solar Fixed'!$C$9:$C$32,MATCH($B29,'Tariff Page Solar Fixed'!$B$9:$B$32,0))+$K$47*INDEX('Tariff Page Solar Fixed'!$F$9:$F$32,MATCH($B29,'Tariff Page Solar Fixed'!$B$9:$B$32,0))+$K$48*INDEX('Tariff Page Solar Fixed'!$E$9:$E$32,MATCH($B29,'Tariff Page Solar Fixed'!$B$9:$B$32,0)))*10</f>
        <v>47.378868536102985</v>
      </c>
      <c r="J29" s="281">
        <v>46.326981682492686</v>
      </c>
      <c r="K29" s="282">
        <f t="shared" si="2"/>
        <v>1.0518868536102985</v>
      </c>
      <c r="L29" s="283">
        <f>($N$45*INDEX('Tariff Page Solar Tracking'!$D$9:$D$32,MATCH($B29,'Tariff Page Solar Tracking'!$B$9:$B$32,0))+$N$46*INDEX('Tariff Page Solar Tracking'!$C$9:$C$32,MATCH($B29,'Tariff Page Solar Tracking'!$B$9:$B$32,0))+$N$47*INDEX('Tariff Page Solar Tracking'!$F$9:$F$32,MATCH($B29,'Tariff Page Solar Tracking'!$B$9:$B$32,0))+$N$48*INDEX('Tariff Page Solar Tracking'!$E$9:$E$32,MATCH($B29,'Tariff Page Solar Tracking'!$B$9:$B$32,0)))*10</f>
        <v>53.211319393160174</v>
      </c>
      <c r="M29" s="281">
        <v>47.566823689329347</v>
      </c>
      <c r="N29" s="282">
        <f t="shared" si="3"/>
        <v>5.6444957038308274</v>
      </c>
      <c r="S29" s="263"/>
    </row>
    <row r="30" spans="2:19" x14ac:dyDescent="0.2">
      <c r="B30" s="280"/>
      <c r="C30" s="281"/>
      <c r="D30" s="281"/>
      <c r="E30" s="282"/>
      <c r="F30" s="283"/>
      <c r="G30" s="281"/>
      <c r="H30" s="282"/>
      <c r="I30" s="283"/>
      <c r="J30" s="281"/>
      <c r="K30" s="282"/>
      <c r="L30" s="283"/>
      <c r="M30" s="281"/>
      <c r="N30" s="282"/>
      <c r="S30" s="263"/>
    </row>
    <row r="31" spans="2:19" hidden="1" x14ac:dyDescent="0.2">
      <c r="B31" s="280"/>
      <c r="C31" s="281"/>
      <c r="D31" s="281"/>
      <c r="E31" s="282"/>
      <c r="F31" s="283"/>
      <c r="G31" s="281"/>
      <c r="H31" s="282"/>
      <c r="I31" s="283"/>
      <c r="J31" s="281"/>
      <c r="K31" s="282"/>
      <c r="L31" s="283"/>
      <c r="M31" s="281"/>
      <c r="N31" s="282"/>
      <c r="S31" s="263"/>
    </row>
    <row r="32" spans="2:19" hidden="1" x14ac:dyDescent="0.2">
      <c r="B32" s="280"/>
      <c r="C32" s="281"/>
      <c r="D32" s="281"/>
      <c r="E32" s="282"/>
      <c r="F32" s="283"/>
      <c r="G32" s="281"/>
      <c r="H32" s="282"/>
      <c r="I32" s="283"/>
      <c r="J32" s="281"/>
      <c r="K32" s="282"/>
      <c r="L32" s="283"/>
      <c r="M32" s="281"/>
      <c r="N32" s="282"/>
      <c r="S32" s="263"/>
    </row>
    <row r="33" spans="2:22" hidden="1" x14ac:dyDescent="0.2">
      <c r="B33" s="280"/>
      <c r="C33" s="281"/>
      <c r="D33" s="281"/>
      <c r="E33" s="282"/>
      <c r="F33" s="283"/>
      <c r="G33" s="281"/>
      <c r="H33" s="282"/>
      <c r="I33" s="283"/>
      <c r="J33" s="281"/>
      <c r="K33" s="282"/>
      <c r="L33" s="283"/>
      <c r="M33" s="281"/>
      <c r="N33" s="282"/>
      <c r="S33" s="263"/>
    </row>
    <row r="34" spans="2:22" hidden="1" x14ac:dyDescent="0.2">
      <c r="B34" s="280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</row>
    <row r="35" spans="2:22" hidden="1" x14ac:dyDescent="0.2">
      <c r="B35" s="280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</row>
    <row r="36" spans="2:22" hidden="1" x14ac:dyDescent="0.2">
      <c r="B36" s="280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</row>
    <row r="37" spans="2:22" hidden="1" x14ac:dyDescent="0.2">
      <c r="C37" s="254"/>
      <c r="F37" s="254"/>
      <c r="I37" s="254"/>
      <c r="L37" s="254"/>
    </row>
    <row r="38" spans="2:22" x14ac:dyDescent="0.2">
      <c r="B38" s="222" t="str">
        <f>"15 Year ("&amp;B13&amp;" to "&amp;B27&amp;") Levelized Prices (Nominal) @ "&amp;TEXT($P$39,"?.000%")&amp;" Discount Rate"</f>
        <v>15 Year (2017 to 2031) Levelized Prices (Nominal) @ 6.660% Discount Rate</v>
      </c>
      <c r="C38" s="254"/>
      <c r="F38" s="254"/>
      <c r="I38" s="254"/>
      <c r="L38" s="254"/>
      <c r="O38" s="285"/>
      <c r="P38" s="35" t="s">
        <v>260</v>
      </c>
    </row>
    <row r="39" spans="2:22" x14ac:dyDescent="0.2">
      <c r="B39" s="286" t="s">
        <v>36</v>
      </c>
      <c r="C39" s="281">
        <f>-PMT($P$39,COUNT(C13:C27),NPV($P$39,C13:C27))</f>
        <v>27.487783213999467</v>
      </c>
      <c r="D39" s="281">
        <f t="shared" ref="D39:N39" si="5">-PMT($P$39,COUNT(D13:D27),NPV($P$39,D13:D27))</f>
        <v>27.487783213999467</v>
      </c>
      <c r="E39" s="282">
        <f t="shared" si="5"/>
        <v>0</v>
      </c>
      <c r="F39" s="281">
        <f t="shared" si="5"/>
        <v>24.258425342492345</v>
      </c>
      <c r="G39" s="281">
        <f t="shared" si="5"/>
        <v>24.21906580208606</v>
      </c>
      <c r="H39" s="282">
        <f t="shared" si="5"/>
        <v>3.935954040628406E-2</v>
      </c>
      <c r="I39" s="281">
        <f t="shared" si="5"/>
        <v>26.76706942791775</v>
      </c>
      <c r="J39" s="281">
        <f t="shared" si="5"/>
        <v>26.59104019088376</v>
      </c>
      <c r="K39" s="282">
        <f t="shared" si="5"/>
        <v>0.17602923703398501</v>
      </c>
      <c r="L39" s="281">
        <f t="shared" si="5"/>
        <v>27.797407166580513</v>
      </c>
      <c r="M39" s="281">
        <f t="shared" si="5"/>
        <v>26.855447936800232</v>
      </c>
      <c r="N39" s="282">
        <f t="shared" si="5"/>
        <v>0.94195922978028424</v>
      </c>
      <c r="O39" s="287"/>
      <c r="P39" s="85">
        <v>6.6600000000000006E-2</v>
      </c>
    </row>
    <row r="40" spans="2:22" x14ac:dyDescent="0.2"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</row>
    <row r="41" spans="2:22" x14ac:dyDescent="0.2">
      <c r="B41" s="222" t="str">
        <f>"15 Year ("&amp;B14&amp;" to "&amp;B28&amp;") Levelized Prices (Nominal) @ "&amp;TEXT($P$39,"?.000%")&amp;" Discount Rate"</f>
        <v>15 Year (2018 to 2032) Levelized Prices (Nominal) @ 6.660% Discount Rate</v>
      </c>
      <c r="C41" s="254"/>
      <c r="F41" s="254"/>
      <c r="I41" s="254"/>
      <c r="L41" s="254"/>
    </row>
    <row r="42" spans="2:22" x14ac:dyDescent="0.2">
      <c r="B42" s="286" t="s">
        <v>36</v>
      </c>
      <c r="C42" s="281">
        <f>-PMT($P$39,COUNT(C14:C28),NPV($P$39,C14:C28))</f>
        <v>29.36720833452268</v>
      </c>
      <c r="D42" s="281">
        <f>-PMT($P$39,COUNT(D14:D28),NPV($P$39,D14:D28))</f>
        <v>29.36720833452268</v>
      </c>
      <c r="E42" s="282">
        <f t="shared" ref="E42:N42" si="6">-PMT($P$39,COUNT(E16:E30),NPV($P$39,E16:E30))</f>
        <v>0</v>
      </c>
      <c r="F42" s="281">
        <f>-PMT($P$39,COUNT(F14:F28),NPV($P$39,F14:F28))</f>
        <v>25.339090642724596</v>
      </c>
      <c r="G42" s="281">
        <f>-PMT($P$39,COUNT(G14:G28),NPV($P$39,G14:G28))</f>
        <v>25.28766500036383</v>
      </c>
      <c r="H42" s="282">
        <f t="shared" si="6"/>
        <v>7.2010341032353486E-2</v>
      </c>
      <c r="I42" s="281">
        <f>-PMT($P$39,COUNT(I14:I28),NPV($P$39,I14:I28))</f>
        <v>28.202329583543058</v>
      </c>
      <c r="J42" s="281">
        <f>-PMT($P$39,COUNT(J14:J28),NPV($P$39,J14:J28))</f>
        <v>27.972307378949761</v>
      </c>
      <c r="K42" s="282">
        <f t="shared" si="6"/>
        <v>0.32060756786668743</v>
      </c>
      <c r="L42" s="281">
        <f>-PMT($P$39,COUNT(L14:L28),NPV($P$39,L14:L28))</f>
        <v>29.537044038844922</v>
      </c>
      <c r="M42" s="281">
        <f>-PMT($P$39,COUNT(M14:M28),NPV($P$39,M14:M28))</f>
        <v>28.306950390819473</v>
      </c>
      <c r="N42" s="282">
        <f t="shared" si="6"/>
        <v>1.7153953427739932</v>
      </c>
    </row>
    <row r="43" spans="2:22" x14ac:dyDescent="0.2">
      <c r="B43"/>
      <c r="C43"/>
      <c r="D43"/>
      <c r="E43"/>
      <c r="F43" s="209"/>
      <c r="G43"/>
      <c r="H43"/>
      <c r="I43" s="209"/>
      <c r="J43"/>
      <c r="K43"/>
      <c r="L43" s="209"/>
      <c r="M43"/>
      <c r="N43"/>
    </row>
    <row r="44" spans="2:22" x14ac:dyDescent="0.2">
      <c r="B44"/>
      <c r="C44" t="s">
        <v>199</v>
      </c>
      <c r="D44" t="s">
        <v>200</v>
      </c>
      <c r="E44"/>
      <c r="F44" s="209"/>
      <c r="H44" s="349" t="s">
        <v>201</v>
      </c>
      <c r="I44" s="209"/>
      <c r="K44" s="350" t="s">
        <v>257</v>
      </c>
      <c r="L44" s="210"/>
      <c r="N44" s="349" t="s">
        <v>258</v>
      </c>
      <c r="O44" s="288"/>
      <c r="P44" s="288"/>
      <c r="Q44" s="288"/>
      <c r="R44" s="288"/>
      <c r="S44" s="289"/>
      <c r="T44" s="289"/>
      <c r="U44" s="289"/>
      <c r="V44" s="289"/>
    </row>
    <row r="45" spans="2:22" x14ac:dyDescent="0.2">
      <c r="B45" s="164" t="s">
        <v>185</v>
      </c>
      <c r="C45" s="164">
        <v>1632</v>
      </c>
      <c r="D45" s="133">
        <f>C45/SUM($C$45:$C$48)</f>
        <v>0.18630136986301371</v>
      </c>
      <c r="E45" s="133"/>
      <c r="F45" s="210"/>
      <c r="G45" s="133"/>
      <c r="H45" s="312">
        <v>0.17216903994804833</v>
      </c>
      <c r="I45" s="210"/>
      <c r="J45" s="133"/>
      <c r="K45" s="312">
        <v>0.3289453541145318</v>
      </c>
      <c r="L45" s="210"/>
      <c r="M45" s="133"/>
      <c r="N45" s="312">
        <v>0.34781254526635791</v>
      </c>
    </row>
    <row r="46" spans="2:22" x14ac:dyDescent="0.2">
      <c r="B46" s="164" t="s">
        <v>186</v>
      </c>
      <c r="C46" s="164">
        <v>3280</v>
      </c>
      <c r="D46" s="133">
        <f>C46/SUM($C$45:$C$48)</f>
        <v>0.37442922374429222</v>
      </c>
      <c r="E46" s="133">
        <f>D46+D45</f>
        <v>0.56073059360730593</v>
      </c>
      <c r="F46" s="210"/>
      <c r="G46" s="133"/>
      <c r="H46" s="312">
        <v>0.39176707173791331</v>
      </c>
      <c r="I46" s="210"/>
      <c r="J46" s="133"/>
      <c r="K46" s="312">
        <v>0.52624720979627981</v>
      </c>
      <c r="L46" s="210"/>
      <c r="M46" s="133"/>
      <c r="N46" s="312">
        <v>0.49590878565006036</v>
      </c>
    </row>
    <row r="47" spans="2:22" x14ac:dyDescent="0.2">
      <c r="B47" s="164" t="s">
        <v>187</v>
      </c>
      <c r="C47" s="164">
        <v>1296</v>
      </c>
      <c r="D47" s="133">
        <f>C47/SUM($C$45:$C$48)</f>
        <v>0.14794520547945206</v>
      </c>
      <c r="E47" s="133"/>
      <c r="F47" s="210"/>
      <c r="G47" s="133"/>
      <c r="H47" s="312">
        <v>0.12821593877132742</v>
      </c>
      <c r="I47" s="210"/>
      <c r="J47" s="133"/>
      <c r="K47" s="312">
        <v>5.62390332585695E-2</v>
      </c>
      <c r="L47" s="210"/>
      <c r="M47" s="133"/>
      <c r="N47" s="312">
        <v>6.8523846101145897E-2</v>
      </c>
    </row>
    <row r="48" spans="2:22" x14ac:dyDescent="0.2">
      <c r="B48" s="164" t="s">
        <v>188</v>
      </c>
      <c r="C48" s="164">
        <v>2552</v>
      </c>
      <c r="D48" s="133">
        <f>C48/SUM($C$45:$C$48)</f>
        <v>0.29132420091324202</v>
      </c>
      <c r="E48" s="133">
        <f>D48+D47</f>
        <v>0.43926940639269407</v>
      </c>
      <c r="F48" s="210"/>
      <c r="G48" s="164"/>
      <c r="H48" s="312">
        <v>0.30784794954271094</v>
      </c>
      <c r="I48" s="210"/>
      <c r="J48" s="164"/>
      <c r="K48" s="312">
        <v>8.8568402830619022E-2</v>
      </c>
      <c r="L48" s="210"/>
      <c r="M48" s="164"/>
      <c r="N48" s="312">
        <v>8.7754822982435782E-2</v>
      </c>
    </row>
    <row r="49" spans="2:14" x14ac:dyDescent="0.2">
      <c r="B49"/>
      <c r="C49"/>
      <c r="D49"/>
      <c r="E49"/>
      <c r="F49" s="209"/>
      <c r="G49"/>
      <c r="H49"/>
      <c r="I49" s="209"/>
      <c r="J49"/>
      <c r="K49"/>
      <c r="L49" s="209"/>
      <c r="M49"/>
      <c r="N49"/>
    </row>
    <row r="51" spans="2:14" x14ac:dyDescent="0.2">
      <c r="F51" s="290"/>
      <c r="I51" s="290"/>
      <c r="J51" s="290"/>
      <c r="K51" s="290"/>
      <c r="L51" s="290"/>
    </row>
    <row r="56" spans="2:14" ht="24.75" customHeight="1" x14ac:dyDescent="0.2"/>
  </sheetData>
  <phoneticPr fontId="8" type="noConversion"/>
  <printOptions horizontalCentered="1"/>
  <pageMargins left="0.25" right="0.25" top="0.75" bottom="0.75" header="0.3" footer="0.3"/>
  <pageSetup scale="51" orientation="portrait" r:id="rId1"/>
  <headerFooter alignWithMargins="0">
    <oddFooter>&amp;L&amp;8NPC Group - &amp;F   ( &amp;A )&amp;C &amp;R 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P156"/>
  <sheetViews>
    <sheetView topLeftCell="A96" zoomScale="80" zoomScaleNormal="80" workbookViewId="0">
      <selection activeCell="D141" sqref="D141"/>
    </sheetView>
  </sheetViews>
  <sheetFormatPr defaultRowHeight="12.75" x14ac:dyDescent="0.2"/>
  <cols>
    <col min="1" max="1" width="1.33203125" style="352" customWidth="1"/>
    <col min="2" max="2" width="9.33203125" style="352" customWidth="1"/>
    <col min="3" max="3" width="9.83203125" style="352" customWidth="1"/>
    <col min="4" max="4" width="12.1640625" style="352" customWidth="1"/>
    <col min="5" max="5" width="10" style="352" customWidth="1"/>
    <col min="6" max="6" width="9.83203125" style="352" bestFit="1" customWidth="1"/>
    <col min="7" max="8" width="10.1640625" style="352" customWidth="1"/>
    <col min="9" max="9" width="9" style="352" customWidth="1"/>
    <col min="10" max="10" width="10.33203125" style="352" customWidth="1"/>
    <col min="11" max="11" width="10.5" style="352" customWidth="1"/>
    <col min="12" max="13" width="9.33203125" style="352"/>
    <col min="14" max="15" width="0" style="352" hidden="1" customWidth="1"/>
    <col min="16" max="16384" width="9.33203125" style="352"/>
  </cols>
  <sheetData>
    <row r="1" spans="1:12" ht="15.75" x14ac:dyDescent="0.25">
      <c r="B1" s="353" t="s">
        <v>33</v>
      </c>
      <c r="C1" s="354"/>
      <c r="D1" s="354"/>
      <c r="E1" s="354"/>
      <c r="F1" s="354"/>
      <c r="G1" s="354"/>
      <c r="H1" s="354"/>
      <c r="I1" s="354"/>
      <c r="J1" s="354"/>
      <c r="K1" s="353"/>
    </row>
    <row r="2" spans="1:12" ht="15.75" x14ac:dyDescent="0.25">
      <c r="B2" s="353" t="s">
        <v>82</v>
      </c>
      <c r="C2" s="354"/>
      <c r="D2" s="354"/>
      <c r="E2" s="354"/>
      <c r="F2" s="354"/>
      <c r="G2" s="354"/>
      <c r="H2" s="354"/>
      <c r="I2" s="354"/>
      <c r="J2" s="354"/>
      <c r="K2" s="354"/>
    </row>
    <row r="3" spans="1:12" ht="15.75" x14ac:dyDescent="0.25">
      <c r="B3" s="353"/>
      <c r="C3" s="354"/>
      <c r="D3" s="354"/>
      <c r="E3" s="354"/>
      <c r="F3" s="354"/>
      <c r="G3" s="354"/>
      <c r="H3" s="354"/>
      <c r="I3" s="354"/>
      <c r="J3" s="354"/>
      <c r="K3" s="355" t="s">
        <v>83</v>
      </c>
    </row>
    <row r="4" spans="1:12" ht="5.25" customHeight="1" x14ac:dyDescent="0.2"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7"/>
    </row>
    <row r="5" spans="1:12" ht="51.75" customHeight="1" x14ac:dyDescent="0.2">
      <c r="A5" s="358"/>
      <c r="B5" s="359" t="s">
        <v>2</v>
      </c>
      <c r="C5" s="360" t="s">
        <v>38</v>
      </c>
      <c r="D5" s="360" t="s">
        <v>39</v>
      </c>
      <c r="E5" s="360" t="s">
        <v>40</v>
      </c>
      <c r="F5" s="360" t="s">
        <v>41</v>
      </c>
      <c r="G5" s="360" t="s">
        <v>42</v>
      </c>
      <c r="H5" s="360" t="s">
        <v>43</v>
      </c>
      <c r="I5" s="356"/>
      <c r="J5" s="356"/>
      <c r="K5" s="356"/>
      <c r="L5" s="357"/>
    </row>
    <row r="6" spans="1:12" ht="18.75" customHeight="1" x14ac:dyDescent="0.2">
      <c r="B6" s="361"/>
      <c r="C6" s="449" t="s">
        <v>34</v>
      </c>
      <c r="D6" s="450" t="s">
        <v>35</v>
      </c>
      <c r="E6" s="450" t="s">
        <v>35</v>
      </c>
      <c r="F6" s="450" t="s">
        <v>36</v>
      </c>
      <c r="G6" s="450" t="s">
        <v>35</v>
      </c>
      <c r="H6" s="450" t="s">
        <v>35</v>
      </c>
      <c r="I6" s="356"/>
      <c r="J6" s="356"/>
      <c r="K6" s="356"/>
      <c r="L6" s="357"/>
    </row>
    <row r="7" spans="1:12" x14ac:dyDescent="0.2">
      <c r="C7" s="362" t="s">
        <v>19</v>
      </c>
      <c r="D7" s="362" t="s">
        <v>20</v>
      </c>
      <c r="E7" s="362" t="s">
        <v>21</v>
      </c>
      <c r="F7" s="362" t="s">
        <v>22</v>
      </c>
      <c r="G7" s="362" t="s">
        <v>23</v>
      </c>
      <c r="H7" s="362" t="s">
        <v>29</v>
      </c>
      <c r="I7" s="356"/>
      <c r="J7" s="356"/>
      <c r="K7" s="356"/>
    </row>
    <row r="8" spans="1:12" ht="6" customHeight="1" x14ac:dyDescent="0.2">
      <c r="I8" s="356"/>
      <c r="J8" s="356"/>
      <c r="K8" s="356"/>
    </row>
    <row r="9" spans="1:12" ht="15.75" x14ac:dyDescent="0.25">
      <c r="B9" s="363" t="str">
        <f>C36</f>
        <v>SCCT Frame "F" x1 - East Side Resource (5,550')</v>
      </c>
      <c r="C9" s="357"/>
      <c r="E9" s="357"/>
      <c r="F9" s="357"/>
      <c r="G9" s="357"/>
      <c r="H9" s="357"/>
      <c r="I9" s="356"/>
      <c r="J9" s="356"/>
      <c r="K9" s="356"/>
      <c r="L9" s="357"/>
    </row>
    <row r="10" spans="1:12" x14ac:dyDescent="0.2">
      <c r="B10" s="364">
        <v>2014</v>
      </c>
      <c r="C10" s="365">
        <f>C38</f>
        <v>829.91895118819082</v>
      </c>
      <c r="D10" s="366">
        <f>ROUND(C10*$C$43,2)</f>
        <v>64.459999999999994</v>
      </c>
      <c r="E10" s="366">
        <f>C41</f>
        <v>28.471231364272921</v>
      </c>
      <c r="F10" s="366">
        <f>C42</f>
        <v>4.8499819761645719</v>
      </c>
      <c r="G10" s="367">
        <f t="shared" ref="G10:G12" si="0">ROUND(F10*(8.76*$C$44)+E10,2)</f>
        <v>42.49</v>
      </c>
      <c r="H10" s="367">
        <f t="shared" ref="H10:H12" si="1">ROUND(D10+G10,2)</f>
        <v>106.95</v>
      </c>
      <c r="I10" s="356"/>
      <c r="J10" s="356"/>
      <c r="K10" s="356"/>
      <c r="L10" s="357"/>
    </row>
    <row r="11" spans="1:12" x14ac:dyDescent="0.2">
      <c r="B11" s="364">
        <v>2015</v>
      </c>
      <c r="C11" s="365"/>
      <c r="D11" s="366">
        <f t="shared" ref="D11:F17" si="2">ROUND(D10*(1+INDEX($D$145:$D$151,MATCH($B11,$C$145:$C$151,0))),2)</f>
        <v>64.849999999999994</v>
      </c>
      <c r="E11" s="366">
        <f t="shared" si="2"/>
        <v>28.64</v>
      </c>
      <c r="F11" s="366">
        <f t="shared" si="2"/>
        <v>4.88</v>
      </c>
      <c r="G11" s="367">
        <f t="shared" si="0"/>
        <v>42.75</v>
      </c>
      <c r="H11" s="367">
        <f t="shared" si="1"/>
        <v>107.6</v>
      </c>
      <c r="I11" s="356"/>
      <c r="J11" s="356"/>
      <c r="K11" s="356"/>
      <c r="L11" s="357"/>
    </row>
    <row r="12" spans="1:12" x14ac:dyDescent="0.2">
      <c r="B12" s="364">
        <v>2016</v>
      </c>
      <c r="C12" s="365"/>
      <c r="D12" s="366">
        <f t="shared" si="2"/>
        <v>65.63</v>
      </c>
      <c r="E12" s="366">
        <f t="shared" si="2"/>
        <v>28.98</v>
      </c>
      <c r="F12" s="366">
        <f t="shared" si="2"/>
        <v>4.9400000000000004</v>
      </c>
      <c r="G12" s="367">
        <f t="shared" si="0"/>
        <v>43.26</v>
      </c>
      <c r="H12" s="367">
        <f t="shared" si="1"/>
        <v>108.89</v>
      </c>
      <c r="I12" s="356"/>
      <c r="J12" s="356"/>
      <c r="K12" s="356"/>
    </row>
    <row r="13" spans="1:12" x14ac:dyDescent="0.2">
      <c r="B13" s="364">
        <f t="shared" ref="B13:B29" si="3">B12+1</f>
        <v>2017</v>
      </c>
      <c r="C13" s="368"/>
      <c r="D13" s="366">
        <f t="shared" si="2"/>
        <v>67.069999999999993</v>
      </c>
      <c r="E13" s="366">
        <f t="shared" si="2"/>
        <v>29.62</v>
      </c>
      <c r="F13" s="366">
        <f t="shared" si="2"/>
        <v>5.05</v>
      </c>
      <c r="G13" s="367">
        <f t="shared" ref="G13:G29" si="4">ROUND(F13*(8.76*$C$44)+E13,2)</f>
        <v>44.22</v>
      </c>
      <c r="H13" s="367">
        <f t="shared" ref="H13:H29" si="5">ROUND(D13+G13,2)</f>
        <v>111.29</v>
      </c>
      <c r="I13" s="356"/>
      <c r="J13" s="356"/>
      <c r="K13" s="356"/>
    </row>
    <row r="14" spans="1:12" x14ac:dyDescent="0.2">
      <c r="B14" s="364">
        <f t="shared" si="3"/>
        <v>2018</v>
      </c>
      <c r="C14" s="368"/>
      <c r="D14" s="366">
        <f t="shared" si="2"/>
        <v>68.680000000000007</v>
      </c>
      <c r="E14" s="366">
        <f t="shared" si="2"/>
        <v>30.33</v>
      </c>
      <c r="F14" s="366">
        <f t="shared" si="2"/>
        <v>5.17</v>
      </c>
      <c r="G14" s="367">
        <f t="shared" si="4"/>
        <v>45.28</v>
      </c>
      <c r="H14" s="367">
        <f t="shared" si="5"/>
        <v>113.96</v>
      </c>
      <c r="I14" s="369"/>
      <c r="J14" s="369"/>
      <c r="K14" s="370"/>
    </row>
    <row r="15" spans="1:12" x14ac:dyDescent="0.2">
      <c r="B15" s="364">
        <f t="shared" si="3"/>
        <v>2019</v>
      </c>
      <c r="C15" s="368"/>
      <c r="D15" s="366">
        <f t="shared" si="2"/>
        <v>70.33</v>
      </c>
      <c r="E15" s="366">
        <f t="shared" si="2"/>
        <v>31.06</v>
      </c>
      <c r="F15" s="366">
        <f t="shared" si="2"/>
        <v>5.29</v>
      </c>
      <c r="G15" s="367">
        <f t="shared" si="4"/>
        <v>46.35</v>
      </c>
      <c r="H15" s="367">
        <f t="shared" si="5"/>
        <v>116.68</v>
      </c>
      <c r="I15" s="369"/>
      <c r="J15" s="369"/>
      <c r="K15" s="370"/>
    </row>
    <row r="16" spans="1:12" x14ac:dyDescent="0.2">
      <c r="B16" s="364">
        <f t="shared" si="3"/>
        <v>2020</v>
      </c>
      <c r="C16" s="368"/>
      <c r="D16" s="366">
        <f t="shared" si="2"/>
        <v>72.02</v>
      </c>
      <c r="E16" s="366">
        <f t="shared" si="2"/>
        <v>31.81</v>
      </c>
      <c r="F16" s="366">
        <f t="shared" si="2"/>
        <v>5.42</v>
      </c>
      <c r="G16" s="367">
        <f t="shared" si="4"/>
        <v>47.48</v>
      </c>
      <c r="H16" s="367">
        <f t="shared" si="5"/>
        <v>119.5</v>
      </c>
      <c r="I16" s="369"/>
      <c r="J16" s="369"/>
      <c r="K16" s="370"/>
    </row>
    <row r="17" spans="2:12" x14ac:dyDescent="0.2">
      <c r="B17" s="364">
        <f t="shared" si="3"/>
        <v>2021</v>
      </c>
      <c r="C17" s="368"/>
      <c r="D17" s="366">
        <f t="shared" si="2"/>
        <v>73.75</v>
      </c>
      <c r="E17" s="366">
        <f t="shared" si="2"/>
        <v>32.57</v>
      </c>
      <c r="F17" s="366">
        <f t="shared" si="2"/>
        <v>5.55</v>
      </c>
      <c r="G17" s="367">
        <f t="shared" si="4"/>
        <v>48.61</v>
      </c>
      <c r="H17" s="367">
        <f t="shared" si="5"/>
        <v>122.36</v>
      </c>
      <c r="I17" s="369"/>
      <c r="J17" s="369"/>
      <c r="K17" s="370"/>
    </row>
    <row r="18" spans="2:12" x14ac:dyDescent="0.2">
      <c r="B18" s="364">
        <f t="shared" si="3"/>
        <v>2022</v>
      </c>
      <c r="C18" s="368"/>
      <c r="D18" s="371">
        <f t="shared" ref="D18:F24" si="6">ROUND(D17*(1+INDEX($G$145:$G$151,MATCH($B18,$F$145:$F$151,0))),2)</f>
        <v>75.45</v>
      </c>
      <c r="E18" s="371">
        <f t="shared" si="6"/>
        <v>33.32</v>
      </c>
      <c r="F18" s="371">
        <f t="shared" si="6"/>
        <v>5.68</v>
      </c>
      <c r="G18" s="367">
        <f t="shared" ref="G18:G19" si="7">ROUND(F18*(8.76*$C$44)+E18,2)</f>
        <v>49.74</v>
      </c>
      <c r="H18" s="367">
        <f t="shared" ref="H18:H19" si="8">ROUND(D18+G18,2)</f>
        <v>125.19</v>
      </c>
      <c r="I18" s="369"/>
      <c r="J18" s="369"/>
      <c r="K18" s="370"/>
    </row>
    <row r="19" spans="2:12" x14ac:dyDescent="0.2">
      <c r="B19" s="364">
        <f t="shared" si="3"/>
        <v>2023</v>
      </c>
      <c r="C19" s="368"/>
      <c r="D19" s="371">
        <f t="shared" si="6"/>
        <v>77.19</v>
      </c>
      <c r="E19" s="371">
        <f t="shared" si="6"/>
        <v>34.090000000000003</v>
      </c>
      <c r="F19" s="371">
        <f t="shared" si="6"/>
        <v>5.81</v>
      </c>
      <c r="G19" s="367">
        <f t="shared" si="7"/>
        <v>50.89</v>
      </c>
      <c r="H19" s="367">
        <f t="shared" si="8"/>
        <v>128.08000000000001</v>
      </c>
      <c r="I19" s="369"/>
      <c r="J19" s="369"/>
      <c r="K19" s="370"/>
    </row>
    <row r="20" spans="2:12" x14ac:dyDescent="0.2">
      <c r="B20" s="364">
        <f t="shared" si="3"/>
        <v>2024</v>
      </c>
      <c r="C20" s="368"/>
      <c r="D20" s="371">
        <f t="shared" si="6"/>
        <v>78.97</v>
      </c>
      <c r="E20" s="371">
        <f t="shared" si="6"/>
        <v>34.869999999999997</v>
      </c>
      <c r="F20" s="371">
        <f t="shared" si="6"/>
        <v>5.94</v>
      </c>
      <c r="G20" s="367">
        <f t="shared" si="4"/>
        <v>52.04</v>
      </c>
      <c r="H20" s="367">
        <f t="shared" si="5"/>
        <v>131.01</v>
      </c>
      <c r="I20" s="369"/>
      <c r="J20" s="369"/>
      <c r="K20" s="370"/>
    </row>
    <row r="21" spans="2:12" x14ac:dyDescent="0.2">
      <c r="B21" s="364">
        <f t="shared" si="3"/>
        <v>2025</v>
      </c>
      <c r="C21" s="368"/>
      <c r="D21" s="371">
        <f t="shared" si="6"/>
        <v>80.709999999999994</v>
      </c>
      <c r="E21" s="371">
        <f t="shared" si="6"/>
        <v>35.64</v>
      </c>
      <c r="F21" s="371">
        <f t="shared" si="6"/>
        <v>6.07</v>
      </c>
      <c r="G21" s="367">
        <f t="shared" si="4"/>
        <v>53.19</v>
      </c>
      <c r="H21" s="367">
        <f t="shared" si="5"/>
        <v>133.9</v>
      </c>
      <c r="I21" s="369"/>
      <c r="J21" s="369"/>
      <c r="K21" s="370"/>
    </row>
    <row r="22" spans="2:12" x14ac:dyDescent="0.2">
      <c r="B22" s="364">
        <f t="shared" si="3"/>
        <v>2026</v>
      </c>
      <c r="C22" s="368"/>
      <c r="D22" s="371">
        <f t="shared" si="6"/>
        <v>82.49</v>
      </c>
      <c r="E22" s="371">
        <f t="shared" si="6"/>
        <v>36.42</v>
      </c>
      <c r="F22" s="371">
        <f t="shared" si="6"/>
        <v>6.2</v>
      </c>
      <c r="G22" s="367">
        <f t="shared" si="4"/>
        <v>54.34</v>
      </c>
      <c r="H22" s="367">
        <f t="shared" si="5"/>
        <v>136.83000000000001</v>
      </c>
      <c r="I22" s="369"/>
      <c r="J22" s="369"/>
      <c r="K22" s="370"/>
    </row>
    <row r="23" spans="2:12" x14ac:dyDescent="0.2">
      <c r="B23" s="372">
        <f t="shared" si="3"/>
        <v>2027</v>
      </c>
      <c r="C23" s="373"/>
      <c r="D23" s="374">
        <f t="shared" si="6"/>
        <v>84.3</v>
      </c>
      <c r="E23" s="374">
        <f t="shared" si="6"/>
        <v>37.22</v>
      </c>
      <c r="F23" s="374">
        <f t="shared" si="6"/>
        <v>6.34</v>
      </c>
      <c r="G23" s="375">
        <f t="shared" si="4"/>
        <v>55.55</v>
      </c>
      <c r="H23" s="375">
        <f t="shared" si="5"/>
        <v>139.85</v>
      </c>
      <c r="I23" s="369"/>
      <c r="J23" s="369"/>
      <c r="K23" s="370"/>
    </row>
    <row r="24" spans="2:12" x14ac:dyDescent="0.2">
      <c r="B24" s="364">
        <f t="shared" si="3"/>
        <v>2028</v>
      </c>
      <c r="C24" s="368"/>
      <c r="D24" s="371">
        <f t="shared" si="6"/>
        <v>86.15</v>
      </c>
      <c r="E24" s="371">
        <f t="shared" si="6"/>
        <v>38.04</v>
      </c>
      <c r="F24" s="371">
        <f t="shared" si="6"/>
        <v>6.48</v>
      </c>
      <c r="G24" s="367">
        <f t="shared" si="4"/>
        <v>56.77</v>
      </c>
      <c r="H24" s="367">
        <f t="shared" si="5"/>
        <v>142.91999999999999</v>
      </c>
      <c r="I24" s="369"/>
      <c r="J24" s="369"/>
      <c r="K24" s="370"/>
    </row>
    <row r="25" spans="2:12" x14ac:dyDescent="0.2">
      <c r="B25" s="364">
        <f t="shared" si="3"/>
        <v>2029</v>
      </c>
      <c r="C25" s="368"/>
      <c r="D25" s="371">
        <f t="shared" ref="D25:F29" si="9">ROUND(D24*(1+INDEX($J$145:$J$152,MATCH($B25,$I$145:$I$152,0))),2)</f>
        <v>87.96</v>
      </c>
      <c r="E25" s="371">
        <f t="shared" si="9"/>
        <v>38.840000000000003</v>
      </c>
      <c r="F25" s="371">
        <f t="shared" si="9"/>
        <v>6.62</v>
      </c>
      <c r="G25" s="367">
        <f t="shared" ref="G25:G28" si="10">ROUND(F25*(8.76*$C$44)+E25,2)</f>
        <v>57.98</v>
      </c>
      <c r="H25" s="367">
        <f t="shared" si="5"/>
        <v>145.94</v>
      </c>
      <c r="I25" s="369"/>
      <c r="J25" s="369"/>
      <c r="K25" s="370"/>
    </row>
    <row r="26" spans="2:12" x14ac:dyDescent="0.2">
      <c r="B26" s="364">
        <f t="shared" si="3"/>
        <v>2030</v>
      </c>
      <c r="C26" s="368"/>
      <c r="D26" s="371">
        <f t="shared" si="9"/>
        <v>89.9</v>
      </c>
      <c r="E26" s="371">
        <f t="shared" si="9"/>
        <v>39.69</v>
      </c>
      <c r="F26" s="371">
        <f t="shared" si="9"/>
        <v>6.77</v>
      </c>
      <c r="G26" s="367">
        <f t="shared" si="10"/>
        <v>59.26</v>
      </c>
      <c r="H26" s="367">
        <f t="shared" si="5"/>
        <v>149.16</v>
      </c>
      <c r="I26" s="369"/>
      <c r="J26" s="369"/>
      <c r="K26" s="370"/>
    </row>
    <row r="27" spans="2:12" x14ac:dyDescent="0.2">
      <c r="B27" s="364">
        <f t="shared" si="3"/>
        <v>2031</v>
      </c>
      <c r="C27" s="368"/>
      <c r="D27" s="371">
        <f t="shared" si="9"/>
        <v>91.88</v>
      </c>
      <c r="E27" s="371">
        <f t="shared" si="9"/>
        <v>40.56</v>
      </c>
      <c r="F27" s="371">
        <f t="shared" si="9"/>
        <v>6.92</v>
      </c>
      <c r="G27" s="367">
        <f t="shared" si="10"/>
        <v>60.56</v>
      </c>
      <c r="H27" s="367">
        <f t="shared" si="5"/>
        <v>152.44</v>
      </c>
      <c r="I27" s="369"/>
      <c r="J27" s="369"/>
      <c r="K27" s="370"/>
    </row>
    <row r="28" spans="2:12" x14ac:dyDescent="0.2">
      <c r="B28" s="364">
        <f t="shared" si="3"/>
        <v>2032</v>
      </c>
      <c r="C28" s="368"/>
      <c r="D28" s="371">
        <f t="shared" si="9"/>
        <v>93.9</v>
      </c>
      <c r="E28" s="371">
        <f t="shared" si="9"/>
        <v>41.45</v>
      </c>
      <c r="F28" s="371">
        <f t="shared" si="9"/>
        <v>7.07</v>
      </c>
      <c r="G28" s="367">
        <f t="shared" si="10"/>
        <v>61.89</v>
      </c>
      <c r="H28" s="367">
        <f t="shared" si="5"/>
        <v>155.79</v>
      </c>
      <c r="I28" s="369"/>
      <c r="J28" s="369"/>
      <c r="K28" s="370"/>
    </row>
    <row r="29" spans="2:12" x14ac:dyDescent="0.2">
      <c r="B29" s="364">
        <f t="shared" si="3"/>
        <v>2033</v>
      </c>
      <c r="C29" s="368"/>
      <c r="D29" s="371">
        <f t="shared" si="9"/>
        <v>95.97</v>
      </c>
      <c r="E29" s="371">
        <f t="shared" si="9"/>
        <v>42.36</v>
      </c>
      <c r="F29" s="371">
        <f t="shared" si="9"/>
        <v>7.23</v>
      </c>
      <c r="G29" s="367">
        <f t="shared" si="4"/>
        <v>63.26</v>
      </c>
      <c r="H29" s="367">
        <f t="shared" si="5"/>
        <v>159.22999999999999</v>
      </c>
      <c r="I29" s="369"/>
      <c r="J29" s="369"/>
      <c r="K29" s="370"/>
    </row>
    <row r="30" spans="2:12" ht="12.75" customHeight="1" x14ac:dyDescent="0.2">
      <c r="B30" s="376"/>
      <c r="C30" s="377"/>
      <c r="D30" s="378"/>
      <c r="E30" s="371"/>
      <c r="F30" s="371"/>
      <c r="G30" s="371"/>
      <c r="H30" s="371"/>
      <c r="I30" s="369"/>
      <c r="J30" s="369"/>
      <c r="K30" s="379"/>
    </row>
    <row r="31" spans="2:12" x14ac:dyDescent="0.2">
      <c r="B31" s="380" t="str">
        <f>B76</f>
        <v>Source: (a)(c)(d)</v>
      </c>
      <c r="C31" s="380"/>
      <c r="D31" s="380" t="str">
        <f>D76</f>
        <v>Plant Costs  - 2015 IRP - Table 6.2</v>
      </c>
      <c r="E31" s="380"/>
      <c r="F31" s="380"/>
      <c r="G31" s="380"/>
      <c r="H31" s="380"/>
      <c r="I31" s="380"/>
      <c r="J31" s="380"/>
      <c r="K31" s="380"/>
      <c r="L31" s="380"/>
    </row>
    <row r="32" spans="2:12" x14ac:dyDescent="0.2">
      <c r="B32" s="380"/>
      <c r="C32" s="381" t="str">
        <f>D7</f>
        <v>(b)</v>
      </c>
      <c r="D32" s="382" t="str">
        <f>"= "&amp;C7&amp;" x "&amp;C43&amp;D43</f>
        <v>= (a) x 0.07767  Payment Factor</v>
      </c>
      <c r="E32" s="380"/>
      <c r="F32" s="380"/>
      <c r="G32" s="380"/>
      <c r="H32" s="380"/>
      <c r="I32" s="380"/>
      <c r="J32" s="380"/>
      <c r="K32" s="380"/>
      <c r="L32" s="380"/>
    </row>
    <row r="33" spans="2:12" x14ac:dyDescent="0.2">
      <c r="B33" s="380"/>
      <c r="C33" s="381" t="str">
        <f>G7</f>
        <v>(e)</v>
      </c>
      <c r="D33" s="382" t="str">
        <f>"= "&amp;$F$7&amp;" x  (8.76 x "&amp;TEXT(C44,"?%")&amp;" ) + "&amp;$E$7</f>
        <v>= (d) x  (8.76 x 33% ) + (c)</v>
      </c>
      <c r="E33" s="380"/>
      <c r="F33" s="380"/>
      <c r="G33" s="380"/>
      <c r="H33" s="380"/>
      <c r="I33" s="380"/>
      <c r="J33" s="380"/>
      <c r="K33" s="380"/>
      <c r="L33" s="380"/>
    </row>
    <row r="34" spans="2:12" x14ac:dyDescent="0.2">
      <c r="B34" s="380"/>
      <c r="C34" s="381" t="str">
        <f>H7</f>
        <v>(f)</v>
      </c>
      <c r="D34" s="382" t="str">
        <f>"= "&amp;D7&amp;" + "&amp;G7</f>
        <v>= (b) + (e)</v>
      </c>
      <c r="E34" s="380"/>
      <c r="F34" s="380"/>
      <c r="G34" s="380"/>
      <c r="H34" s="380"/>
      <c r="I34" s="380"/>
      <c r="J34" s="380"/>
      <c r="K34" s="380"/>
      <c r="L34" s="380"/>
    </row>
    <row r="35" spans="2:12" ht="6" customHeight="1" thickBot="1" x14ac:dyDescent="0.25">
      <c r="B35" s="380"/>
      <c r="C35" s="381"/>
      <c r="D35" s="382"/>
      <c r="E35" s="380"/>
      <c r="F35" s="380"/>
      <c r="G35" s="380"/>
      <c r="H35" s="380"/>
      <c r="I35" s="380"/>
      <c r="J35" s="380"/>
      <c r="K35" s="380"/>
      <c r="L35" s="380"/>
    </row>
    <row r="36" spans="2:12" ht="13.5" thickBot="1" x14ac:dyDescent="0.25">
      <c r="B36" s="380"/>
      <c r="C36" s="383" t="s">
        <v>256</v>
      </c>
      <c r="D36" s="384"/>
      <c r="E36" s="385"/>
      <c r="F36" s="384"/>
      <c r="G36" s="384"/>
      <c r="H36" s="384"/>
      <c r="I36" s="384"/>
      <c r="J36" s="386"/>
      <c r="K36" s="387"/>
    </row>
    <row r="37" spans="2:12" x14ac:dyDescent="0.2">
      <c r="C37" s="380">
        <v>185.0314239906719</v>
      </c>
      <c r="D37" s="352" t="s">
        <v>84</v>
      </c>
      <c r="E37" s="380"/>
      <c r="J37" s="380"/>
      <c r="K37" s="380"/>
    </row>
    <row r="38" spans="2:12" x14ac:dyDescent="0.2">
      <c r="B38" s="352" t="s">
        <v>281</v>
      </c>
      <c r="C38" s="388">
        <v>829.91895118819082</v>
      </c>
      <c r="D38" s="352" t="s">
        <v>85</v>
      </c>
      <c r="E38" s="389"/>
      <c r="F38" s="390"/>
      <c r="G38" s="391"/>
      <c r="H38" s="380"/>
      <c r="I38" s="380"/>
      <c r="J38" s="380"/>
      <c r="K38" s="380"/>
    </row>
    <row r="39" spans="2:12" x14ac:dyDescent="0.2">
      <c r="C39" s="392">
        <v>9.6343766851055967</v>
      </c>
      <c r="D39" s="393" t="str">
        <f>E108</f>
        <v xml:space="preserve">  Fixed O&amp;M &amp; Capitalized O&amp;M</v>
      </c>
      <c r="E39" s="389"/>
      <c r="F39" s="390"/>
      <c r="G39" s="391"/>
      <c r="H39" s="380"/>
      <c r="I39" s="380"/>
      <c r="J39" s="380"/>
      <c r="K39" s="380"/>
    </row>
    <row r="40" spans="2:12" x14ac:dyDescent="0.2">
      <c r="C40" s="394">
        <v>18.836854679167324</v>
      </c>
      <c r="D40" s="393" t="str">
        <f t="shared" ref="D40:D42" si="11">E109</f>
        <v xml:space="preserve">  Fixed Pipeline</v>
      </c>
      <c r="E40" s="389"/>
      <c r="F40" s="390"/>
      <c r="G40" s="391"/>
      <c r="H40" s="380"/>
      <c r="I40" s="380"/>
      <c r="J40" s="380"/>
      <c r="K40" s="380"/>
    </row>
    <row r="41" spans="2:12" x14ac:dyDescent="0.2">
      <c r="C41" s="392">
        <f>C39+C40</f>
        <v>28.471231364272921</v>
      </c>
      <c r="D41" s="393" t="str">
        <f t="shared" si="11"/>
        <v xml:space="preserve">  Fixed O&amp;M including Fixed Pipeline &amp; Capitalized O&amp;M ($/kW-Yr)</v>
      </c>
      <c r="E41" s="389"/>
      <c r="F41" s="390"/>
      <c r="G41" s="391"/>
      <c r="H41" s="380"/>
      <c r="I41" s="380"/>
      <c r="J41" s="380"/>
      <c r="K41" s="380"/>
    </row>
    <row r="42" spans="2:12" x14ac:dyDescent="0.2">
      <c r="B42" s="380"/>
      <c r="C42" s="392">
        <v>4.8499819761645719</v>
      </c>
      <c r="D42" s="393" t="str">
        <f t="shared" si="11"/>
        <v xml:space="preserve">  Variable O&amp;M Costs &amp; Capitalized Variable O&amp;M ($/MWh)</v>
      </c>
      <c r="E42" s="389"/>
      <c r="F42" s="390"/>
      <c r="G42" s="391"/>
      <c r="H42" s="380"/>
      <c r="I42" s="380"/>
      <c r="J42" s="380"/>
      <c r="K42" s="380"/>
    </row>
    <row r="43" spans="2:12" x14ac:dyDescent="0.2">
      <c r="B43" s="380"/>
      <c r="C43" s="395">
        <v>7.7670000000000003E-2</v>
      </c>
      <c r="D43" s="352" t="s">
        <v>86</v>
      </c>
      <c r="E43" s="380"/>
      <c r="F43" s="380"/>
      <c r="G43" s="380"/>
      <c r="H43" s="380"/>
      <c r="I43" s="380"/>
      <c r="J43" s="380"/>
      <c r="K43" s="380"/>
    </row>
    <row r="44" spans="2:12" x14ac:dyDescent="0.2">
      <c r="B44" s="380"/>
      <c r="C44" s="396">
        <v>0.33</v>
      </c>
      <c r="D44" s="352" t="s">
        <v>87</v>
      </c>
      <c r="E44" s="380"/>
      <c r="F44" s="380"/>
      <c r="G44" s="380"/>
      <c r="H44" s="380"/>
      <c r="I44" s="380"/>
      <c r="J44" s="380"/>
      <c r="K44" s="380"/>
    </row>
    <row r="45" spans="2:12" ht="3.75" customHeight="1" x14ac:dyDescent="0.2">
      <c r="B45" s="380"/>
      <c r="C45" s="380"/>
      <c r="D45" s="397"/>
      <c r="E45" s="398"/>
      <c r="F45" s="399"/>
      <c r="G45" s="380"/>
      <c r="H45" s="380"/>
      <c r="I45" s="380"/>
      <c r="J45" s="380"/>
      <c r="K45" s="380"/>
    </row>
    <row r="46" spans="2:12" ht="15.75" x14ac:dyDescent="0.25">
      <c r="B46" s="353" t="str">
        <f>$B$1</f>
        <v>Table 7</v>
      </c>
      <c r="C46" s="354"/>
      <c r="D46" s="354"/>
      <c r="E46" s="354"/>
      <c r="F46" s="354"/>
      <c r="G46" s="354"/>
      <c r="H46" s="354"/>
      <c r="I46" s="354"/>
      <c r="J46" s="354"/>
      <c r="K46" s="353"/>
    </row>
    <row r="47" spans="2:12" ht="15.75" x14ac:dyDescent="0.25">
      <c r="B47" s="353" t="str">
        <f>B2</f>
        <v>Total Cost of Displaceable Resources</v>
      </c>
      <c r="C47" s="353"/>
      <c r="D47" s="354"/>
      <c r="E47" s="354"/>
      <c r="F47" s="354"/>
      <c r="G47" s="354"/>
      <c r="H47" s="354"/>
      <c r="I47" s="354"/>
      <c r="J47" s="354"/>
      <c r="K47" s="354"/>
    </row>
    <row r="48" spans="2:12" ht="15.75" x14ac:dyDescent="0.25">
      <c r="B48" s="353"/>
      <c r="C48" s="354"/>
      <c r="D48" s="354"/>
      <c r="E48" s="354"/>
      <c r="F48" s="354"/>
      <c r="G48" s="354"/>
      <c r="H48" s="354"/>
      <c r="I48" s="354"/>
      <c r="J48" s="354"/>
      <c r="K48" s="355" t="s">
        <v>88</v>
      </c>
    </row>
    <row r="49" spans="2:12" ht="7.5" customHeight="1" x14ac:dyDescent="0.2"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7"/>
    </row>
    <row r="50" spans="2:12" ht="51.75" customHeight="1" x14ac:dyDescent="0.2">
      <c r="B50" s="359" t="s">
        <v>2</v>
      </c>
      <c r="C50" s="360" t="s">
        <v>38</v>
      </c>
      <c r="D50" s="360" t="s">
        <v>39</v>
      </c>
      <c r="E50" s="360" t="s">
        <v>40</v>
      </c>
      <c r="F50" s="360" t="s">
        <v>41</v>
      </c>
      <c r="G50" s="360" t="s">
        <v>42</v>
      </c>
      <c r="H50" s="360" t="s">
        <v>43</v>
      </c>
      <c r="I50" s="400" t="s">
        <v>30</v>
      </c>
      <c r="J50" s="400" t="s">
        <v>114</v>
      </c>
      <c r="K50" s="401" t="s">
        <v>115</v>
      </c>
      <c r="L50" s="357"/>
    </row>
    <row r="51" spans="2:12" ht="18.75" customHeight="1" x14ac:dyDescent="0.2">
      <c r="B51" s="361"/>
      <c r="C51" s="449" t="s">
        <v>34</v>
      </c>
      <c r="D51" s="450" t="s">
        <v>35</v>
      </c>
      <c r="E51" s="450" t="s">
        <v>35</v>
      </c>
      <c r="F51" s="450" t="s">
        <v>36</v>
      </c>
      <c r="G51" s="450" t="s">
        <v>35</v>
      </c>
      <c r="H51" s="450" t="s">
        <v>35</v>
      </c>
      <c r="I51" s="451" t="s">
        <v>37</v>
      </c>
      <c r="J51" s="452" t="s">
        <v>116</v>
      </c>
      <c r="K51" s="452" t="s">
        <v>116</v>
      </c>
      <c r="L51" s="357"/>
    </row>
    <row r="52" spans="2:12" x14ac:dyDescent="0.2">
      <c r="C52" s="362" t="s">
        <v>19</v>
      </c>
      <c r="D52" s="362" t="s">
        <v>20</v>
      </c>
      <c r="E52" s="362" t="s">
        <v>21</v>
      </c>
      <c r="F52" s="362" t="s">
        <v>22</v>
      </c>
      <c r="G52" s="362" t="s">
        <v>23</v>
      </c>
      <c r="H52" s="362" t="s">
        <v>29</v>
      </c>
      <c r="I52" s="402" t="s">
        <v>117</v>
      </c>
      <c r="J52" s="402" t="s">
        <v>118</v>
      </c>
      <c r="K52" s="402" t="s">
        <v>119</v>
      </c>
    </row>
    <row r="53" spans="2:12" ht="6" customHeight="1" x14ac:dyDescent="0.2">
      <c r="I53" s="356"/>
      <c r="J53" s="356"/>
      <c r="K53" s="356"/>
    </row>
    <row r="54" spans="2:12" ht="15.75" x14ac:dyDescent="0.25">
      <c r="B54" s="363" t="str">
        <f>C84</f>
        <v>Blended 635 MW East Side - 477 MW West Side - CCCT</v>
      </c>
      <c r="C54" s="357"/>
      <c r="E54" s="357"/>
      <c r="F54" s="357"/>
      <c r="G54" s="357"/>
      <c r="H54" s="357"/>
      <c r="I54" s="356"/>
      <c r="J54" s="356"/>
      <c r="K54" s="356"/>
      <c r="L54" s="357"/>
    </row>
    <row r="55" spans="2:12" x14ac:dyDescent="0.2">
      <c r="B55" s="364">
        <v>2014</v>
      </c>
      <c r="C55" s="365">
        <f>I90</f>
        <v>932</v>
      </c>
      <c r="D55" s="366">
        <f>ROUND(C55*$C$113,2)</f>
        <v>71.599999999999994</v>
      </c>
      <c r="E55" s="366">
        <f>J90</f>
        <v>23.9</v>
      </c>
      <c r="F55" s="366">
        <f>J95</f>
        <v>1.84</v>
      </c>
      <c r="G55" s="367">
        <f t="shared" ref="G55:G74" si="12">ROUND(F55*(8.76*$G$95)+E55,2)</f>
        <v>35.1</v>
      </c>
      <c r="H55" s="367">
        <f t="shared" ref="H55:H57" si="13">ROUND(D55+G55,2)</f>
        <v>106.7</v>
      </c>
      <c r="I55" s="356"/>
      <c r="J55" s="356"/>
      <c r="K55" s="356"/>
      <c r="L55" s="357"/>
    </row>
    <row r="56" spans="2:12" x14ac:dyDescent="0.2">
      <c r="B56" s="364">
        <v>2015</v>
      </c>
      <c r="C56" s="365"/>
      <c r="D56" s="366">
        <f t="shared" ref="D56:F62" si="14">ROUND(D55*(1+INDEX($D$145:$D$151,MATCH($B56,$C$145:$C$151,0))),2)</f>
        <v>72.03</v>
      </c>
      <c r="E56" s="366">
        <f t="shared" si="14"/>
        <v>24.04</v>
      </c>
      <c r="F56" s="366">
        <f t="shared" si="14"/>
        <v>1.85</v>
      </c>
      <c r="G56" s="367">
        <f t="shared" si="12"/>
        <v>35.299999999999997</v>
      </c>
      <c r="H56" s="371">
        <f t="shared" si="13"/>
        <v>107.33</v>
      </c>
      <c r="I56" s="356"/>
      <c r="J56" s="356"/>
      <c r="K56" s="356"/>
      <c r="L56" s="357"/>
    </row>
    <row r="57" spans="2:12" x14ac:dyDescent="0.2">
      <c r="B57" s="364">
        <v>2016</v>
      </c>
      <c r="C57" s="365"/>
      <c r="D57" s="366">
        <f t="shared" si="14"/>
        <v>72.89</v>
      </c>
      <c r="E57" s="366">
        <f t="shared" si="14"/>
        <v>24.33</v>
      </c>
      <c r="F57" s="366">
        <f t="shared" si="14"/>
        <v>1.87</v>
      </c>
      <c r="G57" s="367">
        <f t="shared" si="12"/>
        <v>35.71</v>
      </c>
      <c r="H57" s="371">
        <f t="shared" si="13"/>
        <v>108.6</v>
      </c>
      <c r="I57" s="356"/>
      <c r="J57" s="356"/>
      <c r="K57" s="356"/>
    </row>
    <row r="58" spans="2:12" x14ac:dyDescent="0.2">
      <c r="B58" s="364">
        <f t="shared" ref="B58:B74" si="15">B57+1</f>
        <v>2017</v>
      </c>
      <c r="C58" s="368"/>
      <c r="D58" s="366">
        <f t="shared" si="14"/>
        <v>74.489999999999995</v>
      </c>
      <c r="E58" s="366">
        <f t="shared" si="14"/>
        <v>24.87</v>
      </c>
      <c r="F58" s="366">
        <f t="shared" si="14"/>
        <v>1.91</v>
      </c>
      <c r="G58" s="367">
        <f t="shared" si="12"/>
        <v>36.5</v>
      </c>
      <c r="H58" s="371">
        <f t="shared" ref="H58:H67" si="16">ROUND(D58+G58,2)</f>
        <v>110.99</v>
      </c>
      <c r="I58" s="356"/>
      <c r="J58" s="356"/>
      <c r="K58" s="356"/>
    </row>
    <row r="59" spans="2:12" s="357" customFormat="1" x14ac:dyDescent="0.2">
      <c r="B59" s="376">
        <f t="shared" si="15"/>
        <v>2018</v>
      </c>
      <c r="C59" s="377"/>
      <c r="D59" s="366">
        <f t="shared" si="14"/>
        <v>76.28</v>
      </c>
      <c r="E59" s="366">
        <f t="shared" si="14"/>
        <v>25.47</v>
      </c>
      <c r="F59" s="366">
        <f t="shared" si="14"/>
        <v>1.96</v>
      </c>
      <c r="G59" s="371">
        <f t="shared" si="12"/>
        <v>37.4</v>
      </c>
      <c r="H59" s="367">
        <f t="shared" si="16"/>
        <v>113.68</v>
      </c>
      <c r="I59" s="356"/>
      <c r="J59" s="356"/>
      <c r="K59" s="356"/>
    </row>
    <row r="60" spans="2:12" s="357" customFormat="1" x14ac:dyDescent="0.2">
      <c r="B60" s="376">
        <f t="shared" si="15"/>
        <v>2019</v>
      </c>
      <c r="C60" s="377"/>
      <c r="D60" s="366">
        <f t="shared" si="14"/>
        <v>78.11</v>
      </c>
      <c r="E60" s="366">
        <f t="shared" si="14"/>
        <v>26.08</v>
      </c>
      <c r="F60" s="366">
        <f t="shared" si="14"/>
        <v>2.0099999999999998</v>
      </c>
      <c r="G60" s="371">
        <f t="shared" si="12"/>
        <v>38.32</v>
      </c>
      <c r="H60" s="371">
        <f t="shared" si="16"/>
        <v>116.43</v>
      </c>
      <c r="I60" s="356"/>
      <c r="J60" s="356"/>
      <c r="K60" s="356"/>
    </row>
    <row r="61" spans="2:12" s="357" customFormat="1" x14ac:dyDescent="0.2">
      <c r="B61" s="376">
        <f t="shared" si="15"/>
        <v>2020</v>
      </c>
      <c r="C61" s="377"/>
      <c r="D61" s="366">
        <f t="shared" si="14"/>
        <v>79.98</v>
      </c>
      <c r="E61" s="366">
        <f t="shared" si="14"/>
        <v>26.71</v>
      </c>
      <c r="F61" s="366">
        <f t="shared" si="14"/>
        <v>2.06</v>
      </c>
      <c r="G61" s="371">
        <f t="shared" si="12"/>
        <v>39.25</v>
      </c>
      <c r="H61" s="371">
        <f t="shared" si="16"/>
        <v>119.23</v>
      </c>
      <c r="I61" s="356"/>
      <c r="J61" s="356"/>
      <c r="K61" s="356"/>
    </row>
    <row r="62" spans="2:12" s="357" customFormat="1" x14ac:dyDescent="0.2">
      <c r="B62" s="376">
        <f t="shared" si="15"/>
        <v>2021</v>
      </c>
      <c r="C62" s="377"/>
      <c r="D62" s="366">
        <f t="shared" si="14"/>
        <v>81.900000000000006</v>
      </c>
      <c r="E62" s="366">
        <f t="shared" si="14"/>
        <v>27.35</v>
      </c>
      <c r="F62" s="366">
        <f t="shared" si="14"/>
        <v>2.11</v>
      </c>
      <c r="G62" s="371">
        <f t="shared" si="12"/>
        <v>40.200000000000003</v>
      </c>
      <c r="H62" s="371">
        <f t="shared" ref="H62:H63" si="17">ROUND(D62+G62,2)</f>
        <v>122.1</v>
      </c>
      <c r="I62" s="356"/>
      <c r="J62" s="356"/>
      <c r="K62" s="356"/>
    </row>
    <row r="63" spans="2:12" x14ac:dyDescent="0.2">
      <c r="B63" s="364">
        <f t="shared" si="15"/>
        <v>2022</v>
      </c>
      <c r="C63" s="368"/>
      <c r="D63" s="366">
        <f t="shared" ref="D63:F69" si="18">ROUND(D62*(1+INDEX($G$145:$G$151,MATCH($B63,$F$145:$F$151,0))),2)</f>
        <v>83.78</v>
      </c>
      <c r="E63" s="366">
        <f t="shared" si="18"/>
        <v>27.98</v>
      </c>
      <c r="F63" s="366">
        <f t="shared" si="18"/>
        <v>2.16</v>
      </c>
      <c r="G63" s="371">
        <f t="shared" si="12"/>
        <v>41.13</v>
      </c>
      <c r="H63" s="371">
        <f t="shared" si="17"/>
        <v>124.91</v>
      </c>
      <c r="I63" s="356"/>
      <c r="J63" s="356"/>
      <c r="K63" s="356"/>
    </row>
    <row r="64" spans="2:12" x14ac:dyDescent="0.2">
      <c r="B64" s="364">
        <f t="shared" si="15"/>
        <v>2023</v>
      </c>
      <c r="C64" s="368"/>
      <c r="D64" s="366">
        <f t="shared" si="18"/>
        <v>85.71</v>
      </c>
      <c r="E64" s="366">
        <f t="shared" si="18"/>
        <v>28.62</v>
      </c>
      <c r="F64" s="366">
        <f t="shared" si="18"/>
        <v>2.21</v>
      </c>
      <c r="G64" s="371">
        <f t="shared" si="12"/>
        <v>42.07</v>
      </c>
      <c r="H64" s="371">
        <f t="shared" si="16"/>
        <v>127.78</v>
      </c>
      <c r="I64" s="356"/>
      <c r="J64" s="356"/>
      <c r="K64" s="356"/>
    </row>
    <row r="65" spans="2:11" x14ac:dyDescent="0.2">
      <c r="B65" s="364">
        <f t="shared" si="15"/>
        <v>2024</v>
      </c>
      <c r="C65" s="368"/>
      <c r="D65" s="371">
        <f t="shared" si="18"/>
        <v>87.68</v>
      </c>
      <c r="E65" s="371">
        <f t="shared" si="18"/>
        <v>29.28</v>
      </c>
      <c r="F65" s="371">
        <f t="shared" si="18"/>
        <v>2.2599999999999998</v>
      </c>
      <c r="G65" s="371">
        <f t="shared" si="12"/>
        <v>43.04</v>
      </c>
      <c r="H65" s="371">
        <f t="shared" si="16"/>
        <v>130.72</v>
      </c>
      <c r="I65" s="356"/>
      <c r="J65" s="356"/>
      <c r="K65" s="356"/>
    </row>
    <row r="66" spans="2:11" x14ac:dyDescent="0.2">
      <c r="B66" s="364">
        <f t="shared" si="15"/>
        <v>2025</v>
      </c>
      <c r="C66" s="368"/>
      <c r="D66" s="371">
        <f t="shared" si="18"/>
        <v>89.61</v>
      </c>
      <c r="E66" s="371">
        <f t="shared" si="18"/>
        <v>29.92</v>
      </c>
      <c r="F66" s="371">
        <f t="shared" si="18"/>
        <v>2.31</v>
      </c>
      <c r="G66" s="371">
        <f t="shared" si="12"/>
        <v>43.98</v>
      </c>
      <c r="H66" s="371">
        <f t="shared" si="16"/>
        <v>133.59</v>
      </c>
      <c r="I66" s="356"/>
      <c r="J66" s="356"/>
      <c r="K66" s="356"/>
    </row>
    <row r="67" spans="2:11" x14ac:dyDescent="0.2">
      <c r="B67" s="364">
        <f t="shared" si="15"/>
        <v>2026</v>
      </c>
      <c r="C67" s="368"/>
      <c r="D67" s="371">
        <f t="shared" si="18"/>
        <v>91.58</v>
      </c>
      <c r="E67" s="371">
        <f t="shared" si="18"/>
        <v>30.58</v>
      </c>
      <c r="F67" s="371">
        <f t="shared" si="18"/>
        <v>2.36</v>
      </c>
      <c r="G67" s="371">
        <f t="shared" si="12"/>
        <v>44.95</v>
      </c>
      <c r="H67" s="371">
        <f t="shared" si="16"/>
        <v>136.53</v>
      </c>
      <c r="I67" s="356"/>
      <c r="J67" s="356"/>
      <c r="K67" s="356"/>
    </row>
    <row r="68" spans="2:11" x14ac:dyDescent="0.2">
      <c r="B68" s="372">
        <f t="shared" si="15"/>
        <v>2027</v>
      </c>
      <c r="C68" s="373"/>
      <c r="D68" s="374">
        <f t="shared" si="18"/>
        <v>93.59</v>
      </c>
      <c r="E68" s="374">
        <f t="shared" si="18"/>
        <v>31.25</v>
      </c>
      <c r="F68" s="374">
        <f t="shared" si="18"/>
        <v>2.41</v>
      </c>
      <c r="G68" s="374">
        <f t="shared" si="12"/>
        <v>45.92</v>
      </c>
      <c r="H68" s="374">
        <f t="shared" ref="H68:H74" si="19">ROUND(D68+G68,2)</f>
        <v>139.51</v>
      </c>
      <c r="I68" s="403"/>
      <c r="J68" s="403"/>
      <c r="K68" s="403"/>
    </row>
    <row r="69" spans="2:11" x14ac:dyDescent="0.2">
      <c r="B69" s="376">
        <f t="shared" si="15"/>
        <v>2028</v>
      </c>
      <c r="C69" s="377"/>
      <c r="D69" s="371">
        <f t="shared" si="18"/>
        <v>95.65</v>
      </c>
      <c r="E69" s="371">
        <f t="shared" si="18"/>
        <v>31.94</v>
      </c>
      <c r="F69" s="371">
        <f t="shared" si="18"/>
        <v>2.46</v>
      </c>
      <c r="G69" s="371">
        <f t="shared" si="12"/>
        <v>46.92</v>
      </c>
      <c r="H69" s="371">
        <f t="shared" si="19"/>
        <v>142.57</v>
      </c>
      <c r="I69" s="404">
        <f>VLOOKUP(B69,'Table 8'!$B$10:$F$27,4,FALSE)</f>
        <v>4.1500000000000004</v>
      </c>
      <c r="J69" s="404">
        <f t="shared" ref="J69:J74" si="20">ROUND($K$95*I69/1000,2)</f>
        <v>27.51</v>
      </c>
      <c r="K69" s="404">
        <f t="shared" ref="K69:K74" si="21">ROUND(H69*1000/8760/$G$95+J69,2)</f>
        <v>50.93</v>
      </c>
    </row>
    <row r="70" spans="2:11" x14ac:dyDescent="0.2">
      <c r="B70" s="376">
        <f t="shared" si="15"/>
        <v>2029</v>
      </c>
      <c r="C70" s="377"/>
      <c r="D70" s="371">
        <f t="shared" ref="D70:F74" si="22">ROUND(D69*(1+INDEX($J$145:$J$152,MATCH($B70,$I$145:$I$152,0))),2)</f>
        <v>97.66</v>
      </c>
      <c r="E70" s="371">
        <f t="shared" si="22"/>
        <v>32.61</v>
      </c>
      <c r="F70" s="371">
        <f t="shared" si="22"/>
        <v>2.5099999999999998</v>
      </c>
      <c r="G70" s="371">
        <f t="shared" si="12"/>
        <v>47.89</v>
      </c>
      <c r="H70" s="371">
        <f t="shared" si="19"/>
        <v>145.55000000000001</v>
      </c>
      <c r="I70" s="404">
        <f>VLOOKUP(B70,'Table 8'!$B$10:$F$27,4,FALSE)</f>
        <v>4.49</v>
      </c>
      <c r="J70" s="404">
        <f t="shared" si="20"/>
        <v>29.77</v>
      </c>
      <c r="K70" s="404">
        <f t="shared" si="21"/>
        <v>53.68</v>
      </c>
    </row>
    <row r="71" spans="2:11" x14ac:dyDescent="0.2">
      <c r="B71" s="376">
        <f t="shared" si="15"/>
        <v>2030</v>
      </c>
      <c r="C71" s="377"/>
      <c r="D71" s="371">
        <f t="shared" si="22"/>
        <v>99.81</v>
      </c>
      <c r="E71" s="371">
        <f t="shared" si="22"/>
        <v>33.33</v>
      </c>
      <c r="F71" s="371">
        <f t="shared" si="22"/>
        <v>2.57</v>
      </c>
      <c r="G71" s="371">
        <f t="shared" si="12"/>
        <v>48.98</v>
      </c>
      <c r="H71" s="371">
        <f t="shared" si="19"/>
        <v>148.79</v>
      </c>
      <c r="I71" s="404">
        <f>VLOOKUP(B71,'Table 8'!$B$10:$F$27,4,FALSE)</f>
        <v>4.84</v>
      </c>
      <c r="J71" s="404">
        <f t="shared" si="20"/>
        <v>32.090000000000003</v>
      </c>
      <c r="K71" s="404">
        <f t="shared" si="21"/>
        <v>56.53</v>
      </c>
    </row>
    <row r="72" spans="2:11" x14ac:dyDescent="0.2">
      <c r="B72" s="376">
        <f t="shared" si="15"/>
        <v>2031</v>
      </c>
      <c r="C72" s="377"/>
      <c r="D72" s="371">
        <f t="shared" si="22"/>
        <v>102.01</v>
      </c>
      <c r="E72" s="371">
        <f t="shared" si="22"/>
        <v>34.06</v>
      </c>
      <c r="F72" s="371">
        <f t="shared" si="22"/>
        <v>2.63</v>
      </c>
      <c r="G72" s="371">
        <f t="shared" si="12"/>
        <v>50.07</v>
      </c>
      <c r="H72" s="371">
        <f t="shared" si="19"/>
        <v>152.08000000000001</v>
      </c>
      <c r="I72" s="404">
        <f>VLOOKUP(B72,'Table 8'!$B$10:$F$27,4,FALSE)</f>
        <v>5.07</v>
      </c>
      <c r="J72" s="404">
        <f t="shared" si="20"/>
        <v>33.61</v>
      </c>
      <c r="K72" s="404">
        <f t="shared" si="21"/>
        <v>58.59</v>
      </c>
    </row>
    <row r="73" spans="2:11" x14ac:dyDescent="0.2">
      <c r="B73" s="376">
        <f t="shared" si="15"/>
        <v>2032</v>
      </c>
      <c r="C73" s="377"/>
      <c r="D73" s="371">
        <f t="shared" si="22"/>
        <v>104.25</v>
      </c>
      <c r="E73" s="371">
        <f t="shared" si="22"/>
        <v>34.81</v>
      </c>
      <c r="F73" s="371">
        <f t="shared" si="22"/>
        <v>2.69</v>
      </c>
      <c r="G73" s="371">
        <f t="shared" si="12"/>
        <v>51.19</v>
      </c>
      <c r="H73" s="371">
        <f t="shared" si="19"/>
        <v>155.44</v>
      </c>
      <c r="I73" s="404">
        <f>VLOOKUP(B73,'Table 8'!$B$10:$F$27,4,FALSE)</f>
        <v>5.32</v>
      </c>
      <c r="J73" s="404">
        <f t="shared" si="20"/>
        <v>35.270000000000003</v>
      </c>
      <c r="K73" s="404">
        <f t="shared" si="21"/>
        <v>60.8</v>
      </c>
    </row>
    <row r="74" spans="2:11" x14ac:dyDescent="0.2">
      <c r="B74" s="376">
        <f t="shared" si="15"/>
        <v>2033</v>
      </c>
      <c r="C74" s="377"/>
      <c r="D74" s="371">
        <f t="shared" si="22"/>
        <v>106.54</v>
      </c>
      <c r="E74" s="371">
        <f t="shared" si="22"/>
        <v>35.58</v>
      </c>
      <c r="F74" s="371">
        <f t="shared" si="22"/>
        <v>2.75</v>
      </c>
      <c r="G74" s="371">
        <f t="shared" si="12"/>
        <v>52.32</v>
      </c>
      <c r="H74" s="371">
        <f t="shared" si="19"/>
        <v>158.86000000000001</v>
      </c>
      <c r="I74" s="404">
        <f>VLOOKUP(B74,'Table 8'!$B$10:$F$27,4,FALSE)</f>
        <v>5.68</v>
      </c>
      <c r="J74" s="404">
        <f t="shared" si="20"/>
        <v>37.659999999999997</v>
      </c>
      <c r="K74" s="404">
        <f t="shared" si="21"/>
        <v>63.75</v>
      </c>
    </row>
    <row r="75" spans="2:11" x14ac:dyDescent="0.2">
      <c r="B75" s="364"/>
      <c r="C75" s="368"/>
      <c r="D75" s="371"/>
      <c r="E75" s="371"/>
      <c r="F75" s="371"/>
      <c r="G75" s="371"/>
      <c r="H75" s="371"/>
      <c r="I75" s="404"/>
      <c r="J75" s="404"/>
      <c r="K75" s="404"/>
    </row>
    <row r="76" spans="2:11" x14ac:dyDescent="0.2">
      <c r="B76" s="393" t="s">
        <v>60</v>
      </c>
      <c r="C76" s="393"/>
      <c r="D76" s="380" t="s">
        <v>259</v>
      </c>
      <c r="E76" s="393"/>
      <c r="F76" s="393"/>
      <c r="G76" s="393"/>
      <c r="H76" s="393"/>
      <c r="I76" s="393"/>
    </row>
    <row r="77" spans="2:11" x14ac:dyDescent="0.2">
      <c r="C77" s="408" t="str">
        <f>D52</f>
        <v>(b)</v>
      </c>
      <c r="D77" s="371" t="str">
        <f>"= "&amp;C52&amp;" x "&amp;C113&amp;E113</f>
        <v>= (a) x 0.07682  Payment Factor</v>
      </c>
    </row>
    <row r="78" spans="2:11" x14ac:dyDescent="0.2">
      <c r="C78" s="408" t="str">
        <f>G52</f>
        <v>(e)</v>
      </c>
      <c r="D78" s="371" t="str">
        <f>"= "&amp;$F$52&amp;" x  (8.76 x "&amp;TEXT(G95,"0.0%")&amp;") + "&amp;$E$52</f>
        <v>= (d) x  (8.76 x 69.5%) + (c)</v>
      </c>
    </row>
    <row r="79" spans="2:11" x14ac:dyDescent="0.2">
      <c r="C79" s="408" t="str">
        <f>H52</f>
        <v>(f)</v>
      </c>
      <c r="D79" s="371" t="str">
        <f>"= "&amp;D52&amp;" + "&amp;G52</f>
        <v>= (b) + (e)</v>
      </c>
    </row>
    <row r="80" spans="2:11" x14ac:dyDescent="0.2">
      <c r="C80" s="408" t="str">
        <f>I52</f>
        <v>(g)</v>
      </c>
      <c r="D80" s="409" t="str">
        <f>'Table 8'!B1&amp;" - "&amp;'Table 8'!B2</f>
        <v>Table 8 - Natural Gas Price - Delivered to Plant</v>
      </c>
    </row>
    <row r="81" spans="3:11" x14ac:dyDescent="0.2">
      <c r="C81" s="408" t="str">
        <f>J52</f>
        <v>(h)</v>
      </c>
      <c r="D81" s="371" t="str">
        <f>"= "&amp;TEXT(K95,"?,0")&amp;" MMBtu/MWH x "&amp;I52</f>
        <v>= 6,630 MMBtu/MWH x (g)</v>
      </c>
    </row>
    <row r="82" spans="3:11" x14ac:dyDescent="0.2">
      <c r="C82" s="408" t="str">
        <f>K52</f>
        <v>(i)</v>
      </c>
      <c r="D82" s="410" t="str">
        <f>"= "&amp;H52&amp;" / (8.76 x 'Capacity Factor' ) + "&amp;J52</f>
        <v>= (f) / (8.76 x 'Capacity Factor' ) + (h)</v>
      </c>
    </row>
    <row r="83" spans="3:11" ht="13.5" thickBot="1" x14ac:dyDescent="0.25">
      <c r="C83" s="408"/>
      <c r="D83" s="410"/>
    </row>
    <row r="84" spans="3:11" ht="13.5" thickBot="1" x14ac:dyDescent="0.25">
      <c r="C84" s="383" t="s">
        <v>300</v>
      </c>
      <c r="D84" s="411"/>
      <c r="E84" s="411"/>
      <c r="F84" s="411"/>
      <c r="G84" s="411"/>
      <c r="H84" s="411"/>
      <c r="I84" s="411"/>
      <c r="J84" s="412"/>
      <c r="K84" s="413"/>
    </row>
    <row r="85" spans="3:11" ht="5.25" customHeight="1" x14ac:dyDescent="0.2"/>
    <row r="86" spans="3:11" ht="5.25" customHeight="1" x14ac:dyDescent="0.2"/>
    <row r="87" spans="3:11" x14ac:dyDescent="0.2">
      <c r="C87" s="414" t="s">
        <v>73</v>
      </c>
      <c r="D87" s="415"/>
      <c r="E87" s="414"/>
      <c r="F87" s="354"/>
      <c r="G87" s="416" t="s">
        <v>70</v>
      </c>
      <c r="H87" s="416" t="s">
        <v>72</v>
      </c>
      <c r="I87" s="416" t="s">
        <v>67</v>
      </c>
      <c r="J87" s="416" t="s">
        <v>68</v>
      </c>
    </row>
    <row r="88" spans="3:11" x14ac:dyDescent="0.2">
      <c r="C88" s="352" t="str">
        <f>C118</f>
        <v xml:space="preserve">West side, CCCT Dry "J", Adv 1x1 </v>
      </c>
      <c r="G88" s="417">
        <f>SUM(C119:D119)</f>
        <v>477.39352450877141</v>
      </c>
      <c r="H88" s="418">
        <f>G88/G90</f>
        <v>0.4291588489060888</v>
      </c>
      <c r="I88" s="388">
        <f>C107</f>
        <v>867.28588316327671</v>
      </c>
      <c r="J88" s="392">
        <f>C110</f>
        <v>30.833885913621518</v>
      </c>
    </row>
    <row r="89" spans="3:11" x14ac:dyDescent="0.2">
      <c r="C89" s="352" t="str">
        <f>C131</f>
        <v>East Side,  CCCT - DJohns Dry "F", 2x1</v>
      </c>
      <c r="G89" s="419">
        <f>SUM(C132:D132)</f>
        <v>635</v>
      </c>
      <c r="H89" s="420">
        <f>1-H88</f>
        <v>0.5708411510939112</v>
      </c>
      <c r="I89" s="421">
        <f>D107</f>
        <v>980.89484515701486</v>
      </c>
      <c r="J89" s="394">
        <f>D110</f>
        <v>18.692876148769365</v>
      </c>
    </row>
    <row r="90" spans="3:11" x14ac:dyDescent="0.2">
      <c r="C90" s="352" t="s">
        <v>74</v>
      </c>
      <c r="G90" s="417">
        <f>G88+G89</f>
        <v>1112.3935245087714</v>
      </c>
      <c r="H90" s="418">
        <f>H88+H89</f>
        <v>1</v>
      </c>
      <c r="I90" s="388">
        <f>ROUND(((G88*I88)+(G89*I89))/G90,0)</f>
        <v>932</v>
      </c>
      <c r="J90" s="392">
        <f>ROUND(((G88*J88)+(G89*J89))/G90,2)</f>
        <v>23.9</v>
      </c>
    </row>
    <row r="91" spans="3:11" x14ac:dyDescent="0.2">
      <c r="F91" s="417"/>
      <c r="G91" s="418"/>
      <c r="H91" s="388"/>
      <c r="I91" s="392"/>
    </row>
    <row r="92" spans="3:11" x14ac:dyDescent="0.2">
      <c r="C92" s="414" t="s">
        <v>73</v>
      </c>
      <c r="D92" s="415"/>
      <c r="E92" s="414"/>
      <c r="F92" s="416" t="s">
        <v>70</v>
      </c>
      <c r="G92" s="416" t="s">
        <v>75</v>
      </c>
      <c r="H92" s="416" t="s">
        <v>61</v>
      </c>
      <c r="I92" s="416" t="s">
        <v>72</v>
      </c>
      <c r="J92" s="416" t="s">
        <v>91</v>
      </c>
      <c r="K92" s="416" t="s">
        <v>69</v>
      </c>
    </row>
    <row r="93" spans="3:11" x14ac:dyDescent="0.2">
      <c r="C93" s="422" t="str">
        <f>C88</f>
        <v xml:space="preserve">West side, CCCT Dry "J", Adv 1x1 </v>
      </c>
      <c r="D93" s="422"/>
      <c r="E93" s="422"/>
      <c r="F93" s="352">
        <f>C106</f>
        <v>477.39352450877141</v>
      </c>
      <c r="G93" s="418">
        <f>C114</f>
        <v>0.72055218903691154</v>
      </c>
      <c r="H93" s="352">
        <f>G93*F93</f>
        <v>343.98694911684174</v>
      </c>
      <c r="I93" s="418">
        <f>H93/H95</f>
        <v>0.44521738402995015</v>
      </c>
      <c r="J93" s="392">
        <f>C111</f>
        <v>2.2377832918938303</v>
      </c>
      <c r="K93" s="423">
        <f>C112</f>
        <v>6526.3573335195952</v>
      </c>
    </row>
    <row r="94" spans="3:11" x14ac:dyDescent="0.2">
      <c r="C94" s="422" t="str">
        <f>C89</f>
        <v>East Side,  CCCT - DJohns Dry "F", 2x1</v>
      </c>
      <c r="D94" s="422"/>
      <c r="E94" s="422"/>
      <c r="F94" s="424">
        <f>D106</f>
        <v>635</v>
      </c>
      <c r="G94" s="420">
        <f>D114</f>
        <v>0.6750236220472442</v>
      </c>
      <c r="H94" s="424">
        <f>G94*F94</f>
        <v>428.64000000000004</v>
      </c>
      <c r="I94" s="420">
        <f>1-I93</f>
        <v>0.55478261597004985</v>
      </c>
      <c r="J94" s="394">
        <f>D111</f>
        <v>1.5171492072207036</v>
      </c>
      <c r="K94" s="425">
        <f>D112</f>
        <v>6719.3697732362825</v>
      </c>
    </row>
    <row r="95" spans="3:11" x14ac:dyDescent="0.2">
      <c r="C95" s="352" t="s">
        <v>76</v>
      </c>
      <c r="F95" s="352">
        <f>F93+F94</f>
        <v>1112.3935245087714</v>
      </c>
      <c r="G95" s="426">
        <f>ROUND(H95/F95,3)</f>
        <v>0.69499999999999995</v>
      </c>
      <c r="H95" s="352">
        <f>SUM(H93:H94)</f>
        <v>772.62694911684184</v>
      </c>
      <c r="I95" s="418">
        <f>I93+I94</f>
        <v>1</v>
      </c>
      <c r="J95" s="392">
        <f>ROUND(($I93*J93)+($I94*J94),2)</f>
        <v>1.84</v>
      </c>
      <c r="K95" s="417">
        <f>ROUND(($I93*K93)+($I94*K94),-1)</f>
        <v>6630</v>
      </c>
    </row>
    <row r="96" spans="3:11" x14ac:dyDescent="0.2">
      <c r="G96" s="426"/>
      <c r="I96" s="418"/>
      <c r="J96" s="392"/>
      <c r="K96" s="427" t="s">
        <v>92</v>
      </c>
    </row>
    <row r="97" spans="2:15" ht="3" customHeight="1" x14ac:dyDescent="0.2">
      <c r="M97" s="364"/>
      <c r="O97" s="405"/>
    </row>
    <row r="98" spans="2:15" ht="15.75" x14ac:dyDescent="0.25">
      <c r="B98" s="353" t="str">
        <f>$B$46</f>
        <v>Table 7</v>
      </c>
      <c r="C98" s="354"/>
      <c r="D98" s="354"/>
      <c r="E98" s="354"/>
      <c r="F98" s="354"/>
      <c r="G98" s="354"/>
      <c r="H98" s="354"/>
      <c r="I98" s="354"/>
      <c r="J98" s="354"/>
      <c r="K98" s="353"/>
      <c r="M98" s="364"/>
      <c r="N98" s="405"/>
      <c r="O98" s="405"/>
    </row>
    <row r="99" spans="2:15" ht="15.75" x14ac:dyDescent="0.25">
      <c r="B99" s="353" t="str">
        <f>B2</f>
        <v>Total Cost of Displaceable Resources</v>
      </c>
      <c r="C99" s="406"/>
      <c r="D99" s="354"/>
      <c r="E99" s="354"/>
      <c r="F99" s="354"/>
      <c r="G99" s="354"/>
      <c r="H99" s="354"/>
      <c r="I99" s="354"/>
      <c r="J99" s="354"/>
      <c r="K99" s="354"/>
      <c r="M99" s="364"/>
      <c r="N99" s="405"/>
      <c r="O99" s="405"/>
    </row>
    <row r="100" spans="2:15" ht="15.75" x14ac:dyDescent="0.25">
      <c r="B100" s="353"/>
      <c r="C100" s="354"/>
      <c r="D100" s="354"/>
      <c r="E100" s="354"/>
      <c r="F100" s="354"/>
      <c r="G100" s="354"/>
      <c r="H100" s="354"/>
      <c r="I100" s="354"/>
      <c r="J100" s="354"/>
      <c r="K100" s="355" t="s">
        <v>89</v>
      </c>
      <c r="M100" s="364"/>
      <c r="N100" s="405"/>
      <c r="O100" s="405"/>
    </row>
    <row r="101" spans="2:15" ht="5.25" customHeight="1" x14ac:dyDescent="0.2">
      <c r="B101" s="356"/>
      <c r="C101" s="356"/>
      <c r="D101" s="356"/>
      <c r="E101" s="356"/>
      <c r="F101" s="356"/>
      <c r="G101" s="356"/>
      <c r="H101" s="356"/>
      <c r="I101" s="356"/>
      <c r="J101" s="356"/>
      <c r="K101" s="356"/>
      <c r="L101" s="357"/>
      <c r="M101" s="364"/>
      <c r="N101" s="405"/>
      <c r="O101" s="405"/>
    </row>
    <row r="102" spans="2:15" ht="15" x14ac:dyDescent="0.25">
      <c r="B102" s="406" t="s">
        <v>90</v>
      </c>
      <c r="C102" s="407"/>
      <c r="D102" s="407"/>
      <c r="E102" s="407"/>
      <c r="F102" s="407"/>
      <c r="G102" s="407"/>
      <c r="H102" s="407"/>
      <c r="I102" s="407"/>
      <c r="J102" s="407"/>
      <c r="K102" s="407"/>
      <c r="M102" s="364"/>
      <c r="N102" s="405"/>
      <c r="O102" s="405"/>
    </row>
    <row r="104" spans="2:15" x14ac:dyDescent="0.2">
      <c r="B104" s="428" t="s">
        <v>300</v>
      </c>
    </row>
    <row r="105" spans="2:15" x14ac:dyDescent="0.2">
      <c r="C105" s="429" t="s">
        <v>165</v>
      </c>
      <c r="D105" s="429" t="s">
        <v>158</v>
      </c>
      <c r="E105" s="430" t="str">
        <f>D76</f>
        <v>Plant Costs  - 2015 IRP - Table 6.2</v>
      </c>
      <c r="F105" s="431"/>
      <c r="G105" s="431"/>
      <c r="H105" s="431"/>
      <c r="I105" s="431"/>
      <c r="J105" s="431"/>
      <c r="K105" s="432"/>
    </row>
    <row r="106" spans="2:15" x14ac:dyDescent="0.2">
      <c r="C106" s="393">
        <f>SUM(C119:D119)</f>
        <v>477.39352450877141</v>
      </c>
      <c r="D106" s="393">
        <f>SUM(C132:D132)</f>
        <v>635</v>
      </c>
      <c r="E106" s="393" t="s">
        <v>84</v>
      </c>
      <c r="F106" s="393"/>
      <c r="G106" s="393"/>
      <c r="H106" s="433"/>
      <c r="I106" s="393"/>
      <c r="J106" s="393"/>
      <c r="K106" s="393"/>
    </row>
    <row r="107" spans="2:15" x14ac:dyDescent="0.2">
      <c r="B107" s="352" t="s">
        <v>281</v>
      </c>
      <c r="C107" s="388">
        <f>($C$119*C120+$D$119*D120)/$C$106</f>
        <v>867.28588316327671</v>
      </c>
      <c r="D107" s="388">
        <f>($C$132*C133+$D$132*D133)/$D$106</f>
        <v>980.89484515701486</v>
      </c>
      <c r="E107" s="393" t="s">
        <v>109</v>
      </c>
      <c r="F107" s="393"/>
      <c r="G107" s="393"/>
      <c r="H107" s="393"/>
      <c r="I107" s="393"/>
      <c r="J107" s="393"/>
      <c r="K107" s="393"/>
    </row>
    <row r="108" spans="2:15" x14ac:dyDescent="0.2">
      <c r="C108" s="392">
        <f>($C$119*C121+$D$119*D121)/$C$106</f>
        <v>6.8219090717711515</v>
      </c>
      <c r="D108" s="392">
        <f>($C$132*C134+$D$132*D134)/$D$106</f>
        <v>5.0165254663429106</v>
      </c>
      <c r="E108" s="393" t="s">
        <v>124</v>
      </c>
      <c r="F108" s="393"/>
      <c r="G108" s="393"/>
      <c r="H108" s="393"/>
      <c r="I108" s="393"/>
      <c r="J108" s="393"/>
      <c r="K108" s="393"/>
    </row>
    <row r="109" spans="2:15" x14ac:dyDescent="0.2">
      <c r="C109" s="394">
        <f>($C$119*C122+$D$119*D122)/$C$106</f>
        <v>24.011976841850366</v>
      </c>
      <c r="D109" s="394">
        <f>($C$132*C135+$D$132*D135)/$D$106</f>
        <v>13.676350682426454</v>
      </c>
      <c r="E109" s="393" t="s">
        <v>113</v>
      </c>
      <c r="F109" s="393"/>
      <c r="G109" s="393"/>
      <c r="H109" s="393"/>
      <c r="I109" s="393"/>
      <c r="J109" s="393"/>
      <c r="K109" s="393"/>
    </row>
    <row r="110" spans="2:15" x14ac:dyDescent="0.2">
      <c r="C110" s="392">
        <f>C108+C109</f>
        <v>30.833885913621518</v>
      </c>
      <c r="D110" s="392">
        <f>D108+D109</f>
        <v>18.692876148769365</v>
      </c>
      <c r="E110" s="393" t="s">
        <v>125</v>
      </c>
      <c r="F110" s="393"/>
      <c r="G110" s="393"/>
      <c r="H110" s="393"/>
      <c r="I110" s="393"/>
      <c r="J110" s="393"/>
      <c r="K110" s="393"/>
    </row>
    <row r="111" spans="2:15" x14ac:dyDescent="0.2">
      <c r="C111" s="392">
        <f>($C$119*C$127*C124+$D$119*D$127*D124)/SUM($C$119*C$127,$D$119*D$127)</f>
        <v>2.2377832918938303</v>
      </c>
      <c r="D111" s="392">
        <f>($C$132*C$140*C137+$D$132*D$140*D137)/SUM($C$132*C$140,$D$132*D$140)</f>
        <v>1.5171492072207036</v>
      </c>
      <c r="E111" s="393" t="s">
        <v>126</v>
      </c>
      <c r="F111" s="393"/>
      <c r="G111" s="393"/>
      <c r="H111" s="393"/>
      <c r="I111" s="393"/>
      <c r="J111" s="393"/>
      <c r="K111" s="393"/>
    </row>
    <row r="112" spans="2:15" x14ac:dyDescent="0.2">
      <c r="C112" s="434">
        <f>($C$119*C$127*C125+$D$119*D$127*D125)/SUM($C$119*C$127,$D$119*D$127)</f>
        <v>6526.3573335195952</v>
      </c>
      <c r="D112" s="434">
        <f>($C$132*C$140*C138+$D$132*D$140*D138)/SUM($C$132*C$140,$D$132*D$140)</f>
        <v>6719.3697732362825</v>
      </c>
      <c r="E112" s="393" t="s">
        <v>110</v>
      </c>
      <c r="F112" s="393"/>
      <c r="G112" s="393"/>
      <c r="H112" s="393"/>
      <c r="I112" s="393"/>
      <c r="J112" s="393"/>
      <c r="K112" s="393"/>
    </row>
    <row r="113" spans="2:16" x14ac:dyDescent="0.2">
      <c r="C113" s="435">
        <v>7.6819999999999999E-2</v>
      </c>
      <c r="D113" s="435">
        <f>C113</f>
        <v>7.6819999999999999E-2</v>
      </c>
      <c r="E113" s="393" t="s">
        <v>86</v>
      </c>
      <c r="F113" s="393"/>
      <c r="G113" s="393"/>
      <c r="H113" s="393"/>
      <c r="I113" s="393"/>
      <c r="J113" s="393"/>
      <c r="K113" s="393"/>
    </row>
    <row r="114" spans="2:16" x14ac:dyDescent="0.2">
      <c r="C114" s="437">
        <f>D128</f>
        <v>0.72055218903691154</v>
      </c>
      <c r="D114" s="437">
        <f>D141</f>
        <v>0.6750236220472442</v>
      </c>
      <c r="E114" s="393" t="s">
        <v>87</v>
      </c>
      <c r="F114" s="393"/>
      <c r="G114" s="393"/>
      <c r="H114" s="393"/>
      <c r="I114" s="393"/>
      <c r="J114" s="393"/>
      <c r="K114" s="393"/>
    </row>
    <row r="115" spans="2:16" x14ac:dyDescent="0.2">
      <c r="C115" s="393"/>
      <c r="D115" s="418">
        <f>ROUND(H95/F95,3)</f>
        <v>0.69499999999999995</v>
      </c>
      <c r="E115" s="393" t="s">
        <v>111</v>
      </c>
      <c r="F115" s="393"/>
      <c r="G115" s="393"/>
      <c r="H115" s="393"/>
      <c r="I115" s="393"/>
      <c r="J115" s="393"/>
      <c r="K115" s="393"/>
    </row>
    <row r="116" spans="2:16" x14ac:dyDescent="0.2">
      <c r="C116" s="393"/>
      <c r="D116" s="437">
        <f>MIN(1,ROUND(D115/0.56,3))</f>
        <v>1</v>
      </c>
      <c r="E116" s="438" t="str">
        <f>"  Capacity Factor - On-peak     "&amp;TEXT(D115,"0.0%")&amp;" / 56% (percent of hours on-peak) "</f>
        <v xml:space="preserve">  Capacity Factor - On-peak     69.5% / 56% (percent of hours on-peak) </v>
      </c>
      <c r="F116" s="393"/>
      <c r="G116" s="393"/>
      <c r="H116" s="393"/>
      <c r="I116" s="393"/>
      <c r="J116" s="393"/>
      <c r="K116" s="393"/>
    </row>
    <row r="117" spans="2:16" x14ac:dyDescent="0.2">
      <c r="C117" s="439"/>
      <c r="D117" s="440"/>
      <c r="N117" s="441" t="e">
        <f>#REF!+1</f>
        <v>#REF!</v>
      </c>
      <c r="O117" s="418">
        <v>1.6E-2</v>
      </c>
    </row>
    <row r="118" spans="2:16" x14ac:dyDescent="0.2">
      <c r="C118" s="442" t="s">
        <v>298</v>
      </c>
      <c r="D118" s="440"/>
      <c r="N118" s="441" t="e">
        <f t="shared" ref="N118:N121" si="23">N117+1</f>
        <v>#REF!</v>
      </c>
      <c r="O118" s="418">
        <v>1.6E-2</v>
      </c>
    </row>
    <row r="119" spans="2:16" x14ac:dyDescent="0.2">
      <c r="C119" s="393">
        <v>434.39352450877141</v>
      </c>
      <c r="D119" s="393">
        <v>43</v>
      </c>
      <c r="E119" s="393" t="s">
        <v>84</v>
      </c>
      <c r="F119" s="393"/>
      <c r="G119" s="393"/>
      <c r="H119" s="433"/>
      <c r="I119" s="393"/>
      <c r="J119" s="393"/>
      <c r="K119" s="393"/>
      <c r="N119" s="441" t="e">
        <f t="shared" si="23"/>
        <v>#REF!</v>
      </c>
      <c r="O119" s="418">
        <v>1.6E-2</v>
      </c>
      <c r="P119" s="443"/>
    </row>
    <row r="120" spans="2:16" x14ac:dyDescent="0.2">
      <c r="B120" s="352" t="s">
        <v>281</v>
      </c>
      <c r="C120" s="388">
        <v>905.55768081134613</v>
      </c>
      <c r="D120" s="388">
        <v>480.65748619510435</v>
      </c>
      <c r="E120" s="393" t="s">
        <v>109</v>
      </c>
      <c r="F120" s="393"/>
      <c r="G120" s="393"/>
      <c r="H120" s="393"/>
      <c r="I120" s="393"/>
      <c r="J120" s="393"/>
      <c r="K120" s="393"/>
      <c r="N120" s="441" t="e">
        <f t="shared" si="23"/>
        <v>#REF!</v>
      </c>
      <c r="O120" s="418">
        <v>1.7000000000000001E-2</v>
      </c>
    </row>
    <row r="121" spans="2:16" x14ac:dyDescent="0.2">
      <c r="C121" s="392">
        <v>7.4972001926917073</v>
      </c>
      <c r="D121" s="392">
        <v>0</v>
      </c>
      <c r="E121" s="393" t="s">
        <v>124</v>
      </c>
      <c r="F121" s="393"/>
      <c r="G121" s="393"/>
      <c r="H121" s="393"/>
      <c r="I121" s="393"/>
      <c r="J121" s="393"/>
      <c r="K121" s="393"/>
      <c r="N121" s="441" t="e">
        <f t="shared" si="23"/>
        <v>#REF!</v>
      </c>
      <c r="O121" s="418">
        <v>1.7000000000000001E-2</v>
      </c>
    </row>
    <row r="122" spans="2:16" x14ac:dyDescent="0.2">
      <c r="C122" s="394">
        <v>23.327442000000001</v>
      </c>
      <c r="D122" s="394">
        <v>30.927267599999997</v>
      </c>
      <c r="E122" s="393" t="s">
        <v>113</v>
      </c>
      <c r="F122" s="393"/>
    </row>
    <row r="123" spans="2:16" x14ac:dyDescent="0.2">
      <c r="C123" s="392">
        <f>C121+C122</f>
        <v>30.824642192691709</v>
      </c>
      <c r="D123" s="392">
        <f>D121+D122</f>
        <v>30.927267599999997</v>
      </c>
      <c r="E123" s="393" t="s">
        <v>125</v>
      </c>
      <c r="F123" s="393"/>
      <c r="P123" s="443"/>
    </row>
    <row r="124" spans="2:16" x14ac:dyDescent="0.2">
      <c r="C124" s="392">
        <v>2.2718625226523916</v>
      </c>
      <c r="D124" s="392">
        <v>0</v>
      </c>
      <c r="E124" s="393" t="s">
        <v>126</v>
      </c>
      <c r="F124" s="393"/>
    </row>
    <row r="125" spans="2:16" x14ac:dyDescent="0.2">
      <c r="C125" s="444">
        <v>6494.6100000000006</v>
      </c>
      <c r="D125" s="444">
        <v>8611.0186046511626</v>
      </c>
      <c r="E125" s="393" t="s">
        <v>110</v>
      </c>
      <c r="F125" s="393"/>
    </row>
    <row r="126" spans="2:16" x14ac:dyDescent="0.2">
      <c r="C126" s="435">
        <v>7.6819999999999999E-2</v>
      </c>
      <c r="D126" s="435">
        <f>C126</f>
        <v>7.6819999999999999E-2</v>
      </c>
      <c r="E126" s="393" t="s">
        <v>86</v>
      </c>
      <c r="F126" s="393"/>
    </row>
    <row r="127" spans="2:16" x14ac:dyDescent="0.2">
      <c r="C127" s="436">
        <v>0.78</v>
      </c>
      <c r="D127" s="436">
        <v>0.12</v>
      </c>
      <c r="E127" s="393" t="s">
        <v>87</v>
      </c>
      <c r="F127" s="393"/>
    </row>
    <row r="128" spans="2:16" x14ac:dyDescent="0.2">
      <c r="C128" s="393"/>
      <c r="D128" s="437">
        <f>(C119*C127+D119*D127)/SUM(C119:D119)</f>
        <v>0.72055218903691154</v>
      </c>
      <c r="E128" s="393" t="s">
        <v>111</v>
      </c>
      <c r="F128" s="393"/>
    </row>
    <row r="129" spans="2:16" x14ac:dyDescent="0.2">
      <c r="C129" s="393"/>
      <c r="D129" s="437">
        <f>MIN(1,ROUND(D128/0.56,3))</f>
        <v>1</v>
      </c>
      <c r="E129" s="393" t="str">
        <f>"  Capacity Factor - On-peak     "&amp;TEXT(D128,"0.0%")&amp;" / 56% (percent of hours on-peak) "</f>
        <v xml:space="preserve">  Capacity Factor - On-peak     72.1% / 56% (percent of hours on-peak) </v>
      </c>
      <c r="F129" s="393"/>
    </row>
    <row r="131" spans="2:16" x14ac:dyDescent="0.2">
      <c r="C131" s="442" t="s">
        <v>299</v>
      </c>
      <c r="D131" s="440"/>
    </row>
    <row r="132" spans="2:16" x14ac:dyDescent="0.2">
      <c r="C132" s="393">
        <v>534</v>
      </c>
      <c r="D132" s="393">
        <v>101</v>
      </c>
      <c r="E132" s="393" t="s">
        <v>84</v>
      </c>
      <c r="F132" s="393"/>
      <c r="G132" s="393"/>
      <c r="H132" s="433"/>
      <c r="I132" s="393"/>
      <c r="J132" s="393"/>
      <c r="K132" s="393"/>
      <c r="P132" s="443"/>
    </row>
    <row r="133" spans="2:16" x14ac:dyDescent="0.2">
      <c r="B133" s="352" t="s">
        <v>281</v>
      </c>
      <c r="C133" s="388">
        <v>1029.8527361187882</v>
      </c>
      <c r="D133" s="388">
        <v>722.04817413140142</v>
      </c>
      <c r="E133" s="393" t="s">
        <v>109</v>
      </c>
      <c r="F133" s="393"/>
      <c r="G133" s="393"/>
      <c r="H133" s="393"/>
      <c r="I133" s="393"/>
      <c r="J133" s="393"/>
      <c r="K133" s="393"/>
    </row>
    <row r="134" spans="2:16" x14ac:dyDescent="0.2">
      <c r="C134" s="392">
        <v>5.9653439534227495</v>
      </c>
      <c r="D134" s="392">
        <v>0</v>
      </c>
      <c r="E134" s="393" t="s">
        <v>124</v>
      </c>
      <c r="F134" s="393"/>
      <c r="G134" s="393"/>
      <c r="H134" s="393"/>
      <c r="I134" s="393"/>
      <c r="J134" s="393"/>
      <c r="K134" s="393"/>
    </row>
    <row r="135" spans="2:16" x14ac:dyDescent="0.2">
      <c r="C135" s="394">
        <v>12.780759398399997</v>
      </c>
      <c r="D135" s="394">
        <v>18.411457075199998</v>
      </c>
      <c r="E135" s="393" t="s">
        <v>113</v>
      </c>
      <c r="F135" s="393"/>
    </row>
    <row r="136" spans="2:16" x14ac:dyDescent="0.2">
      <c r="C136" s="392">
        <f>C134+C135</f>
        <v>18.746103351822747</v>
      </c>
      <c r="D136" s="392">
        <f>D134+D135</f>
        <v>18.411457075199998</v>
      </c>
      <c r="E136" s="393" t="s">
        <v>125</v>
      </c>
      <c r="F136" s="393"/>
    </row>
    <row r="137" spans="2:16" x14ac:dyDescent="0.2">
      <c r="C137" s="392">
        <v>1.5581423998597785</v>
      </c>
      <c r="D137" s="392">
        <v>0.1083633492976414</v>
      </c>
      <c r="E137" s="393" t="s">
        <v>126</v>
      </c>
      <c r="F137" s="393"/>
    </row>
    <row r="138" spans="2:16" x14ac:dyDescent="0.2">
      <c r="C138" s="444">
        <v>6636.6900000000005</v>
      </c>
      <c r="D138" s="444">
        <v>9560.7706930693093</v>
      </c>
      <c r="E138" s="393" t="s">
        <v>110</v>
      </c>
      <c r="F138" s="393"/>
    </row>
    <row r="139" spans="2:16" x14ac:dyDescent="0.2">
      <c r="C139" s="435">
        <v>7.6819999999999999E-2</v>
      </c>
      <c r="D139" s="435">
        <f>C139</f>
        <v>7.6819999999999999E-2</v>
      </c>
      <c r="E139" s="393" t="s">
        <v>86</v>
      </c>
      <c r="F139" s="393"/>
    </row>
    <row r="140" spans="2:16" x14ac:dyDescent="0.2">
      <c r="C140" s="436">
        <v>0.78</v>
      </c>
      <c r="D140" s="436">
        <v>0.12</v>
      </c>
      <c r="E140" s="393" t="s">
        <v>87</v>
      </c>
      <c r="F140" s="393"/>
    </row>
    <row r="141" spans="2:16" x14ac:dyDescent="0.2">
      <c r="C141" s="393"/>
      <c r="D141" s="418">
        <f>(C132*C140+D132*D140)/SUM(C132:D132)</f>
        <v>0.6750236220472442</v>
      </c>
      <c r="E141" s="393" t="s">
        <v>111</v>
      </c>
      <c r="F141" s="393"/>
    </row>
    <row r="142" spans="2:16" x14ac:dyDescent="0.2">
      <c r="C142" s="393"/>
      <c r="D142" s="437">
        <v>1</v>
      </c>
      <c r="E142" s="393" t="str">
        <f>"  Capacity Factor - On-peak     "&amp;TEXT(D141,"0.0%")&amp;" / 56% (percent of hours on-peak) "</f>
        <v xml:space="preserve">  Capacity Factor - On-peak     67.5% / 56% (percent of hours on-peak) </v>
      </c>
      <c r="F142" s="393"/>
    </row>
    <row r="143" spans="2:16" ht="13.5" thickBot="1" x14ac:dyDescent="0.25"/>
    <row r="144" spans="2:16" ht="13.5" thickBot="1" x14ac:dyDescent="0.25">
      <c r="C144" s="445" t="str">
        <f>"Company Official Inflation - "&amp;'Table 8'!B30</f>
        <v>Company Official Inflation - Official Forward Price Curve dated   March 31 2017</v>
      </c>
      <c r="D144" s="446"/>
      <c r="E144" s="446"/>
      <c r="F144" s="446"/>
      <c r="G144" s="446"/>
      <c r="H144" s="446"/>
      <c r="I144" s="446"/>
      <c r="J144" s="446"/>
      <c r="K144" s="447"/>
      <c r="N144" s="352" t="s">
        <v>108</v>
      </c>
    </row>
    <row r="145" spans="3:15" x14ac:dyDescent="0.2">
      <c r="C145" s="441">
        <v>2015</v>
      </c>
      <c r="D145" s="418">
        <v>6.0000000000000001E-3</v>
      </c>
      <c r="E145" s="393"/>
      <c r="F145" s="441">
        <f>C151+1</f>
        <v>2022</v>
      </c>
      <c r="G145" s="418">
        <v>2.3E-2</v>
      </c>
      <c r="H145" s="393"/>
      <c r="I145" s="441">
        <f>F151+1</f>
        <v>2029</v>
      </c>
      <c r="J145" s="418">
        <v>2.1000000000000001E-2</v>
      </c>
      <c r="K145" s="441"/>
      <c r="N145" s="441">
        <v>2009</v>
      </c>
      <c r="O145" s="418">
        <v>4.0000000000000001E-3</v>
      </c>
    </row>
    <row r="146" spans="3:15" x14ac:dyDescent="0.2">
      <c r="C146" s="441">
        <f>C145+1</f>
        <v>2016</v>
      </c>
      <c r="D146" s="418">
        <v>1.2E-2</v>
      </c>
      <c r="E146" s="393"/>
      <c r="F146" s="441">
        <f>F145+1</f>
        <v>2023</v>
      </c>
      <c r="G146" s="418">
        <v>2.3E-2</v>
      </c>
      <c r="H146" s="393"/>
      <c r="I146" s="441">
        <f>I145+1</f>
        <v>2030</v>
      </c>
      <c r="J146" s="418">
        <v>2.1999999999999999E-2</v>
      </c>
      <c r="K146" s="441"/>
      <c r="N146" s="441">
        <f t="shared" ref="N146:N151" si="24">N145+1</f>
        <v>2010</v>
      </c>
      <c r="O146" s="418">
        <v>1.2999999999999999E-2</v>
      </c>
    </row>
    <row r="147" spans="3:15" x14ac:dyDescent="0.2">
      <c r="C147" s="441">
        <f t="shared" ref="C147:C151" si="25">C146+1</f>
        <v>2017</v>
      </c>
      <c r="D147" s="418">
        <v>2.1999999999999999E-2</v>
      </c>
      <c r="E147" s="393"/>
      <c r="F147" s="441">
        <f>F146+1</f>
        <v>2024</v>
      </c>
      <c r="G147" s="418">
        <v>2.3E-2</v>
      </c>
      <c r="H147" s="393"/>
      <c r="I147" s="441">
        <f>I146+1</f>
        <v>2031</v>
      </c>
      <c r="J147" s="418">
        <v>2.1999999999999999E-2</v>
      </c>
      <c r="K147" s="441"/>
      <c r="N147" s="441">
        <f t="shared" si="24"/>
        <v>2011</v>
      </c>
      <c r="O147" s="418">
        <v>1.7000000000000001E-2</v>
      </c>
    </row>
    <row r="148" spans="3:15" x14ac:dyDescent="0.2">
      <c r="C148" s="441">
        <f t="shared" si="25"/>
        <v>2018</v>
      </c>
      <c r="D148" s="418">
        <v>2.4E-2</v>
      </c>
      <c r="E148" s="393"/>
      <c r="F148" s="441">
        <f>F147+1</f>
        <v>2025</v>
      </c>
      <c r="G148" s="418">
        <v>2.1999999999999999E-2</v>
      </c>
      <c r="H148" s="393"/>
      <c r="I148" s="441">
        <f>I147+1</f>
        <v>2032</v>
      </c>
      <c r="J148" s="418">
        <v>2.1999999999999999E-2</v>
      </c>
      <c r="K148" s="441"/>
      <c r="N148" s="441">
        <f t="shared" si="24"/>
        <v>2012</v>
      </c>
      <c r="O148" s="418">
        <v>0.02</v>
      </c>
    </row>
    <row r="149" spans="3:15" x14ac:dyDescent="0.2">
      <c r="C149" s="441">
        <f t="shared" si="25"/>
        <v>2019</v>
      </c>
      <c r="D149" s="418">
        <v>2.4E-2</v>
      </c>
      <c r="E149" s="393"/>
      <c r="F149" s="441">
        <f t="shared" ref="F149:F151" si="26">F148+1</f>
        <v>2026</v>
      </c>
      <c r="G149" s="418">
        <v>2.1999999999999999E-2</v>
      </c>
      <c r="H149" s="393"/>
      <c r="I149" s="441">
        <f>I148+1</f>
        <v>2033</v>
      </c>
      <c r="J149" s="418">
        <v>2.1999999999999999E-2</v>
      </c>
      <c r="K149" s="441"/>
      <c r="N149" s="441">
        <f t="shared" si="24"/>
        <v>2013</v>
      </c>
      <c r="O149" s="418">
        <v>0.02</v>
      </c>
    </row>
    <row r="150" spans="3:15" x14ac:dyDescent="0.2">
      <c r="C150" s="441">
        <f t="shared" si="25"/>
        <v>2020</v>
      </c>
      <c r="D150" s="418">
        <v>2.4E-2</v>
      </c>
      <c r="E150" s="393"/>
      <c r="F150" s="441">
        <f t="shared" si="26"/>
        <v>2027</v>
      </c>
      <c r="G150" s="418">
        <v>2.1999999999999999E-2</v>
      </c>
      <c r="H150" s="393"/>
      <c r="K150" s="441"/>
      <c r="N150" s="441">
        <f t="shared" si="24"/>
        <v>2014</v>
      </c>
      <c r="O150" s="418">
        <v>1.9E-2</v>
      </c>
    </row>
    <row r="151" spans="3:15" s="357" customFormat="1" x14ac:dyDescent="0.2">
      <c r="C151" s="441">
        <f t="shared" si="25"/>
        <v>2021</v>
      </c>
      <c r="D151" s="418">
        <v>2.4E-2</v>
      </c>
      <c r="E151" s="448"/>
      <c r="F151" s="441">
        <f t="shared" si="26"/>
        <v>2028</v>
      </c>
      <c r="G151" s="418">
        <v>2.1999999999999999E-2</v>
      </c>
      <c r="H151" s="448"/>
      <c r="K151" s="441"/>
      <c r="N151" s="441">
        <f t="shared" si="24"/>
        <v>2015</v>
      </c>
      <c r="O151" s="418">
        <v>1.9E-2</v>
      </c>
    </row>
    <row r="152" spans="3:15" x14ac:dyDescent="0.2">
      <c r="I152" s="441"/>
      <c r="J152" s="418"/>
    </row>
    <row r="153" spans="3:15" x14ac:dyDescent="0.2">
      <c r="I153" s="441"/>
      <c r="J153" s="418"/>
    </row>
    <row r="154" spans="3:15" x14ac:dyDescent="0.2">
      <c r="I154" s="441"/>
      <c r="J154" s="418"/>
    </row>
    <row r="155" spans="3:15" x14ac:dyDescent="0.2">
      <c r="I155" s="441"/>
      <c r="J155" s="418"/>
    </row>
    <row r="156" spans="3:15" x14ac:dyDescent="0.2">
      <c r="I156" s="441"/>
      <c r="J156" s="418"/>
    </row>
  </sheetData>
  <phoneticPr fontId="8" type="noConversion"/>
  <printOptions horizontalCentered="1"/>
  <pageMargins left="0.25" right="0.25" top="0.75" bottom="0.75" header="0.3" footer="0.3"/>
  <pageSetup scale="95" fitToHeight="2" orientation="portrait" r:id="rId1"/>
  <headerFooter alignWithMargins="0">
    <oddFooter>&amp;L&amp;8NPC Group - &amp;F   ( &amp;A )&amp;C &amp;R &amp;8&amp;D  &amp;T</oddFooter>
  </headerFooter>
  <rowBreaks count="2" manualBreakCount="2">
    <brk id="45" min="1" max="10" man="1"/>
    <brk id="97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34"/>
  <sheetViews>
    <sheetView zoomScaleNormal="100" workbookViewId="0">
      <selection activeCell="C10" sqref="C10:D27"/>
    </sheetView>
  </sheetViews>
  <sheetFormatPr defaultRowHeight="12.75" x14ac:dyDescent="0.2"/>
  <cols>
    <col min="1" max="1" width="2" style="32" customWidth="1"/>
    <col min="2" max="2" width="24.5" style="32" customWidth="1"/>
    <col min="3" max="5" width="19.6640625" style="32" customWidth="1"/>
    <col min="6" max="6" width="2.1640625" style="32" customWidth="1"/>
    <col min="7" max="16384" width="9.33203125" style="32"/>
  </cols>
  <sheetData>
    <row r="1" spans="2:5" ht="15.75" x14ac:dyDescent="0.25">
      <c r="B1" s="20" t="s">
        <v>81</v>
      </c>
      <c r="C1" s="23"/>
      <c r="D1" s="23"/>
      <c r="E1" s="23"/>
    </row>
    <row r="2" spans="2:5" ht="15.75" x14ac:dyDescent="0.25">
      <c r="B2" s="20" t="s">
        <v>98</v>
      </c>
      <c r="C2" s="23"/>
      <c r="D2" s="23"/>
      <c r="E2" s="23"/>
    </row>
    <row r="3" spans="2:5" ht="15.75" x14ac:dyDescent="0.25">
      <c r="B3" s="20" t="s">
        <v>37</v>
      </c>
      <c r="C3" s="68"/>
      <c r="D3" s="68"/>
      <c r="E3" s="68"/>
    </row>
    <row r="4" spans="2:5" ht="15.75" x14ac:dyDescent="0.25">
      <c r="B4" s="456"/>
      <c r="C4" s="68"/>
      <c r="D4" s="457"/>
      <c r="E4" s="457"/>
    </row>
    <row r="5" spans="2:5" x14ac:dyDescent="0.2">
      <c r="B5" s="21"/>
      <c r="C5" s="21"/>
      <c r="D5" s="21"/>
      <c r="E5" s="21"/>
    </row>
    <row r="6" spans="2:5" x14ac:dyDescent="0.2">
      <c r="B6" s="25" t="s">
        <v>2</v>
      </c>
      <c r="C6" s="25" t="e">
        <f>'OFPC Source'!#REF!</f>
        <v>#REF!</v>
      </c>
      <c r="D6" s="25" t="e">
        <f>'OFPC Source'!#REF!</f>
        <v>#REF!</v>
      </c>
      <c r="E6" s="25" t="s">
        <v>303</v>
      </c>
    </row>
    <row r="7" spans="2:5" x14ac:dyDescent="0.2">
      <c r="B7" s="69"/>
      <c r="C7" s="26"/>
      <c r="D7" s="26"/>
      <c r="E7" s="26"/>
    </row>
    <row r="8" spans="2:5" x14ac:dyDescent="0.2">
      <c r="C8" s="74" t="s">
        <v>19</v>
      </c>
      <c r="D8" s="74" t="s">
        <v>20</v>
      </c>
      <c r="E8" s="74" t="s">
        <v>21</v>
      </c>
    </row>
    <row r="9" spans="2:5" x14ac:dyDescent="0.2">
      <c r="C9" s="70"/>
      <c r="D9" s="70"/>
      <c r="E9" s="70"/>
    </row>
    <row r="10" spans="2:5" x14ac:dyDescent="0.2">
      <c r="B10" s="71">
        <f>'Tables 3 to 5'!$B$13</f>
        <v>2016</v>
      </c>
      <c r="C10" s="460">
        <f>VLOOKUP(B10,'OFPC Source'!$G$8:$J$33,3,FALSE)</f>
        <v>2.29</v>
      </c>
      <c r="D10" s="460">
        <f>VLOOKUP(B10,'OFPC Source'!$G$8:$H$25,2,FALSE)</f>
        <v>2.35</v>
      </c>
      <c r="E10" s="72">
        <f>ROUND(C10*$D$32+D10*$D$33,2)</f>
        <v>2.3199999999999998</v>
      </c>
    </row>
    <row r="11" spans="2:5" x14ac:dyDescent="0.2">
      <c r="B11" s="71">
        <f>B10+1</f>
        <v>2017</v>
      </c>
      <c r="C11" s="460">
        <f>VLOOKUP(B11,'OFPC Source'!$G$8:$J$33,3,FALSE)</f>
        <v>2.97</v>
      </c>
      <c r="D11" s="460">
        <f>VLOOKUP(B11,'OFPC Source'!$G$8:$H$25,2,FALSE)</f>
        <v>2.97</v>
      </c>
      <c r="E11" s="72">
        <f t="shared" ref="E11:E27" si="0">ROUND(C11*$D$32+D11*$D$33,2)</f>
        <v>2.97</v>
      </c>
    </row>
    <row r="12" spans="2:5" x14ac:dyDescent="0.2">
      <c r="B12" s="71">
        <f t="shared" ref="B12:B27" si="1">B11+1</f>
        <v>2018</v>
      </c>
      <c r="C12" s="460">
        <f>VLOOKUP(B12,'OFPC Source'!$G$8:$J$33,3,FALSE)</f>
        <v>2.72</v>
      </c>
      <c r="D12" s="460">
        <f>VLOOKUP(B12,'OFPC Source'!$G$8:$H$25,2,FALSE)</f>
        <v>2.7</v>
      </c>
      <c r="E12" s="72">
        <f t="shared" si="0"/>
        <v>2.71</v>
      </c>
    </row>
    <row r="13" spans="2:5" x14ac:dyDescent="0.2">
      <c r="B13" s="71">
        <f t="shared" si="1"/>
        <v>2019</v>
      </c>
      <c r="C13" s="460">
        <f>VLOOKUP(B13,'OFPC Source'!$G$8:$J$33,3,FALSE)</f>
        <v>2.5</v>
      </c>
      <c r="D13" s="460">
        <f>VLOOKUP(B13,'OFPC Source'!$G$8:$H$25,2,FALSE)</f>
        <v>2.48</v>
      </c>
      <c r="E13" s="72">
        <f t="shared" si="0"/>
        <v>2.4900000000000002</v>
      </c>
    </row>
    <row r="14" spans="2:5" x14ac:dyDescent="0.2">
      <c r="B14" s="71">
        <f t="shared" si="1"/>
        <v>2020</v>
      </c>
      <c r="C14" s="460">
        <f>VLOOKUP(B14,'OFPC Source'!$G$8:$J$33,3,FALSE)</f>
        <v>2.5</v>
      </c>
      <c r="D14" s="460">
        <f>VLOOKUP(B14,'OFPC Source'!$G$8:$H$25,2,FALSE)</f>
        <v>2.48</v>
      </c>
      <c r="E14" s="72">
        <f t="shared" si="0"/>
        <v>2.4900000000000002</v>
      </c>
    </row>
    <row r="15" spans="2:5" x14ac:dyDescent="0.2">
      <c r="B15" s="71">
        <f t="shared" si="1"/>
        <v>2021</v>
      </c>
      <c r="C15" s="460">
        <f>VLOOKUP(B15,'OFPC Source'!$G$8:$J$33,3,FALSE)</f>
        <v>2.52</v>
      </c>
      <c r="D15" s="460">
        <f>VLOOKUP(B15,'OFPC Source'!$G$8:$H$25,2,FALSE)</f>
        <v>2.5299999999999998</v>
      </c>
      <c r="E15" s="72">
        <f t="shared" si="0"/>
        <v>2.5299999999999998</v>
      </c>
    </row>
    <row r="16" spans="2:5" x14ac:dyDescent="0.2">
      <c r="B16" s="71">
        <f t="shared" si="1"/>
        <v>2022</v>
      </c>
      <c r="C16" s="460">
        <f>VLOOKUP(B16,'OFPC Source'!$G$8:$J$33,3,FALSE)</f>
        <v>2.5299999999999998</v>
      </c>
      <c r="D16" s="460">
        <f>VLOOKUP(B16,'OFPC Source'!$G$8:$H$25,2,FALSE)</f>
        <v>2.5499999999999998</v>
      </c>
      <c r="E16" s="72">
        <f t="shared" si="0"/>
        <v>2.54</v>
      </c>
    </row>
    <row r="17" spans="2:5" x14ac:dyDescent="0.2">
      <c r="B17" s="71">
        <f t="shared" si="1"/>
        <v>2023</v>
      </c>
      <c r="C17" s="460">
        <f>VLOOKUP(B17,'OFPC Source'!$G$8:$J$33,3,FALSE)</f>
        <v>2.91</v>
      </c>
      <c r="D17" s="460">
        <f>VLOOKUP(B17,'OFPC Source'!$G$8:$H$25,2,FALSE)</f>
        <v>2.99</v>
      </c>
      <c r="E17" s="72">
        <f t="shared" si="0"/>
        <v>2.95</v>
      </c>
    </row>
    <row r="18" spans="2:5" x14ac:dyDescent="0.2">
      <c r="B18" s="71">
        <f t="shared" si="1"/>
        <v>2024</v>
      </c>
      <c r="C18" s="460">
        <f>VLOOKUP(B18,'OFPC Source'!$G$8:$J$33,3,FALSE)</f>
        <v>3.5</v>
      </c>
      <c r="D18" s="460">
        <f>VLOOKUP(B18,'OFPC Source'!$G$8:$H$25,2,FALSE)</f>
        <v>3.61</v>
      </c>
      <c r="E18" s="72">
        <f t="shared" si="0"/>
        <v>3.56</v>
      </c>
    </row>
    <row r="19" spans="2:5" x14ac:dyDescent="0.2">
      <c r="B19" s="71">
        <f t="shared" si="1"/>
        <v>2025</v>
      </c>
      <c r="C19" s="460">
        <f>VLOOKUP(B19,'OFPC Source'!$G$8:$J$33,3,FALSE)</f>
        <v>3.78</v>
      </c>
      <c r="D19" s="460">
        <f>VLOOKUP(B19,'OFPC Source'!$G$8:$H$25,2,FALSE)</f>
        <v>3.81</v>
      </c>
      <c r="E19" s="72">
        <f t="shared" si="0"/>
        <v>3.8</v>
      </c>
    </row>
    <row r="20" spans="2:5" x14ac:dyDescent="0.2">
      <c r="B20" s="71">
        <f t="shared" si="1"/>
        <v>2026</v>
      </c>
      <c r="C20" s="460">
        <f>VLOOKUP(B20,'OFPC Source'!$G$8:$J$33,3,FALSE)</f>
        <v>3.77</v>
      </c>
      <c r="D20" s="460">
        <f>VLOOKUP(B20,'OFPC Source'!$G$8:$H$25,2,FALSE)</f>
        <v>3.81</v>
      </c>
      <c r="E20" s="72">
        <f t="shared" si="0"/>
        <v>3.79</v>
      </c>
    </row>
    <row r="21" spans="2:5" x14ac:dyDescent="0.2">
      <c r="B21" s="71">
        <f t="shared" si="1"/>
        <v>2027</v>
      </c>
      <c r="C21" s="460">
        <f>VLOOKUP(B21,'OFPC Source'!$G$8:$J$33,3,FALSE)</f>
        <v>3.92</v>
      </c>
      <c r="D21" s="460">
        <f>VLOOKUP(B21,'OFPC Source'!$G$8:$H$25,2,FALSE)</f>
        <v>3.95</v>
      </c>
      <c r="E21" s="72">
        <f t="shared" si="0"/>
        <v>3.94</v>
      </c>
    </row>
    <row r="22" spans="2:5" x14ac:dyDescent="0.2">
      <c r="B22" s="71">
        <f t="shared" si="1"/>
        <v>2028</v>
      </c>
      <c r="C22" s="460">
        <f>VLOOKUP(B22,'OFPC Source'!$G$8:$J$33,3,FALSE)</f>
        <v>4.1500000000000004</v>
      </c>
      <c r="D22" s="460">
        <f>VLOOKUP(B22,'OFPC Source'!$G$8:$H$25,2,FALSE)</f>
        <v>4.1500000000000004</v>
      </c>
      <c r="E22" s="72">
        <f t="shared" si="0"/>
        <v>4.1500000000000004</v>
      </c>
    </row>
    <row r="23" spans="2:5" x14ac:dyDescent="0.2">
      <c r="B23" s="71">
        <f t="shared" si="1"/>
        <v>2029</v>
      </c>
      <c r="C23" s="460">
        <f>VLOOKUP(B23,'OFPC Source'!$G$8:$J$33,3,FALSE)</f>
        <v>4.51</v>
      </c>
      <c r="D23" s="460">
        <f>VLOOKUP(B23,'OFPC Source'!$G$8:$H$25,2,FALSE)</f>
        <v>4.47</v>
      </c>
      <c r="E23" s="72">
        <f t="shared" si="0"/>
        <v>4.49</v>
      </c>
    </row>
    <row r="24" spans="2:5" x14ac:dyDescent="0.2">
      <c r="B24" s="71">
        <f t="shared" si="1"/>
        <v>2030</v>
      </c>
      <c r="C24" s="460">
        <f>VLOOKUP(B24,'OFPC Source'!$G$8:$J$33,3,FALSE)</f>
        <v>4.88</v>
      </c>
      <c r="D24" s="460">
        <f>VLOOKUP(B24,'OFPC Source'!$G$8:$H$25,2,FALSE)</f>
        <v>4.8099999999999996</v>
      </c>
      <c r="E24" s="72">
        <f t="shared" si="0"/>
        <v>4.84</v>
      </c>
    </row>
    <row r="25" spans="2:5" x14ac:dyDescent="0.2">
      <c r="B25" s="71">
        <f t="shared" si="1"/>
        <v>2031</v>
      </c>
      <c r="C25" s="460">
        <f>VLOOKUP(B25,'OFPC Source'!$G$8:$J$33,3,FALSE)</f>
        <v>5.1100000000000003</v>
      </c>
      <c r="D25" s="460">
        <f>VLOOKUP(B25,'OFPC Source'!$G$8:$H$25,2,FALSE)</f>
        <v>5.04</v>
      </c>
      <c r="E25" s="72">
        <f t="shared" si="0"/>
        <v>5.07</v>
      </c>
    </row>
    <row r="26" spans="2:5" x14ac:dyDescent="0.2">
      <c r="B26" s="71">
        <f t="shared" si="1"/>
        <v>2032</v>
      </c>
      <c r="C26" s="460">
        <f>VLOOKUP(B26,'OFPC Source'!$G$8:$J$33,3,FALSE)</f>
        <v>5.38</v>
      </c>
      <c r="D26" s="460">
        <f>VLOOKUP(B26,'OFPC Source'!$G$8:$H$25,2,FALSE)</f>
        <v>5.28</v>
      </c>
      <c r="E26" s="72">
        <f t="shared" si="0"/>
        <v>5.32</v>
      </c>
    </row>
    <row r="27" spans="2:5" x14ac:dyDescent="0.2">
      <c r="B27" s="71">
        <f t="shared" si="1"/>
        <v>2033</v>
      </c>
      <c r="C27" s="460">
        <f>VLOOKUP(B27,'OFPC Source'!$G$8:$J$33,3,FALSE)</f>
        <v>5.76</v>
      </c>
      <c r="D27" s="460">
        <f>VLOOKUP(B27,'OFPC Source'!$G$8:$H$25,2,FALSE)</f>
        <v>5.62</v>
      </c>
      <c r="E27" s="72">
        <f t="shared" si="0"/>
        <v>5.68</v>
      </c>
    </row>
    <row r="28" spans="2:5" x14ac:dyDescent="0.2">
      <c r="B28" s="71"/>
      <c r="C28" s="72"/>
      <c r="D28" s="72"/>
      <c r="E28" s="72"/>
    </row>
    <row r="29" spans="2:5" x14ac:dyDescent="0.2">
      <c r="B29" s="27" t="s">
        <v>94</v>
      </c>
    </row>
    <row r="30" spans="2:5" ht="12.75" customHeight="1" x14ac:dyDescent="0.2">
      <c r="B30" s="459" t="str">
        <f>"Official Forward Price Curve dated "&amp;TEXT('OFPC Source'!C4,"  mmmm dd yyyy")</f>
        <v>Official Forward Price Curve dated   March 31 2017</v>
      </c>
      <c r="C30" s="459"/>
      <c r="D30" s="68"/>
      <c r="E30" s="351"/>
    </row>
    <row r="32" spans="2:5" x14ac:dyDescent="0.2">
      <c r="B32" s="32" t="str">
        <f>'Table 7'!C93</f>
        <v xml:space="preserve">West side, CCCT Dry "J", Adv 1x1 </v>
      </c>
      <c r="D32" s="36">
        <f>'Table 7'!I93</f>
        <v>0.44521738402995015</v>
      </c>
    </row>
    <row r="33" spans="2:4" x14ac:dyDescent="0.2">
      <c r="B33" s="32" t="str">
        <f>'Table 7'!C94</f>
        <v>East Side,  CCCT - DJohns Dry "F", 2x1</v>
      </c>
      <c r="D33" s="458">
        <f>'Table 7'!I94</f>
        <v>0.55478261597004985</v>
      </c>
    </row>
    <row r="34" spans="2:4" x14ac:dyDescent="0.2">
      <c r="D34" s="36">
        <f>'Table 7'!I95</f>
        <v>1</v>
      </c>
    </row>
  </sheetData>
  <phoneticPr fontId="8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20</vt:i4>
      </vt:variant>
    </vt:vector>
  </HeadingPairs>
  <TitlesOfParts>
    <vt:vector size="37" baseType="lpstr">
      <vt:lpstr>Table 1</vt:lpstr>
      <vt:lpstr>Table 2A BaseLoad</vt:lpstr>
      <vt:lpstr>Table 2B Wind</vt:lpstr>
      <vt:lpstr>Table 2C SolarFixed</vt:lpstr>
      <vt:lpstr>Table 2D SolarTracking</vt:lpstr>
      <vt:lpstr>Tables 3 to 5</vt:lpstr>
      <vt:lpstr>Table 6</vt:lpstr>
      <vt:lpstr>Table 7</vt:lpstr>
      <vt:lpstr>Table 8</vt:lpstr>
      <vt:lpstr>Table 9</vt:lpstr>
      <vt:lpstr>Table 10</vt:lpstr>
      <vt:lpstr>--- Do Not Print ---&gt;</vt:lpstr>
      <vt:lpstr>Tariff Page</vt:lpstr>
      <vt:lpstr>Tariff Page Solar Fixed</vt:lpstr>
      <vt:lpstr>Tariff Page Solar Tracking</vt:lpstr>
      <vt:lpstr>Tariff Page Wind</vt:lpstr>
      <vt:lpstr>OFPC Source</vt:lpstr>
      <vt:lpstr>'Table 2C SolarFixed'!Capacity_Contr_Solar_Fixed</vt:lpstr>
      <vt:lpstr>Capacity_Contr_Solar_Fixed</vt:lpstr>
      <vt:lpstr>'Table 2B Wind'!Capacity_Contr_Solar_Tracking</vt:lpstr>
      <vt:lpstr>'Table 2D SolarTracking'!Capacity_Contr_Solar_Tracking</vt:lpstr>
      <vt:lpstr>'Table 2B Wind'!Capacity_Contr_Wind</vt:lpstr>
      <vt:lpstr>'Table 1'!Print_Area</vt:lpstr>
      <vt:lpstr>'Table 10'!Print_Area</vt:lpstr>
      <vt:lpstr>'Table 2A BaseLoad'!Print_Area</vt:lpstr>
      <vt:lpstr>'Table 2B Wind'!Print_Area</vt:lpstr>
      <vt:lpstr>'Table 2C SolarFixed'!Print_Area</vt:lpstr>
      <vt:lpstr>'Table 2D SolarTracking'!Print_Area</vt:lpstr>
      <vt:lpstr>'Table 6'!Print_Area</vt:lpstr>
      <vt:lpstr>'Table 7'!Print_Area</vt:lpstr>
      <vt:lpstr>'Table 8'!Print_Area</vt:lpstr>
      <vt:lpstr>'Table 9'!Print_Area</vt:lpstr>
      <vt:lpstr>'Tables 3 to 5'!Print_Area</vt:lpstr>
      <vt:lpstr>'Tariff Page'!Print_Area</vt:lpstr>
      <vt:lpstr>'Tariff Page Solar Fixed'!Print_Area</vt:lpstr>
      <vt:lpstr>'Tariff Page Solar Tracking'!Print_Area</vt:lpstr>
      <vt:lpstr>'Tariff Page Wind'!Print_Area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Melissa Paschal</cp:lastModifiedBy>
  <cp:lastPrinted>2016-04-26T19:06:14Z</cp:lastPrinted>
  <dcterms:created xsi:type="dcterms:W3CDTF">2001-03-19T15:45:46Z</dcterms:created>
  <dcterms:modified xsi:type="dcterms:W3CDTF">2017-05-31T14:22:54Z</dcterms:modified>
</cp:coreProperties>
</file>