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-15" windowWidth="17415" windowHeight="2910" tabRatio="851" activeTab="1"/>
  </bookViews>
  <sheets>
    <sheet name="Table 1" sheetId="53" r:id="rId1"/>
    <sheet name="Table 2A BaseLoad" sheetId="17" r:id="rId2"/>
    <sheet name="Table 2B Wind" sheetId="40" r:id="rId3"/>
    <sheet name="Table 2C SolarFixed" sheetId="41" r:id="rId4"/>
    <sheet name="Table 2D SolarTracking" sheetId="42" r:id="rId5"/>
    <sheet name="Tables 3 to 5" sheetId="5" r:id="rId6"/>
    <sheet name="Table 6" sheetId="13" r:id="rId7"/>
    <sheet name="Table 7" sheetId="28" r:id="rId8"/>
    <sheet name="Table 8" sheetId="29" r:id="rId9"/>
    <sheet name="Table 9" sheetId="32" r:id="rId10"/>
    <sheet name="Table 10" sheetId="43" r:id="rId11"/>
    <sheet name="--- Do Not Print ---&gt;" sheetId="37" r:id="rId12"/>
    <sheet name="Tariff Page" sheetId="36" r:id="rId13"/>
    <sheet name="Tariff Page Solar Fixed" sheetId="44" r:id="rId14"/>
    <sheet name="Tariff Page Solar Tracking" sheetId="45" r:id="rId15"/>
    <sheet name="Tariff Page Wind" sheetId="39" r:id="rId16"/>
    <sheet name="OFPC Source" sheetId="5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00_SCCT_UtahN">'[1]Table 1'!$I$19</definedName>
    <definedName name="_30_Geo_West">'[1]Table 1'!$I$17</definedName>
    <definedName name="_436_CCCT_WestMain">'[1]Table 1'!$I$18</definedName>
    <definedName name="_477_CCCT_WestMain">'[2]Table 1'!$I$18</definedName>
    <definedName name="_635_CCCT_UtahS">'[2]Table 1'!$I$19</definedName>
    <definedName name="_635_CCCT_WyoNE">'[2]Table 1'!$I$17</definedName>
    <definedName name="_Discount_Rate">[3]Comparison!$M$33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#REF!</definedName>
    <definedName name="_UtahS_Solar_2032">#REF!</definedName>
    <definedName name="_UtahS_Solar_2033">#REF!</definedName>
    <definedName name="_UtahS_Solar_2034">#REF!</definedName>
    <definedName name="_UtahS_Solar_2035">#REF!</definedName>
    <definedName name="_UtahS_Solar_2036">#REF!</definedName>
    <definedName name="a" hidden="1">'[4]DSM Output'!$J$21:$J$23</definedName>
    <definedName name="above">OFFSET(!A1,-1,0)</definedName>
    <definedName name="AC_Case">'[5]Table 2 QF Queue'!#REF!</definedName>
    <definedName name="Active_CF">[6]!Active_CF</definedName>
    <definedName name="Active_Deg_Method">[6]!Active_Deg_Method</definedName>
    <definedName name="Active_Deg_Rate">[6]!Active_Deg_Rate</definedName>
    <definedName name="Active_Delivery_Point">[6]!Active_Delivery_Point</definedName>
    <definedName name="Active_MW">[6]!Active_MW</definedName>
    <definedName name="Active_Name_Conf">[6]!Active_Name_Conf</definedName>
    <definedName name="Active_Online">[6]!Active_Online</definedName>
    <definedName name="Active_QF_Name">[6]!Active_QF_Name</definedName>
    <definedName name="Active_QF_Queue_Date">[6]!Active_QF_Queue_Date</definedName>
    <definedName name="Active_Status">[6]!Active_Status</definedName>
    <definedName name="anscount" hidden="1">1</definedName>
    <definedName name="below">OFFSET(!A1,1,0)</definedName>
    <definedName name="Capacity_Contr_Solar_Fixed" localSheetId="0">#REF!</definedName>
    <definedName name="Capacity_Contr_Solar_Fixed" localSheetId="2">'Table 2B Wind'!#REF!</definedName>
    <definedName name="Capacity_Contr_Solar_Fixed" localSheetId="3">'Table 2C SolarFixed'!$F$97</definedName>
    <definedName name="Capacity_Contr_Solar_Fixed" localSheetId="4">'Table 2D SolarTracking'!#REF!</definedName>
    <definedName name="Capacity_Contr_Solar_Fixed">'Table 2A BaseLoad'!$E$115</definedName>
    <definedName name="Capacity_Contr_Solar_Tracking" localSheetId="0">#REF!</definedName>
    <definedName name="Capacity_Contr_Solar_Tracking" localSheetId="2">'Table 2B Wind'!$D$96</definedName>
    <definedName name="Capacity_Contr_Solar_Tracking" localSheetId="3">'Table 2C SolarFixed'!#REF!</definedName>
    <definedName name="Capacity_Contr_Solar_Tracking" localSheetId="4">'Table 2D SolarTracking'!$F$97</definedName>
    <definedName name="Capacity_Contr_Solar_Tracking">'Table 2A BaseLoad'!#REF!</definedName>
    <definedName name="Capacity_Contr_Wind" localSheetId="0">#REF!</definedName>
    <definedName name="Capacity_Contr_Wind" localSheetId="2">'Table 2B Wind'!$E$97</definedName>
    <definedName name="Capacity_Contr_Wind" localSheetId="3">'Table 2C SolarFixed'!#REF!</definedName>
    <definedName name="Capacity_Contr_Wind" localSheetId="4">'Table 2D SolarTracking'!#REF!</definedName>
    <definedName name="Capacity_Contr_Wind">'Table 2A BaseLoad'!#REF!</definedName>
    <definedName name="dateTable" localSheetId="0">'[7]on off peak hours'!$C$15:$ED$15</definedName>
    <definedName name="dateTable">'[8]on off peak hours'!$C$15:$ED$15</definedName>
    <definedName name="daysMonth">#REF!</definedName>
    <definedName name="Discount_Rate">'[1]Table 1'!$I$42</definedName>
    <definedName name="Discount_Rate_2015_IRP">'[9]Table 7 to 8'!$AE$43</definedName>
    <definedName name="DispatchSum">"GRID Thermal Generation!R2C1:R4C2"</definedName>
    <definedName name="FixedSolar_Capacity_Contr">'[9]Exhibit 3- Std FixedSolar QF'!$G$53</definedName>
    <definedName name="HolidayObserved">#REF!</definedName>
    <definedName name="Holidays">#REF!</definedName>
    <definedName name="HoursHoliday" localSheetId="0">'[7]on off peak hours'!$C$16:$ED$20</definedName>
    <definedName name="HoursHoliday">'[8]on off peak hours'!$C$16:$ED$20</definedName>
    <definedName name="HoursNoHoliday">#REF!</definedName>
    <definedName name="Incr_Reserve">[10]ImportData!$G$45</definedName>
    <definedName name="Incremental_Coal_Costing">[10]ImportData!$B$37</definedName>
    <definedName name="left">OFFSET(!A1,0,-1)</definedName>
    <definedName name="limcount" hidden="1">1</definedName>
    <definedName name="Market">'[9]OFPC Source'!$J$8:$M$295</definedName>
    <definedName name="MidC_Flat">[11]Market_Price!#REF!</definedName>
    <definedName name="Monthly_Discount_Rate">[12]SourceEnergy!$N$4</definedName>
    <definedName name="OR_AC_price">#REF!</definedName>
    <definedName name="_xlnm.Print_Area" localSheetId="0">'Table 1'!$A$1:$Y$6</definedName>
    <definedName name="_xlnm.Print_Area" localSheetId="10">'Table 10'!$A$1:$K$46</definedName>
    <definedName name="_xlnm.Print_Area" localSheetId="1">'Table 2A BaseLoad'!$A$1:$M$115</definedName>
    <definedName name="_xlnm.Print_Area" localSheetId="2">'Table 2B Wind'!$A$1:$M$97</definedName>
    <definedName name="_xlnm.Print_Area" localSheetId="3">'Table 2C SolarFixed'!$A$1:$M$97</definedName>
    <definedName name="_xlnm.Print_Area" localSheetId="4">'Table 2D SolarTracking'!$A$1:$M$97</definedName>
    <definedName name="_xlnm.Print_Area" localSheetId="6">'Table 6'!$A$1:$O$54</definedName>
    <definedName name="_xlnm.Print_Area" localSheetId="7">'Table 7'!$B$1:$K$130</definedName>
    <definedName name="_xlnm.Print_Area" localSheetId="8">'Table 8'!$A$1:$F$37</definedName>
    <definedName name="_xlnm.Print_Area" localSheetId="9">'Table 9'!$A$1:$G$31</definedName>
    <definedName name="_xlnm.Print_Area" localSheetId="5">'Tables 3 to 5'!$A$1:$AR$48</definedName>
    <definedName name="_xlnm.Print_Area" localSheetId="12">'Tariff Page'!$A$1:$G$41</definedName>
    <definedName name="_xlnm.Print_Area" localSheetId="13">'Tariff Page Solar Fixed'!$A$1:$F$48</definedName>
    <definedName name="_xlnm.Print_Area" localSheetId="14">'Tariff Page Solar Tracking'!$A$1:$F$48</definedName>
    <definedName name="_xlnm.Print_Area" localSheetId="15">'Tariff Page Wind'!$A$1:$F$47</definedName>
    <definedName name="PSATable">[10]Hermiston!$A$35:$E$41</definedName>
    <definedName name="QF_CF">#REF!</definedName>
    <definedName name="RampLossMonthlyDemand">'[13]Source - Ramp Losses'!$O$46:$P$57</definedName>
    <definedName name="RenewableMarketShape">'[9]OFPC Source'!$P$5:$U$33</definedName>
    <definedName name="RevenueSum">"GRID Thermal Revenue!R2C1:R4C2"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hape_Annually">'[12]Monthly Levelized'!$K$9</definedName>
    <definedName name="Shape_Start">'[12]Monthly Levelized'!$L$9</definedName>
    <definedName name="Solar_Fixed_integr_cost" localSheetId="16">'[14]Table 12'!$B$46</definedName>
    <definedName name="Solar_Fixed_integr_cost" localSheetId="0">#REF!</definedName>
    <definedName name="Solar_Fixed_integr_cost">'Table 10'!$B$46</definedName>
    <definedName name="Solar_HLH">'[9]OFPC Source'!$U$48</definedName>
    <definedName name="Solar_LLH">'[9]OFPC Source'!$V$48</definedName>
    <definedName name="Solar_Tracking_integr_cost" localSheetId="16">'[14]Table 12'!$B$45</definedName>
    <definedName name="Solar_Tracking_integr_cost" localSheetId="0">#REF!</definedName>
    <definedName name="Solar_Tracking_integr_cost">'Table 10'!$B$45</definedName>
    <definedName name="SSMonthlyDemand">'[13]Source - Station Use'!$H$78:$H$89</definedName>
    <definedName name="Study_Cap_Adj">'[1]Table 1'!$I$8</definedName>
    <definedName name="Study_CF">'[1]Table 5'!$M$7</definedName>
    <definedName name="Study_MW">'[1]Table 5'!$M$6</definedName>
    <definedName name="Study_Name" localSheetId="0">[15]ImportData!$D$7</definedName>
    <definedName name="Study_Name">[8]ImportData!$D$7</definedName>
    <definedName name="ValuationDate">#REF!</definedName>
    <definedName name="Wind_Capacity_Contr">'[9]Exhibit 2- Std Wind QF '!$E$57</definedName>
    <definedName name="Wind_Integration_Charge">'[9]Exhibit 2- Std Wind QF '!$E$45</definedName>
    <definedName name="y" hidden="1">'[4]DSM Output'!$B$21:$B$23</definedName>
    <definedName name="z" hidden="1">'[4]DSM Output'!$G$21:$G$23</definedName>
  </definedNames>
  <calcPr calcId="152511"/>
</workbook>
</file>

<file path=xl/calcChain.xml><?xml version="1.0" encoding="utf-8"?>
<calcChain xmlns="http://schemas.openxmlformats.org/spreadsheetml/2006/main">
  <c r="D53" i="13" l="1"/>
  <c r="D52" i="13"/>
  <c r="D51" i="13"/>
  <c r="D50" i="13"/>
  <c r="M28" i="13" l="1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I11" i="45" l="1"/>
  <c r="K10" i="45"/>
  <c r="I11" i="44"/>
  <c r="K10" i="44"/>
  <c r="S10" i="44" s="1"/>
  <c r="P10" i="44" l="1"/>
  <c r="V10" i="44"/>
  <c r="M10" i="44"/>
  <c r="B12" i="13" l="1"/>
  <c r="AL13" i="5"/>
  <c r="AD13" i="5"/>
  <c r="V13" i="5"/>
  <c r="O13" i="5"/>
  <c r="N13" i="5"/>
  <c r="H13" i="5"/>
  <c r="A49" i="17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9" i="42"/>
  <c r="A69" i="41"/>
  <c r="A69" i="40"/>
  <c r="A88" i="17"/>
  <c r="D60" i="17" l="1"/>
  <c r="H60" i="17"/>
  <c r="L60" i="17"/>
  <c r="E60" i="17"/>
  <c r="I60" i="17"/>
  <c r="M60" i="17"/>
  <c r="C60" i="17"/>
  <c r="K60" i="17"/>
  <c r="F60" i="17"/>
  <c r="G60" i="17"/>
  <c r="B60" i="17"/>
  <c r="J60" i="17"/>
  <c r="B22" i="44" l="1"/>
  <c r="B12" i="44"/>
  <c r="B13" i="44" s="1"/>
  <c r="B14" i="44" s="1"/>
  <c r="B15" i="44" s="1"/>
  <c r="B16" i="44" s="1"/>
  <c r="B17" i="44" s="1"/>
  <c r="B18" i="44" s="1"/>
  <c r="B19" i="44" s="1"/>
  <c r="B20" i="44" s="1"/>
  <c r="B21" i="44" s="1"/>
  <c r="B23" i="44" s="1"/>
  <c r="B24" i="44" s="1"/>
  <c r="B25" i="44" s="1"/>
  <c r="B26" i="44" s="1"/>
  <c r="B27" i="44" s="1"/>
  <c r="B28" i="44" s="1"/>
  <c r="B29" i="44" s="1"/>
  <c r="B30" i="44" s="1"/>
  <c r="B29" i="36"/>
  <c r="B13" i="36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12" i="36"/>
  <c r="B11" i="36"/>
  <c r="N27" i="5" l="1"/>
  <c r="V27" i="5" s="1"/>
  <c r="AD27" i="5" s="1"/>
  <c r="H27" i="5"/>
  <c r="G9" i="43"/>
  <c r="F9" i="43"/>
  <c r="B11" i="43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10" i="43"/>
  <c r="I9" i="43"/>
  <c r="I10" i="43"/>
  <c r="E53" i="13" l="1"/>
  <c r="E51" i="13"/>
  <c r="I11" i="43"/>
  <c r="F10" i="43"/>
  <c r="D9" i="43"/>
  <c r="C9" i="43"/>
  <c r="E10" i="43" l="1"/>
  <c r="Z13" i="5" s="1"/>
  <c r="D10" i="43"/>
  <c r="C10" i="43"/>
  <c r="G10" i="43" s="1"/>
  <c r="E9" i="43"/>
  <c r="F11" i="43"/>
  <c r="I12" i="43"/>
  <c r="AP13" i="5" l="1"/>
  <c r="AH13" i="5"/>
  <c r="E11" i="43"/>
  <c r="C11" i="43"/>
  <c r="D11" i="43"/>
  <c r="F12" i="43"/>
  <c r="I13" i="43"/>
  <c r="D12" i="43" l="1"/>
  <c r="C12" i="43"/>
  <c r="G12" i="43" s="1"/>
  <c r="G11" i="43"/>
  <c r="E12" i="43"/>
  <c r="I14" i="43"/>
  <c r="C13" i="43"/>
  <c r="AH14" i="5" l="1"/>
  <c r="AP14" i="5"/>
  <c r="AP15" i="5"/>
  <c r="AH15" i="5"/>
  <c r="F13" i="43"/>
  <c r="D13" i="43"/>
  <c r="E13" i="43"/>
  <c r="I15" i="43"/>
  <c r="C14" i="43"/>
  <c r="F14" i="43" l="1"/>
  <c r="G13" i="43"/>
  <c r="E14" i="43"/>
  <c r="D14" i="43"/>
  <c r="C15" i="43"/>
  <c r="I16" i="43"/>
  <c r="AP16" i="5" l="1"/>
  <c r="AH16" i="5"/>
  <c r="F15" i="43"/>
  <c r="G15" i="43" s="1"/>
  <c r="G14" i="43"/>
  <c r="D15" i="43"/>
  <c r="E15" i="43"/>
  <c r="C16" i="43"/>
  <c r="I17" i="43"/>
  <c r="D16" i="43" l="1"/>
  <c r="AH18" i="5"/>
  <c r="AP18" i="5"/>
  <c r="AP17" i="5"/>
  <c r="AH17" i="5"/>
  <c r="E16" i="43"/>
  <c r="F16" i="43"/>
  <c r="G16" i="43" s="1"/>
  <c r="I18" i="43"/>
  <c r="D17" i="43"/>
  <c r="AP19" i="5" l="1"/>
  <c r="AH19" i="5"/>
  <c r="F17" i="43"/>
  <c r="E17" i="43"/>
  <c r="C17" i="43"/>
  <c r="G17" i="43" s="1"/>
  <c r="I19" i="43"/>
  <c r="D18" i="43"/>
  <c r="AP20" i="5" l="1"/>
  <c r="AH20" i="5"/>
  <c r="F18" i="43"/>
  <c r="C18" i="43"/>
  <c r="G18" i="43" s="1"/>
  <c r="E18" i="43"/>
  <c r="D19" i="43"/>
  <c r="I20" i="43"/>
  <c r="AP21" i="5" l="1"/>
  <c r="AH21" i="5"/>
  <c r="F19" i="43"/>
  <c r="E19" i="43"/>
  <c r="C19" i="43"/>
  <c r="D20" i="43"/>
  <c r="I21" i="43"/>
  <c r="F20" i="43" l="1"/>
  <c r="C20" i="43"/>
  <c r="G19" i="43"/>
  <c r="E20" i="43"/>
  <c r="I22" i="43"/>
  <c r="E21" i="43" l="1"/>
  <c r="AH22" i="5"/>
  <c r="AP22" i="5"/>
  <c r="F21" i="43"/>
  <c r="G20" i="43"/>
  <c r="C21" i="43"/>
  <c r="D21" i="43"/>
  <c r="I23" i="43"/>
  <c r="E22" i="43"/>
  <c r="G21" i="43" l="1"/>
  <c r="AP24" i="5"/>
  <c r="AH24" i="5"/>
  <c r="AH23" i="5"/>
  <c r="AP23" i="5"/>
  <c r="F22" i="43"/>
  <c r="D22" i="43"/>
  <c r="C22" i="43"/>
  <c r="E23" i="43"/>
  <c r="I24" i="43"/>
  <c r="F23" i="43" l="1"/>
  <c r="G22" i="43"/>
  <c r="C23" i="43"/>
  <c r="D23" i="43"/>
  <c r="E24" i="43"/>
  <c r="I25" i="43"/>
  <c r="AP28" i="5" l="1"/>
  <c r="AH28" i="5"/>
  <c r="D24" i="43"/>
  <c r="F24" i="43"/>
  <c r="C24" i="43"/>
  <c r="G23" i="43"/>
  <c r="I26" i="43"/>
  <c r="G24" i="43" l="1"/>
  <c r="AH30" i="5" s="1"/>
  <c r="C25" i="43"/>
  <c r="AH29" i="5"/>
  <c r="AP29" i="5"/>
  <c r="F25" i="43"/>
  <c r="D25" i="43"/>
  <c r="E25" i="43"/>
  <c r="I27" i="43"/>
  <c r="AP30" i="5" l="1"/>
  <c r="C26" i="43"/>
  <c r="F26" i="43"/>
  <c r="G25" i="43"/>
  <c r="E26" i="43"/>
  <c r="D26" i="43"/>
  <c r="C27" i="43"/>
  <c r="I28" i="43"/>
  <c r="AP31" i="5" l="1"/>
  <c r="AH31" i="5"/>
  <c r="F27" i="43"/>
  <c r="G27" i="43" s="1"/>
  <c r="G26" i="43"/>
  <c r="D27" i="43"/>
  <c r="E27" i="43"/>
  <c r="C28" i="43"/>
  <c r="I29" i="43"/>
  <c r="AH33" i="5" l="1"/>
  <c r="AP33" i="5"/>
  <c r="AP32" i="5"/>
  <c r="AH32" i="5"/>
  <c r="D28" i="43"/>
  <c r="E28" i="43"/>
  <c r="F28" i="43"/>
  <c r="G28" i="43" s="1"/>
  <c r="I30" i="43"/>
  <c r="D29" i="43"/>
  <c r="AP34" i="5" l="1"/>
  <c r="AH34" i="5"/>
  <c r="F29" i="43"/>
  <c r="E29" i="43"/>
  <c r="C29" i="43"/>
  <c r="I31" i="43"/>
  <c r="D30" i="43"/>
  <c r="F30" i="43" l="1"/>
  <c r="G29" i="43"/>
  <c r="C30" i="43"/>
  <c r="E30" i="43"/>
  <c r="I32" i="43"/>
  <c r="G30" i="43" l="1"/>
  <c r="AP36" i="5" s="1"/>
  <c r="AH36" i="5"/>
  <c r="AP35" i="5"/>
  <c r="AH35" i="5"/>
  <c r="F31" i="43"/>
  <c r="E31" i="43"/>
  <c r="D31" i="43"/>
  <c r="C31" i="43"/>
  <c r="I33" i="43"/>
  <c r="F32" i="43" l="1"/>
  <c r="G31" i="43"/>
  <c r="E32" i="43"/>
  <c r="C32" i="43"/>
  <c r="D32" i="43"/>
  <c r="F33" i="43"/>
  <c r="G32" i="43" l="1"/>
  <c r="E33" i="43"/>
  <c r="D33" i="43"/>
  <c r="C33" i="43"/>
  <c r="G33" i="43" s="1"/>
  <c r="G29" i="52" l="1"/>
  <c r="B59" i="28"/>
  <c r="B58" i="28"/>
  <c r="G93" i="28"/>
  <c r="G92" i="28"/>
  <c r="F10" i="28" l="1"/>
  <c r="C10" i="28"/>
  <c r="B11" i="28"/>
  <c r="B12" i="28" s="1"/>
  <c r="C43" i="28" l="1"/>
  <c r="E10" i="28" s="1"/>
  <c r="D7" i="52" l="1"/>
  <c r="I6" i="52" s="1"/>
  <c r="C7" i="52"/>
  <c r="H6" i="52" s="1"/>
  <c r="C6" i="29"/>
  <c r="D6" i="29"/>
  <c r="H97" i="40" l="1"/>
  <c r="D10" i="28" l="1"/>
  <c r="I92" i="28" l="1"/>
  <c r="G97" i="28"/>
  <c r="B33" i="29" l="1"/>
  <c r="F11" i="28" l="1"/>
  <c r="D11" i="28"/>
  <c r="H30" i="39" l="1"/>
  <c r="H29" i="39"/>
  <c r="H31" i="45"/>
  <c r="H30" i="45"/>
  <c r="H30" i="44" l="1"/>
  <c r="H31" i="44"/>
  <c r="K11" i="44" l="1"/>
  <c r="V11" i="44" s="1"/>
  <c r="I12" i="44" l="1"/>
  <c r="K12" i="44" s="1"/>
  <c r="M11" i="44"/>
  <c r="S11" i="44"/>
  <c r="P11" i="44"/>
  <c r="I13" i="44" l="1"/>
  <c r="K13" i="44" s="1"/>
  <c r="P12" i="44"/>
  <c r="V12" i="44"/>
  <c r="S12" i="44"/>
  <c r="M12" i="44"/>
  <c r="I14" i="44" l="1"/>
  <c r="K14" i="44" s="1"/>
  <c r="M13" i="44"/>
  <c r="S13" i="44"/>
  <c r="P13" i="44"/>
  <c r="V13" i="44"/>
  <c r="I15" i="44" l="1"/>
  <c r="K15" i="44" s="1"/>
  <c r="I16" i="44"/>
  <c r="P14" i="44"/>
  <c r="V14" i="44"/>
  <c r="M14" i="44"/>
  <c r="S14" i="44"/>
  <c r="K16" i="44" l="1"/>
  <c r="I17" i="44"/>
  <c r="M15" i="44"/>
  <c r="S15" i="44"/>
  <c r="V15" i="44"/>
  <c r="P15" i="44"/>
  <c r="P16" i="44" l="1"/>
  <c r="V16" i="44"/>
  <c r="S16" i="44"/>
  <c r="M16" i="44"/>
  <c r="K17" i="44"/>
  <c r="I18" i="44"/>
  <c r="M17" i="44" l="1"/>
  <c r="S17" i="44"/>
  <c r="P17" i="44"/>
  <c r="V17" i="44"/>
  <c r="K18" i="44"/>
  <c r="I19" i="44"/>
  <c r="K19" i="44" l="1"/>
  <c r="I20" i="44"/>
  <c r="P18" i="44"/>
  <c r="V18" i="44"/>
  <c r="M18" i="44"/>
  <c r="S18" i="44"/>
  <c r="K20" i="44" l="1"/>
  <c r="I21" i="44"/>
  <c r="M19" i="44"/>
  <c r="S19" i="44"/>
  <c r="V19" i="44"/>
  <c r="P19" i="44"/>
  <c r="B13" i="13"/>
  <c r="AC26" i="52"/>
  <c r="AC27" i="52" s="1"/>
  <c r="AC28" i="52" s="1"/>
  <c r="AC29" i="52" s="1"/>
  <c r="AC30" i="52" s="1"/>
  <c r="AC31" i="52" s="1"/>
  <c r="AC32" i="52" s="1"/>
  <c r="AC33" i="52" s="1"/>
  <c r="AC34" i="52" s="1"/>
  <c r="AC35" i="52" s="1"/>
  <c r="AC36" i="52" s="1"/>
  <c r="AC37" i="52" s="1"/>
  <c r="AC38" i="52" s="1"/>
  <c r="AC39" i="52" s="1"/>
  <c r="AC9" i="52"/>
  <c r="AC10" i="52" s="1"/>
  <c r="AC11" i="52" s="1"/>
  <c r="AC12" i="52" s="1"/>
  <c r="AC13" i="52" s="1"/>
  <c r="AC14" i="52" s="1"/>
  <c r="AC15" i="52" s="1"/>
  <c r="AC16" i="52" s="1"/>
  <c r="AC17" i="52" s="1"/>
  <c r="AC18" i="52" s="1"/>
  <c r="AC19" i="52" s="1"/>
  <c r="AC20" i="52" s="1"/>
  <c r="AC21" i="52" s="1"/>
  <c r="I22" i="44" l="1"/>
  <c r="K21" i="44"/>
  <c r="P20" i="44"/>
  <c r="V20" i="44"/>
  <c r="S20" i="44"/>
  <c r="M20" i="44"/>
  <c r="M21" i="44" l="1"/>
  <c r="S21" i="44"/>
  <c r="V21" i="44"/>
  <c r="P21" i="44"/>
  <c r="K22" i="44"/>
  <c r="I23" i="44"/>
  <c r="P22" i="44" l="1"/>
  <c r="V22" i="44"/>
  <c r="M22" i="44"/>
  <c r="S22" i="44"/>
  <c r="I24" i="44"/>
  <c r="K23" i="44"/>
  <c r="M23" i="44" l="1"/>
  <c r="S23" i="44"/>
  <c r="V23" i="44"/>
  <c r="P23" i="44"/>
  <c r="K24" i="44"/>
  <c r="I25" i="44"/>
  <c r="P24" i="44" l="1"/>
  <c r="V24" i="44"/>
  <c r="M24" i="44"/>
  <c r="S24" i="44"/>
  <c r="I26" i="44"/>
  <c r="K25" i="44"/>
  <c r="K36" i="44" l="1"/>
  <c r="K38" i="44"/>
  <c r="K26" i="44"/>
  <c r="I27" i="44"/>
  <c r="M25" i="44"/>
  <c r="M36" i="44" s="1"/>
  <c r="S25" i="44"/>
  <c r="S36" i="44" s="1"/>
  <c r="P25" i="44"/>
  <c r="P36" i="44" s="1"/>
  <c r="V25" i="44"/>
  <c r="V36" i="44" s="1"/>
  <c r="P26" i="44" l="1"/>
  <c r="V26" i="44"/>
  <c r="S26" i="44"/>
  <c r="M26" i="44"/>
  <c r="K27" i="44"/>
  <c r="I28" i="44"/>
  <c r="I29" i="44" s="1"/>
  <c r="K29" i="44" l="1"/>
  <c r="I30" i="44"/>
  <c r="K30" i="44" s="1"/>
  <c r="K28" i="44"/>
  <c r="M27" i="44"/>
  <c r="S27" i="44"/>
  <c r="P27" i="44"/>
  <c r="V27" i="44"/>
  <c r="V30" i="44" l="1"/>
  <c r="P30" i="44"/>
  <c r="S30" i="44"/>
  <c r="M30" i="44"/>
  <c r="V29" i="44"/>
  <c r="P29" i="44"/>
  <c r="S29" i="44"/>
  <c r="M29" i="44"/>
  <c r="P28" i="44"/>
  <c r="V28" i="44"/>
  <c r="S28" i="44"/>
  <c r="M28" i="44"/>
  <c r="C125" i="28"/>
  <c r="D12" i="28" l="1"/>
  <c r="F12" i="28"/>
  <c r="C126" i="28"/>
  <c r="C123" i="28"/>
  <c r="B30" i="32"/>
  <c r="C127" i="28" l="1"/>
  <c r="C128" i="28" l="1"/>
  <c r="C129" i="28" l="1"/>
  <c r="C130" i="28" l="1"/>
  <c r="F124" i="28" l="1"/>
  <c r="F125" i="28" l="1"/>
  <c r="F126" i="28" l="1"/>
  <c r="F127" i="28" l="1"/>
  <c r="F128" i="28" l="1"/>
  <c r="F129" i="28" l="1"/>
  <c r="F130" i="28" l="1"/>
  <c r="I124" i="28" l="1"/>
  <c r="I125" i="28" l="1"/>
  <c r="I126" i="28" l="1"/>
  <c r="N10" i="13"/>
  <c r="K10" i="13"/>
  <c r="H10" i="13"/>
  <c r="E10" i="13"/>
  <c r="I127" i="28" l="1"/>
  <c r="B14" i="13"/>
  <c r="I128" i="28" l="1"/>
  <c r="B15" i="13"/>
  <c r="AR10" i="5"/>
  <c r="AQ10" i="5"/>
  <c r="AM10" i="5"/>
  <c r="AM45" i="5"/>
  <c r="AL45" i="5"/>
  <c r="AM44" i="5"/>
  <c r="AL44" i="5"/>
  <c r="AM43" i="5"/>
  <c r="AL43" i="5"/>
  <c r="AE45" i="5"/>
  <c r="AD45" i="5"/>
  <c r="AE44" i="5"/>
  <c r="AD44" i="5"/>
  <c r="AE43" i="5"/>
  <c r="AD43" i="5"/>
  <c r="AJ10" i="5"/>
  <c r="AI10" i="5"/>
  <c r="W44" i="5"/>
  <c r="W43" i="5"/>
  <c r="V44" i="5"/>
  <c r="V43" i="5"/>
  <c r="V45" i="5"/>
  <c r="W45" i="5"/>
  <c r="AB10" i="5"/>
  <c r="AA10" i="5"/>
  <c r="N44" i="5"/>
  <c r="T10" i="5"/>
  <c r="S10" i="5"/>
  <c r="I129" i="28" l="1"/>
  <c r="B16" i="13"/>
  <c r="I130" i="28" l="1"/>
  <c r="B17" i="13"/>
  <c r="B18" i="13" l="1"/>
  <c r="B19" i="13" l="1"/>
  <c r="B20" i="13" l="1"/>
  <c r="B21" i="13" l="1"/>
  <c r="AM42" i="5"/>
  <c r="B22" i="13" l="1"/>
  <c r="B23" i="13" l="1"/>
  <c r="B24" i="13" l="1"/>
  <c r="Q274" i="52"/>
  <c r="P274" i="52"/>
  <c r="B9" i="52"/>
  <c r="M8" i="52"/>
  <c r="G8" i="52"/>
  <c r="E8" i="52"/>
  <c r="M3" i="52"/>
  <c r="L8" i="52" l="1"/>
  <c r="K8" i="52"/>
  <c r="B10" i="52"/>
  <c r="B25" i="13"/>
  <c r="E9" i="52"/>
  <c r="G9" i="52"/>
  <c r="W8" i="52"/>
  <c r="M9" i="52"/>
  <c r="M10" i="52" l="1"/>
  <c r="E10" i="52"/>
  <c r="B11" i="52"/>
  <c r="K9" i="52"/>
  <c r="L9" i="52"/>
  <c r="U8" i="52"/>
  <c r="B26" i="13"/>
  <c r="T8" i="52"/>
  <c r="W9" i="52"/>
  <c r="G10" i="52"/>
  <c r="L10" i="52" l="1"/>
  <c r="K10" i="52"/>
  <c r="E11" i="52"/>
  <c r="B12" i="52"/>
  <c r="M11" i="52"/>
  <c r="T9" i="52"/>
  <c r="U9" i="52"/>
  <c r="B27" i="13"/>
  <c r="W10" i="52"/>
  <c r="G11" i="52"/>
  <c r="G40" i="13" l="1"/>
  <c r="M40" i="13"/>
  <c r="J40" i="13"/>
  <c r="D40" i="13"/>
  <c r="B39" i="13"/>
  <c r="K11" i="52"/>
  <c r="B13" i="52"/>
  <c r="E12" i="52"/>
  <c r="L11" i="52"/>
  <c r="M12" i="52"/>
  <c r="U10" i="52"/>
  <c r="T10" i="52"/>
  <c r="B28" i="13"/>
  <c r="G12" i="52"/>
  <c r="B14" i="52"/>
  <c r="W11" i="52"/>
  <c r="G43" i="13" l="1"/>
  <c r="M43" i="13"/>
  <c r="J43" i="13"/>
  <c r="B42" i="13"/>
  <c r="M13" i="52"/>
  <c r="L12" i="52"/>
  <c r="E13" i="52"/>
  <c r="K12" i="52"/>
  <c r="T11" i="52"/>
  <c r="U11" i="52"/>
  <c r="K13" i="52"/>
  <c r="L13" i="52"/>
  <c r="B29" i="13"/>
  <c r="B45" i="13" s="1"/>
  <c r="E14" i="52"/>
  <c r="B15" i="52"/>
  <c r="M14" i="52"/>
  <c r="G13" i="52"/>
  <c r="W12" i="52"/>
  <c r="D29" i="13" l="1"/>
  <c r="D43" i="13"/>
  <c r="J29" i="13"/>
  <c r="M29" i="13"/>
  <c r="G29" i="13"/>
  <c r="U12" i="52"/>
  <c r="T12" i="52"/>
  <c r="K14" i="52"/>
  <c r="L14" i="52"/>
  <c r="B30" i="13"/>
  <c r="B31" i="13" s="1"/>
  <c r="B32" i="13" s="1"/>
  <c r="G14" i="52"/>
  <c r="W13" i="52"/>
  <c r="M15" i="52"/>
  <c r="B16" i="52"/>
  <c r="E15" i="52"/>
  <c r="M30" i="13" l="1"/>
  <c r="M31" i="13" s="1"/>
  <c r="M46" i="13"/>
  <c r="J30" i="13"/>
  <c r="J31" i="13" s="1"/>
  <c r="J32" i="13" s="1"/>
  <c r="J46" i="13"/>
  <c r="G30" i="13"/>
  <c r="G31" i="13" s="1"/>
  <c r="G32" i="13" s="1"/>
  <c r="G46" i="13"/>
  <c r="D30" i="13"/>
  <c r="D31" i="13" s="1"/>
  <c r="D32" i="13" s="1"/>
  <c r="D46" i="13"/>
  <c r="M32" i="13"/>
  <c r="U13" i="52"/>
  <c r="T13" i="52"/>
  <c r="U14" i="52"/>
  <c r="K15" i="52"/>
  <c r="L15" i="52"/>
  <c r="T14" i="52"/>
  <c r="W14" i="52"/>
  <c r="G15" i="52"/>
  <c r="E16" i="52"/>
  <c r="M16" i="52"/>
  <c r="B17" i="52"/>
  <c r="T15" i="52" l="1"/>
  <c r="U15" i="52"/>
  <c r="K16" i="52"/>
  <c r="L16" i="52"/>
  <c r="B18" i="52"/>
  <c r="E17" i="52"/>
  <c r="M17" i="52"/>
  <c r="W15" i="52"/>
  <c r="G16" i="52"/>
  <c r="U16" i="52" l="1"/>
  <c r="L17" i="52"/>
  <c r="K17" i="52"/>
  <c r="T16" i="52"/>
  <c r="W16" i="52"/>
  <c r="E18" i="52"/>
  <c r="B19" i="52"/>
  <c r="M18" i="52"/>
  <c r="G17" i="52"/>
  <c r="U17" i="52" l="1"/>
  <c r="T17" i="52"/>
  <c r="K18" i="52"/>
  <c r="L18" i="52"/>
  <c r="M19" i="52"/>
  <c r="E19" i="52"/>
  <c r="B20" i="52"/>
  <c r="G18" i="52"/>
  <c r="W17" i="52"/>
  <c r="T18" i="52" l="1"/>
  <c r="U18" i="52"/>
  <c r="L19" i="52"/>
  <c r="K19" i="52"/>
  <c r="E20" i="52"/>
  <c r="M20" i="52"/>
  <c r="B21" i="52"/>
  <c r="G19" i="52"/>
  <c r="W18" i="52"/>
  <c r="U19" i="52" l="1"/>
  <c r="T19" i="52"/>
  <c r="K20" i="52"/>
  <c r="L20" i="52"/>
  <c r="B22" i="52"/>
  <c r="E21" i="52"/>
  <c r="M21" i="52"/>
  <c r="W19" i="52"/>
  <c r="G20" i="52"/>
  <c r="U20" i="52" l="1"/>
  <c r="T20" i="52"/>
  <c r="K21" i="52"/>
  <c r="L21" i="52"/>
  <c r="G21" i="52"/>
  <c r="W20" i="52"/>
  <c r="B23" i="52"/>
  <c r="M22" i="52"/>
  <c r="E22" i="52"/>
  <c r="U21" i="52" l="1"/>
  <c r="T21" i="52"/>
  <c r="K22" i="52"/>
  <c r="L22" i="52"/>
  <c r="M23" i="52"/>
  <c r="E23" i="52"/>
  <c r="B24" i="52"/>
  <c r="W21" i="52"/>
  <c r="G22" i="52"/>
  <c r="U22" i="52" l="1"/>
  <c r="T22" i="52"/>
  <c r="K23" i="52"/>
  <c r="L23" i="52"/>
  <c r="E24" i="52"/>
  <c r="M24" i="52"/>
  <c r="B25" i="52"/>
  <c r="W22" i="52"/>
  <c r="G23" i="52"/>
  <c r="U23" i="52" l="1"/>
  <c r="T23" i="52"/>
  <c r="K24" i="52"/>
  <c r="L24" i="52"/>
  <c r="B26" i="52"/>
  <c r="M25" i="52"/>
  <c r="E25" i="52"/>
  <c r="G24" i="52"/>
  <c r="W23" i="52"/>
  <c r="U24" i="52" l="1"/>
  <c r="T24" i="52"/>
  <c r="L25" i="52"/>
  <c r="K25" i="52"/>
  <c r="W24" i="52"/>
  <c r="G25" i="52"/>
  <c r="B27" i="52"/>
  <c r="M26" i="52"/>
  <c r="E26" i="52"/>
  <c r="G26" i="52" l="1"/>
  <c r="T25" i="52"/>
  <c r="U25" i="52"/>
  <c r="K26" i="52"/>
  <c r="L26" i="52"/>
  <c r="M27" i="52"/>
  <c r="B28" i="52"/>
  <c r="E27" i="52"/>
  <c r="W25" i="52"/>
  <c r="G27" i="52" l="1"/>
  <c r="U26" i="52"/>
  <c r="T26" i="52"/>
  <c r="K27" i="52"/>
  <c r="L27" i="52"/>
  <c r="E28" i="52"/>
  <c r="B29" i="52"/>
  <c r="M28" i="52"/>
  <c r="G28" i="52" l="1"/>
  <c r="U27" i="52"/>
  <c r="T27" i="52"/>
  <c r="K28" i="52"/>
  <c r="L28" i="52"/>
  <c r="M29" i="52"/>
  <c r="B30" i="52"/>
  <c r="E29" i="52"/>
  <c r="U28" i="52" l="1"/>
  <c r="T28" i="52"/>
  <c r="L29" i="52"/>
  <c r="K29" i="52"/>
  <c r="E30" i="52"/>
  <c r="B31" i="52"/>
  <c r="M30" i="52"/>
  <c r="T29" i="52" l="1"/>
  <c r="U29" i="52"/>
  <c r="K30" i="52"/>
  <c r="L30" i="52"/>
  <c r="B32" i="52"/>
  <c r="M31" i="52"/>
  <c r="E31" i="52"/>
  <c r="U30" i="52" l="1"/>
  <c r="T30" i="52"/>
  <c r="K31" i="52"/>
  <c r="L31" i="52"/>
  <c r="E32" i="52"/>
  <c r="M32" i="52"/>
  <c r="B33" i="52"/>
  <c r="T31" i="52" l="1"/>
  <c r="U31" i="52"/>
  <c r="K32" i="52"/>
  <c r="L32" i="52"/>
  <c r="M33" i="52"/>
  <c r="E33" i="52"/>
  <c r="B34" i="52"/>
  <c r="U32" i="52" l="1"/>
  <c r="T32" i="52"/>
  <c r="L33" i="52"/>
  <c r="K33" i="52"/>
  <c r="M34" i="52"/>
  <c r="E34" i="52"/>
  <c r="B35" i="52"/>
  <c r="T33" i="52" l="1"/>
  <c r="U33" i="52"/>
  <c r="K34" i="52"/>
  <c r="L34" i="52"/>
  <c r="M35" i="52"/>
  <c r="E35" i="52"/>
  <c r="B36" i="52"/>
  <c r="T34" i="52" l="1"/>
  <c r="U34" i="52"/>
  <c r="K35" i="52"/>
  <c r="L35" i="52"/>
  <c r="M36" i="52"/>
  <c r="E36" i="52"/>
  <c r="B37" i="52"/>
  <c r="U35" i="52" l="1"/>
  <c r="T35" i="52"/>
  <c r="K36" i="52"/>
  <c r="L36" i="52"/>
  <c r="B38" i="52"/>
  <c r="M37" i="52"/>
  <c r="E37" i="52"/>
  <c r="U36" i="52" l="1"/>
  <c r="T36" i="52"/>
  <c r="L37" i="52"/>
  <c r="K37" i="52"/>
  <c r="B39" i="52"/>
  <c r="E38" i="52"/>
  <c r="M38" i="52"/>
  <c r="U37" i="52" l="1"/>
  <c r="T37" i="52"/>
  <c r="K38" i="52"/>
  <c r="L38" i="52"/>
  <c r="B40" i="52"/>
  <c r="E39" i="52"/>
  <c r="M39" i="52"/>
  <c r="T38" i="52" l="1"/>
  <c r="U38" i="52"/>
  <c r="L39" i="52"/>
  <c r="K39" i="52"/>
  <c r="B41" i="52"/>
  <c r="E40" i="52"/>
  <c r="M40" i="52"/>
  <c r="U39" i="52" l="1"/>
  <c r="T39" i="52"/>
  <c r="K40" i="52"/>
  <c r="L40" i="52"/>
  <c r="B42" i="52"/>
  <c r="E41" i="52"/>
  <c r="M41" i="52"/>
  <c r="U40" i="52" l="1"/>
  <c r="T40" i="52"/>
  <c r="K41" i="52"/>
  <c r="L41" i="52"/>
  <c r="B43" i="52"/>
  <c r="E42" i="52"/>
  <c r="M42" i="52"/>
  <c r="U41" i="52" l="1"/>
  <c r="T41" i="52"/>
  <c r="K42" i="52"/>
  <c r="L42" i="52"/>
  <c r="B44" i="52"/>
  <c r="E43" i="52"/>
  <c r="M43" i="52"/>
  <c r="U42" i="52" l="1"/>
  <c r="T42" i="52"/>
  <c r="L43" i="52"/>
  <c r="K43" i="52"/>
  <c r="B45" i="52"/>
  <c r="E44" i="52"/>
  <c r="M44" i="52"/>
  <c r="U43" i="52" l="1"/>
  <c r="T43" i="52"/>
  <c r="K44" i="52"/>
  <c r="L44" i="52"/>
  <c r="B46" i="52"/>
  <c r="E45" i="52"/>
  <c r="M45" i="52"/>
  <c r="U44" i="52" l="1"/>
  <c r="T44" i="52"/>
  <c r="K45" i="52"/>
  <c r="L45" i="52"/>
  <c r="B47" i="52"/>
  <c r="E46" i="52"/>
  <c r="M46" i="52"/>
  <c r="U45" i="52" l="1"/>
  <c r="T45" i="52"/>
  <c r="K46" i="52"/>
  <c r="L46" i="52"/>
  <c r="B48" i="52"/>
  <c r="E47" i="52"/>
  <c r="M47" i="52"/>
  <c r="U46" i="52" l="1"/>
  <c r="T46" i="52"/>
  <c r="L47" i="52"/>
  <c r="K47" i="52"/>
  <c r="B49" i="52"/>
  <c r="E48" i="52"/>
  <c r="M48" i="52"/>
  <c r="U47" i="52" l="1"/>
  <c r="T47" i="52"/>
  <c r="K48" i="52"/>
  <c r="L48" i="52"/>
  <c r="B50" i="52"/>
  <c r="E49" i="52"/>
  <c r="M49" i="52"/>
  <c r="U48" i="52" l="1"/>
  <c r="T48" i="52"/>
  <c r="K49" i="52"/>
  <c r="L49" i="52"/>
  <c r="B51" i="52"/>
  <c r="E50" i="52"/>
  <c r="M50" i="52"/>
  <c r="U49" i="52" l="1"/>
  <c r="T49" i="52"/>
  <c r="K50" i="52"/>
  <c r="L50" i="52"/>
  <c r="B52" i="52"/>
  <c r="E51" i="52"/>
  <c r="M51" i="52"/>
  <c r="T50" i="52" l="1"/>
  <c r="U50" i="52"/>
  <c r="L51" i="52"/>
  <c r="K51" i="52"/>
  <c r="B53" i="52"/>
  <c r="E52" i="52"/>
  <c r="M52" i="52"/>
  <c r="U51" i="52" l="1"/>
  <c r="T51" i="52"/>
  <c r="K52" i="52"/>
  <c r="L52" i="52"/>
  <c r="B54" i="52"/>
  <c r="M53" i="52"/>
  <c r="E53" i="52"/>
  <c r="U52" i="52" l="1"/>
  <c r="T52" i="52"/>
  <c r="L53" i="52"/>
  <c r="K53" i="52"/>
  <c r="B55" i="52"/>
  <c r="M54" i="52"/>
  <c r="E54" i="52"/>
  <c r="T53" i="52" l="1"/>
  <c r="U53" i="52"/>
  <c r="K54" i="52"/>
  <c r="L54" i="52"/>
  <c r="B56" i="52"/>
  <c r="M55" i="52"/>
  <c r="E55" i="52"/>
  <c r="U54" i="52" l="1"/>
  <c r="T54" i="52"/>
  <c r="K55" i="52"/>
  <c r="L55" i="52"/>
  <c r="B57" i="52"/>
  <c r="M56" i="52"/>
  <c r="E56" i="52"/>
  <c r="U55" i="52" l="1"/>
  <c r="T55" i="52"/>
  <c r="K56" i="52"/>
  <c r="L56" i="52"/>
  <c r="B58" i="52"/>
  <c r="M57" i="52"/>
  <c r="E57" i="52"/>
  <c r="U56" i="52" l="1"/>
  <c r="T56" i="52"/>
  <c r="L57" i="52"/>
  <c r="K57" i="52"/>
  <c r="B59" i="52"/>
  <c r="M58" i="52"/>
  <c r="E58" i="52"/>
  <c r="U57" i="52" l="1"/>
  <c r="T57" i="52"/>
  <c r="K58" i="52"/>
  <c r="L58" i="52"/>
  <c r="B60" i="52"/>
  <c r="M59" i="52"/>
  <c r="E59" i="52"/>
  <c r="U58" i="52" l="1"/>
  <c r="T58" i="52"/>
  <c r="K59" i="52"/>
  <c r="L59" i="52"/>
  <c r="B61" i="52"/>
  <c r="M60" i="52"/>
  <c r="E60" i="52"/>
  <c r="T59" i="52" l="1"/>
  <c r="U59" i="52"/>
  <c r="K60" i="52"/>
  <c r="L60" i="52"/>
  <c r="B62" i="52"/>
  <c r="M61" i="52"/>
  <c r="E61" i="52"/>
  <c r="U60" i="52" l="1"/>
  <c r="T60" i="52"/>
  <c r="L61" i="52"/>
  <c r="K61" i="52"/>
  <c r="B63" i="52"/>
  <c r="M62" i="52"/>
  <c r="E62" i="52"/>
  <c r="U61" i="52" l="1"/>
  <c r="T61" i="52"/>
  <c r="K62" i="52"/>
  <c r="L62" i="52"/>
  <c r="B64" i="52"/>
  <c r="M63" i="52"/>
  <c r="E63" i="52"/>
  <c r="U62" i="52" l="1"/>
  <c r="T62" i="52"/>
  <c r="K63" i="52"/>
  <c r="L63" i="52"/>
  <c r="B65" i="52"/>
  <c r="M64" i="52"/>
  <c r="E64" i="52"/>
  <c r="U63" i="52" l="1"/>
  <c r="T63" i="52"/>
  <c r="K64" i="52"/>
  <c r="L64" i="52"/>
  <c r="B66" i="52"/>
  <c r="M65" i="52"/>
  <c r="E65" i="52"/>
  <c r="U64" i="52" l="1"/>
  <c r="T64" i="52"/>
  <c r="L65" i="52"/>
  <c r="K65" i="52"/>
  <c r="B67" i="52"/>
  <c r="M66" i="52"/>
  <c r="E66" i="52"/>
  <c r="U65" i="52" l="1"/>
  <c r="T65" i="52"/>
  <c r="K66" i="52"/>
  <c r="L66" i="52"/>
  <c r="B68" i="52"/>
  <c r="M67" i="52"/>
  <c r="E67" i="52"/>
  <c r="U66" i="52" l="1"/>
  <c r="T66" i="52"/>
  <c r="K67" i="52"/>
  <c r="L67" i="52"/>
  <c r="B69" i="52"/>
  <c r="M68" i="52"/>
  <c r="E68" i="52"/>
  <c r="U67" i="52" l="1"/>
  <c r="T67" i="52"/>
  <c r="K68" i="52"/>
  <c r="L68" i="52"/>
  <c r="B70" i="52"/>
  <c r="M69" i="52"/>
  <c r="E69" i="52"/>
  <c r="U68" i="52" l="1"/>
  <c r="T68" i="52"/>
  <c r="L69" i="52"/>
  <c r="K69" i="52"/>
  <c r="B71" i="52"/>
  <c r="M70" i="52"/>
  <c r="E70" i="52"/>
  <c r="U69" i="52" l="1"/>
  <c r="K70" i="52"/>
  <c r="L70" i="52"/>
  <c r="T69" i="52"/>
  <c r="B72" i="52"/>
  <c r="M71" i="52"/>
  <c r="E71" i="52"/>
  <c r="U70" i="52" l="1"/>
  <c r="T70" i="52"/>
  <c r="L71" i="52"/>
  <c r="K71" i="52"/>
  <c r="B73" i="52"/>
  <c r="M72" i="52"/>
  <c r="E72" i="52"/>
  <c r="U71" i="52" l="1"/>
  <c r="T71" i="52"/>
  <c r="K72" i="52"/>
  <c r="L72" i="52"/>
  <c r="B74" i="52"/>
  <c r="M73" i="52"/>
  <c r="E73" i="52"/>
  <c r="U72" i="52" l="1"/>
  <c r="T72" i="52"/>
  <c r="K73" i="52"/>
  <c r="L73" i="52"/>
  <c r="B75" i="52"/>
  <c r="M74" i="52"/>
  <c r="E74" i="52"/>
  <c r="U73" i="52" l="1"/>
  <c r="T73" i="52"/>
  <c r="K74" i="52"/>
  <c r="L74" i="52"/>
  <c r="B76" i="52"/>
  <c r="M75" i="52"/>
  <c r="E75" i="52"/>
  <c r="U74" i="52" l="1"/>
  <c r="T74" i="52"/>
  <c r="L75" i="52"/>
  <c r="K75" i="52"/>
  <c r="B77" i="52"/>
  <c r="M76" i="52"/>
  <c r="E76" i="52"/>
  <c r="U75" i="52" l="1"/>
  <c r="T75" i="52"/>
  <c r="K76" i="52"/>
  <c r="L76" i="52"/>
  <c r="B78" i="52"/>
  <c r="M77" i="52"/>
  <c r="E77" i="52"/>
  <c r="U76" i="52" l="1"/>
  <c r="T76" i="52"/>
  <c r="L77" i="52"/>
  <c r="K77" i="52"/>
  <c r="B79" i="52"/>
  <c r="M78" i="52"/>
  <c r="E78" i="52"/>
  <c r="U77" i="52" l="1"/>
  <c r="T77" i="52"/>
  <c r="K78" i="52"/>
  <c r="L78" i="52"/>
  <c r="B80" i="52"/>
  <c r="M79" i="52"/>
  <c r="E79" i="52"/>
  <c r="U78" i="52" l="1"/>
  <c r="T78" i="52"/>
  <c r="K79" i="52"/>
  <c r="L79" i="52"/>
  <c r="B81" i="52"/>
  <c r="M80" i="52"/>
  <c r="E80" i="52"/>
  <c r="U79" i="52" l="1"/>
  <c r="T79" i="52"/>
  <c r="K80" i="52"/>
  <c r="L80" i="52"/>
  <c r="B82" i="52"/>
  <c r="M81" i="52"/>
  <c r="E81" i="52"/>
  <c r="T80" i="52" l="1"/>
  <c r="U80" i="52"/>
  <c r="K81" i="52"/>
  <c r="L81" i="52"/>
  <c r="B83" i="52"/>
  <c r="M82" i="52"/>
  <c r="E82" i="52"/>
  <c r="U81" i="52" l="1"/>
  <c r="T81" i="52"/>
  <c r="K82" i="52"/>
  <c r="L82" i="52"/>
  <c r="B84" i="52"/>
  <c r="M83" i="52"/>
  <c r="E83" i="52"/>
  <c r="T82" i="52" l="1"/>
  <c r="U82" i="52"/>
  <c r="L83" i="52"/>
  <c r="K83" i="52"/>
  <c r="B85" i="52"/>
  <c r="M84" i="52"/>
  <c r="E84" i="52"/>
  <c r="T83" i="52" l="1"/>
  <c r="U83" i="52"/>
  <c r="K84" i="52"/>
  <c r="L84" i="52"/>
  <c r="B86" i="52"/>
  <c r="M85" i="52"/>
  <c r="E85" i="52"/>
  <c r="U84" i="52" l="1"/>
  <c r="T84" i="52"/>
  <c r="L85" i="52"/>
  <c r="K85" i="52"/>
  <c r="B87" i="52"/>
  <c r="M86" i="52"/>
  <c r="E86" i="52"/>
  <c r="U85" i="52" l="1"/>
  <c r="T85" i="52"/>
  <c r="K86" i="52"/>
  <c r="L86" i="52"/>
  <c r="B88" i="52"/>
  <c r="M87" i="52"/>
  <c r="E87" i="52"/>
  <c r="T86" i="52" l="1"/>
  <c r="U86" i="52"/>
  <c r="K87" i="52"/>
  <c r="L87" i="52"/>
  <c r="B89" i="52"/>
  <c r="M88" i="52"/>
  <c r="E88" i="52"/>
  <c r="U87" i="52" l="1"/>
  <c r="T87" i="52"/>
  <c r="K88" i="52"/>
  <c r="L88" i="52"/>
  <c r="B90" i="52"/>
  <c r="M89" i="52"/>
  <c r="E89" i="52"/>
  <c r="U88" i="52" l="1"/>
  <c r="T88" i="52"/>
  <c r="L89" i="52"/>
  <c r="K89" i="52"/>
  <c r="B91" i="52"/>
  <c r="M90" i="52"/>
  <c r="E90" i="52"/>
  <c r="U89" i="52" l="1"/>
  <c r="T89" i="52"/>
  <c r="K90" i="52"/>
  <c r="L90" i="52"/>
  <c r="B92" i="52"/>
  <c r="M91" i="52"/>
  <c r="E91" i="52"/>
  <c r="U90" i="52" l="1"/>
  <c r="T90" i="52"/>
  <c r="L91" i="52"/>
  <c r="K91" i="52"/>
  <c r="B93" i="52"/>
  <c r="M92" i="52"/>
  <c r="E92" i="52"/>
  <c r="U91" i="52" l="1"/>
  <c r="K92" i="52"/>
  <c r="L92" i="52"/>
  <c r="T91" i="52"/>
  <c r="B94" i="52"/>
  <c r="M93" i="52"/>
  <c r="E93" i="52"/>
  <c r="U92" i="52" l="1"/>
  <c r="T92" i="52"/>
  <c r="K93" i="52"/>
  <c r="L93" i="52"/>
  <c r="B95" i="52"/>
  <c r="M94" i="52"/>
  <c r="E94" i="52"/>
  <c r="T93" i="52" l="1"/>
  <c r="U93" i="52"/>
  <c r="K94" i="52"/>
  <c r="L94" i="52"/>
  <c r="B96" i="52"/>
  <c r="M95" i="52"/>
  <c r="E95" i="52"/>
  <c r="U94" i="52" l="1"/>
  <c r="T94" i="52"/>
  <c r="K95" i="52"/>
  <c r="L95" i="52"/>
  <c r="B97" i="52"/>
  <c r="M96" i="52"/>
  <c r="E96" i="52"/>
  <c r="T95" i="52" l="1"/>
  <c r="U95" i="52"/>
  <c r="K96" i="52"/>
  <c r="L96" i="52"/>
  <c r="B98" i="52"/>
  <c r="M97" i="52"/>
  <c r="E97" i="52"/>
  <c r="U96" i="52" l="1"/>
  <c r="T96" i="52"/>
  <c r="K97" i="52"/>
  <c r="L97" i="52"/>
  <c r="B99" i="52"/>
  <c r="M98" i="52"/>
  <c r="E98" i="52"/>
  <c r="U97" i="52" l="1"/>
  <c r="T97" i="52"/>
  <c r="K98" i="52"/>
  <c r="L98" i="52"/>
  <c r="B100" i="52"/>
  <c r="M99" i="52"/>
  <c r="E99" i="52"/>
  <c r="T98" i="52" l="1"/>
  <c r="U98" i="52"/>
  <c r="K99" i="52"/>
  <c r="L99" i="52"/>
  <c r="B101" i="52"/>
  <c r="M100" i="52"/>
  <c r="E100" i="52"/>
  <c r="U99" i="52" l="1"/>
  <c r="T99" i="52"/>
  <c r="K100" i="52"/>
  <c r="L100" i="52"/>
  <c r="B102" i="52"/>
  <c r="M101" i="52"/>
  <c r="E101" i="52"/>
  <c r="T100" i="52" l="1"/>
  <c r="U100" i="52"/>
  <c r="K101" i="52"/>
  <c r="L101" i="52"/>
  <c r="B103" i="52"/>
  <c r="M102" i="52"/>
  <c r="E102" i="52"/>
  <c r="U101" i="52" l="1"/>
  <c r="T101" i="52"/>
  <c r="K102" i="52"/>
  <c r="L102" i="52"/>
  <c r="B104" i="52"/>
  <c r="M103" i="52"/>
  <c r="E103" i="52"/>
  <c r="U102" i="52" l="1"/>
  <c r="T102" i="52"/>
  <c r="K103" i="52"/>
  <c r="L103" i="52"/>
  <c r="B105" i="52"/>
  <c r="M104" i="52"/>
  <c r="E104" i="52"/>
  <c r="U103" i="52" l="1"/>
  <c r="T103" i="52"/>
  <c r="K104" i="52"/>
  <c r="L104" i="52"/>
  <c r="B106" i="52"/>
  <c r="M105" i="52"/>
  <c r="E105" i="52"/>
  <c r="U104" i="52" l="1"/>
  <c r="T104" i="52"/>
  <c r="K105" i="52"/>
  <c r="L105" i="52"/>
  <c r="B107" i="52"/>
  <c r="M106" i="52"/>
  <c r="E106" i="52"/>
  <c r="T105" i="52" l="1"/>
  <c r="U105" i="52"/>
  <c r="K106" i="52"/>
  <c r="L106" i="52"/>
  <c r="B108" i="52"/>
  <c r="M107" i="52"/>
  <c r="E107" i="52"/>
  <c r="U106" i="52" l="1"/>
  <c r="T106" i="52"/>
  <c r="K107" i="52"/>
  <c r="L107" i="52"/>
  <c r="B109" i="52"/>
  <c r="M108" i="52"/>
  <c r="E108" i="52"/>
  <c r="U107" i="52" l="1"/>
  <c r="T107" i="52"/>
  <c r="K108" i="52"/>
  <c r="L108" i="52"/>
  <c r="B110" i="52"/>
  <c r="M109" i="52"/>
  <c r="E109" i="52"/>
  <c r="T108" i="52" l="1"/>
  <c r="U108" i="52"/>
  <c r="K109" i="52"/>
  <c r="L109" i="52"/>
  <c r="B111" i="52"/>
  <c r="M110" i="52"/>
  <c r="E110" i="52"/>
  <c r="T109" i="52" l="1"/>
  <c r="U109" i="52"/>
  <c r="K110" i="52"/>
  <c r="L110" i="52"/>
  <c r="B112" i="52"/>
  <c r="M111" i="52"/>
  <c r="E111" i="52"/>
  <c r="T110" i="52" l="1"/>
  <c r="U110" i="52"/>
  <c r="K111" i="52"/>
  <c r="L111" i="52"/>
  <c r="B113" i="52"/>
  <c r="M112" i="52"/>
  <c r="E112" i="52"/>
  <c r="U111" i="52" l="1"/>
  <c r="T111" i="52"/>
  <c r="K112" i="52"/>
  <c r="L112" i="52"/>
  <c r="B114" i="52"/>
  <c r="M113" i="52"/>
  <c r="E113" i="52"/>
  <c r="U112" i="52" l="1"/>
  <c r="T112" i="52"/>
  <c r="K113" i="52"/>
  <c r="L113" i="52"/>
  <c r="B115" i="52"/>
  <c r="M114" i="52"/>
  <c r="E114" i="52"/>
  <c r="U113" i="52" l="1"/>
  <c r="T113" i="52"/>
  <c r="K114" i="52"/>
  <c r="L114" i="52"/>
  <c r="B116" i="52"/>
  <c r="M115" i="52"/>
  <c r="E115" i="52"/>
  <c r="U114" i="52" l="1"/>
  <c r="T114" i="52"/>
  <c r="K115" i="52"/>
  <c r="L115" i="52"/>
  <c r="B117" i="52"/>
  <c r="M116" i="52"/>
  <c r="E116" i="52"/>
  <c r="U115" i="52" l="1"/>
  <c r="T115" i="52"/>
  <c r="K116" i="52"/>
  <c r="L116" i="52"/>
  <c r="B118" i="52"/>
  <c r="M117" i="52"/>
  <c r="E117" i="52"/>
  <c r="T116" i="52" l="1"/>
  <c r="U116" i="52"/>
  <c r="K117" i="52"/>
  <c r="L117" i="52"/>
  <c r="B119" i="52"/>
  <c r="M118" i="52"/>
  <c r="E118" i="52"/>
  <c r="U117" i="52" l="1"/>
  <c r="T117" i="52"/>
  <c r="K118" i="52"/>
  <c r="L118" i="52"/>
  <c r="B120" i="52"/>
  <c r="M119" i="52"/>
  <c r="E119" i="52"/>
  <c r="U118" i="52" l="1"/>
  <c r="T118" i="52"/>
  <c r="K119" i="52"/>
  <c r="L119" i="52"/>
  <c r="B121" i="52"/>
  <c r="M120" i="52"/>
  <c r="E120" i="52"/>
  <c r="U119" i="52" l="1"/>
  <c r="T119" i="52"/>
  <c r="K120" i="52"/>
  <c r="L120" i="52"/>
  <c r="B122" i="52"/>
  <c r="M121" i="52"/>
  <c r="E121" i="52"/>
  <c r="U120" i="52" l="1"/>
  <c r="T120" i="52"/>
  <c r="K121" i="52"/>
  <c r="L121" i="52"/>
  <c r="B123" i="52"/>
  <c r="M122" i="52"/>
  <c r="E122" i="52"/>
  <c r="U121" i="52" l="1"/>
  <c r="T121" i="52"/>
  <c r="K122" i="52"/>
  <c r="L122" i="52"/>
  <c r="B124" i="52"/>
  <c r="M123" i="52"/>
  <c r="E123" i="52"/>
  <c r="U122" i="52" l="1"/>
  <c r="T122" i="52"/>
  <c r="K123" i="52"/>
  <c r="L123" i="52"/>
  <c r="B125" i="52"/>
  <c r="M124" i="52"/>
  <c r="E124" i="52"/>
  <c r="U123" i="52" l="1"/>
  <c r="T123" i="52"/>
  <c r="K124" i="52"/>
  <c r="L124" i="52"/>
  <c r="B126" i="52"/>
  <c r="M125" i="52"/>
  <c r="E125" i="52"/>
  <c r="T124" i="52" l="1"/>
  <c r="K125" i="52"/>
  <c r="L125" i="52"/>
  <c r="U124" i="52"/>
  <c r="B127" i="52"/>
  <c r="M126" i="52"/>
  <c r="E126" i="52"/>
  <c r="U125" i="52" l="1"/>
  <c r="T125" i="52"/>
  <c r="K126" i="52"/>
  <c r="L126" i="52"/>
  <c r="B128" i="52"/>
  <c r="M127" i="52"/>
  <c r="E127" i="52"/>
  <c r="U126" i="52" l="1"/>
  <c r="T126" i="52"/>
  <c r="K127" i="52"/>
  <c r="L127" i="52"/>
  <c r="B129" i="52"/>
  <c r="M128" i="52"/>
  <c r="E128" i="52"/>
  <c r="U127" i="52" l="1"/>
  <c r="T127" i="52"/>
  <c r="K128" i="52"/>
  <c r="L128" i="52"/>
  <c r="B130" i="52"/>
  <c r="M129" i="52"/>
  <c r="E129" i="52"/>
  <c r="T128" i="52" l="1"/>
  <c r="U128" i="52"/>
  <c r="K129" i="52"/>
  <c r="L129" i="52"/>
  <c r="B131" i="52"/>
  <c r="M130" i="52"/>
  <c r="E130" i="52"/>
  <c r="U129" i="52" l="1"/>
  <c r="T129" i="52"/>
  <c r="K130" i="52"/>
  <c r="L130" i="52"/>
  <c r="B132" i="52"/>
  <c r="M131" i="52"/>
  <c r="E131" i="52"/>
  <c r="T130" i="52" l="1"/>
  <c r="U130" i="52"/>
  <c r="K131" i="52"/>
  <c r="L131" i="52"/>
  <c r="B133" i="52"/>
  <c r="E132" i="52"/>
  <c r="M132" i="52"/>
  <c r="U131" i="52" l="1"/>
  <c r="T131" i="52"/>
  <c r="K132" i="52"/>
  <c r="L132" i="52"/>
  <c r="B134" i="52"/>
  <c r="M133" i="52"/>
  <c r="E133" i="52"/>
  <c r="T132" i="52" l="1"/>
  <c r="U132" i="52"/>
  <c r="K133" i="52"/>
  <c r="L133" i="52"/>
  <c r="B135" i="52"/>
  <c r="E134" i="52"/>
  <c r="M134" i="52"/>
  <c r="U133" i="52" l="1"/>
  <c r="T133" i="52"/>
  <c r="K134" i="52"/>
  <c r="L134" i="52"/>
  <c r="B136" i="52"/>
  <c r="M135" i="52"/>
  <c r="E135" i="52"/>
  <c r="U134" i="52" l="1"/>
  <c r="T134" i="52"/>
  <c r="K135" i="52"/>
  <c r="L135" i="52"/>
  <c r="B137" i="52"/>
  <c r="E136" i="52"/>
  <c r="M136" i="52"/>
  <c r="U135" i="52" l="1"/>
  <c r="T135" i="52"/>
  <c r="K136" i="52"/>
  <c r="L136" i="52"/>
  <c r="B138" i="52"/>
  <c r="M137" i="52"/>
  <c r="E137" i="52"/>
  <c r="U136" i="52" l="1"/>
  <c r="T136" i="52"/>
  <c r="K137" i="52"/>
  <c r="L137" i="52"/>
  <c r="B139" i="52"/>
  <c r="E138" i="52"/>
  <c r="M138" i="52"/>
  <c r="U137" i="52" l="1"/>
  <c r="T137" i="52"/>
  <c r="K138" i="52"/>
  <c r="L138" i="52"/>
  <c r="B140" i="52"/>
  <c r="M139" i="52"/>
  <c r="E139" i="52"/>
  <c r="U138" i="52" l="1"/>
  <c r="T138" i="52"/>
  <c r="K139" i="52"/>
  <c r="L139" i="52"/>
  <c r="B141" i="52"/>
  <c r="E140" i="52"/>
  <c r="M140" i="52"/>
  <c r="U139" i="52" l="1"/>
  <c r="T139" i="52"/>
  <c r="K140" i="52"/>
  <c r="L140" i="52"/>
  <c r="B142" i="52"/>
  <c r="M141" i="52"/>
  <c r="E141" i="52"/>
  <c r="U140" i="52" l="1"/>
  <c r="T140" i="52"/>
  <c r="K141" i="52"/>
  <c r="L141" i="52"/>
  <c r="B143" i="52"/>
  <c r="E142" i="52"/>
  <c r="M142" i="52"/>
  <c r="T141" i="52" l="1"/>
  <c r="U141" i="52"/>
  <c r="K142" i="52"/>
  <c r="L142" i="52"/>
  <c r="B144" i="52"/>
  <c r="M143" i="52"/>
  <c r="E143" i="52"/>
  <c r="U142" i="52" l="1"/>
  <c r="T142" i="52"/>
  <c r="K143" i="52"/>
  <c r="L143" i="52"/>
  <c r="B145" i="52"/>
  <c r="E144" i="52"/>
  <c r="M144" i="52"/>
  <c r="U143" i="52" l="1"/>
  <c r="T143" i="52"/>
  <c r="K144" i="52"/>
  <c r="L144" i="52"/>
  <c r="B146" i="52"/>
  <c r="M145" i="52"/>
  <c r="E145" i="52"/>
  <c r="U144" i="52" l="1"/>
  <c r="T144" i="52"/>
  <c r="K145" i="52"/>
  <c r="L145" i="52"/>
  <c r="B147" i="52"/>
  <c r="E146" i="52"/>
  <c r="M146" i="52"/>
  <c r="T145" i="52" l="1"/>
  <c r="U145" i="52"/>
  <c r="K146" i="52"/>
  <c r="L146" i="52"/>
  <c r="B148" i="52"/>
  <c r="M147" i="52"/>
  <c r="E147" i="52"/>
  <c r="U146" i="52" l="1"/>
  <c r="T146" i="52"/>
  <c r="K147" i="52"/>
  <c r="L147" i="52"/>
  <c r="B149" i="52"/>
  <c r="E148" i="52"/>
  <c r="M148" i="52"/>
  <c r="U147" i="52" l="1"/>
  <c r="T147" i="52"/>
  <c r="K148" i="52"/>
  <c r="L148" i="52"/>
  <c r="B150" i="52"/>
  <c r="M149" i="52"/>
  <c r="E149" i="52"/>
  <c r="T148" i="52" l="1"/>
  <c r="U148" i="52"/>
  <c r="K149" i="52"/>
  <c r="L149" i="52"/>
  <c r="B151" i="52"/>
  <c r="E150" i="52"/>
  <c r="M150" i="52"/>
  <c r="T149" i="52" l="1"/>
  <c r="U149" i="52"/>
  <c r="K150" i="52"/>
  <c r="L150" i="52"/>
  <c r="B152" i="52"/>
  <c r="M151" i="52"/>
  <c r="E151" i="52"/>
  <c r="U150" i="52" l="1"/>
  <c r="T150" i="52"/>
  <c r="K151" i="52"/>
  <c r="L151" i="52"/>
  <c r="B153" i="52"/>
  <c r="E152" i="52"/>
  <c r="M152" i="52"/>
  <c r="T151" i="52" l="1"/>
  <c r="U151" i="52"/>
  <c r="K152" i="52"/>
  <c r="L152" i="52"/>
  <c r="B154" i="52"/>
  <c r="M153" i="52"/>
  <c r="E153" i="52"/>
  <c r="U152" i="52" l="1"/>
  <c r="T152" i="52"/>
  <c r="K153" i="52"/>
  <c r="L153" i="52"/>
  <c r="B155" i="52"/>
  <c r="E154" i="52"/>
  <c r="M154" i="52"/>
  <c r="U153" i="52" l="1"/>
  <c r="T153" i="52"/>
  <c r="K154" i="52"/>
  <c r="L154" i="52"/>
  <c r="B156" i="52"/>
  <c r="M155" i="52"/>
  <c r="E155" i="52"/>
  <c r="U154" i="52" l="1"/>
  <c r="T154" i="52"/>
  <c r="K155" i="52"/>
  <c r="L155" i="52"/>
  <c r="B157" i="52"/>
  <c r="E156" i="52"/>
  <c r="M156" i="52"/>
  <c r="T155" i="52" l="1"/>
  <c r="U155" i="52"/>
  <c r="K156" i="52"/>
  <c r="L156" i="52"/>
  <c r="B158" i="52"/>
  <c r="M157" i="52"/>
  <c r="E157" i="52"/>
  <c r="U156" i="52" l="1"/>
  <c r="T156" i="52"/>
  <c r="K157" i="52"/>
  <c r="L157" i="52"/>
  <c r="B159" i="52"/>
  <c r="E158" i="52"/>
  <c r="M158" i="52"/>
  <c r="U157" i="52" l="1"/>
  <c r="T157" i="52"/>
  <c r="K158" i="52"/>
  <c r="L158" i="52"/>
  <c r="B160" i="52"/>
  <c r="M159" i="52"/>
  <c r="E159" i="52"/>
  <c r="T158" i="52" l="1"/>
  <c r="U158" i="52"/>
  <c r="K159" i="52"/>
  <c r="L159" i="52"/>
  <c r="B161" i="52"/>
  <c r="E160" i="52"/>
  <c r="M160" i="52"/>
  <c r="U159" i="52" l="1"/>
  <c r="T159" i="52"/>
  <c r="K160" i="52"/>
  <c r="L160" i="52"/>
  <c r="B162" i="52"/>
  <c r="M161" i="52"/>
  <c r="E161" i="52"/>
  <c r="U160" i="52" l="1"/>
  <c r="T160" i="52"/>
  <c r="K161" i="52"/>
  <c r="L161" i="52"/>
  <c r="B163" i="52"/>
  <c r="E162" i="52"/>
  <c r="M162" i="52"/>
  <c r="U161" i="52" l="1"/>
  <c r="T161" i="52"/>
  <c r="K162" i="52"/>
  <c r="L162" i="52"/>
  <c r="B164" i="52"/>
  <c r="M163" i="52"/>
  <c r="E163" i="52"/>
  <c r="U162" i="52" l="1"/>
  <c r="T162" i="52"/>
  <c r="K163" i="52"/>
  <c r="L163" i="52"/>
  <c r="B165" i="52"/>
  <c r="E164" i="52"/>
  <c r="M164" i="52"/>
  <c r="U163" i="52" l="1"/>
  <c r="T163" i="52"/>
  <c r="K164" i="52"/>
  <c r="L164" i="52"/>
  <c r="B166" i="52"/>
  <c r="E165" i="52"/>
  <c r="M165" i="52"/>
  <c r="U164" i="52" l="1"/>
  <c r="T164" i="52"/>
  <c r="K165" i="52"/>
  <c r="L165" i="52"/>
  <c r="B167" i="52"/>
  <c r="M166" i="52"/>
  <c r="E166" i="52"/>
  <c r="T165" i="52" l="1"/>
  <c r="U165" i="52"/>
  <c r="K166" i="52"/>
  <c r="L166" i="52"/>
  <c r="B168" i="52"/>
  <c r="E167" i="52"/>
  <c r="M167" i="52"/>
  <c r="U166" i="52" l="1"/>
  <c r="T166" i="52"/>
  <c r="K167" i="52"/>
  <c r="L167" i="52"/>
  <c r="B169" i="52"/>
  <c r="M168" i="52"/>
  <c r="E168" i="52"/>
  <c r="U167" i="52" l="1"/>
  <c r="T167" i="52"/>
  <c r="K168" i="52"/>
  <c r="L168" i="52"/>
  <c r="B170" i="52"/>
  <c r="E169" i="52"/>
  <c r="M169" i="52"/>
  <c r="U168" i="52" l="1"/>
  <c r="T168" i="52"/>
  <c r="K169" i="52"/>
  <c r="L169" i="52"/>
  <c r="B171" i="52"/>
  <c r="M170" i="52"/>
  <c r="E170" i="52"/>
  <c r="U169" i="52" l="1"/>
  <c r="T169" i="52"/>
  <c r="K170" i="52"/>
  <c r="L170" i="52"/>
  <c r="B172" i="52"/>
  <c r="E171" i="52"/>
  <c r="M171" i="52"/>
  <c r="U170" i="52" l="1"/>
  <c r="T170" i="52"/>
  <c r="K171" i="52"/>
  <c r="L171" i="52"/>
  <c r="B173" i="52"/>
  <c r="E172" i="52"/>
  <c r="M172" i="52"/>
  <c r="U171" i="52" l="1"/>
  <c r="T171" i="52"/>
  <c r="K172" i="52"/>
  <c r="L172" i="52"/>
  <c r="B174" i="52"/>
  <c r="E173" i="52"/>
  <c r="M173" i="52"/>
  <c r="T172" i="52" l="1"/>
  <c r="U172" i="52"/>
  <c r="K173" i="52"/>
  <c r="L173" i="52"/>
  <c r="B175" i="52"/>
  <c r="M174" i="52"/>
  <c r="E174" i="52"/>
  <c r="U173" i="52" l="1"/>
  <c r="T173" i="52"/>
  <c r="K174" i="52"/>
  <c r="L174" i="52"/>
  <c r="B176" i="52"/>
  <c r="E175" i="52"/>
  <c r="M175" i="52"/>
  <c r="T174" i="52" l="1"/>
  <c r="U174" i="52"/>
  <c r="K175" i="52"/>
  <c r="L175" i="52"/>
  <c r="B177" i="52"/>
  <c r="M176" i="52"/>
  <c r="E176" i="52"/>
  <c r="U175" i="52" l="1"/>
  <c r="T175" i="52"/>
  <c r="K176" i="52"/>
  <c r="L176" i="52"/>
  <c r="B178" i="52"/>
  <c r="E177" i="52"/>
  <c r="M177" i="52"/>
  <c r="T176" i="52" l="1"/>
  <c r="U176" i="52"/>
  <c r="K177" i="52"/>
  <c r="L177" i="52"/>
  <c r="B179" i="52"/>
  <c r="M178" i="52"/>
  <c r="E178" i="52"/>
  <c r="U177" i="52" l="1"/>
  <c r="T177" i="52"/>
  <c r="K178" i="52"/>
  <c r="L178" i="52"/>
  <c r="B180" i="52"/>
  <c r="E179" i="52"/>
  <c r="M179" i="52"/>
  <c r="U178" i="52" l="1"/>
  <c r="T178" i="52"/>
  <c r="K179" i="52"/>
  <c r="L179" i="52"/>
  <c r="B181" i="52"/>
  <c r="E180" i="52"/>
  <c r="M180" i="52"/>
  <c r="U179" i="52" l="1"/>
  <c r="T179" i="52"/>
  <c r="K180" i="52"/>
  <c r="L180" i="52"/>
  <c r="B182" i="52"/>
  <c r="E181" i="52"/>
  <c r="M181" i="52"/>
  <c r="U180" i="52" l="1"/>
  <c r="T180" i="52"/>
  <c r="K181" i="52"/>
  <c r="L181" i="52"/>
  <c r="B183" i="52"/>
  <c r="M182" i="52"/>
  <c r="E182" i="52"/>
  <c r="U181" i="52" l="1"/>
  <c r="T181" i="52"/>
  <c r="K182" i="52"/>
  <c r="L182" i="52"/>
  <c r="B184" i="52"/>
  <c r="E183" i="52"/>
  <c r="M183" i="52"/>
  <c r="U182" i="52" l="1"/>
  <c r="T182" i="52"/>
  <c r="K183" i="52"/>
  <c r="L183" i="52"/>
  <c r="B185" i="52"/>
  <c r="M184" i="52"/>
  <c r="E184" i="52"/>
  <c r="T183" i="52" l="1"/>
  <c r="U183" i="52"/>
  <c r="K184" i="52"/>
  <c r="L184" i="52"/>
  <c r="B186" i="52"/>
  <c r="M185" i="52"/>
  <c r="E185" i="52"/>
  <c r="T184" i="52" l="1"/>
  <c r="U184" i="52"/>
  <c r="K185" i="52"/>
  <c r="L185" i="52"/>
  <c r="B187" i="52"/>
  <c r="M186" i="52"/>
  <c r="E186" i="52"/>
  <c r="U185" i="52" l="1"/>
  <c r="T185" i="52"/>
  <c r="K186" i="52"/>
  <c r="L186" i="52"/>
  <c r="B188" i="52"/>
  <c r="M187" i="52"/>
  <c r="E187" i="52"/>
  <c r="U186" i="52" l="1"/>
  <c r="T186" i="52"/>
  <c r="K187" i="52"/>
  <c r="L187" i="52"/>
  <c r="B189" i="52"/>
  <c r="M188" i="52"/>
  <c r="E188" i="52"/>
  <c r="T187" i="52" l="1"/>
  <c r="U187" i="52"/>
  <c r="K188" i="52"/>
  <c r="L188" i="52"/>
  <c r="B190" i="52"/>
  <c r="M189" i="52"/>
  <c r="E189" i="52"/>
  <c r="U188" i="52" l="1"/>
  <c r="T188" i="52"/>
  <c r="K189" i="52"/>
  <c r="L189" i="52"/>
  <c r="B191" i="52"/>
  <c r="M190" i="52"/>
  <c r="E190" i="52"/>
  <c r="U189" i="52" l="1"/>
  <c r="T189" i="52"/>
  <c r="K190" i="52"/>
  <c r="L190" i="52"/>
  <c r="B192" i="52"/>
  <c r="M191" i="52"/>
  <c r="E191" i="52"/>
  <c r="U190" i="52" l="1"/>
  <c r="T190" i="52"/>
  <c r="K191" i="52"/>
  <c r="L191" i="52"/>
  <c r="B193" i="52"/>
  <c r="M192" i="52"/>
  <c r="E192" i="52"/>
  <c r="U191" i="52" l="1"/>
  <c r="T191" i="52"/>
  <c r="K192" i="52"/>
  <c r="L192" i="52"/>
  <c r="B194" i="52"/>
  <c r="M193" i="52"/>
  <c r="E193" i="52"/>
  <c r="T192" i="52" l="1"/>
  <c r="U192" i="52"/>
  <c r="K193" i="52"/>
  <c r="L193" i="52"/>
  <c r="B195" i="52"/>
  <c r="M194" i="52"/>
  <c r="E194" i="52"/>
  <c r="U193" i="52" l="1"/>
  <c r="T193" i="52"/>
  <c r="K194" i="52"/>
  <c r="L194" i="52"/>
  <c r="B196" i="52"/>
  <c r="M195" i="52"/>
  <c r="E195" i="52"/>
  <c r="U194" i="52" l="1"/>
  <c r="T194" i="52"/>
  <c r="K195" i="52"/>
  <c r="L195" i="52"/>
  <c r="B197" i="52"/>
  <c r="M196" i="52"/>
  <c r="E196" i="52"/>
  <c r="U195" i="52" l="1"/>
  <c r="T195" i="52"/>
  <c r="K196" i="52"/>
  <c r="L196" i="52"/>
  <c r="B198" i="52"/>
  <c r="M197" i="52"/>
  <c r="E197" i="52"/>
  <c r="U196" i="52" l="1"/>
  <c r="T196" i="52"/>
  <c r="K197" i="52"/>
  <c r="L197" i="52"/>
  <c r="B199" i="52"/>
  <c r="M198" i="52"/>
  <c r="E198" i="52"/>
  <c r="U197" i="52" l="1"/>
  <c r="T197" i="52"/>
  <c r="K198" i="52"/>
  <c r="L198" i="52"/>
  <c r="B200" i="52"/>
  <c r="M199" i="52"/>
  <c r="E199" i="52"/>
  <c r="T198" i="52" l="1"/>
  <c r="U198" i="52"/>
  <c r="K199" i="52"/>
  <c r="L199" i="52"/>
  <c r="B201" i="52"/>
  <c r="M200" i="52"/>
  <c r="E200" i="52"/>
  <c r="U199" i="52" l="1"/>
  <c r="T199" i="52"/>
  <c r="K200" i="52"/>
  <c r="L200" i="52"/>
  <c r="B202" i="52"/>
  <c r="M201" i="52"/>
  <c r="E201" i="52"/>
  <c r="T200" i="52" l="1"/>
  <c r="U200" i="52"/>
  <c r="K201" i="52"/>
  <c r="L201" i="52"/>
  <c r="B203" i="52"/>
  <c r="M202" i="52"/>
  <c r="E202" i="52"/>
  <c r="U201" i="52" l="1"/>
  <c r="T201" i="52"/>
  <c r="K202" i="52"/>
  <c r="L202" i="52"/>
  <c r="B204" i="52"/>
  <c r="M203" i="52"/>
  <c r="E203" i="52"/>
  <c r="T202" i="52" l="1"/>
  <c r="U202" i="52"/>
  <c r="K203" i="52"/>
  <c r="L203" i="52"/>
  <c r="B205" i="52"/>
  <c r="E204" i="52"/>
  <c r="M204" i="52"/>
  <c r="U203" i="52" l="1"/>
  <c r="T203" i="52"/>
  <c r="K204" i="52"/>
  <c r="L204" i="52"/>
  <c r="B206" i="52"/>
  <c r="E205" i="52"/>
  <c r="M205" i="52"/>
  <c r="U204" i="52" l="1"/>
  <c r="T204" i="52"/>
  <c r="K205" i="52"/>
  <c r="L205" i="52"/>
  <c r="B207" i="52"/>
  <c r="E206" i="52"/>
  <c r="M206" i="52"/>
  <c r="U205" i="52" l="1"/>
  <c r="T205" i="52"/>
  <c r="K206" i="52"/>
  <c r="L206" i="52"/>
  <c r="B208" i="52"/>
  <c r="M207" i="52"/>
  <c r="E207" i="52"/>
  <c r="U206" i="52" l="1"/>
  <c r="T206" i="52"/>
  <c r="K207" i="52"/>
  <c r="L207" i="52"/>
  <c r="B209" i="52"/>
  <c r="E208" i="52"/>
  <c r="M208" i="52"/>
  <c r="T207" i="52" l="1"/>
  <c r="U207" i="52"/>
  <c r="K208" i="52"/>
  <c r="L208" i="52"/>
  <c r="B210" i="52"/>
  <c r="M209" i="52"/>
  <c r="E209" i="52"/>
  <c r="U208" i="52" l="1"/>
  <c r="T208" i="52"/>
  <c r="K209" i="52"/>
  <c r="L209" i="52"/>
  <c r="B211" i="52"/>
  <c r="E210" i="52"/>
  <c r="M210" i="52"/>
  <c r="T209" i="52" l="1"/>
  <c r="U209" i="52"/>
  <c r="K210" i="52"/>
  <c r="L210" i="52"/>
  <c r="B212" i="52"/>
  <c r="M211" i="52"/>
  <c r="E211" i="52"/>
  <c r="U210" i="52" l="1"/>
  <c r="T210" i="52"/>
  <c r="K211" i="52"/>
  <c r="L211" i="52"/>
  <c r="B213" i="52"/>
  <c r="E212" i="52"/>
  <c r="M212" i="52"/>
  <c r="T211" i="52" l="1"/>
  <c r="U211" i="52"/>
  <c r="K212" i="52"/>
  <c r="L212" i="52"/>
  <c r="B214" i="52"/>
  <c r="E213" i="52"/>
  <c r="M213" i="52"/>
  <c r="U212" i="52" l="1"/>
  <c r="T212" i="52"/>
  <c r="K213" i="52"/>
  <c r="L213" i="52"/>
  <c r="B215" i="52"/>
  <c r="E214" i="52"/>
  <c r="M214" i="52"/>
  <c r="U213" i="52" l="1"/>
  <c r="T213" i="52"/>
  <c r="K214" i="52"/>
  <c r="L214" i="52"/>
  <c r="B216" i="52"/>
  <c r="M215" i="52"/>
  <c r="E215" i="52"/>
  <c r="U214" i="52" l="1"/>
  <c r="T214" i="52"/>
  <c r="K215" i="52"/>
  <c r="L215" i="52"/>
  <c r="B217" i="52"/>
  <c r="E216" i="52"/>
  <c r="M216" i="52"/>
  <c r="U215" i="52" l="1"/>
  <c r="T215" i="52"/>
  <c r="K216" i="52"/>
  <c r="L216" i="52"/>
  <c r="B218" i="52"/>
  <c r="M217" i="52"/>
  <c r="E217" i="52"/>
  <c r="U216" i="52" l="1"/>
  <c r="T216" i="52"/>
  <c r="K217" i="52"/>
  <c r="L217" i="52"/>
  <c r="B219" i="52"/>
  <c r="E218" i="52"/>
  <c r="M218" i="52"/>
  <c r="U217" i="52" l="1"/>
  <c r="T217" i="52"/>
  <c r="K218" i="52"/>
  <c r="L218" i="52"/>
  <c r="B220" i="52"/>
  <c r="M219" i="52"/>
  <c r="E219" i="52"/>
  <c r="U218" i="52" l="1"/>
  <c r="T218" i="52"/>
  <c r="K219" i="52"/>
  <c r="L219" i="52"/>
  <c r="B221" i="52"/>
  <c r="E220" i="52"/>
  <c r="M220" i="52"/>
  <c r="U219" i="52" l="1"/>
  <c r="T219" i="52"/>
  <c r="K220" i="52"/>
  <c r="L220" i="52"/>
  <c r="B222" i="52"/>
  <c r="E221" i="52"/>
  <c r="M221" i="52"/>
  <c r="U220" i="52" l="1"/>
  <c r="T220" i="52"/>
  <c r="K221" i="52"/>
  <c r="L221" i="52"/>
  <c r="B223" i="52"/>
  <c r="M222" i="52"/>
  <c r="E222" i="52"/>
  <c r="B224" i="52" l="1"/>
  <c r="U221" i="52"/>
  <c r="T221" i="52"/>
  <c r="K222" i="52"/>
  <c r="L222" i="52"/>
  <c r="E223" i="52"/>
  <c r="M223" i="52"/>
  <c r="E224" i="52" l="1"/>
  <c r="B225" i="52"/>
  <c r="M224" i="52"/>
  <c r="U222" i="52"/>
  <c r="T222" i="52"/>
  <c r="K223" i="52"/>
  <c r="L223" i="52"/>
  <c r="B226" i="52" l="1"/>
  <c r="M225" i="52"/>
  <c r="E225" i="52"/>
  <c r="K224" i="52"/>
  <c r="L224" i="52"/>
  <c r="U223" i="52"/>
  <c r="T223" i="52"/>
  <c r="T224" i="52" l="1"/>
  <c r="K225" i="52"/>
  <c r="L225" i="52"/>
  <c r="U224" i="52"/>
  <c r="M226" i="52"/>
  <c r="E226" i="52"/>
  <c r="B227" i="52"/>
  <c r="K11" i="45"/>
  <c r="T225" i="52" l="1"/>
  <c r="U225" i="52"/>
  <c r="K226" i="52"/>
  <c r="L226" i="52"/>
  <c r="B228" i="52"/>
  <c r="M227" i="52"/>
  <c r="E227" i="52"/>
  <c r="I12" i="45"/>
  <c r="K12" i="45" s="1"/>
  <c r="T226" i="52" l="1"/>
  <c r="K227" i="52"/>
  <c r="L227" i="52"/>
  <c r="E228" i="52"/>
  <c r="B229" i="52"/>
  <c r="M228" i="52"/>
  <c r="U226" i="52"/>
  <c r="I13" i="45"/>
  <c r="I14" i="45" s="1"/>
  <c r="I15" i="45" s="1"/>
  <c r="T227" i="52" l="1"/>
  <c r="U227" i="52"/>
  <c r="K228" i="52"/>
  <c r="L228" i="52"/>
  <c r="B230" i="52"/>
  <c r="M229" i="52"/>
  <c r="E229" i="52"/>
  <c r="K14" i="45"/>
  <c r="K13" i="45"/>
  <c r="K15" i="45"/>
  <c r="I16" i="45"/>
  <c r="U228" i="52" l="1"/>
  <c r="B231" i="52"/>
  <c r="E230" i="52"/>
  <c r="M230" i="52"/>
  <c r="K229" i="52"/>
  <c r="L229" i="52"/>
  <c r="T228" i="52"/>
  <c r="K16" i="45"/>
  <c r="I17" i="45"/>
  <c r="T229" i="52" l="1"/>
  <c r="K230" i="52"/>
  <c r="L230" i="52"/>
  <c r="U229" i="52"/>
  <c r="B232" i="52"/>
  <c r="M231" i="52"/>
  <c r="E231" i="52"/>
  <c r="K17" i="45"/>
  <c r="I18" i="45"/>
  <c r="T230" i="52" l="1"/>
  <c r="U230" i="52"/>
  <c r="L231" i="52"/>
  <c r="K231" i="52"/>
  <c r="M232" i="52"/>
  <c r="B233" i="52"/>
  <c r="E232" i="52"/>
  <c r="K18" i="45"/>
  <c r="I19" i="45"/>
  <c r="T231" i="52" l="1"/>
  <c r="U231" i="52"/>
  <c r="B234" i="52"/>
  <c r="M233" i="52"/>
  <c r="E233" i="52"/>
  <c r="K232" i="52"/>
  <c r="L232" i="52"/>
  <c r="K19" i="45"/>
  <c r="I20" i="45"/>
  <c r="U232" i="52" l="1"/>
  <c r="T232" i="52"/>
  <c r="K233" i="52"/>
  <c r="L233" i="52"/>
  <c r="M234" i="52"/>
  <c r="B235" i="52"/>
  <c r="B236" i="52" s="1"/>
  <c r="E234" i="52"/>
  <c r="K20" i="45"/>
  <c r="I21" i="45"/>
  <c r="E236" i="52" l="1"/>
  <c r="B237" i="52"/>
  <c r="M236" i="52"/>
  <c r="T233" i="52"/>
  <c r="M235" i="52"/>
  <c r="E235" i="52"/>
  <c r="U233" i="52"/>
  <c r="K234" i="52"/>
  <c r="L234" i="52"/>
  <c r="K21" i="45"/>
  <c r="I22" i="45"/>
  <c r="B238" i="52" l="1"/>
  <c r="M237" i="52"/>
  <c r="E237" i="52"/>
  <c r="K236" i="52"/>
  <c r="L236" i="52"/>
  <c r="U234" i="52"/>
  <c r="T234" i="52"/>
  <c r="L235" i="52"/>
  <c r="K235" i="52"/>
  <c r="AA11" i="52"/>
  <c r="I23" i="45"/>
  <c r="K22" i="45"/>
  <c r="T235" i="52" l="1"/>
  <c r="U236" i="52"/>
  <c r="T236" i="52"/>
  <c r="L237" i="52"/>
  <c r="K237" i="52"/>
  <c r="M238" i="52"/>
  <c r="E238" i="52"/>
  <c r="B239" i="52"/>
  <c r="U235" i="52"/>
  <c r="X16" i="52"/>
  <c r="Z23" i="52"/>
  <c r="AA18" i="52"/>
  <c r="X17" i="52"/>
  <c r="X18" i="52"/>
  <c r="X12" i="52"/>
  <c r="Z12" i="52"/>
  <c r="X8" i="52"/>
  <c r="AA10" i="52"/>
  <c r="Y15" i="52"/>
  <c r="AA12" i="52"/>
  <c r="Y18" i="52"/>
  <c r="X19" i="52"/>
  <c r="AA13" i="52"/>
  <c r="Z16" i="52"/>
  <c r="AA17" i="52"/>
  <c r="Z8" i="52"/>
  <c r="Z21" i="52"/>
  <c r="X15" i="52"/>
  <c r="Z24" i="52"/>
  <c r="Y11" i="52"/>
  <c r="AA23" i="52"/>
  <c r="Y25" i="52"/>
  <c r="X22" i="52"/>
  <c r="X13" i="52"/>
  <c r="Y14" i="52"/>
  <c r="AA25" i="52"/>
  <c r="Y13" i="52"/>
  <c r="Z18" i="52"/>
  <c r="Y10" i="52"/>
  <c r="AA24" i="52"/>
  <c r="Z14" i="52"/>
  <c r="X14" i="52"/>
  <c r="AA14" i="52"/>
  <c r="AA22" i="52"/>
  <c r="AA21" i="52"/>
  <c r="Y22" i="52"/>
  <c r="AA9" i="52"/>
  <c r="Y24" i="52"/>
  <c r="AA20" i="52"/>
  <c r="Z19" i="52"/>
  <c r="AA8" i="52"/>
  <c r="Z10" i="52"/>
  <c r="Z15" i="52"/>
  <c r="Y8" i="52"/>
  <c r="AA16" i="52"/>
  <c r="Y12" i="52"/>
  <c r="X23" i="52"/>
  <c r="Y9" i="52"/>
  <c r="AA19" i="52"/>
  <c r="Y23" i="52"/>
  <c r="Z25" i="52"/>
  <c r="Z20" i="52"/>
  <c r="X10" i="52"/>
  <c r="Y21" i="52"/>
  <c r="Z11" i="52"/>
  <c r="X11" i="52"/>
  <c r="X20" i="52"/>
  <c r="AA15" i="52"/>
  <c r="Y20" i="52"/>
  <c r="Y19" i="52"/>
  <c r="Z9" i="52"/>
  <c r="Y17" i="52"/>
  <c r="X25" i="52"/>
  <c r="X24" i="52"/>
  <c r="X21" i="52"/>
  <c r="X9" i="52"/>
  <c r="Z22" i="52"/>
  <c r="Z13" i="52"/>
  <c r="Y16" i="52"/>
  <c r="Z17" i="52"/>
  <c r="K23" i="45"/>
  <c r="I24" i="45"/>
  <c r="U237" i="52" l="1"/>
  <c r="T237" i="52"/>
  <c r="E239" i="52"/>
  <c r="B240" i="52"/>
  <c r="M239" i="52"/>
  <c r="L238" i="52"/>
  <c r="K238" i="52"/>
  <c r="X37" i="52"/>
  <c r="Z37" i="52"/>
  <c r="Y37" i="52"/>
  <c r="AA37" i="52"/>
  <c r="K24" i="45"/>
  <c r="I25" i="45"/>
  <c r="E240" i="52" l="1"/>
  <c r="B241" i="52"/>
  <c r="M240" i="52"/>
  <c r="U238" i="52"/>
  <c r="T238" i="52"/>
  <c r="L239" i="52"/>
  <c r="K239" i="52"/>
  <c r="K25" i="45"/>
  <c r="I26" i="45"/>
  <c r="K38" i="45" l="1"/>
  <c r="K36" i="45"/>
  <c r="M241" i="52"/>
  <c r="E241" i="52"/>
  <c r="B242" i="52"/>
  <c r="U239" i="52"/>
  <c r="T239" i="52"/>
  <c r="L240" i="52"/>
  <c r="K240" i="52"/>
  <c r="K26" i="45"/>
  <c r="I27" i="45"/>
  <c r="T240" i="52" l="1"/>
  <c r="U240" i="52"/>
  <c r="E242" i="52"/>
  <c r="B243" i="52"/>
  <c r="M242" i="52"/>
  <c r="L241" i="52"/>
  <c r="K241" i="52"/>
  <c r="K27" i="45"/>
  <c r="I28" i="45"/>
  <c r="U241" i="52" l="1"/>
  <c r="K242" i="52"/>
  <c r="L242" i="52"/>
  <c r="T241" i="52"/>
  <c r="M243" i="52"/>
  <c r="B244" i="52"/>
  <c r="E243" i="52"/>
  <c r="K28" i="45"/>
  <c r="U242" i="52" l="1"/>
  <c r="T242" i="52"/>
  <c r="E244" i="52"/>
  <c r="B245" i="52"/>
  <c r="M244" i="52"/>
  <c r="L243" i="52"/>
  <c r="K243" i="52"/>
  <c r="AD42" i="5"/>
  <c r="AE42" i="5"/>
  <c r="A9" i="42"/>
  <c r="A9" i="41"/>
  <c r="A9" i="40"/>
  <c r="U243" i="52" l="1"/>
  <c r="T243" i="52"/>
  <c r="K244" i="52"/>
  <c r="L244" i="52"/>
  <c r="M245" i="52"/>
  <c r="E245" i="52"/>
  <c r="B246" i="52"/>
  <c r="AE10" i="5"/>
  <c r="K245" i="52" l="1"/>
  <c r="L245" i="52"/>
  <c r="U245" i="52"/>
  <c r="E246" i="52"/>
  <c r="B247" i="52"/>
  <c r="M246" i="52"/>
  <c r="U244" i="52"/>
  <c r="T244" i="52"/>
  <c r="O42" i="5"/>
  <c r="AL14" i="5"/>
  <c r="AD14" i="5"/>
  <c r="V42" i="5"/>
  <c r="V14" i="5"/>
  <c r="T245" i="52" l="1"/>
  <c r="B248" i="52"/>
  <c r="M247" i="52"/>
  <c r="E247" i="52"/>
  <c r="L246" i="52"/>
  <c r="K246" i="52"/>
  <c r="U246" i="52"/>
  <c r="A12" i="17"/>
  <c r="AR6" i="5"/>
  <c r="AQ6" i="5"/>
  <c r="AJ6" i="5"/>
  <c r="AI6" i="5"/>
  <c r="AB6" i="5"/>
  <c r="AA6" i="5"/>
  <c r="T6" i="5"/>
  <c r="S6" i="5"/>
  <c r="T246" i="52" l="1"/>
  <c r="K247" i="52"/>
  <c r="L247" i="52"/>
  <c r="E248" i="52"/>
  <c r="B249" i="52"/>
  <c r="M248" i="52"/>
  <c r="A13" i="17"/>
  <c r="A49" i="42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30" i="42"/>
  <c r="A11" i="42"/>
  <c r="A49" i="4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30" i="41"/>
  <c r="A11" i="41"/>
  <c r="U247" i="52" l="1"/>
  <c r="T247" i="52"/>
  <c r="K248" i="52"/>
  <c r="L248" i="52"/>
  <c r="M249" i="52"/>
  <c r="E249" i="52"/>
  <c r="B250" i="52"/>
  <c r="A14" i="17"/>
  <c r="A70" i="42"/>
  <c r="A70" i="41"/>
  <c r="A31" i="41"/>
  <c r="A32" i="41" s="1"/>
  <c r="A12" i="42"/>
  <c r="A31" i="42"/>
  <c r="A12" i="41"/>
  <c r="A49" i="40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30" i="40"/>
  <c r="A31" i="40" s="1"/>
  <c r="A11" i="40"/>
  <c r="U248" i="52" l="1"/>
  <c r="T248" i="52"/>
  <c r="K249" i="52"/>
  <c r="L249" i="52"/>
  <c r="E250" i="52"/>
  <c r="B251" i="52"/>
  <c r="M250" i="52"/>
  <c r="A15" i="17"/>
  <c r="A13" i="42"/>
  <c r="A71" i="42"/>
  <c r="A32" i="42"/>
  <c r="A33" i="41"/>
  <c r="A71" i="41"/>
  <c r="A13" i="41"/>
  <c r="A12" i="40"/>
  <c r="A70" i="40"/>
  <c r="A32" i="40"/>
  <c r="A14" i="42" l="1"/>
  <c r="A73" i="42" s="1"/>
  <c r="U249" i="52"/>
  <c r="L250" i="52"/>
  <c r="K250" i="52"/>
  <c r="E251" i="52"/>
  <c r="B252" i="52"/>
  <c r="M251" i="52"/>
  <c r="T249" i="52"/>
  <c r="A16" i="17"/>
  <c r="A15" i="42"/>
  <c r="A16" i="42" s="1"/>
  <c r="A72" i="42"/>
  <c r="A33" i="42"/>
  <c r="A34" i="41"/>
  <c r="A72" i="41"/>
  <c r="A14" i="41"/>
  <c r="A33" i="40"/>
  <c r="A13" i="40"/>
  <c r="A71" i="40"/>
  <c r="T250" i="52" l="1"/>
  <c r="B253" i="52"/>
  <c r="M252" i="52"/>
  <c r="E252" i="52"/>
  <c r="U250" i="52"/>
  <c r="K251" i="52"/>
  <c r="L251" i="52"/>
  <c r="A17" i="17"/>
  <c r="A74" i="42"/>
  <c r="A75" i="42"/>
  <c r="A17" i="42"/>
  <c r="A34" i="42"/>
  <c r="A73" i="41"/>
  <c r="A15" i="41"/>
  <c r="A35" i="41"/>
  <c r="A34" i="40"/>
  <c r="A72" i="40"/>
  <c r="A14" i="40"/>
  <c r="U251" i="52" l="1"/>
  <c r="T251" i="52"/>
  <c r="L252" i="52"/>
  <c r="K252" i="52"/>
  <c r="E253" i="52"/>
  <c r="B254" i="52"/>
  <c r="M253" i="52"/>
  <c r="A18" i="17"/>
  <c r="A35" i="42"/>
  <c r="A76" i="42"/>
  <c r="A18" i="42"/>
  <c r="A36" i="41"/>
  <c r="A16" i="41"/>
  <c r="A74" i="41"/>
  <c r="A35" i="40"/>
  <c r="A73" i="40"/>
  <c r="A15" i="40"/>
  <c r="U252" i="52" l="1"/>
  <c r="T252" i="52"/>
  <c r="E254" i="52"/>
  <c r="B255" i="52"/>
  <c r="M254" i="52"/>
  <c r="K253" i="52"/>
  <c r="L253" i="52"/>
  <c r="A19" i="17"/>
  <c r="A77" i="42"/>
  <c r="A19" i="42"/>
  <c r="A36" i="42"/>
  <c r="A37" i="41"/>
  <c r="A75" i="41"/>
  <c r="A17" i="41"/>
  <c r="A36" i="40"/>
  <c r="A74" i="40"/>
  <c r="A16" i="40"/>
  <c r="U253" i="52" l="1"/>
  <c r="M255" i="52"/>
  <c r="E255" i="52"/>
  <c r="B256" i="52"/>
  <c r="K254" i="52"/>
  <c r="L254" i="52"/>
  <c r="T253" i="52"/>
  <c r="A20" i="17"/>
  <c r="A37" i="42"/>
  <c r="A78" i="42"/>
  <c r="A20" i="42"/>
  <c r="A76" i="41"/>
  <c r="A18" i="41"/>
  <c r="A38" i="41"/>
  <c r="A37" i="40"/>
  <c r="A75" i="40"/>
  <c r="A17" i="40"/>
  <c r="B257" i="52" l="1"/>
  <c r="M256" i="52"/>
  <c r="E256" i="52"/>
  <c r="U254" i="52"/>
  <c r="T254" i="52"/>
  <c r="K255" i="52"/>
  <c r="L255" i="52"/>
  <c r="A21" i="17"/>
  <c r="A21" i="42"/>
  <c r="A3" i="42" s="1"/>
  <c r="A79" i="42"/>
  <c r="A38" i="42"/>
  <c r="A77" i="41"/>
  <c r="A19" i="41"/>
  <c r="A39" i="41"/>
  <c r="A38" i="40"/>
  <c r="A18" i="40"/>
  <c r="A76" i="40"/>
  <c r="U255" i="52" l="1"/>
  <c r="T255" i="52"/>
  <c r="L256" i="52"/>
  <c r="K256" i="52"/>
  <c r="E257" i="52"/>
  <c r="B258" i="52"/>
  <c r="M257" i="52"/>
  <c r="A80" i="42"/>
  <c r="A39" i="42"/>
  <c r="A40" i="41"/>
  <c r="A20" i="41"/>
  <c r="A78" i="41"/>
  <c r="A77" i="40"/>
  <c r="A19" i="40"/>
  <c r="A39" i="40"/>
  <c r="U256" i="52" l="1"/>
  <c r="T256" i="52"/>
  <c r="E258" i="52"/>
  <c r="B259" i="52"/>
  <c r="M258" i="52"/>
  <c r="K257" i="52"/>
  <c r="L257" i="52"/>
  <c r="A40" i="42"/>
  <c r="A81" i="42"/>
  <c r="A79" i="41"/>
  <c r="A21" i="41"/>
  <c r="A3" i="41" s="1"/>
  <c r="A41" i="41"/>
  <c r="A40" i="40"/>
  <c r="A20" i="40"/>
  <c r="A78" i="40"/>
  <c r="T257" i="52" l="1"/>
  <c r="U257" i="52"/>
  <c r="B260" i="52"/>
  <c r="M259" i="52"/>
  <c r="E259" i="52"/>
  <c r="L258" i="52"/>
  <c r="K258" i="52"/>
  <c r="A41" i="42"/>
  <c r="A80" i="41"/>
  <c r="A22" i="41"/>
  <c r="A41" i="40"/>
  <c r="A79" i="40"/>
  <c r="A21" i="40"/>
  <c r="U258" i="52" l="1"/>
  <c r="T258" i="52"/>
  <c r="L259" i="52"/>
  <c r="K259" i="52"/>
  <c r="B261" i="52"/>
  <c r="M260" i="52"/>
  <c r="E260" i="52"/>
  <c r="A81" i="41"/>
  <c r="A80" i="40"/>
  <c r="A22" i="40"/>
  <c r="U259" i="52" l="1"/>
  <c r="T259" i="52"/>
  <c r="B262" i="52"/>
  <c r="M261" i="52"/>
  <c r="E261" i="52"/>
  <c r="K260" i="52"/>
  <c r="L260" i="52"/>
  <c r="A81" i="40"/>
  <c r="U260" i="52" l="1"/>
  <c r="T260" i="52"/>
  <c r="B263" i="52"/>
  <c r="M262" i="52"/>
  <c r="E262" i="52"/>
  <c r="L261" i="52"/>
  <c r="K261" i="52"/>
  <c r="U261" i="52" l="1"/>
  <c r="T261" i="52"/>
  <c r="L262" i="52"/>
  <c r="K262" i="52"/>
  <c r="E263" i="52"/>
  <c r="B264" i="52"/>
  <c r="M263" i="52"/>
  <c r="K263" i="52" l="1"/>
  <c r="L263" i="52"/>
  <c r="E264" i="52"/>
  <c r="B265" i="52"/>
  <c r="M264" i="52"/>
  <c r="U262" i="52"/>
  <c r="T262" i="52"/>
  <c r="L264" i="52" l="1"/>
  <c r="K264" i="52"/>
  <c r="U263" i="52"/>
  <c r="M265" i="52"/>
  <c r="B266" i="52"/>
  <c r="E265" i="52"/>
  <c r="T263" i="52"/>
  <c r="K265" i="52" l="1"/>
  <c r="L265" i="52"/>
  <c r="U265" i="52"/>
  <c r="T264" i="52"/>
  <c r="E266" i="52"/>
  <c r="B267" i="52"/>
  <c r="M266" i="52"/>
  <c r="U264" i="52"/>
  <c r="D44" i="28"/>
  <c r="D43" i="28"/>
  <c r="D42" i="28"/>
  <c r="D41" i="28"/>
  <c r="D114" i="28"/>
  <c r="C114" i="28"/>
  <c r="I93" i="28"/>
  <c r="T265" i="52" l="1"/>
  <c r="L266" i="52"/>
  <c r="K266" i="52"/>
  <c r="B268" i="52"/>
  <c r="M267" i="52"/>
  <c r="E267" i="52"/>
  <c r="E11" i="28"/>
  <c r="G10" i="28"/>
  <c r="H10" i="28" s="1"/>
  <c r="B10" i="29"/>
  <c r="B10" i="32"/>
  <c r="T266" i="52" l="1"/>
  <c r="L267" i="52"/>
  <c r="K267" i="52"/>
  <c r="U267" i="52"/>
  <c r="E268" i="52"/>
  <c r="B269" i="52"/>
  <c r="M268" i="52"/>
  <c r="U266" i="52"/>
  <c r="E12" i="28"/>
  <c r="G12" i="28" s="1"/>
  <c r="H12" i="28" s="1"/>
  <c r="G11" i="28"/>
  <c r="H11" i="28" s="1"/>
  <c r="E10" i="32"/>
  <c r="F10" i="32"/>
  <c r="D10" i="32"/>
  <c r="C10" i="32"/>
  <c r="T267" i="52" l="1"/>
  <c r="L268" i="52"/>
  <c r="K268" i="52"/>
  <c r="M269" i="52"/>
  <c r="E269" i="52"/>
  <c r="B270" i="52"/>
  <c r="A68" i="17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30" i="17"/>
  <c r="T268" i="52" l="1"/>
  <c r="M270" i="52"/>
  <c r="E270" i="52"/>
  <c r="B271" i="52"/>
  <c r="L269" i="52"/>
  <c r="K269" i="52"/>
  <c r="U269" i="52"/>
  <c r="U268" i="52"/>
  <c r="A31" i="17"/>
  <c r="T269" i="52" l="1"/>
  <c r="M271" i="52"/>
  <c r="E271" i="52"/>
  <c r="K270" i="52"/>
  <c r="L270" i="52"/>
  <c r="A32" i="17"/>
  <c r="A33" i="17" s="1"/>
  <c r="I8" i="52" l="1"/>
  <c r="I9" i="52"/>
  <c r="I10" i="52"/>
  <c r="C10" i="29" s="1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29" i="52"/>
  <c r="H8" i="52"/>
  <c r="H9" i="52"/>
  <c r="H10" i="52"/>
  <c r="D10" i="29" s="1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T270" i="52"/>
  <c r="U270" i="52"/>
  <c r="L271" i="52"/>
  <c r="K271" i="52"/>
  <c r="A91" i="17"/>
  <c r="A34" i="17"/>
  <c r="A92" i="17"/>
  <c r="U271" i="52" l="1"/>
  <c r="H32" i="52"/>
  <c r="I32" i="52"/>
  <c r="T271" i="52"/>
  <c r="AF29" i="52"/>
  <c r="AN10" i="52"/>
  <c r="AM11" i="52"/>
  <c r="AN32" i="52"/>
  <c r="AM30" i="52"/>
  <c r="AH9" i="52"/>
  <c r="AJ19" i="52"/>
  <c r="AK12" i="52"/>
  <c r="AF19" i="52"/>
  <c r="AJ17" i="52"/>
  <c r="AL37" i="52"/>
  <c r="AL30" i="52"/>
  <c r="AK16" i="52"/>
  <c r="AI18" i="52"/>
  <c r="AJ21" i="52"/>
  <c r="AL27" i="52"/>
  <c r="AJ29" i="52"/>
  <c r="AD29" i="52"/>
  <c r="AG8" i="52"/>
  <c r="AH36" i="52"/>
  <c r="AO36" i="52"/>
  <c r="AH16" i="52"/>
  <c r="AK15" i="52"/>
  <c r="AD31" i="52"/>
  <c r="AO30" i="52"/>
  <c r="AK33" i="52"/>
  <c r="AE27" i="52"/>
  <c r="AN11" i="52"/>
  <c r="AL36" i="52"/>
  <c r="AL17" i="52"/>
  <c r="AF38" i="52"/>
  <c r="AI28" i="52"/>
  <c r="AD20" i="52"/>
  <c r="AF37" i="52"/>
  <c r="AH31" i="52"/>
  <c r="AL12" i="52"/>
  <c r="AO39" i="52"/>
  <c r="AO38" i="52"/>
  <c r="AH19" i="52"/>
  <c r="AN13" i="52"/>
  <c r="AL28" i="52"/>
  <c r="AM13" i="52"/>
  <c r="AM34" i="52"/>
  <c r="AL21" i="52"/>
  <c r="AK39" i="52"/>
  <c r="AJ9" i="52"/>
  <c r="AE37" i="52"/>
  <c r="AL11" i="52"/>
  <c r="AN30" i="52"/>
  <c r="AM8" i="52"/>
  <c r="AH11" i="52"/>
  <c r="AJ36" i="52"/>
  <c r="AL31" i="52"/>
  <c r="AJ30" i="52"/>
  <c r="AD27" i="52"/>
  <c r="AM39" i="52"/>
  <c r="AF35" i="52"/>
  <c r="AK21" i="52"/>
  <c r="AD21" i="52"/>
  <c r="AM10" i="52"/>
  <c r="AD12" i="52"/>
  <c r="AE10" i="52"/>
  <c r="AN16" i="52"/>
  <c r="AD11" i="52"/>
  <c r="AI15" i="52"/>
  <c r="AD9" i="52"/>
  <c r="AE15" i="52"/>
  <c r="AK36" i="52"/>
  <c r="AE16" i="52"/>
  <c r="AH30" i="52"/>
  <c r="AN29" i="52"/>
  <c r="AD34" i="52"/>
  <c r="AJ20" i="52"/>
  <c r="AI35" i="52"/>
  <c r="AD13" i="52"/>
  <c r="AE9" i="52"/>
  <c r="AO34" i="52"/>
  <c r="AF34" i="52"/>
  <c r="AI37" i="52"/>
  <c r="AI17" i="52"/>
  <c r="AM32" i="52"/>
  <c r="AH14" i="52"/>
  <c r="AL14" i="52"/>
  <c r="AK20" i="52"/>
  <c r="AK30" i="52"/>
  <c r="AK11" i="52"/>
  <c r="AF27" i="52"/>
  <c r="AK8" i="52"/>
  <c r="AI10" i="52"/>
  <c r="AL38" i="52"/>
  <c r="AI13" i="52"/>
  <c r="AH26" i="52"/>
  <c r="AO29" i="52"/>
  <c r="AN34" i="52"/>
  <c r="AG30" i="52"/>
  <c r="AL33" i="52"/>
  <c r="AH18" i="52"/>
  <c r="AG16" i="52"/>
  <c r="AO17" i="52"/>
  <c r="AH17" i="52"/>
  <c r="AG11" i="52"/>
  <c r="AE29" i="52"/>
  <c r="AD16" i="52"/>
  <c r="AM37" i="52"/>
  <c r="AH10" i="52"/>
  <c r="AG28" i="52"/>
  <c r="AK27" i="52"/>
  <c r="AM18" i="52"/>
  <c r="AJ15" i="52"/>
  <c r="AM26" i="52"/>
  <c r="AM38" i="52"/>
  <c r="AE12" i="52"/>
  <c r="AO16" i="52"/>
  <c r="AK9" i="52"/>
  <c r="AM28" i="52"/>
  <c r="AM20" i="52"/>
  <c r="AN28" i="52"/>
  <c r="AF26" i="52"/>
  <c r="AH38" i="52"/>
  <c r="AH33" i="52"/>
  <c r="AK31" i="52"/>
  <c r="AO28" i="52"/>
  <c r="AJ28" i="52"/>
  <c r="AM19" i="52"/>
  <c r="AE28" i="52"/>
  <c r="AE21" i="52"/>
  <c r="AE8" i="52"/>
  <c r="AE18" i="52"/>
  <c r="AH15" i="52"/>
  <c r="AD28" i="52"/>
  <c r="AL34" i="52"/>
  <c r="AF18" i="52"/>
  <c r="AD15" i="52"/>
  <c r="AE30" i="52"/>
  <c r="AJ34" i="52"/>
  <c r="AK35" i="52"/>
  <c r="AL10" i="52"/>
  <c r="AI30" i="52"/>
  <c r="AG18" i="52"/>
  <c r="AD38" i="52"/>
  <c r="AM29" i="52"/>
  <c r="AG33" i="52"/>
  <c r="AO10" i="52"/>
  <c r="AE31" i="52"/>
  <c r="AO26" i="52"/>
  <c r="AI20" i="52"/>
  <c r="AK28" i="52"/>
  <c r="AJ10" i="52"/>
  <c r="AK34" i="52"/>
  <c r="AF28" i="52"/>
  <c r="AL20" i="52"/>
  <c r="AO19" i="52"/>
  <c r="AG35" i="52"/>
  <c r="AL13" i="52"/>
  <c r="AE20" i="52"/>
  <c r="AG34" i="52"/>
  <c r="AH28" i="52"/>
  <c r="AO9" i="52"/>
  <c r="AJ32" i="52"/>
  <c r="AL16" i="52"/>
  <c r="AN9" i="52"/>
  <c r="AJ8" i="52"/>
  <c r="AJ13" i="52"/>
  <c r="AF8" i="52"/>
  <c r="AJ38" i="52"/>
  <c r="AE26" i="52"/>
  <c r="AE34" i="52"/>
  <c r="AO37" i="52"/>
  <c r="AH13" i="52"/>
  <c r="AL26" i="52"/>
  <c r="AK26" i="52"/>
  <c r="AH20" i="52"/>
  <c r="AG39" i="52"/>
  <c r="AJ14" i="52"/>
  <c r="AN31" i="52"/>
  <c r="AK29" i="52"/>
  <c r="AF15" i="52"/>
  <c r="AO35" i="52"/>
  <c r="AJ18" i="52"/>
  <c r="AE17" i="52"/>
  <c r="AF39" i="52"/>
  <c r="AN12" i="52"/>
  <c r="AO14" i="52"/>
  <c r="AF17" i="52"/>
  <c r="AD32" i="52"/>
  <c r="AI16" i="52"/>
  <c r="AN36" i="52"/>
  <c r="AE36" i="52"/>
  <c r="AG17" i="52"/>
  <c r="AN35" i="52"/>
  <c r="AI39" i="52"/>
  <c r="AI21" i="52"/>
  <c r="AD36" i="52"/>
  <c r="AH21" i="52"/>
  <c r="AN19" i="52"/>
  <c r="AI8" i="52"/>
  <c r="AN14" i="52"/>
  <c r="AG13" i="52"/>
  <c r="AI26" i="52"/>
  <c r="AH37" i="52"/>
  <c r="AD8" i="52"/>
  <c r="AK14" i="52"/>
  <c r="AO13" i="52"/>
  <c r="AG38" i="52"/>
  <c r="AO33" i="52"/>
  <c r="AN18" i="52"/>
  <c r="AJ12" i="52"/>
  <c r="AG9" i="52"/>
  <c r="AL8" i="52"/>
  <c r="AE33" i="52"/>
  <c r="AK37" i="52"/>
  <c r="AL29" i="52"/>
  <c r="AE35" i="52"/>
  <c r="AN26" i="52"/>
  <c r="AM17" i="52"/>
  <c r="AH35" i="52"/>
  <c r="AE32" i="52"/>
  <c r="AF10" i="52"/>
  <c r="AF36" i="52"/>
  <c r="AM12" i="52"/>
  <c r="AF30" i="52"/>
  <c r="AG10" i="52"/>
  <c r="AO21" i="52"/>
  <c r="AM15" i="52"/>
  <c r="AO18" i="52"/>
  <c r="AD19" i="52"/>
  <c r="AD18" i="52"/>
  <c r="AD35" i="52"/>
  <c r="AJ31" i="52"/>
  <c r="AE19" i="52"/>
  <c r="AK32" i="52"/>
  <c r="AJ37" i="52"/>
  <c r="AJ16" i="52"/>
  <c r="AF32" i="52"/>
  <c r="AF11" i="52"/>
  <c r="AL32" i="52"/>
  <c r="AN37" i="52"/>
  <c r="AI12" i="52"/>
  <c r="AM27" i="52"/>
  <c r="AM14" i="52"/>
  <c r="AN20" i="52"/>
  <c r="AI14" i="52"/>
  <c r="AI29" i="52"/>
  <c r="AI19" i="52"/>
  <c r="AF33" i="52"/>
  <c r="AG14" i="52"/>
  <c r="AI11" i="52"/>
  <c r="AE14" i="52"/>
  <c r="AK38" i="52"/>
  <c r="AM35" i="52"/>
  <c r="AJ26" i="52"/>
  <c r="AE39" i="52"/>
  <c r="AE13" i="52"/>
  <c r="AK18" i="52"/>
  <c r="AN21" i="52"/>
  <c r="AE11" i="52"/>
  <c r="AK19" i="52"/>
  <c r="AF31" i="52"/>
  <c r="AG26" i="52"/>
  <c r="AF14" i="52"/>
  <c r="AD39" i="52"/>
  <c r="AJ27" i="52"/>
  <c r="AM9" i="52"/>
  <c r="AI27" i="52"/>
  <c r="AL15" i="52"/>
  <c r="AF20" i="52"/>
  <c r="AN17" i="52"/>
  <c r="AD10" i="52"/>
  <c r="AI38" i="52"/>
  <c r="AF9" i="52"/>
  <c r="AG19" i="52"/>
  <c r="AN38" i="52"/>
  <c r="AI9" i="52"/>
  <c r="AO32" i="52"/>
  <c r="AL9" i="52"/>
  <c r="AM16" i="52"/>
  <c r="AG37" i="52"/>
  <c r="AG15" i="52"/>
  <c r="AI31" i="52"/>
  <c r="AG31" i="52"/>
  <c r="AN15" i="52"/>
  <c r="AF16" i="52"/>
  <c r="AL39" i="52"/>
  <c r="AG36" i="52"/>
  <c r="AO11" i="52"/>
  <c r="AH8" i="52"/>
  <c r="AD33" i="52"/>
  <c r="AG32" i="52"/>
  <c r="AE38" i="52"/>
  <c r="AM31" i="52"/>
  <c r="AI36" i="52"/>
  <c r="AO12" i="52"/>
  <c r="AN8" i="52"/>
  <c r="AD14" i="52"/>
  <c r="AK10" i="52"/>
  <c r="AO20" i="52"/>
  <c r="AJ33" i="52"/>
  <c r="AH12" i="52"/>
  <c r="AH27" i="52"/>
  <c r="AG12" i="52"/>
  <c r="AJ11" i="52"/>
  <c r="AL18" i="52"/>
  <c r="AO27" i="52"/>
  <c r="AG27" i="52"/>
  <c r="AF21" i="52"/>
  <c r="AJ39" i="52"/>
  <c r="AN33" i="52"/>
  <c r="AF12" i="52"/>
  <c r="AD17" i="52"/>
  <c r="AG20" i="52"/>
  <c r="AH32" i="52"/>
  <c r="AH39" i="52"/>
  <c r="AN27" i="52"/>
  <c r="AO15" i="52"/>
  <c r="AD37" i="52"/>
  <c r="AM33" i="52"/>
  <c r="AK13" i="52"/>
  <c r="AM21" i="52"/>
  <c r="AG21" i="52"/>
  <c r="AD26" i="52"/>
  <c r="AG29" i="52"/>
  <c r="AM36" i="52"/>
  <c r="AL19" i="52"/>
  <c r="AJ35" i="52"/>
  <c r="AI32" i="52"/>
  <c r="AK17" i="52"/>
  <c r="AI34" i="52"/>
  <c r="AL35" i="52"/>
  <c r="AH34" i="52"/>
  <c r="AO8" i="52"/>
  <c r="AI33" i="52"/>
  <c r="AF13" i="52"/>
  <c r="AO31" i="52"/>
  <c r="AH29" i="52"/>
  <c r="AN39" i="52"/>
  <c r="AD30" i="52"/>
  <c r="A35" i="17"/>
  <c r="A93" i="17"/>
  <c r="A36" i="17" l="1"/>
  <c r="A94" i="17"/>
  <c r="A37" i="17" l="1"/>
  <c r="A95" i="17"/>
  <c r="A38" i="17" l="1"/>
  <c r="A96" i="17"/>
  <c r="A39" i="17" l="1"/>
  <c r="A97" i="17"/>
  <c r="A40" i="17" l="1"/>
  <c r="A98" i="17"/>
  <c r="A99" i="17" l="1"/>
  <c r="A41" i="17"/>
  <c r="L41" i="17" l="1"/>
  <c r="H41" i="17"/>
  <c r="D41" i="17"/>
  <c r="K41" i="17"/>
  <c r="G41" i="17"/>
  <c r="C41" i="17"/>
  <c r="J41" i="17"/>
  <c r="F41" i="17"/>
  <c r="B41" i="17"/>
  <c r="M41" i="17"/>
  <c r="I41" i="17"/>
  <c r="E41" i="17"/>
  <c r="A100" i="17"/>
  <c r="M79" i="17" l="1"/>
  <c r="I79" i="17"/>
  <c r="L79" i="17"/>
  <c r="D79" i="17"/>
  <c r="J79" i="17"/>
  <c r="B79" i="17"/>
  <c r="E22" i="41"/>
  <c r="E79" i="17"/>
  <c r="F22" i="41"/>
  <c r="K22" i="41"/>
  <c r="I22" i="41"/>
  <c r="J22" i="41"/>
  <c r="D22" i="41"/>
  <c r="M22" i="41"/>
  <c r="C79" i="17"/>
  <c r="C22" i="41"/>
  <c r="H79" i="17"/>
  <c r="H22" i="41"/>
  <c r="B22" i="41"/>
  <c r="G22" i="41"/>
  <c r="L22" i="41"/>
  <c r="B11" i="32"/>
  <c r="B41" i="42" l="1"/>
  <c r="B41" i="41"/>
  <c r="G41" i="42"/>
  <c r="G41" i="41"/>
  <c r="G79" i="17"/>
  <c r="F41" i="42"/>
  <c r="F41" i="41"/>
  <c r="K41" i="42"/>
  <c r="K41" i="41"/>
  <c r="E41" i="42"/>
  <c r="E41" i="41"/>
  <c r="F79" i="17"/>
  <c r="J41" i="42"/>
  <c r="J41" i="41"/>
  <c r="D41" i="42"/>
  <c r="D41" i="41"/>
  <c r="I41" i="42"/>
  <c r="I41" i="41"/>
  <c r="L41" i="42"/>
  <c r="L41" i="41"/>
  <c r="K79" i="17"/>
  <c r="C41" i="42"/>
  <c r="C41" i="41"/>
  <c r="H41" i="42"/>
  <c r="H41" i="41"/>
  <c r="M41" i="42"/>
  <c r="M41" i="41"/>
  <c r="B12" i="32"/>
  <c r="F11" i="32"/>
  <c r="E11" i="32"/>
  <c r="D11" i="32"/>
  <c r="C11" i="32"/>
  <c r="B13" i="32" l="1"/>
  <c r="F12" i="32"/>
  <c r="D12" i="32"/>
  <c r="C12" i="32"/>
  <c r="E12" i="32"/>
  <c r="D33" i="28"/>
  <c r="B33" i="28"/>
  <c r="D34" i="28"/>
  <c r="B14" i="32" l="1"/>
  <c r="E13" i="32"/>
  <c r="F13" i="32"/>
  <c r="C13" i="32"/>
  <c r="D13" i="32"/>
  <c r="B11" i="29"/>
  <c r="C11" i="29" l="1"/>
  <c r="D11" i="29"/>
  <c r="B15" i="32"/>
  <c r="F14" i="32"/>
  <c r="C14" i="32"/>
  <c r="D14" i="32"/>
  <c r="E14" i="32"/>
  <c r="B12" i="29"/>
  <c r="C12" i="29" l="1"/>
  <c r="D12" i="29"/>
  <c r="B16" i="32"/>
  <c r="F15" i="32"/>
  <c r="C15" i="32"/>
  <c r="E15" i="32"/>
  <c r="D15" i="32"/>
  <c r="B13" i="29"/>
  <c r="C13" i="29" l="1"/>
  <c r="D13" i="29"/>
  <c r="B17" i="32"/>
  <c r="D16" i="32"/>
  <c r="C16" i="32"/>
  <c r="E16" i="32"/>
  <c r="F16" i="32"/>
  <c r="B14" i="29"/>
  <c r="C14" i="29" l="1"/>
  <c r="D14" i="29"/>
  <c r="B18" i="32"/>
  <c r="C17" i="32"/>
  <c r="E17" i="32"/>
  <c r="D17" i="32"/>
  <c r="F17" i="32"/>
  <c r="B15" i="29"/>
  <c r="C15" i="29" l="1"/>
  <c r="D15" i="29"/>
  <c r="B19" i="32"/>
  <c r="C18" i="32"/>
  <c r="E18" i="32"/>
  <c r="F18" i="32"/>
  <c r="D18" i="32"/>
  <c r="B16" i="29"/>
  <c r="C16" i="29" l="1"/>
  <c r="D16" i="29"/>
  <c r="B20" i="32"/>
  <c r="C19" i="32"/>
  <c r="D19" i="32"/>
  <c r="F19" i="32"/>
  <c r="E19" i="32"/>
  <c r="B17" i="29"/>
  <c r="C17" i="29" l="1"/>
  <c r="D17" i="29"/>
  <c r="B21" i="32"/>
  <c r="C20" i="32"/>
  <c r="D20" i="32"/>
  <c r="E20" i="32"/>
  <c r="F20" i="32"/>
  <c r="B18" i="29"/>
  <c r="C18" i="29" l="1"/>
  <c r="D18" i="29"/>
  <c r="B22" i="32"/>
  <c r="E21" i="32"/>
  <c r="C21" i="32"/>
  <c r="D21" i="32"/>
  <c r="F21" i="32"/>
  <c r="B19" i="29"/>
  <c r="C19" i="29" l="1"/>
  <c r="D19" i="29"/>
  <c r="B23" i="32"/>
  <c r="C22" i="32"/>
  <c r="E22" i="32"/>
  <c r="F22" i="32"/>
  <c r="D22" i="32"/>
  <c r="B20" i="29"/>
  <c r="C20" i="29" l="1"/>
  <c r="D20" i="29"/>
  <c r="B24" i="32"/>
  <c r="D23" i="32"/>
  <c r="C23" i="32"/>
  <c r="F23" i="32"/>
  <c r="E23" i="32"/>
  <c r="B21" i="29"/>
  <c r="C21" i="29" l="1"/>
  <c r="D21" i="29"/>
  <c r="B25" i="32"/>
  <c r="E24" i="32"/>
  <c r="D24" i="32"/>
  <c r="C24" i="32"/>
  <c r="F24" i="32"/>
  <c r="B22" i="29"/>
  <c r="I70" i="28" l="1"/>
  <c r="C22" i="29"/>
  <c r="D22" i="29"/>
  <c r="B26" i="32"/>
  <c r="C25" i="32"/>
  <c r="E25" i="32"/>
  <c r="F25" i="32"/>
  <c r="D25" i="32"/>
  <c r="B23" i="29"/>
  <c r="I71" i="28" l="1"/>
  <c r="C23" i="29"/>
  <c r="D23" i="29"/>
  <c r="B27" i="32"/>
  <c r="E26" i="32"/>
  <c r="C26" i="32"/>
  <c r="D26" i="32"/>
  <c r="F26" i="32"/>
  <c r="B24" i="29"/>
  <c r="I72" i="28" l="1"/>
  <c r="C24" i="29"/>
  <c r="D24" i="29"/>
  <c r="F27" i="32"/>
  <c r="E27" i="32"/>
  <c r="D27" i="32"/>
  <c r="C27" i="32"/>
  <c r="B25" i="29"/>
  <c r="I73" i="28" l="1"/>
  <c r="C25" i="29"/>
  <c r="B26" i="29"/>
  <c r="B27" i="29" s="1"/>
  <c r="D25" i="29"/>
  <c r="J98" i="28"/>
  <c r="J97" i="28"/>
  <c r="E109" i="28"/>
  <c r="B28" i="29" l="1"/>
  <c r="D27" i="29"/>
  <c r="C27" i="29"/>
  <c r="I76" i="28" s="1"/>
  <c r="I74" i="28"/>
  <c r="C26" i="29"/>
  <c r="D26" i="29"/>
  <c r="D81" i="28"/>
  <c r="B29" i="29" l="1"/>
  <c r="D28" i="29"/>
  <c r="C28" i="29"/>
  <c r="I75" i="28"/>
  <c r="D84" i="28"/>
  <c r="I77" i="28" l="1"/>
  <c r="D29" i="29"/>
  <c r="C29" i="29"/>
  <c r="N45" i="5"/>
  <c r="B46" i="5"/>
  <c r="B15" i="5"/>
  <c r="J92" i="28"/>
  <c r="F97" i="28"/>
  <c r="H97" i="28" s="1"/>
  <c r="F98" i="28"/>
  <c r="J93" i="28"/>
  <c r="C42" i="5"/>
  <c r="C43" i="5" s="1"/>
  <c r="K97" i="28"/>
  <c r="K98" i="28"/>
  <c r="H14" i="5"/>
  <c r="I42" i="5"/>
  <c r="B9" i="28"/>
  <c r="B13" i="28"/>
  <c r="C34" i="28"/>
  <c r="C35" i="28"/>
  <c r="D35" i="28"/>
  <c r="C36" i="28"/>
  <c r="D36" i="28"/>
  <c r="B48" i="28"/>
  <c r="B102" i="28" s="1"/>
  <c r="B49" i="28"/>
  <c r="B56" i="28"/>
  <c r="B60" i="28"/>
  <c r="B103" i="28"/>
  <c r="C81" i="28"/>
  <c r="C82" i="28"/>
  <c r="C83" i="28"/>
  <c r="D83" i="28"/>
  <c r="C84" i="28"/>
  <c r="C85" i="28"/>
  <c r="C86" i="28"/>
  <c r="D86" i="28"/>
  <c r="B35" i="29"/>
  <c r="B36" i="29"/>
  <c r="G98" i="28"/>
  <c r="H98" i="28" s="1"/>
  <c r="N125" i="28"/>
  <c r="N126" i="28" s="1"/>
  <c r="N127" i="28" s="1"/>
  <c r="N128" i="28" s="1"/>
  <c r="N129" i="28" s="1"/>
  <c r="N130" i="28" s="1"/>
  <c r="H43" i="5"/>
  <c r="N14" i="5"/>
  <c r="B44" i="5"/>
  <c r="E10" i="5"/>
  <c r="I44" i="5"/>
  <c r="O45" i="5"/>
  <c r="H45" i="5"/>
  <c r="N43" i="5"/>
  <c r="N42" i="5"/>
  <c r="B43" i="5"/>
  <c r="B42" i="5"/>
  <c r="L10" i="5"/>
  <c r="H44" i="5"/>
  <c r="H42" i="5"/>
  <c r="I78" i="28" l="1"/>
  <c r="F13" i="28"/>
  <c r="E13" i="28"/>
  <c r="D13" i="28"/>
  <c r="AL15" i="5"/>
  <c r="AD15" i="5"/>
  <c r="V15" i="5"/>
  <c r="Z14" i="5"/>
  <c r="B16" i="5"/>
  <c r="B14" i="28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N15" i="5"/>
  <c r="B61" i="28"/>
  <c r="B62" i="28" s="1"/>
  <c r="B63" i="28" s="1"/>
  <c r="B64" i="28" s="1"/>
  <c r="B65" i="28" s="1"/>
  <c r="B66" i="28" s="1"/>
  <c r="B67" i="28" s="1"/>
  <c r="H15" i="5"/>
  <c r="G94" i="28"/>
  <c r="I94" i="28" s="1"/>
  <c r="F99" i="28"/>
  <c r="J94" i="28" l="1"/>
  <c r="H92" i="28"/>
  <c r="H93" i="28" s="1"/>
  <c r="H94" i="28" s="1"/>
  <c r="D14" i="28"/>
  <c r="D15" i="28" s="1"/>
  <c r="D16" i="28" s="1"/>
  <c r="D17" i="28" s="1"/>
  <c r="D18" i="28" s="1"/>
  <c r="D19" i="28" s="1"/>
  <c r="E14" i="28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F14" i="28"/>
  <c r="F15" i="28" s="1"/>
  <c r="F16" i="28" s="1"/>
  <c r="F17" i="28" s="1"/>
  <c r="F18" i="28" s="1"/>
  <c r="AD16" i="5"/>
  <c r="V16" i="5"/>
  <c r="AL16" i="5"/>
  <c r="Z15" i="5"/>
  <c r="H99" i="28"/>
  <c r="B17" i="5"/>
  <c r="H16" i="5"/>
  <c r="N16" i="5"/>
  <c r="B68" i="28"/>
  <c r="D119" i="28" l="1"/>
  <c r="F10" i="5" s="1"/>
  <c r="G99" i="28"/>
  <c r="D82" i="28" s="1"/>
  <c r="I97" i="28"/>
  <c r="C57" i="28"/>
  <c r="D57" i="28" s="1"/>
  <c r="D58" i="28" s="1"/>
  <c r="D59" i="28" s="1"/>
  <c r="D60" i="28" s="1"/>
  <c r="D61" i="28" s="1"/>
  <c r="D62" i="28" s="1"/>
  <c r="D63" i="28" s="1"/>
  <c r="D64" i="28" s="1"/>
  <c r="D65" i="28" s="1"/>
  <c r="D66" i="28" s="1"/>
  <c r="D67" i="28" s="1"/>
  <c r="D68" i="28" s="1"/>
  <c r="E57" i="28"/>
  <c r="F19" i="28"/>
  <c r="G18" i="28"/>
  <c r="H18" i="28" s="1"/>
  <c r="D20" i="28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C46" i="5"/>
  <c r="AL17" i="5"/>
  <c r="AD17" i="5"/>
  <c r="V17" i="5"/>
  <c r="E120" i="28"/>
  <c r="Z16" i="5"/>
  <c r="B18" i="5"/>
  <c r="N17" i="5"/>
  <c r="H17" i="5"/>
  <c r="B69" i="28"/>
  <c r="B70" i="28" s="1"/>
  <c r="B71" i="28" s="1"/>
  <c r="F7" i="5" l="1"/>
  <c r="K7" i="5" s="1"/>
  <c r="D31" i="28"/>
  <c r="D120" i="28"/>
  <c r="D35" i="29"/>
  <c r="I98" i="28"/>
  <c r="K99" i="28" s="1"/>
  <c r="J70" i="28" s="1"/>
  <c r="D69" i="28"/>
  <c r="D70" i="28" s="1"/>
  <c r="D71" i="28" s="1"/>
  <c r="E58" i="28"/>
  <c r="E59" i="28" s="1"/>
  <c r="E60" i="28" s="1"/>
  <c r="E61" i="28" s="1"/>
  <c r="E62" i="28" s="1"/>
  <c r="E63" i="28" s="1"/>
  <c r="E64" i="28" s="1"/>
  <c r="E65" i="28" s="1"/>
  <c r="E66" i="28" s="1"/>
  <c r="E67" i="28" s="1"/>
  <c r="E68" i="28" s="1"/>
  <c r="E69" i="28" s="1"/>
  <c r="E70" i="28" s="1"/>
  <c r="E71" i="28" s="1"/>
  <c r="F20" i="28"/>
  <c r="F21" i="28" s="1"/>
  <c r="F22" i="28" s="1"/>
  <c r="F23" i="28" s="1"/>
  <c r="F24" i="28" s="1"/>
  <c r="F25" i="28" s="1"/>
  <c r="G19" i="28"/>
  <c r="H19" i="28" s="1"/>
  <c r="V18" i="5"/>
  <c r="AL18" i="5"/>
  <c r="AD18" i="5"/>
  <c r="Z17" i="5"/>
  <c r="H18" i="5"/>
  <c r="B19" i="5"/>
  <c r="N18" i="5"/>
  <c r="B72" i="28"/>
  <c r="O43" i="5" l="1"/>
  <c r="P13" i="5"/>
  <c r="P10" i="5"/>
  <c r="J99" i="28"/>
  <c r="F57" i="28" s="1"/>
  <c r="G57" i="28" s="1"/>
  <c r="H57" i="28" s="1"/>
  <c r="D36" i="29"/>
  <c r="I99" i="28"/>
  <c r="D37" i="29" s="1"/>
  <c r="E72" i="28"/>
  <c r="D72" i="28"/>
  <c r="G25" i="28"/>
  <c r="F26" i="28"/>
  <c r="AL19" i="5"/>
  <c r="AD19" i="5"/>
  <c r="V19" i="5"/>
  <c r="Z18" i="5"/>
  <c r="H19" i="5"/>
  <c r="B20" i="5"/>
  <c r="N19" i="5"/>
  <c r="B73" i="28"/>
  <c r="AM13" i="5" l="1"/>
  <c r="AE13" i="5"/>
  <c r="W13" i="5"/>
  <c r="I43" i="5"/>
  <c r="F58" i="28"/>
  <c r="F59" i="28" s="1"/>
  <c r="J71" i="28"/>
  <c r="J72" i="28"/>
  <c r="J73" i="28"/>
  <c r="J74" i="28"/>
  <c r="J27" i="5"/>
  <c r="D85" i="28"/>
  <c r="D73" i="28"/>
  <c r="E73" i="28"/>
  <c r="G26" i="28"/>
  <c r="F27" i="28"/>
  <c r="AD20" i="5"/>
  <c r="V20" i="5"/>
  <c r="AL20" i="5"/>
  <c r="Z19" i="5"/>
  <c r="H20" i="5"/>
  <c r="B21" i="5"/>
  <c r="N20" i="5"/>
  <c r="B74" i="28"/>
  <c r="N121" i="28"/>
  <c r="J78" i="28" l="1"/>
  <c r="J77" i="28"/>
  <c r="J76" i="28"/>
  <c r="J75" i="28"/>
  <c r="G58" i="28"/>
  <c r="H58" i="28" s="1"/>
  <c r="E74" i="28"/>
  <c r="D74" i="28"/>
  <c r="G59" i="28"/>
  <c r="H59" i="28" s="1"/>
  <c r="F60" i="28"/>
  <c r="F61" i="28" s="1"/>
  <c r="F62" i="28" s="1"/>
  <c r="F63" i="28" s="1"/>
  <c r="F64" i="28" s="1"/>
  <c r="F65" i="28" s="1"/>
  <c r="F66" i="28" s="1"/>
  <c r="F67" i="28" s="1"/>
  <c r="F68" i="28" s="1"/>
  <c r="F69" i="28" s="1"/>
  <c r="F70" i="28" s="1"/>
  <c r="F71" i="28" s="1"/>
  <c r="F72" i="28" s="1"/>
  <c r="F73" i="28" s="1"/>
  <c r="F74" i="28" s="1"/>
  <c r="G27" i="28"/>
  <c r="F28" i="28"/>
  <c r="V21" i="5"/>
  <c r="AL21" i="5"/>
  <c r="AD21" i="5"/>
  <c r="Z20" i="5"/>
  <c r="H21" i="5"/>
  <c r="B22" i="5"/>
  <c r="N21" i="5"/>
  <c r="B75" i="28"/>
  <c r="F75" i="28" l="1"/>
  <c r="E75" i="28"/>
  <c r="D75" i="28"/>
  <c r="G28" i="28"/>
  <c r="F29" i="28"/>
  <c r="F30" i="28" s="1"/>
  <c r="V22" i="5"/>
  <c r="AL22" i="5"/>
  <c r="AD22" i="5"/>
  <c r="Z21" i="5"/>
  <c r="H22" i="5"/>
  <c r="B23" i="5"/>
  <c r="N22" i="5"/>
  <c r="B76" i="28"/>
  <c r="B77" i="28" s="1"/>
  <c r="B78" i="28" l="1"/>
  <c r="F31" i="28"/>
  <c r="G31" i="28" s="1"/>
  <c r="H31" i="28" s="1"/>
  <c r="G30" i="28"/>
  <c r="H30" i="28" s="1"/>
  <c r="E76" i="28"/>
  <c r="E77" i="28" s="1"/>
  <c r="E78" i="28" s="1"/>
  <c r="F76" i="28"/>
  <c r="F77" i="28" s="1"/>
  <c r="D76" i="28"/>
  <c r="D77" i="28" s="1"/>
  <c r="B24" i="5"/>
  <c r="B28" i="5" s="1"/>
  <c r="AL23" i="5"/>
  <c r="AD23" i="5"/>
  <c r="V23" i="5"/>
  <c r="Z22" i="5"/>
  <c r="H23" i="5"/>
  <c r="N23" i="5"/>
  <c r="D78" i="28" l="1"/>
  <c r="F78" i="28"/>
  <c r="G78" i="28" s="1"/>
  <c r="G77" i="28"/>
  <c r="H77" i="28" s="1"/>
  <c r="K77" i="28" s="1"/>
  <c r="H24" i="5"/>
  <c r="N24" i="5"/>
  <c r="Z24" i="5" s="1"/>
  <c r="AD24" i="5"/>
  <c r="V24" i="5"/>
  <c r="AL24" i="5"/>
  <c r="Z23" i="5"/>
  <c r="H78" i="28" l="1"/>
  <c r="K78" i="28" s="1"/>
  <c r="N28" i="5"/>
  <c r="B29" i="5"/>
  <c r="O44" i="5" l="1"/>
  <c r="I45" i="5"/>
  <c r="AD29" i="5"/>
  <c r="V29" i="5"/>
  <c r="AL29" i="5"/>
  <c r="H28" i="5"/>
  <c r="I28" i="5" s="1"/>
  <c r="AL28" i="5"/>
  <c r="AD28" i="5"/>
  <c r="V28" i="5"/>
  <c r="Z28" i="5"/>
  <c r="N29" i="5"/>
  <c r="B30" i="5"/>
  <c r="H29" i="5"/>
  <c r="I29" i="5" s="1"/>
  <c r="V30" i="5" l="1"/>
  <c r="AL30" i="5"/>
  <c r="AD30" i="5"/>
  <c r="Z29" i="5"/>
  <c r="N30" i="5"/>
  <c r="B31" i="5"/>
  <c r="H30" i="5"/>
  <c r="I30" i="5" s="1"/>
  <c r="V31" i="5" l="1"/>
  <c r="AL31" i="5"/>
  <c r="AD31" i="5"/>
  <c r="Z30" i="5"/>
  <c r="B32" i="5"/>
  <c r="B33" i="5" s="1"/>
  <c r="H31" i="5"/>
  <c r="I31" i="5" s="1"/>
  <c r="N31" i="5"/>
  <c r="AL33" i="5" l="1"/>
  <c r="B34" i="5"/>
  <c r="AD33" i="5"/>
  <c r="N33" i="5"/>
  <c r="Z33" i="5" s="1"/>
  <c r="V33" i="5"/>
  <c r="H33" i="5"/>
  <c r="I33" i="5" s="1"/>
  <c r="J33" i="5" s="1"/>
  <c r="AL32" i="5"/>
  <c r="AD32" i="5"/>
  <c r="V32" i="5"/>
  <c r="Z31" i="5"/>
  <c r="N32" i="5"/>
  <c r="H32" i="5"/>
  <c r="I32" i="5" s="1"/>
  <c r="AD34" i="5" l="1"/>
  <c r="N34" i="5"/>
  <c r="Z34" i="5" s="1"/>
  <c r="AL34" i="5"/>
  <c r="V34" i="5"/>
  <c r="H34" i="5"/>
  <c r="I34" i="5" s="1"/>
  <c r="J34" i="5" s="1"/>
  <c r="B35" i="5"/>
  <c r="Z32" i="5"/>
  <c r="B36" i="5" l="1"/>
  <c r="AD35" i="5"/>
  <c r="N35" i="5"/>
  <c r="Z35" i="5" s="1"/>
  <c r="AL35" i="5"/>
  <c r="V35" i="5"/>
  <c r="H35" i="5"/>
  <c r="I35" i="5" s="1"/>
  <c r="J35" i="5" s="1"/>
  <c r="D35" i="5"/>
  <c r="C35" i="5"/>
  <c r="A89" i="17"/>
  <c r="E35" i="5" l="1"/>
  <c r="F35" i="5" s="1"/>
  <c r="K35" i="5" s="1"/>
  <c r="L35" i="5" s="1"/>
  <c r="R35" i="5" s="1"/>
  <c r="AD36" i="5"/>
  <c r="V36" i="5"/>
  <c r="AL36" i="5"/>
  <c r="N36" i="5"/>
  <c r="Z36" i="5" s="1"/>
  <c r="H36" i="5"/>
  <c r="I36" i="5" s="1"/>
  <c r="J36" i="5" s="1"/>
  <c r="D36" i="5"/>
  <c r="C36" i="5"/>
  <c r="A90" i="17"/>
  <c r="Q35" i="5" l="1"/>
  <c r="AO35" i="5"/>
  <c r="AR35" i="5" s="1"/>
  <c r="E29" i="45" s="1"/>
  <c r="F29" i="45" s="1"/>
  <c r="T35" i="5"/>
  <c r="E28" i="36" s="1"/>
  <c r="F28" i="36" s="1"/>
  <c r="Y35" i="5"/>
  <c r="AB35" i="5" s="1"/>
  <c r="E28" i="39" s="1"/>
  <c r="F28" i="39" s="1"/>
  <c r="O35" i="5"/>
  <c r="P35" i="5" s="1"/>
  <c r="AG35" i="5"/>
  <c r="AJ35" i="5" s="1"/>
  <c r="E29" i="44" s="1"/>
  <c r="F29" i="44" s="1"/>
  <c r="U29" i="44" s="1"/>
  <c r="AE35" i="5"/>
  <c r="AM35" i="5"/>
  <c r="W35" i="5"/>
  <c r="E36" i="5"/>
  <c r="F36" i="5" s="1"/>
  <c r="K36" i="5" s="1"/>
  <c r="L36" i="5" s="1"/>
  <c r="R36" i="5" s="1"/>
  <c r="S35" i="5"/>
  <c r="C28" i="36" s="1"/>
  <c r="D28" i="36" s="1"/>
  <c r="C31" i="13" s="1"/>
  <c r="AF35" i="5"/>
  <c r="AN35" i="5"/>
  <c r="X35" i="5"/>
  <c r="G13" i="28"/>
  <c r="H13" i="28" s="1"/>
  <c r="G60" i="28"/>
  <c r="H60" i="28" s="1"/>
  <c r="E31" i="13" l="1"/>
  <c r="R29" i="44"/>
  <c r="AQ35" i="5"/>
  <c r="C29" i="45" s="1"/>
  <c r="D29" i="45" s="1"/>
  <c r="L31" i="13" s="1"/>
  <c r="AA35" i="5"/>
  <c r="C28" i="39" s="1"/>
  <c r="D28" i="39" s="1"/>
  <c r="F31" i="13" s="1"/>
  <c r="AI35" i="5"/>
  <c r="C29" i="44" s="1"/>
  <c r="Q36" i="5"/>
  <c r="AG36" i="5"/>
  <c r="AJ36" i="5" s="1"/>
  <c r="E30" i="44" s="1"/>
  <c r="AO36" i="5"/>
  <c r="AR36" i="5" s="1"/>
  <c r="E30" i="45" s="1"/>
  <c r="F30" i="45" s="1"/>
  <c r="Y36" i="5"/>
  <c r="AB36" i="5" s="1"/>
  <c r="E29" i="39" s="1"/>
  <c r="F29" i="39" s="1"/>
  <c r="T36" i="5"/>
  <c r="E29" i="36" s="1"/>
  <c r="F29" i="36" s="1"/>
  <c r="O36" i="5"/>
  <c r="P36" i="5" s="1"/>
  <c r="G14" i="28"/>
  <c r="H14" i="28" s="1"/>
  <c r="G61" i="28"/>
  <c r="H61" i="28" s="1"/>
  <c r="N31" i="13" l="1"/>
  <c r="H31" i="13"/>
  <c r="AM36" i="5"/>
  <c r="W36" i="5"/>
  <c r="AE36" i="5"/>
  <c r="R30" i="44"/>
  <c r="F30" i="44"/>
  <c r="U30" i="44" s="1"/>
  <c r="S36" i="5"/>
  <c r="C29" i="36" s="1"/>
  <c r="D29" i="36" s="1"/>
  <c r="C32" i="13" s="1"/>
  <c r="AN36" i="5"/>
  <c r="AF36" i="5"/>
  <c r="X36" i="5"/>
  <c r="D29" i="44"/>
  <c r="L29" i="44"/>
  <c r="G15" i="28"/>
  <c r="H15" i="28" s="1"/>
  <c r="G62" i="28"/>
  <c r="H62" i="28" s="1"/>
  <c r="AI36" i="5" l="1"/>
  <c r="C30" i="44" s="1"/>
  <c r="L30" i="44" s="1"/>
  <c r="E32" i="13"/>
  <c r="AQ36" i="5"/>
  <c r="C30" i="45" s="1"/>
  <c r="D30" i="45" s="1"/>
  <c r="L32" i="13" s="1"/>
  <c r="O29" i="44"/>
  <c r="I31" i="13"/>
  <c r="AA36" i="5"/>
  <c r="C29" i="39" s="1"/>
  <c r="D29" i="39" s="1"/>
  <c r="F32" i="13" s="1"/>
  <c r="G63" i="28"/>
  <c r="H63" i="28" s="1"/>
  <c r="G16" i="28"/>
  <c r="H16" i="28" s="1"/>
  <c r="D30" i="44" l="1"/>
  <c r="I32" i="13" s="1"/>
  <c r="H32" i="13"/>
  <c r="K31" i="13"/>
  <c r="N32" i="13"/>
  <c r="O30" i="44"/>
  <c r="G17" i="28"/>
  <c r="H17" i="28" s="1"/>
  <c r="G64" i="28"/>
  <c r="H64" i="28" s="1"/>
  <c r="K32" i="13" l="1"/>
  <c r="G65" i="28"/>
  <c r="H65" i="28" s="1"/>
  <c r="G66" i="28" l="1"/>
  <c r="H66" i="28" s="1"/>
  <c r="G20" i="28" l="1"/>
  <c r="H20" i="28" s="1"/>
  <c r="G67" i="28"/>
  <c r="H67" i="28" s="1"/>
  <c r="G21" i="28" l="1"/>
  <c r="H21" i="28" s="1"/>
  <c r="G68" i="28"/>
  <c r="H68" i="28" s="1"/>
  <c r="G69" i="28" l="1"/>
  <c r="H69" i="28" s="1"/>
  <c r="G22" i="28"/>
  <c r="H22" i="28" s="1"/>
  <c r="G70" i="28" l="1"/>
  <c r="H70" i="28" s="1"/>
  <c r="K70" i="28" s="1"/>
  <c r="G23" i="28"/>
  <c r="H23" i="28" s="1"/>
  <c r="D28" i="5" s="1"/>
  <c r="G24" i="28" l="1"/>
  <c r="H24" i="28" s="1"/>
  <c r="D29" i="5" s="1"/>
  <c r="G71" i="28"/>
  <c r="H71" i="28" s="1"/>
  <c r="K71" i="28" s="1"/>
  <c r="H25" i="28" l="1"/>
  <c r="D30" i="5" s="1"/>
  <c r="G72" i="28"/>
  <c r="H72" i="28" s="1"/>
  <c r="K72" i="28" s="1"/>
  <c r="G73" i="28" l="1"/>
  <c r="H73" i="28" s="1"/>
  <c r="K73" i="28" s="1"/>
  <c r="H26" i="28"/>
  <c r="D31" i="5" s="1"/>
  <c r="G74" i="28" l="1"/>
  <c r="H74" i="28" s="1"/>
  <c r="K74" i="28" s="1"/>
  <c r="H27" i="28"/>
  <c r="D32" i="5" s="1"/>
  <c r="H28" i="28" l="1"/>
  <c r="D33" i="5" s="1"/>
  <c r="G75" i="28"/>
  <c r="H75" i="28" s="1"/>
  <c r="C28" i="5"/>
  <c r="C33" i="5" l="1"/>
  <c r="K75" i="28"/>
  <c r="E28" i="5"/>
  <c r="F28" i="5" s="1"/>
  <c r="K28" i="5" s="1"/>
  <c r="C29" i="5"/>
  <c r="G76" i="28"/>
  <c r="H76" i="28" s="1"/>
  <c r="G29" i="28"/>
  <c r="H29" i="28" s="1"/>
  <c r="D34" i="5" s="1"/>
  <c r="C34" i="5" l="1"/>
  <c r="K76" i="28"/>
  <c r="E33" i="5"/>
  <c r="F33" i="5" s="1"/>
  <c r="K33" i="5" s="1"/>
  <c r="L33" i="5" s="1"/>
  <c r="R33" i="5" s="1"/>
  <c r="E29" i="5"/>
  <c r="F29" i="5" s="1"/>
  <c r="K29" i="5" s="1"/>
  <c r="O28" i="5"/>
  <c r="P28" i="5" s="1"/>
  <c r="AM28" i="5" s="1"/>
  <c r="C30" i="5"/>
  <c r="O33" i="5" l="1"/>
  <c r="P33" i="5" s="1"/>
  <c r="W33" i="5" s="1"/>
  <c r="T33" i="5"/>
  <c r="E26" i="36" s="1"/>
  <c r="F26" i="36" s="1"/>
  <c r="AO33" i="5"/>
  <c r="AR33" i="5" s="1"/>
  <c r="Y33" i="5"/>
  <c r="AB33" i="5" s="1"/>
  <c r="Q33" i="5"/>
  <c r="AG33" i="5"/>
  <c r="AJ33" i="5" s="1"/>
  <c r="E34" i="5"/>
  <c r="F34" i="5" s="1"/>
  <c r="K34" i="5" s="1"/>
  <c r="L34" i="5" s="1"/>
  <c r="R34" i="5" s="1"/>
  <c r="E30" i="5"/>
  <c r="F30" i="5" s="1"/>
  <c r="K30" i="5" s="1"/>
  <c r="O29" i="5"/>
  <c r="P29" i="5" s="1"/>
  <c r="AE28" i="5"/>
  <c r="C31" i="5"/>
  <c r="AM33" i="5" l="1"/>
  <c r="AE33" i="5"/>
  <c r="O34" i="5"/>
  <c r="P34" i="5" s="1"/>
  <c r="AM34" i="5" s="1"/>
  <c r="X33" i="5"/>
  <c r="AA33" i="5" s="1"/>
  <c r="AF33" i="5"/>
  <c r="AN33" i="5"/>
  <c r="S33" i="5"/>
  <c r="AO34" i="5"/>
  <c r="AR34" i="5" s="1"/>
  <c r="Y34" i="5"/>
  <c r="AB34" i="5" s="1"/>
  <c r="Q34" i="5"/>
  <c r="T34" i="5"/>
  <c r="E27" i="36" s="1"/>
  <c r="F27" i="36" s="1"/>
  <c r="AG34" i="5"/>
  <c r="AJ34" i="5" s="1"/>
  <c r="O30" i="5"/>
  <c r="P30" i="5" s="1"/>
  <c r="AM30" i="5" s="1"/>
  <c r="E31" i="5"/>
  <c r="F31" i="5" s="1"/>
  <c r="K31" i="5" s="1"/>
  <c r="AE29" i="5"/>
  <c r="AM29" i="5"/>
  <c r="C32" i="5"/>
  <c r="AQ33" i="5" l="1"/>
  <c r="AI33" i="5"/>
  <c r="W34" i="5"/>
  <c r="AE34" i="5"/>
  <c r="AF34" i="5"/>
  <c r="X34" i="5"/>
  <c r="AN34" i="5"/>
  <c r="AQ34" i="5" s="1"/>
  <c r="S34" i="5"/>
  <c r="O31" i="5"/>
  <c r="P31" i="5" s="1"/>
  <c r="AE31" i="5" s="1"/>
  <c r="E32" i="5"/>
  <c r="F32" i="5" s="1"/>
  <c r="K32" i="5" s="1"/>
  <c r="AE30" i="5"/>
  <c r="AA34" i="5" l="1"/>
  <c r="AI34" i="5"/>
  <c r="O32" i="5"/>
  <c r="P32" i="5" s="1"/>
  <c r="AE32" i="5" s="1"/>
  <c r="AM31" i="5"/>
  <c r="AM32" i="5" l="1"/>
  <c r="J32" i="5" l="1"/>
  <c r="L32" i="5" s="1"/>
  <c r="J30" i="5"/>
  <c r="L30" i="5" s="1"/>
  <c r="J28" i="5"/>
  <c r="L28" i="5" s="1"/>
  <c r="J31" i="5"/>
  <c r="L31" i="5" s="1"/>
  <c r="J29" i="5"/>
  <c r="L29" i="5" s="1"/>
  <c r="R28" i="5" l="1"/>
  <c r="R29" i="5"/>
  <c r="R31" i="5"/>
  <c r="R30" i="5"/>
  <c r="R32" i="5"/>
  <c r="AG32" i="5" l="1"/>
  <c r="AJ32" i="5" s="1"/>
  <c r="AO32" i="5"/>
  <c r="AR32" i="5" s="1"/>
  <c r="AG31" i="5"/>
  <c r="AJ31" i="5" s="1"/>
  <c r="AO31" i="5"/>
  <c r="AR31" i="5" s="1"/>
  <c r="AG28" i="5"/>
  <c r="AJ28" i="5" s="1"/>
  <c r="E22" i="44" s="1"/>
  <c r="F22" i="44" s="1"/>
  <c r="AO28" i="5"/>
  <c r="AR28" i="5" s="1"/>
  <c r="E22" i="45" s="1"/>
  <c r="F22" i="45" s="1"/>
  <c r="AG30" i="5"/>
  <c r="AJ30" i="5" s="1"/>
  <c r="AO30" i="5"/>
  <c r="AR30" i="5" s="1"/>
  <c r="AG29" i="5"/>
  <c r="AJ29" i="5" s="1"/>
  <c r="AO29" i="5"/>
  <c r="AR29" i="5" s="1"/>
  <c r="Q30" i="5"/>
  <c r="AN30" i="5" s="1"/>
  <c r="AQ30" i="5" s="1"/>
  <c r="Y30" i="5"/>
  <c r="AB30" i="5" s="1"/>
  <c r="Q29" i="5"/>
  <c r="AN29" i="5" s="1"/>
  <c r="AQ29" i="5" s="1"/>
  <c r="Y29" i="5"/>
  <c r="AB29" i="5" s="1"/>
  <c r="Q32" i="5"/>
  <c r="AN32" i="5" s="1"/>
  <c r="AQ32" i="5" s="1"/>
  <c r="Y32" i="5"/>
  <c r="AB32" i="5" s="1"/>
  <c r="Q31" i="5"/>
  <c r="AN31" i="5" s="1"/>
  <c r="AQ31" i="5" s="1"/>
  <c r="Y31" i="5"/>
  <c r="AB31" i="5" s="1"/>
  <c r="Q28" i="5"/>
  <c r="Y28" i="5"/>
  <c r="AB28" i="5" s="1"/>
  <c r="E21" i="39" s="1"/>
  <c r="F21" i="39" s="1"/>
  <c r="T30" i="5"/>
  <c r="E23" i="36" s="1"/>
  <c r="F23" i="36" s="1"/>
  <c r="T28" i="5"/>
  <c r="E21" i="36" s="1"/>
  <c r="F21" i="36" s="1"/>
  <c r="T32" i="5"/>
  <c r="E25" i="36" s="1"/>
  <c r="F25" i="36" s="1"/>
  <c r="T31" i="5"/>
  <c r="E24" i="36" s="1"/>
  <c r="F24" i="36" s="1"/>
  <c r="T29" i="5"/>
  <c r="E22" i="36" s="1"/>
  <c r="F22" i="36" s="1"/>
  <c r="E25" i="39" l="1"/>
  <c r="F25" i="39" s="1"/>
  <c r="E27" i="39"/>
  <c r="F27" i="39" s="1"/>
  <c r="AN28" i="5"/>
  <c r="AQ28" i="5" s="1"/>
  <c r="S28" i="5"/>
  <c r="C21" i="36" s="1"/>
  <c r="D21" i="36" s="1"/>
  <c r="E24" i="39"/>
  <c r="F24" i="39" s="1"/>
  <c r="E26" i="39"/>
  <c r="F26" i="39" s="1"/>
  <c r="X28" i="5"/>
  <c r="AF28" i="5"/>
  <c r="AI28" i="5" s="1"/>
  <c r="C22" i="44" s="1"/>
  <c r="D22" i="44" s="1"/>
  <c r="X31" i="5"/>
  <c r="AF31" i="5"/>
  <c r="AI31" i="5" s="1"/>
  <c r="S31" i="5"/>
  <c r="X32" i="5"/>
  <c r="AF32" i="5"/>
  <c r="AI32" i="5" s="1"/>
  <c r="S32" i="5"/>
  <c r="X29" i="5"/>
  <c r="AF29" i="5"/>
  <c r="AI29" i="5" s="1"/>
  <c r="S29" i="5"/>
  <c r="X30" i="5"/>
  <c r="AF30" i="5"/>
  <c r="AI30" i="5" s="1"/>
  <c r="S30" i="5"/>
  <c r="E25" i="44"/>
  <c r="R25" i="44" s="1"/>
  <c r="E26" i="44"/>
  <c r="R26" i="44" s="1"/>
  <c r="E27" i="45"/>
  <c r="R27" i="45" s="1"/>
  <c r="C27" i="45"/>
  <c r="L27" i="45" s="1"/>
  <c r="E25" i="45"/>
  <c r="R25" i="45" s="1"/>
  <c r="E28" i="45"/>
  <c r="R28" i="45" s="1"/>
  <c r="C28" i="45"/>
  <c r="L28" i="45" s="1"/>
  <c r="E27" i="44"/>
  <c r="R27" i="44" s="1"/>
  <c r="E28" i="44"/>
  <c r="R28" i="44" s="1"/>
  <c r="E26" i="45"/>
  <c r="R26" i="45" s="1"/>
  <c r="C26" i="45"/>
  <c r="L26" i="45" s="1"/>
  <c r="C25" i="45" l="1"/>
  <c r="L25" i="45" s="1"/>
  <c r="C22" i="45"/>
  <c r="D22" i="45" s="1"/>
  <c r="C26" i="36"/>
  <c r="D26" i="36" s="1"/>
  <c r="C25" i="44"/>
  <c r="L25" i="44" s="1"/>
  <c r="C28" i="44"/>
  <c r="L28" i="44" s="1"/>
  <c r="C24" i="36"/>
  <c r="D24" i="36" s="1"/>
  <c r="C27" i="44"/>
  <c r="L27" i="44" s="1"/>
  <c r="C25" i="36"/>
  <c r="D25" i="36" s="1"/>
  <c r="C27" i="36"/>
  <c r="D27" i="36" s="1"/>
  <c r="C30" i="13" s="1"/>
  <c r="C26" i="44"/>
  <c r="F26" i="45"/>
  <c r="U26" i="45" s="1"/>
  <c r="F27" i="45"/>
  <c r="U27" i="45" s="1"/>
  <c r="F28" i="45"/>
  <c r="U28" i="45" s="1"/>
  <c r="F25" i="45"/>
  <c r="U25" i="45" s="1"/>
  <c r="F28" i="44"/>
  <c r="U28" i="44" s="1"/>
  <c r="F26" i="44"/>
  <c r="U26" i="44" s="1"/>
  <c r="F27" i="44"/>
  <c r="U27" i="44" s="1"/>
  <c r="F25" i="44"/>
  <c r="U25" i="44" s="1"/>
  <c r="D26" i="45"/>
  <c r="D28" i="45"/>
  <c r="D27" i="45"/>
  <c r="D25" i="45" l="1"/>
  <c r="L27" i="13" s="1"/>
  <c r="L29" i="13"/>
  <c r="O27" i="45"/>
  <c r="L28" i="13"/>
  <c r="O26" i="45"/>
  <c r="L30" i="13"/>
  <c r="O28" i="45"/>
  <c r="D26" i="44"/>
  <c r="O26" i="44" s="1"/>
  <c r="L26" i="44"/>
  <c r="C28" i="13"/>
  <c r="C27" i="13"/>
  <c r="E30" i="13"/>
  <c r="C29" i="13"/>
  <c r="D25" i="44"/>
  <c r="O25" i="44" s="1"/>
  <c r="D28" i="44"/>
  <c r="O28" i="44" s="1"/>
  <c r="D27" i="44"/>
  <c r="O27" i="44" s="1"/>
  <c r="E28" i="13" l="1"/>
  <c r="E29" i="13"/>
  <c r="N27" i="13"/>
  <c r="N29" i="13"/>
  <c r="O25" i="45"/>
  <c r="I29" i="13"/>
  <c r="N28" i="13"/>
  <c r="I27" i="13"/>
  <c r="I30" i="13"/>
  <c r="I28" i="13"/>
  <c r="E27" i="13"/>
  <c r="N30" i="13"/>
  <c r="K29" i="13" l="1"/>
  <c r="K30" i="13"/>
  <c r="K28" i="13"/>
  <c r="K27" i="13"/>
  <c r="W10" i="5" l="1"/>
  <c r="W42" i="5"/>
  <c r="W32" i="5"/>
  <c r="W30" i="5"/>
  <c r="W31" i="5"/>
  <c r="W29" i="5"/>
  <c r="W28" i="5"/>
  <c r="AA32" i="5" l="1"/>
  <c r="AA28" i="5"/>
  <c r="C21" i="39" s="1"/>
  <c r="D21" i="39" s="1"/>
  <c r="AA29" i="5"/>
  <c r="AA31" i="5"/>
  <c r="AA30" i="5"/>
  <c r="C24" i="39" l="1"/>
  <c r="D24" i="39" s="1"/>
  <c r="C25" i="39"/>
  <c r="D25" i="39" s="1"/>
  <c r="C26" i="39"/>
  <c r="D26" i="39" s="1"/>
  <c r="C27" i="39"/>
  <c r="D27" i="39" s="1"/>
  <c r="F27" i="13" l="1"/>
  <c r="F30" i="13"/>
  <c r="F29" i="13"/>
  <c r="F28" i="13"/>
  <c r="H30" i="13" l="1"/>
  <c r="H28" i="13"/>
  <c r="H29" i="13"/>
  <c r="H27" i="13"/>
  <c r="O24" i="5"/>
  <c r="P24" i="5" s="1"/>
  <c r="AM24" i="5" l="1"/>
  <c r="W24" i="5"/>
  <c r="AE24" i="5"/>
  <c r="O14" i="5" l="1"/>
  <c r="P14" i="5" s="1"/>
  <c r="AE14" i="5" l="1"/>
  <c r="AM14" i="5"/>
  <c r="W14" i="5"/>
  <c r="O15" i="5" l="1"/>
  <c r="P15" i="5" s="1"/>
  <c r="W15" i="5" l="1"/>
  <c r="AM15" i="5"/>
  <c r="AE15" i="5"/>
  <c r="O16" i="5" l="1"/>
  <c r="P16" i="5" s="1"/>
  <c r="AM16" i="5" l="1"/>
  <c r="W16" i="5"/>
  <c r="AE16" i="5"/>
  <c r="O17" i="5" l="1"/>
  <c r="P17" i="5" s="1"/>
  <c r="W17" i="5" l="1"/>
  <c r="AE17" i="5"/>
  <c r="AM17" i="5"/>
  <c r="O18" i="5" l="1"/>
  <c r="P18" i="5" s="1"/>
  <c r="AM18" i="5" l="1"/>
  <c r="W18" i="5"/>
  <c r="AE18" i="5"/>
  <c r="O19" i="5" l="1"/>
  <c r="P19" i="5" s="1"/>
  <c r="AM19" i="5" l="1"/>
  <c r="W19" i="5"/>
  <c r="AE19" i="5"/>
  <c r="O20" i="5" l="1"/>
  <c r="P20" i="5" s="1"/>
  <c r="AM20" i="5" l="1"/>
  <c r="AE20" i="5"/>
  <c r="W20" i="5"/>
  <c r="O21" i="5" l="1"/>
  <c r="P21" i="5" s="1"/>
  <c r="AM21" i="5" l="1"/>
  <c r="AE21" i="5"/>
  <c r="W21" i="5"/>
  <c r="O22" i="5" l="1"/>
  <c r="P22" i="5" s="1"/>
  <c r="AM22" i="5" l="1"/>
  <c r="AE22" i="5"/>
  <c r="W22" i="5"/>
  <c r="O23" i="5" l="1"/>
  <c r="P23" i="5" s="1"/>
  <c r="AM23" i="5" l="1"/>
  <c r="W23" i="5"/>
  <c r="AE23" i="5"/>
  <c r="K41" i="40" l="1"/>
  <c r="C41" i="40"/>
  <c r="D41" i="40"/>
  <c r="I22" i="40"/>
  <c r="K22" i="40"/>
  <c r="K60" i="41"/>
  <c r="C22" i="40"/>
  <c r="D22" i="40"/>
  <c r="I41" i="40"/>
  <c r="J22" i="40"/>
  <c r="E41" i="40"/>
  <c r="H22" i="40"/>
  <c r="F41" i="40"/>
  <c r="L22" i="40"/>
  <c r="G100" i="17"/>
  <c r="G22" i="40"/>
  <c r="M41" i="40"/>
  <c r="J41" i="40"/>
  <c r="E22" i="40"/>
  <c r="H41" i="40"/>
  <c r="F22" i="40"/>
  <c r="L41" i="40"/>
  <c r="H100" i="17"/>
  <c r="G41" i="40"/>
  <c r="M22" i="40"/>
  <c r="D60" i="40" l="1"/>
  <c r="K60" i="40"/>
  <c r="C60" i="40"/>
  <c r="E60" i="40"/>
  <c r="D60" i="41"/>
  <c r="D60" i="42"/>
  <c r="F60" i="41"/>
  <c r="C60" i="42"/>
  <c r="E60" i="42"/>
  <c r="K60" i="42"/>
  <c r="M60" i="42"/>
  <c r="F60" i="42"/>
  <c r="F60" i="40"/>
  <c r="M60" i="41"/>
  <c r="H81" i="40"/>
  <c r="E60" i="41"/>
  <c r="M60" i="40"/>
  <c r="I100" i="17"/>
  <c r="C60" i="41"/>
  <c r="H81" i="42"/>
  <c r="G60" i="42"/>
  <c r="G81" i="42"/>
  <c r="J60" i="42"/>
  <c r="I60" i="42"/>
  <c r="L60" i="42"/>
  <c r="H60" i="41"/>
  <c r="J60" i="40"/>
  <c r="I60" i="41"/>
  <c r="G60" i="40"/>
  <c r="G81" i="40"/>
  <c r="L60" i="40"/>
  <c r="H60" i="40"/>
  <c r="J60" i="41"/>
  <c r="H81" i="41"/>
  <c r="G60" i="41"/>
  <c r="G81" i="41"/>
  <c r="L60" i="41"/>
  <c r="H60" i="42"/>
  <c r="I60" i="40"/>
  <c r="I81" i="41" l="1"/>
  <c r="I81" i="42"/>
  <c r="I81" i="40"/>
  <c r="B22" i="40" l="1"/>
  <c r="K100" i="17"/>
  <c r="C100" i="17"/>
  <c r="B41" i="40"/>
  <c r="D100" i="17"/>
  <c r="L100" i="17"/>
  <c r="L81" i="42" l="1"/>
  <c r="D81" i="42"/>
  <c r="B60" i="42"/>
  <c r="K81" i="42"/>
  <c r="C81" i="42"/>
  <c r="C23" i="36"/>
  <c r="D23" i="36" s="1"/>
  <c r="C24" i="44"/>
  <c r="C23" i="39"/>
  <c r="D23" i="39" s="1"/>
  <c r="C24" i="45"/>
  <c r="D81" i="41"/>
  <c r="L81" i="41"/>
  <c r="C81" i="40"/>
  <c r="B60" i="40"/>
  <c r="K81" i="40"/>
  <c r="K81" i="41"/>
  <c r="C81" i="41"/>
  <c r="B60" i="41"/>
  <c r="E23" i="39"/>
  <c r="F23" i="39" s="1"/>
  <c r="E24" i="44"/>
  <c r="E24" i="45"/>
  <c r="D81" i="40"/>
  <c r="L81" i="40"/>
  <c r="M100" i="17"/>
  <c r="E100" i="17"/>
  <c r="F26" i="13" l="1"/>
  <c r="C26" i="13"/>
  <c r="R24" i="44"/>
  <c r="F24" i="44"/>
  <c r="U24" i="44" s="1"/>
  <c r="L24" i="45"/>
  <c r="D24" i="45"/>
  <c r="L24" i="44"/>
  <c r="D24" i="44"/>
  <c r="R24" i="45"/>
  <c r="F24" i="45"/>
  <c r="U24" i="45" s="1"/>
  <c r="M81" i="41"/>
  <c r="E81" i="41"/>
  <c r="M81" i="42"/>
  <c r="E81" i="42"/>
  <c r="M81" i="40"/>
  <c r="E81" i="40"/>
  <c r="E26" i="13" l="1"/>
  <c r="H26" i="13"/>
  <c r="O24" i="45"/>
  <c r="L26" i="13"/>
  <c r="O24" i="44"/>
  <c r="I26" i="13"/>
  <c r="K26" i="13" l="1"/>
  <c r="N26" i="13"/>
  <c r="C24" i="13" l="1"/>
  <c r="L22" i="45"/>
  <c r="R22" i="44"/>
  <c r="U22" i="44"/>
  <c r="U22" i="45"/>
  <c r="L22" i="44"/>
  <c r="R22" i="45"/>
  <c r="E24" i="13" l="1"/>
  <c r="F24" i="13"/>
  <c r="O22" i="45"/>
  <c r="L24" i="13"/>
  <c r="O22" i="44"/>
  <c r="I24" i="13"/>
  <c r="H24" i="13" l="1"/>
  <c r="K24" i="13"/>
  <c r="N24" i="13"/>
  <c r="H53" i="17"/>
  <c r="L51" i="17"/>
  <c r="H34" i="17" l="1"/>
  <c r="L32" i="17"/>
  <c r="J56" i="17"/>
  <c r="H50" i="17"/>
  <c r="M51" i="17"/>
  <c r="M32" i="17" l="1"/>
  <c r="L32" i="42"/>
  <c r="L32" i="41"/>
  <c r="L32" i="40"/>
  <c r="L13" i="41"/>
  <c r="L70" i="17"/>
  <c r="L13" i="40"/>
  <c r="L13" i="42"/>
  <c r="H31" i="17"/>
  <c r="H34" i="42"/>
  <c r="H34" i="41"/>
  <c r="H34" i="40"/>
  <c r="J37" i="17"/>
  <c r="H15" i="41"/>
  <c r="H15" i="42"/>
  <c r="H72" i="17"/>
  <c r="H15" i="40"/>
  <c r="E50" i="17"/>
  <c r="B57" i="17"/>
  <c r="F57" i="17"/>
  <c r="K50" i="17"/>
  <c r="B55" i="17"/>
  <c r="C49" i="17"/>
  <c r="D54" i="17"/>
  <c r="B53" i="17"/>
  <c r="H49" i="17"/>
  <c r="B51" i="17"/>
  <c r="K54" i="17"/>
  <c r="C51" i="17"/>
  <c r="L52" i="17"/>
  <c r="L51" i="40" l="1"/>
  <c r="H53" i="41"/>
  <c r="H53" i="40"/>
  <c r="K35" i="17"/>
  <c r="H30" i="17"/>
  <c r="B36" i="17"/>
  <c r="F38" i="17"/>
  <c r="J18" i="42"/>
  <c r="J18" i="41"/>
  <c r="J75" i="17"/>
  <c r="J18" i="40"/>
  <c r="B38" i="17"/>
  <c r="H12" i="41"/>
  <c r="H69" i="17"/>
  <c r="H12" i="42"/>
  <c r="H12" i="40"/>
  <c r="C32" i="17"/>
  <c r="B32" i="17"/>
  <c r="B34" i="17"/>
  <c r="C30" i="17"/>
  <c r="K31" i="17"/>
  <c r="H53" i="42"/>
  <c r="H31" i="41"/>
  <c r="H31" i="42"/>
  <c r="H31" i="40"/>
  <c r="L51" i="41"/>
  <c r="M13" i="42"/>
  <c r="M70" i="17"/>
  <c r="M13" i="40"/>
  <c r="M13" i="41"/>
  <c r="L33" i="17"/>
  <c r="D35" i="17"/>
  <c r="J37" i="40"/>
  <c r="J37" i="41"/>
  <c r="J37" i="42"/>
  <c r="E31" i="17"/>
  <c r="L51" i="42"/>
  <c r="M32" i="41"/>
  <c r="M32" i="42"/>
  <c r="M32" i="40"/>
  <c r="J57" i="17"/>
  <c r="M57" i="17"/>
  <c r="K57" i="17"/>
  <c r="L57" i="17"/>
  <c r="I57" i="17"/>
  <c r="E57" i="17"/>
  <c r="H57" i="17"/>
  <c r="G57" i="17"/>
  <c r="D57" i="17"/>
  <c r="G52" i="17"/>
  <c r="K51" i="17"/>
  <c r="L50" i="17"/>
  <c r="F56" i="17"/>
  <c r="M49" i="17"/>
  <c r="J52" i="17"/>
  <c r="F55" i="17"/>
  <c r="H48" i="17"/>
  <c r="G48" i="17"/>
  <c r="L54" i="17"/>
  <c r="M50" i="17"/>
  <c r="E53" i="17"/>
  <c r="D49" i="17"/>
  <c r="F50" i="17"/>
  <c r="G49" i="17"/>
  <c r="D50" i="17"/>
  <c r="C56" i="17"/>
  <c r="M54" i="17"/>
  <c r="F52" i="17"/>
  <c r="D56" i="17"/>
  <c r="H51" i="17"/>
  <c r="K49" i="17"/>
  <c r="I55" i="17"/>
  <c r="M56" i="17"/>
  <c r="J48" i="17"/>
  <c r="I48" i="17"/>
  <c r="J50" i="17"/>
  <c r="G55" i="17"/>
  <c r="L56" i="17"/>
  <c r="F53" i="17"/>
  <c r="H55" i="17"/>
  <c r="G54" i="17"/>
  <c r="M52" i="17"/>
  <c r="F51" i="17"/>
  <c r="C52" i="17"/>
  <c r="G51" i="17"/>
  <c r="J54" i="17"/>
  <c r="J53" i="17"/>
  <c r="H52" i="17"/>
  <c r="H56" i="17"/>
  <c r="J51" i="17"/>
  <c r="K55" i="17"/>
  <c r="I49" i="17"/>
  <c r="K56" i="17"/>
  <c r="E55" i="17"/>
  <c r="F54" i="17"/>
  <c r="M48" i="17"/>
  <c r="L53" i="17"/>
  <c r="M55" i="17"/>
  <c r="L55" i="17"/>
  <c r="E56" i="17"/>
  <c r="E54" i="17"/>
  <c r="I51" i="17"/>
  <c r="M53" i="17"/>
  <c r="D55" i="17"/>
  <c r="J55" i="17"/>
  <c r="E49" i="17"/>
  <c r="I50" i="17"/>
  <c r="C54" i="17"/>
  <c r="F49" i="17"/>
  <c r="L48" i="17"/>
  <c r="K48" i="17"/>
  <c r="I56" i="17"/>
  <c r="E52" i="17"/>
  <c r="C50" i="17"/>
  <c r="I54" i="17"/>
  <c r="G53" i="17"/>
  <c r="G56" i="17"/>
  <c r="I53" i="17"/>
  <c r="L49" i="17"/>
  <c r="I52" i="17"/>
  <c r="G50" i="17"/>
  <c r="D52" i="17"/>
  <c r="J49" i="17"/>
  <c r="D51" i="17"/>
  <c r="D53" i="17"/>
  <c r="K53" i="17"/>
  <c r="H54" i="17"/>
  <c r="K29" i="17" l="1"/>
  <c r="K10" i="42" s="1"/>
  <c r="K29" i="42"/>
  <c r="I29" i="17"/>
  <c r="I10" i="42" s="1"/>
  <c r="I29" i="42"/>
  <c r="H29" i="17"/>
  <c r="H10" i="42" s="1"/>
  <c r="H29" i="42"/>
  <c r="L29" i="17"/>
  <c r="L10" i="42" s="1"/>
  <c r="L29" i="42"/>
  <c r="J29" i="17"/>
  <c r="J10" i="42" s="1"/>
  <c r="J29" i="42"/>
  <c r="G29" i="17"/>
  <c r="G10" i="42" s="1"/>
  <c r="G29" i="42"/>
  <c r="M29" i="17"/>
  <c r="M10" i="42" s="1"/>
  <c r="M29" i="42"/>
  <c r="H50" i="41"/>
  <c r="M51" i="42"/>
  <c r="H35" i="17"/>
  <c r="D34" i="17"/>
  <c r="J30" i="17"/>
  <c r="G31" i="17"/>
  <c r="L30" i="17"/>
  <c r="G37" i="17"/>
  <c r="I35" i="17"/>
  <c r="E33" i="17"/>
  <c r="F30" i="17"/>
  <c r="I31" i="17"/>
  <c r="J36" i="17"/>
  <c r="I32" i="17"/>
  <c r="E35" i="17"/>
  <c r="L36" i="17"/>
  <c r="L34" i="17"/>
  <c r="F35" i="17"/>
  <c r="K37" i="17"/>
  <c r="K36" i="17"/>
  <c r="H37" i="17"/>
  <c r="J34" i="17"/>
  <c r="G32" i="17"/>
  <c r="F32" i="17"/>
  <c r="G35" i="17"/>
  <c r="F34" i="17"/>
  <c r="G36" i="17"/>
  <c r="M37" i="17"/>
  <c r="K30" i="17"/>
  <c r="D37" i="17"/>
  <c r="M35" i="17"/>
  <c r="D31" i="17"/>
  <c r="F31" i="17"/>
  <c r="E34" i="17"/>
  <c r="L35" i="17"/>
  <c r="J33" i="17"/>
  <c r="F37" i="17"/>
  <c r="K32" i="17"/>
  <c r="D38" i="17"/>
  <c r="I38" i="17"/>
  <c r="J38" i="17"/>
  <c r="D16" i="42"/>
  <c r="D73" i="17"/>
  <c r="D16" i="41"/>
  <c r="D16" i="40"/>
  <c r="M51" i="40"/>
  <c r="K12" i="42"/>
  <c r="K12" i="41"/>
  <c r="K69" i="17"/>
  <c r="K12" i="40"/>
  <c r="B34" i="40"/>
  <c r="B34" i="41"/>
  <c r="B34" i="42"/>
  <c r="C32" i="41"/>
  <c r="C32" i="42"/>
  <c r="C32" i="40"/>
  <c r="J56" i="40"/>
  <c r="F19" i="40"/>
  <c r="F76" i="17"/>
  <c r="F19" i="42"/>
  <c r="F19" i="41"/>
  <c r="H11" i="40"/>
  <c r="H11" i="41"/>
  <c r="H68" i="17"/>
  <c r="H11" i="42"/>
  <c r="L38" i="17"/>
  <c r="K31" i="40"/>
  <c r="K31" i="42"/>
  <c r="K31" i="41"/>
  <c r="C13" i="40"/>
  <c r="C13" i="42"/>
  <c r="C70" i="17"/>
  <c r="C13" i="41"/>
  <c r="F38" i="42"/>
  <c r="F38" i="40"/>
  <c r="F38" i="41"/>
  <c r="H30" i="40"/>
  <c r="H30" i="41"/>
  <c r="H30" i="42"/>
  <c r="G38" i="17"/>
  <c r="L33" i="41"/>
  <c r="L33" i="40"/>
  <c r="L33" i="42"/>
  <c r="B15" i="40"/>
  <c r="B15" i="41"/>
  <c r="B15" i="42"/>
  <c r="B72" i="17"/>
  <c r="K34" i="17"/>
  <c r="I33" i="17"/>
  <c r="G34" i="17"/>
  <c r="I37" i="17"/>
  <c r="E30" i="17"/>
  <c r="D36" i="17"/>
  <c r="E37" i="17"/>
  <c r="E36" i="17"/>
  <c r="I30" i="17"/>
  <c r="H33" i="17"/>
  <c r="J35" i="17"/>
  <c r="C33" i="17"/>
  <c r="M33" i="17"/>
  <c r="H36" i="17"/>
  <c r="L37" i="17"/>
  <c r="J31" i="17"/>
  <c r="I36" i="17"/>
  <c r="H32" i="17"/>
  <c r="F33" i="17"/>
  <c r="C37" i="17"/>
  <c r="G30" i="17"/>
  <c r="D30" i="17"/>
  <c r="M31" i="17"/>
  <c r="F36" i="17"/>
  <c r="M30" i="17"/>
  <c r="L31" i="17"/>
  <c r="G33" i="17"/>
  <c r="H38" i="17"/>
  <c r="K38" i="17"/>
  <c r="E12" i="41"/>
  <c r="E69" i="17"/>
  <c r="E12" i="42"/>
  <c r="E12" i="40"/>
  <c r="L14" i="40"/>
  <c r="L14" i="41"/>
  <c r="L14" i="42"/>
  <c r="L71" i="17"/>
  <c r="C30" i="42"/>
  <c r="C30" i="41"/>
  <c r="C30" i="40"/>
  <c r="B32" i="40"/>
  <c r="B32" i="41"/>
  <c r="B32" i="42"/>
  <c r="H50" i="40"/>
  <c r="B19" i="40"/>
  <c r="B19" i="42"/>
  <c r="B19" i="41"/>
  <c r="B76" i="17"/>
  <c r="J56" i="41"/>
  <c r="B17" i="40"/>
  <c r="B17" i="41"/>
  <c r="B74" i="17"/>
  <c r="B17" i="42"/>
  <c r="K35" i="42"/>
  <c r="K35" i="40"/>
  <c r="K35" i="41"/>
  <c r="D32" i="17"/>
  <c r="D33" i="17"/>
  <c r="I34" i="17"/>
  <c r="C31" i="17"/>
  <c r="C35" i="17"/>
  <c r="M34" i="17"/>
  <c r="M36" i="17"/>
  <c r="J32" i="17"/>
  <c r="E38" i="17"/>
  <c r="M38" i="17"/>
  <c r="E31" i="40"/>
  <c r="E31" i="42"/>
  <c r="E31" i="41"/>
  <c r="D35" i="40"/>
  <c r="D35" i="41"/>
  <c r="D35" i="42"/>
  <c r="M51" i="41"/>
  <c r="C68" i="17"/>
  <c r="C11" i="42"/>
  <c r="C11" i="41"/>
  <c r="C11" i="40"/>
  <c r="C49" i="40" s="1"/>
  <c r="B70" i="17"/>
  <c r="B13" i="41"/>
  <c r="B13" i="42"/>
  <c r="B13" i="40"/>
  <c r="H50" i="42"/>
  <c r="B38" i="40"/>
  <c r="B38" i="42"/>
  <c r="B38" i="41"/>
  <c r="J56" i="42"/>
  <c r="B36" i="42"/>
  <c r="B36" i="41"/>
  <c r="B36" i="40"/>
  <c r="K16" i="41"/>
  <c r="K73" i="17"/>
  <c r="K16" i="40"/>
  <c r="K16" i="42"/>
  <c r="K52" i="17"/>
  <c r="C57" i="17"/>
  <c r="B50" i="17"/>
  <c r="B49" i="17"/>
  <c r="B54" i="17"/>
  <c r="C53" i="17"/>
  <c r="C55" i="17"/>
  <c r="B56" i="17"/>
  <c r="B52" i="17"/>
  <c r="E51" i="17"/>
  <c r="K54" i="41" l="1"/>
  <c r="L52" i="40"/>
  <c r="C51" i="41"/>
  <c r="L48" i="42"/>
  <c r="C49" i="42"/>
  <c r="K54" i="42"/>
  <c r="I48" i="42"/>
  <c r="M48" i="42"/>
  <c r="L69" i="42"/>
  <c r="H69" i="42"/>
  <c r="F10" i="45" s="1"/>
  <c r="G48" i="42"/>
  <c r="G69" i="42"/>
  <c r="D10" i="45" s="1"/>
  <c r="K69" i="42"/>
  <c r="D69" i="42"/>
  <c r="E10" i="45" s="1"/>
  <c r="J48" i="42"/>
  <c r="H48" i="42"/>
  <c r="K48" i="42"/>
  <c r="C69" i="42"/>
  <c r="C10" i="45" s="1"/>
  <c r="G29" i="40"/>
  <c r="G29" i="41"/>
  <c r="L29" i="40"/>
  <c r="L29" i="41"/>
  <c r="M29" i="40"/>
  <c r="M29" i="41"/>
  <c r="J29" i="40"/>
  <c r="J29" i="41"/>
  <c r="H29" i="40"/>
  <c r="H29" i="41"/>
  <c r="K29" i="40"/>
  <c r="K29" i="41"/>
  <c r="I29" i="40"/>
  <c r="I29" i="41"/>
  <c r="G10" i="40"/>
  <c r="G10" i="41"/>
  <c r="L10" i="40"/>
  <c r="L10" i="41"/>
  <c r="I10" i="40"/>
  <c r="I10" i="41"/>
  <c r="M10" i="40"/>
  <c r="M48" i="40" s="1"/>
  <c r="M10" i="41"/>
  <c r="M48" i="41" s="1"/>
  <c r="J10" i="40"/>
  <c r="J48" i="40" s="1"/>
  <c r="J10" i="41"/>
  <c r="J48" i="41" s="1"/>
  <c r="H10" i="40"/>
  <c r="H10" i="41"/>
  <c r="H48" i="41" s="1"/>
  <c r="K10" i="40"/>
  <c r="K48" i="40" s="1"/>
  <c r="K10" i="41"/>
  <c r="C51" i="40"/>
  <c r="C49" i="41"/>
  <c r="C88" i="17"/>
  <c r="C9" i="36" s="1"/>
  <c r="L67" i="17"/>
  <c r="I67" i="17"/>
  <c r="L52" i="41"/>
  <c r="C51" i="42"/>
  <c r="H88" i="17"/>
  <c r="F9" i="36" s="1"/>
  <c r="L88" i="17"/>
  <c r="L13" i="5" s="1"/>
  <c r="R13" i="5" s="1"/>
  <c r="G67" i="17"/>
  <c r="K88" i="17"/>
  <c r="Q13" i="5" s="1"/>
  <c r="G88" i="17"/>
  <c r="D9" i="36" s="1"/>
  <c r="D88" i="17"/>
  <c r="E9" i="36" s="1"/>
  <c r="M67" i="17"/>
  <c r="J67" i="17"/>
  <c r="H67" i="17"/>
  <c r="K67" i="17"/>
  <c r="H49" i="42"/>
  <c r="E50" i="40"/>
  <c r="M19" i="42"/>
  <c r="M19" i="40"/>
  <c r="M19" i="41"/>
  <c r="M76" i="17"/>
  <c r="C69" i="17"/>
  <c r="C12" i="41"/>
  <c r="C12" i="42"/>
  <c r="C12" i="40"/>
  <c r="B55" i="42"/>
  <c r="M11" i="41"/>
  <c r="M11" i="40"/>
  <c r="M68" i="17"/>
  <c r="M11" i="42"/>
  <c r="F33" i="41"/>
  <c r="F33" i="40"/>
  <c r="F33" i="42"/>
  <c r="M33" i="40"/>
  <c r="M33" i="41"/>
  <c r="M33" i="42"/>
  <c r="E18" i="42"/>
  <c r="E75" i="17"/>
  <c r="E18" i="41"/>
  <c r="E18" i="40"/>
  <c r="H93" i="17"/>
  <c r="F14" i="36" s="1"/>
  <c r="G34" i="42"/>
  <c r="G34" i="40"/>
  <c r="G34" i="41"/>
  <c r="J33" i="41"/>
  <c r="J33" i="42"/>
  <c r="J33" i="40"/>
  <c r="D18" i="40"/>
  <c r="D18" i="41"/>
  <c r="D18" i="42"/>
  <c r="D75" i="17"/>
  <c r="J34" i="40"/>
  <c r="J34" i="41"/>
  <c r="J34" i="42"/>
  <c r="F16" i="41"/>
  <c r="F16" i="42"/>
  <c r="F73" i="17"/>
  <c r="F16" i="40"/>
  <c r="I69" i="17"/>
  <c r="I12" i="42"/>
  <c r="I12" i="40"/>
  <c r="I12" i="41"/>
  <c r="G31" i="42"/>
  <c r="G31" i="41"/>
  <c r="G31" i="40"/>
  <c r="H90" i="17"/>
  <c r="F11" i="36" s="1"/>
  <c r="L91" i="17"/>
  <c r="L16" i="5" s="1"/>
  <c r="R16" i="5" s="1"/>
  <c r="E32" i="17"/>
  <c r="C36" i="17"/>
  <c r="B35" i="17"/>
  <c r="K94" i="17" s="1"/>
  <c r="Q19" i="5" s="1"/>
  <c r="B31" i="17"/>
  <c r="K33" i="17"/>
  <c r="B51" i="42"/>
  <c r="E19" i="42"/>
  <c r="E19" i="41"/>
  <c r="E76" i="17"/>
  <c r="E19" i="40"/>
  <c r="M74" i="17"/>
  <c r="M17" i="40"/>
  <c r="M17" i="42"/>
  <c r="M17" i="41"/>
  <c r="C35" i="42"/>
  <c r="C35" i="41"/>
  <c r="C35" i="40"/>
  <c r="I34" i="40"/>
  <c r="I34" i="42"/>
  <c r="I34" i="41"/>
  <c r="D13" i="40"/>
  <c r="D13" i="42"/>
  <c r="D13" i="41"/>
  <c r="D70" i="17"/>
  <c r="B57" i="42"/>
  <c r="L52" i="42"/>
  <c r="E50" i="42"/>
  <c r="K19" i="42"/>
  <c r="K19" i="41"/>
  <c r="K76" i="17"/>
  <c r="K19" i="40"/>
  <c r="G14" i="42"/>
  <c r="G92" i="17"/>
  <c r="D13" i="36" s="1"/>
  <c r="G14" i="41"/>
  <c r="G71" i="17"/>
  <c r="G14" i="40"/>
  <c r="M30" i="42"/>
  <c r="M30" i="41"/>
  <c r="M30" i="40"/>
  <c r="M31" i="41"/>
  <c r="M31" i="42"/>
  <c r="M31" i="40"/>
  <c r="G30" i="42"/>
  <c r="G30" i="40"/>
  <c r="G30" i="41"/>
  <c r="H89" i="17"/>
  <c r="F14" i="41"/>
  <c r="F71" i="17"/>
  <c r="F14" i="40"/>
  <c r="F52" i="40" s="1"/>
  <c r="F14" i="42"/>
  <c r="F52" i="42" s="1"/>
  <c r="I36" i="42"/>
  <c r="I36" i="40"/>
  <c r="I36" i="41"/>
  <c r="L37" i="40"/>
  <c r="L37" i="41"/>
  <c r="L37" i="42"/>
  <c r="M14" i="40"/>
  <c r="M71" i="17"/>
  <c r="M14" i="41"/>
  <c r="M14" i="42"/>
  <c r="J35" i="41"/>
  <c r="J35" i="42"/>
  <c r="J35" i="40"/>
  <c r="I30" i="40"/>
  <c r="I30" i="41"/>
  <c r="I30" i="42"/>
  <c r="E37" i="41"/>
  <c r="E37" i="42"/>
  <c r="E37" i="40"/>
  <c r="E11" i="40"/>
  <c r="E11" i="42"/>
  <c r="E11" i="41"/>
  <c r="E68" i="17"/>
  <c r="G15" i="41"/>
  <c r="G15" i="40"/>
  <c r="G15" i="42"/>
  <c r="G72" i="17"/>
  <c r="G93" i="17"/>
  <c r="D14" i="36" s="1"/>
  <c r="K34" i="40"/>
  <c r="K34" i="41"/>
  <c r="K34" i="42"/>
  <c r="B53" i="42"/>
  <c r="F57" i="42"/>
  <c r="K50" i="40"/>
  <c r="D54" i="42"/>
  <c r="I38" i="40"/>
  <c r="I38" i="42"/>
  <c r="I38" i="41"/>
  <c r="K13" i="40"/>
  <c r="K13" i="42"/>
  <c r="K13" i="41"/>
  <c r="K70" i="17"/>
  <c r="J14" i="40"/>
  <c r="J14" i="41"/>
  <c r="J52" i="41" s="1"/>
  <c r="J14" i="42"/>
  <c r="J52" i="42" s="1"/>
  <c r="J71" i="17"/>
  <c r="E15" i="40"/>
  <c r="E72" i="17"/>
  <c r="E15" i="42"/>
  <c r="E15" i="41"/>
  <c r="D12" i="40"/>
  <c r="D12" i="41"/>
  <c r="D69" i="17"/>
  <c r="D12" i="42"/>
  <c r="D37" i="42"/>
  <c r="D37" i="41"/>
  <c r="D37" i="40"/>
  <c r="M18" i="41"/>
  <c r="M18" i="42"/>
  <c r="M75" i="17"/>
  <c r="M18" i="40"/>
  <c r="F15" i="41"/>
  <c r="F15" i="42"/>
  <c r="F72" i="17"/>
  <c r="F15" i="40"/>
  <c r="F70" i="17"/>
  <c r="F13" i="41"/>
  <c r="F13" i="42"/>
  <c r="F13" i="40"/>
  <c r="J15" i="41"/>
  <c r="J15" i="42"/>
  <c r="J72" i="17"/>
  <c r="J15" i="40"/>
  <c r="K74" i="17"/>
  <c r="K17" i="41"/>
  <c r="K17" i="42"/>
  <c r="K17" i="40"/>
  <c r="F35" i="41"/>
  <c r="F35" i="42"/>
  <c r="F35" i="40"/>
  <c r="L36" i="40"/>
  <c r="L36" i="42"/>
  <c r="L36" i="41"/>
  <c r="I13" i="42"/>
  <c r="I13" i="41"/>
  <c r="I13" i="40"/>
  <c r="I70" i="17"/>
  <c r="I31" i="42"/>
  <c r="I31" i="40"/>
  <c r="I31" i="41"/>
  <c r="E33" i="40"/>
  <c r="E33" i="42"/>
  <c r="E33" i="41"/>
  <c r="H96" i="17"/>
  <c r="F17" i="36" s="1"/>
  <c r="G37" i="42"/>
  <c r="G37" i="41"/>
  <c r="G37" i="40"/>
  <c r="G12" i="40"/>
  <c r="G12" i="42"/>
  <c r="G90" i="17"/>
  <c r="D11" i="36" s="1"/>
  <c r="G12" i="41"/>
  <c r="G69" i="17"/>
  <c r="D15" i="41"/>
  <c r="D15" i="40"/>
  <c r="D15" i="42"/>
  <c r="D72" i="17"/>
  <c r="M72" i="17"/>
  <c r="M15" i="40"/>
  <c r="M15" i="41"/>
  <c r="M15" i="42"/>
  <c r="G33" i="40"/>
  <c r="H92" i="17"/>
  <c r="F13" i="36" s="1"/>
  <c r="G33" i="41"/>
  <c r="G33" i="42"/>
  <c r="G68" i="17"/>
  <c r="G11" i="40"/>
  <c r="G89" i="17"/>
  <c r="G11" i="42"/>
  <c r="G11" i="41"/>
  <c r="I17" i="41"/>
  <c r="I17" i="40"/>
  <c r="I74" i="17"/>
  <c r="I17" i="42"/>
  <c r="J16" i="40"/>
  <c r="J16" i="41"/>
  <c r="J73" i="17"/>
  <c r="J16" i="42"/>
  <c r="E30" i="41"/>
  <c r="E30" i="42"/>
  <c r="E30" i="40"/>
  <c r="G38" i="40"/>
  <c r="G38" i="41"/>
  <c r="H97" i="17"/>
  <c r="F18" i="36" s="1"/>
  <c r="G38" i="42"/>
  <c r="F57" i="41"/>
  <c r="K50" i="42"/>
  <c r="K32" i="42"/>
  <c r="K32" i="41"/>
  <c r="K32" i="40"/>
  <c r="M37" i="42"/>
  <c r="M37" i="41"/>
  <c r="M37" i="40"/>
  <c r="F32" i="42"/>
  <c r="F32" i="40"/>
  <c r="F32" i="41"/>
  <c r="L17" i="41"/>
  <c r="L74" i="17"/>
  <c r="L17" i="42"/>
  <c r="L17" i="40"/>
  <c r="L55" i="40" s="1"/>
  <c r="E14" i="42"/>
  <c r="E71" i="17"/>
  <c r="E14" i="41"/>
  <c r="E14" i="40"/>
  <c r="D34" i="41"/>
  <c r="D34" i="42"/>
  <c r="D34" i="40"/>
  <c r="B51" i="41"/>
  <c r="E38" i="41"/>
  <c r="E38" i="42"/>
  <c r="E38" i="40"/>
  <c r="M36" i="41"/>
  <c r="M36" i="42"/>
  <c r="M36" i="40"/>
  <c r="C73" i="17"/>
  <c r="C16" i="40"/>
  <c r="C16" i="41"/>
  <c r="C54" i="41" s="1"/>
  <c r="C16" i="42"/>
  <c r="I72" i="17"/>
  <c r="I15" i="41"/>
  <c r="I15" i="42"/>
  <c r="I15" i="40"/>
  <c r="D32" i="42"/>
  <c r="D32" i="40"/>
  <c r="D32" i="41"/>
  <c r="B55" i="41"/>
  <c r="B57" i="40"/>
  <c r="H19" i="41"/>
  <c r="H76" i="17"/>
  <c r="H19" i="42"/>
  <c r="H19" i="40"/>
  <c r="L12" i="41"/>
  <c r="L12" i="40"/>
  <c r="L12" i="42"/>
  <c r="L69" i="17"/>
  <c r="F74" i="17"/>
  <c r="F17" i="42"/>
  <c r="F17" i="40"/>
  <c r="F17" i="41"/>
  <c r="D11" i="41"/>
  <c r="D68" i="17"/>
  <c r="D11" i="42"/>
  <c r="D11" i="40"/>
  <c r="C37" i="42"/>
  <c r="C37" i="40"/>
  <c r="C37" i="41"/>
  <c r="H32" i="40"/>
  <c r="H32" i="42"/>
  <c r="H32" i="41"/>
  <c r="J31" i="41"/>
  <c r="J31" i="40"/>
  <c r="J31" i="42"/>
  <c r="H36" i="42"/>
  <c r="H36" i="40"/>
  <c r="H36" i="41"/>
  <c r="C14" i="42"/>
  <c r="C71" i="17"/>
  <c r="C14" i="40"/>
  <c r="C14" i="41"/>
  <c r="H14" i="41"/>
  <c r="H14" i="40"/>
  <c r="H14" i="42"/>
  <c r="H71" i="17"/>
  <c r="E36" i="41"/>
  <c r="E36" i="42"/>
  <c r="E36" i="40"/>
  <c r="D36" i="41"/>
  <c r="D36" i="40"/>
  <c r="D36" i="42"/>
  <c r="I75" i="17"/>
  <c r="I18" i="40"/>
  <c r="I18" i="42"/>
  <c r="I18" i="41"/>
  <c r="I33" i="40"/>
  <c r="I33" i="42"/>
  <c r="I33" i="41"/>
  <c r="B53" i="41"/>
  <c r="L76" i="17"/>
  <c r="L19" i="40"/>
  <c r="L19" i="41"/>
  <c r="L19" i="42"/>
  <c r="H49" i="41"/>
  <c r="D54" i="40"/>
  <c r="J38" i="40"/>
  <c r="J38" i="42"/>
  <c r="J38" i="41"/>
  <c r="D19" i="42"/>
  <c r="D76" i="17"/>
  <c r="D19" i="41"/>
  <c r="D19" i="40"/>
  <c r="F37" i="40"/>
  <c r="F37" i="41"/>
  <c r="F37" i="42"/>
  <c r="L35" i="41"/>
  <c r="L35" i="42"/>
  <c r="L35" i="40"/>
  <c r="F31" i="41"/>
  <c r="F31" i="40"/>
  <c r="F31" i="42"/>
  <c r="M35" i="41"/>
  <c r="M35" i="42"/>
  <c r="M35" i="40"/>
  <c r="K30" i="41"/>
  <c r="K30" i="42"/>
  <c r="K30" i="40"/>
  <c r="G36" i="40"/>
  <c r="H95" i="17"/>
  <c r="F16" i="36" s="1"/>
  <c r="G36" i="42"/>
  <c r="G36" i="41"/>
  <c r="G16" i="41"/>
  <c r="G94" i="17"/>
  <c r="D15" i="36" s="1"/>
  <c r="G73" i="17"/>
  <c r="G16" i="42"/>
  <c r="G16" i="40"/>
  <c r="G70" i="17"/>
  <c r="G13" i="41"/>
  <c r="G13" i="42"/>
  <c r="G91" i="17"/>
  <c r="D12" i="36" s="1"/>
  <c r="G13" i="40"/>
  <c r="H37" i="40"/>
  <c r="H37" i="42"/>
  <c r="H37" i="41"/>
  <c r="K37" i="42"/>
  <c r="K37" i="41"/>
  <c r="K37" i="40"/>
  <c r="L15" i="42"/>
  <c r="L15" i="41"/>
  <c r="L72" i="17"/>
  <c r="L15" i="40"/>
  <c r="E35" i="41"/>
  <c r="E35" i="42"/>
  <c r="E35" i="40"/>
  <c r="J17" i="41"/>
  <c r="J74" i="17"/>
  <c r="J17" i="42"/>
  <c r="J17" i="40"/>
  <c r="F11" i="42"/>
  <c r="F11" i="41"/>
  <c r="F11" i="40"/>
  <c r="F68" i="17"/>
  <c r="I35" i="42"/>
  <c r="I35" i="41"/>
  <c r="I35" i="40"/>
  <c r="L30" i="41"/>
  <c r="L30" i="42"/>
  <c r="L30" i="40"/>
  <c r="J30" i="42"/>
  <c r="J30" i="40"/>
  <c r="J30" i="41"/>
  <c r="H73" i="17"/>
  <c r="H16" i="41"/>
  <c r="H16" i="42"/>
  <c r="H16" i="40"/>
  <c r="B51" i="40"/>
  <c r="J13" i="41"/>
  <c r="J13" i="42"/>
  <c r="J70" i="17"/>
  <c r="J13" i="40"/>
  <c r="D14" i="42"/>
  <c r="D71" i="17"/>
  <c r="D14" i="40"/>
  <c r="D14" i="41"/>
  <c r="B57" i="41"/>
  <c r="K38" i="41"/>
  <c r="K38" i="40"/>
  <c r="K38" i="42"/>
  <c r="M69" i="17"/>
  <c r="M12" i="40"/>
  <c r="M12" i="41"/>
  <c r="M50" i="41" s="1"/>
  <c r="M12" i="42"/>
  <c r="M50" i="42" s="1"/>
  <c r="L75" i="17"/>
  <c r="L18" i="40"/>
  <c r="L18" i="41"/>
  <c r="L18" i="42"/>
  <c r="I68" i="17"/>
  <c r="I11" i="42"/>
  <c r="I11" i="40"/>
  <c r="I49" i="40" s="1"/>
  <c r="I11" i="41"/>
  <c r="I49" i="41" s="1"/>
  <c r="K15" i="40"/>
  <c r="K15" i="42"/>
  <c r="K72" i="17"/>
  <c r="K15" i="41"/>
  <c r="I19" i="40"/>
  <c r="I57" i="40" s="1"/>
  <c r="I19" i="42"/>
  <c r="I57" i="42" s="1"/>
  <c r="I19" i="41"/>
  <c r="I57" i="41" s="1"/>
  <c r="I76" i="17"/>
  <c r="E34" i="42"/>
  <c r="E34" i="40"/>
  <c r="E34" i="41"/>
  <c r="D31" i="40"/>
  <c r="D31" i="42"/>
  <c r="D31" i="41"/>
  <c r="F34" i="41"/>
  <c r="F34" i="42"/>
  <c r="F34" i="40"/>
  <c r="K36" i="42"/>
  <c r="K36" i="41"/>
  <c r="K36" i="40"/>
  <c r="I32" i="42"/>
  <c r="I32" i="41"/>
  <c r="I32" i="40"/>
  <c r="G18" i="42"/>
  <c r="G75" i="17"/>
  <c r="G18" i="40"/>
  <c r="G96" i="17"/>
  <c r="D17" i="36" s="1"/>
  <c r="G18" i="41"/>
  <c r="B33" i="17"/>
  <c r="B37" i="17"/>
  <c r="C34" i="17"/>
  <c r="B30" i="17"/>
  <c r="C38" i="17"/>
  <c r="K54" i="40"/>
  <c r="M38" i="40"/>
  <c r="M38" i="42"/>
  <c r="M38" i="41"/>
  <c r="J32" i="42"/>
  <c r="J32" i="41"/>
  <c r="J32" i="40"/>
  <c r="M34" i="42"/>
  <c r="M34" i="40"/>
  <c r="M34" i="41"/>
  <c r="C31" i="41"/>
  <c r="C31" i="42"/>
  <c r="C31" i="40"/>
  <c r="D33" i="40"/>
  <c r="D33" i="41"/>
  <c r="D33" i="42"/>
  <c r="B55" i="40"/>
  <c r="E50" i="41"/>
  <c r="H38" i="41"/>
  <c r="H38" i="42"/>
  <c r="H38" i="40"/>
  <c r="L31" i="40"/>
  <c r="L31" i="42"/>
  <c r="L31" i="41"/>
  <c r="F36" i="42"/>
  <c r="F36" i="40"/>
  <c r="F36" i="41"/>
  <c r="D30" i="41"/>
  <c r="D30" i="40"/>
  <c r="D30" i="42"/>
  <c r="C18" i="41"/>
  <c r="C18" i="40"/>
  <c r="C75" i="17"/>
  <c r="C18" i="42"/>
  <c r="H13" i="40"/>
  <c r="H70" i="17"/>
  <c r="H13" i="41"/>
  <c r="H13" i="42"/>
  <c r="J12" i="42"/>
  <c r="J12" i="41"/>
  <c r="J12" i="40"/>
  <c r="J69" i="17"/>
  <c r="H17" i="41"/>
  <c r="H17" i="40"/>
  <c r="H17" i="42"/>
  <c r="H74" i="17"/>
  <c r="C33" i="41"/>
  <c r="C33" i="42"/>
  <c r="C33" i="40"/>
  <c r="H33" i="41"/>
  <c r="H33" i="40"/>
  <c r="H33" i="42"/>
  <c r="E17" i="41"/>
  <c r="E17" i="42"/>
  <c r="E74" i="17"/>
  <c r="E17" i="40"/>
  <c r="D17" i="41"/>
  <c r="D74" i="17"/>
  <c r="D17" i="42"/>
  <c r="D17" i="40"/>
  <c r="I37" i="41"/>
  <c r="I37" i="40"/>
  <c r="I37" i="42"/>
  <c r="I71" i="17"/>
  <c r="I14" i="40"/>
  <c r="I14" i="42"/>
  <c r="I14" i="41"/>
  <c r="B53" i="40"/>
  <c r="G19" i="40"/>
  <c r="G19" i="42"/>
  <c r="G97" i="17"/>
  <c r="D18" i="36" s="1"/>
  <c r="G19" i="41"/>
  <c r="G76" i="17"/>
  <c r="L38" i="42"/>
  <c r="L38" i="41"/>
  <c r="L38" i="40"/>
  <c r="H49" i="40"/>
  <c r="F57" i="40"/>
  <c r="K50" i="41"/>
  <c r="D54" i="41"/>
  <c r="J19" i="42"/>
  <c r="J19" i="41"/>
  <c r="J19" i="40"/>
  <c r="J76" i="17"/>
  <c r="D38" i="41"/>
  <c r="D38" i="40"/>
  <c r="D38" i="42"/>
  <c r="F75" i="17"/>
  <c r="F18" i="40"/>
  <c r="F18" i="41"/>
  <c r="F18" i="42"/>
  <c r="L16" i="41"/>
  <c r="L16" i="40"/>
  <c r="L73" i="17"/>
  <c r="L16" i="42"/>
  <c r="F69" i="17"/>
  <c r="F12" i="40"/>
  <c r="F12" i="41"/>
  <c r="F12" i="42"/>
  <c r="M73" i="17"/>
  <c r="M16" i="40"/>
  <c r="M16" i="42"/>
  <c r="M16" i="41"/>
  <c r="K68" i="17"/>
  <c r="K11" i="40"/>
  <c r="K11" i="41"/>
  <c r="K11" i="42"/>
  <c r="G17" i="41"/>
  <c r="G17" i="40"/>
  <c r="G74" i="17"/>
  <c r="G17" i="42"/>
  <c r="G95" i="17"/>
  <c r="D16" i="36" s="1"/>
  <c r="G35" i="42"/>
  <c r="H94" i="17"/>
  <c r="F15" i="36" s="1"/>
  <c r="G35" i="40"/>
  <c r="G35" i="41"/>
  <c r="G32" i="42"/>
  <c r="G32" i="40"/>
  <c r="G32" i="41"/>
  <c r="H91" i="17"/>
  <c r="F12" i="36" s="1"/>
  <c r="H18" i="41"/>
  <c r="H75" i="17"/>
  <c r="H18" i="40"/>
  <c r="H18" i="42"/>
  <c r="K18" i="41"/>
  <c r="K75" i="17"/>
  <c r="K18" i="42"/>
  <c r="K18" i="40"/>
  <c r="L34" i="41"/>
  <c r="L34" i="40"/>
  <c r="L34" i="42"/>
  <c r="E73" i="17"/>
  <c r="E16" i="40"/>
  <c r="E16" i="42"/>
  <c r="E16" i="41"/>
  <c r="J36" i="40"/>
  <c r="J36" i="42"/>
  <c r="J36" i="41"/>
  <c r="F30" i="42"/>
  <c r="F30" i="41"/>
  <c r="F30" i="40"/>
  <c r="I16" i="42"/>
  <c r="I16" i="41"/>
  <c r="I73" i="17"/>
  <c r="I16" i="40"/>
  <c r="L11" i="41"/>
  <c r="L68" i="17"/>
  <c r="L11" i="42"/>
  <c r="L11" i="40"/>
  <c r="J68" i="17"/>
  <c r="J11" i="42"/>
  <c r="J11" i="41"/>
  <c r="J11" i="40"/>
  <c r="H35" i="42"/>
  <c r="H35" i="41"/>
  <c r="H35" i="40"/>
  <c r="AN19" i="5" l="1"/>
  <c r="AQ19" i="5" s="1"/>
  <c r="X19" i="5"/>
  <c r="AA19" i="5" s="1"/>
  <c r="S19" i="5"/>
  <c r="AF19" i="5"/>
  <c r="AI19" i="5" s="1"/>
  <c r="E69" i="42"/>
  <c r="J57" i="41"/>
  <c r="I48" i="41"/>
  <c r="D69" i="41"/>
  <c r="E10" i="44" s="1"/>
  <c r="F10" i="36"/>
  <c r="D10" i="36"/>
  <c r="I48" i="40"/>
  <c r="K56" i="42"/>
  <c r="F50" i="42"/>
  <c r="L54" i="42"/>
  <c r="H55" i="41"/>
  <c r="H51" i="40"/>
  <c r="J49" i="42"/>
  <c r="H69" i="40"/>
  <c r="F9" i="39" s="1"/>
  <c r="X13" i="5"/>
  <c r="AA13" i="5" s="1"/>
  <c r="AF13" i="5"/>
  <c r="AI13" i="5" s="1"/>
  <c r="AN13" i="5"/>
  <c r="AQ13" i="5" s="1"/>
  <c r="S13" i="5"/>
  <c r="AG13" i="5"/>
  <c r="AJ13" i="5" s="1"/>
  <c r="AO13" i="5"/>
  <c r="AR13" i="5" s="1"/>
  <c r="Y13" i="5"/>
  <c r="AB13" i="5" s="1"/>
  <c r="T13" i="5"/>
  <c r="K49" i="40"/>
  <c r="J57" i="42"/>
  <c r="H55" i="42"/>
  <c r="H51" i="41"/>
  <c r="D69" i="40"/>
  <c r="E9" i="39" s="1"/>
  <c r="G48" i="40"/>
  <c r="L69" i="40"/>
  <c r="D55" i="40"/>
  <c r="G69" i="40"/>
  <c r="D9" i="39" s="1"/>
  <c r="I69" i="42"/>
  <c r="M69" i="42"/>
  <c r="K48" i="41"/>
  <c r="C69" i="41"/>
  <c r="C10" i="44" s="1"/>
  <c r="G48" i="41"/>
  <c r="G69" i="41"/>
  <c r="D10" i="44" s="1"/>
  <c r="K69" i="41"/>
  <c r="H69" i="41"/>
  <c r="F10" i="44" s="1"/>
  <c r="L69" i="41"/>
  <c r="L48" i="41"/>
  <c r="C69" i="40"/>
  <c r="C9" i="39" s="1"/>
  <c r="H48" i="40"/>
  <c r="K69" i="40"/>
  <c r="L48" i="40"/>
  <c r="I49" i="42"/>
  <c r="L56" i="40"/>
  <c r="M50" i="40"/>
  <c r="E54" i="42"/>
  <c r="K49" i="41"/>
  <c r="I52" i="42"/>
  <c r="I53" i="40"/>
  <c r="J54" i="42"/>
  <c r="I54" i="40"/>
  <c r="F56" i="40"/>
  <c r="D55" i="41"/>
  <c r="J50" i="40"/>
  <c r="J53" i="41"/>
  <c r="J49" i="40"/>
  <c r="E54" i="40"/>
  <c r="K56" i="41"/>
  <c r="L54" i="40"/>
  <c r="E55" i="41"/>
  <c r="L56" i="41"/>
  <c r="I53" i="42"/>
  <c r="E88" i="17"/>
  <c r="H56" i="40"/>
  <c r="K49" i="42"/>
  <c r="M54" i="41"/>
  <c r="J57" i="40"/>
  <c r="I52" i="41"/>
  <c r="J50" i="42"/>
  <c r="K53" i="40"/>
  <c r="E52" i="41"/>
  <c r="J54" i="40"/>
  <c r="L49" i="41"/>
  <c r="F56" i="41"/>
  <c r="H51" i="42"/>
  <c r="C56" i="42"/>
  <c r="C54" i="42"/>
  <c r="I55" i="42"/>
  <c r="J53" i="42"/>
  <c r="M52" i="40"/>
  <c r="J49" i="41"/>
  <c r="H56" i="42"/>
  <c r="C56" i="40"/>
  <c r="I53" i="41"/>
  <c r="I55" i="40"/>
  <c r="M52" i="41"/>
  <c r="F52" i="41"/>
  <c r="F56" i="42"/>
  <c r="L55" i="42"/>
  <c r="L49" i="42"/>
  <c r="K56" i="40"/>
  <c r="D55" i="42"/>
  <c r="I54" i="42"/>
  <c r="H72" i="40"/>
  <c r="F12" i="39" s="1"/>
  <c r="I95" i="17"/>
  <c r="M54" i="42"/>
  <c r="F50" i="41"/>
  <c r="E55" i="42"/>
  <c r="K53" i="41"/>
  <c r="L56" i="42"/>
  <c r="J52" i="40"/>
  <c r="L49" i="40"/>
  <c r="H56" i="41"/>
  <c r="H72" i="42"/>
  <c r="F13" i="45" s="1"/>
  <c r="U13" i="45" s="1"/>
  <c r="M54" i="40"/>
  <c r="F50" i="40"/>
  <c r="I52" i="40"/>
  <c r="E52" i="42"/>
  <c r="L55" i="41"/>
  <c r="M52" i="42"/>
  <c r="L54" i="41"/>
  <c r="E55" i="40"/>
  <c r="H55" i="40"/>
  <c r="J50" i="41"/>
  <c r="K53" i="42"/>
  <c r="C54" i="40"/>
  <c r="E52" i="40"/>
  <c r="J54" i="41"/>
  <c r="J53" i="40"/>
  <c r="I54" i="41"/>
  <c r="E54" i="41"/>
  <c r="H72" i="41"/>
  <c r="F13" i="44" s="1"/>
  <c r="U13" i="44" s="1"/>
  <c r="C56" i="41"/>
  <c r="I55" i="41"/>
  <c r="I88" i="17"/>
  <c r="M88" i="17"/>
  <c r="H75" i="40"/>
  <c r="F15" i="39" s="1"/>
  <c r="E49" i="40"/>
  <c r="I97" i="17"/>
  <c r="H75" i="42"/>
  <c r="F16" i="45" s="1"/>
  <c r="U16" i="45" s="1"/>
  <c r="G76" i="40"/>
  <c r="D16" i="39" s="1"/>
  <c r="G55" i="40"/>
  <c r="B30" i="40"/>
  <c r="D89" i="17"/>
  <c r="B30" i="41"/>
  <c r="L89" i="17"/>
  <c r="L14" i="5" s="1"/>
  <c r="R14" i="5" s="1"/>
  <c r="B30" i="42"/>
  <c r="B37" i="42"/>
  <c r="L96" i="17"/>
  <c r="L21" i="5" s="1"/>
  <c r="R21" i="5" s="1"/>
  <c r="B37" i="41"/>
  <c r="B37" i="40"/>
  <c r="D96" i="17"/>
  <c r="E17" i="36" s="1"/>
  <c r="D52" i="40"/>
  <c r="H54" i="41"/>
  <c r="F49" i="40"/>
  <c r="J55" i="42"/>
  <c r="L53" i="41"/>
  <c r="G72" i="40"/>
  <c r="D12" i="39" s="1"/>
  <c r="G51" i="40"/>
  <c r="I91" i="17"/>
  <c r="D57" i="42"/>
  <c r="L57" i="42"/>
  <c r="I56" i="40"/>
  <c r="C52" i="41"/>
  <c r="D49" i="40"/>
  <c r="F55" i="41"/>
  <c r="H57" i="40"/>
  <c r="H78" i="40"/>
  <c r="F18" i="39" s="1"/>
  <c r="G49" i="41"/>
  <c r="G70" i="41"/>
  <c r="I89" i="17"/>
  <c r="H73" i="40"/>
  <c r="F13" i="39" s="1"/>
  <c r="D53" i="42"/>
  <c r="G50" i="41"/>
  <c r="G71" i="41"/>
  <c r="D12" i="44" s="1"/>
  <c r="I51" i="41"/>
  <c r="K55" i="40"/>
  <c r="F51" i="40"/>
  <c r="F53" i="40"/>
  <c r="M56" i="40"/>
  <c r="E53" i="42"/>
  <c r="K51" i="41"/>
  <c r="I93" i="17"/>
  <c r="H70" i="41"/>
  <c r="K57" i="41"/>
  <c r="D51" i="40"/>
  <c r="M55" i="42"/>
  <c r="K33" i="42"/>
  <c r="K33" i="41"/>
  <c r="K33" i="40"/>
  <c r="B35" i="42"/>
  <c r="D94" i="17"/>
  <c r="E15" i="36" s="1"/>
  <c r="B35" i="41"/>
  <c r="B35" i="40"/>
  <c r="L94" i="17"/>
  <c r="L19" i="5" s="1"/>
  <c r="R19" i="5" s="1"/>
  <c r="E13" i="40"/>
  <c r="E13" i="41"/>
  <c r="E13" i="42"/>
  <c r="K72" i="42" s="1"/>
  <c r="E70" i="17"/>
  <c r="C91" i="17"/>
  <c r="C12" i="36" s="1"/>
  <c r="K91" i="17"/>
  <c r="Q16" i="5" s="1"/>
  <c r="H71" i="41"/>
  <c r="F12" i="44" s="1"/>
  <c r="U12" i="44" s="1"/>
  <c r="I50" i="42"/>
  <c r="F54" i="42"/>
  <c r="D56" i="40"/>
  <c r="H74" i="42"/>
  <c r="F15" i="45" s="1"/>
  <c r="U15" i="45" s="1"/>
  <c r="M49" i="42"/>
  <c r="M57" i="42"/>
  <c r="H75" i="41"/>
  <c r="F16" i="44" s="1"/>
  <c r="U16" i="44" s="1"/>
  <c r="G55" i="41"/>
  <c r="G76" i="41"/>
  <c r="D17" i="44" s="1"/>
  <c r="G57" i="42"/>
  <c r="G78" i="42"/>
  <c r="D19" i="45" s="1"/>
  <c r="C19" i="42"/>
  <c r="C19" i="41"/>
  <c r="C19" i="40"/>
  <c r="C76" i="17"/>
  <c r="C97" i="17"/>
  <c r="C18" i="36" s="1"/>
  <c r="K97" i="17"/>
  <c r="Q22" i="5" s="1"/>
  <c r="C34" i="41"/>
  <c r="C34" i="40"/>
  <c r="C34" i="42"/>
  <c r="L93" i="17"/>
  <c r="L18" i="5" s="1"/>
  <c r="R18" i="5" s="1"/>
  <c r="D93" i="17"/>
  <c r="E14" i="36" s="1"/>
  <c r="B33" i="41"/>
  <c r="B33" i="40"/>
  <c r="D92" i="17"/>
  <c r="E13" i="36" s="1"/>
  <c r="B33" i="42"/>
  <c r="L92" i="17"/>
  <c r="L17" i="5" s="1"/>
  <c r="R17" i="5" s="1"/>
  <c r="G56" i="40"/>
  <c r="G77" i="40"/>
  <c r="D17" i="39" s="1"/>
  <c r="J51" i="42"/>
  <c r="F49" i="41"/>
  <c r="L53" i="42"/>
  <c r="G54" i="40"/>
  <c r="G75" i="40"/>
  <c r="D15" i="39" s="1"/>
  <c r="G54" i="41"/>
  <c r="G75" i="41"/>
  <c r="D16" i="44" s="1"/>
  <c r="H76" i="40"/>
  <c r="F16" i="39" s="1"/>
  <c r="D57" i="40"/>
  <c r="L57" i="41"/>
  <c r="H52" i="42"/>
  <c r="C52" i="40"/>
  <c r="D49" i="42"/>
  <c r="F55" i="40"/>
  <c r="L50" i="42"/>
  <c r="H57" i="42"/>
  <c r="H78" i="42"/>
  <c r="F19" i="45" s="1"/>
  <c r="U19" i="45" s="1"/>
  <c r="G49" i="42"/>
  <c r="I70" i="42" s="1"/>
  <c r="G70" i="42"/>
  <c r="H73" i="42"/>
  <c r="F14" i="45" s="1"/>
  <c r="U14" i="45" s="1"/>
  <c r="M53" i="42"/>
  <c r="D53" i="40"/>
  <c r="H77" i="41"/>
  <c r="F18" i="44" s="1"/>
  <c r="U18" i="44" s="1"/>
  <c r="I51" i="42"/>
  <c r="K55" i="42"/>
  <c r="F51" i="42"/>
  <c r="D50" i="41"/>
  <c r="K51" i="42"/>
  <c r="G74" i="42"/>
  <c r="D15" i="45" s="1"/>
  <c r="G53" i="42"/>
  <c r="E49" i="41"/>
  <c r="H70" i="40"/>
  <c r="G52" i="40"/>
  <c r="G73" i="40"/>
  <c r="D13" i="39" s="1"/>
  <c r="G73" i="42"/>
  <c r="D14" i="45" s="1"/>
  <c r="G52" i="42"/>
  <c r="K57" i="42"/>
  <c r="M55" i="40"/>
  <c r="E57" i="41"/>
  <c r="K14" i="42"/>
  <c r="K14" i="41"/>
  <c r="K14" i="40"/>
  <c r="K71" i="17"/>
  <c r="B16" i="42"/>
  <c r="B16" i="40"/>
  <c r="B16" i="41"/>
  <c r="C94" i="17"/>
  <c r="C15" i="36" s="1"/>
  <c r="B73" i="17"/>
  <c r="E32" i="42"/>
  <c r="E32" i="41"/>
  <c r="E32" i="40"/>
  <c r="D72" i="40" s="1"/>
  <c r="E12" i="39" s="1"/>
  <c r="D91" i="17"/>
  <c r="E12" i="36" s="1"/>
  <c r="H71" i="42"/>
  <c r="F12" i="45" s="1"/>
  <c r="U12" i="45" s="1"/>
  <c r="F54" i="41"/>
  <c r="E56" i="42"/>
  <c r="C50" i="40"/>
  <c r="G55" i="42"/>
  <c r="I76" i="42" s="1"/>
  <c r="G76" i="42"/>
  <c r="D17" i="45" s="1"/>
  <c r="G57" i="40"/>
  <c r="G78" i="40"/>
  <c r="D18" i="39" s="1"/>
  <c r="C38" i="41"/>
  <c r="C38" i="42"/>
  <c r="C38" i="40"/>
  <c r="D97" i="17"/>
  <c r="E18" i="36" s="1"/>
  <c r="L97" i="17"/>
  <c r="L22" i="5" s="1"/>
  <c r="R22" i="5" s="1"/>
  <c r="C72" i="17"/>
  <c r="C15" i="40"/>
  <c r="C15" i="41"/>
  <c r="C15" i="42"/>
  <c r="K93" i="17"/>
  <c r="Q18" i="5" s="1"/>
  <c r="C93" i="17"/>
  <c r="C14" i="36" s="1"/>
  <c r="B14" i="41"/>
  <c r="C92" i="17"/>
  <c r="C13" i="36" s="1"/>
  <c r="B71" i="17"/>
  <c r="K92" i="17"/>
  <c r="Q17" i="5" s="1"/>
  <c r="B14" i="42"/>
  <c r="B14" i="40"/>
  <c r="I96" i="17"/>
  <c r="D52" i="42"/>
  <c r="J51" i="41"/>
  <c r="H54" i="40"/>
  <c r="F49" i="42"/>
  <c r="J55" i="41"/>
  <c r="L53" i="40"/>
  <c r="G51" i="42"/>
  <c r="G72" i="42"/>
  <c r="D13" i="45" s="1"/>
  <c r="G75" i="42"/>
  <c r="D16" i="45" s="1"/>
  <c r="G54" i="42"/>
  <c r="H76" i="41"/>
  <c r="F17" i="44" s="1"/>
  <c r="U17" i="44" s="1"/>
  <c r="D57" i="41"/>
  <c r="L57" i="40"/>
  <c r="I56" i="41"/>
  <c r="H52" i="40"/>
  <c r="F55" i="42"/>
  <c r="L50" i="40"/>
  <c r="H73" i="41"/>
  <c r="F14" i="44" s="1"/>
  <c r="U14" i="44" s="1"/>
  <c r="M53" i="41"/>
  <c r="D53" i="41"/>
  <c r="G50" i="42"/>
  <c r="G71" i="42"/>
  <c r="D12" i="45" s="1"/>
  <c r="H77" i="42"/>
  <c r="F18" i="45" s="1"/>
  <c r="U18" i="45" s="1"/>
  <c r="K55" i="41"/>
  <c r="F51" i="41"/>
  <c r="F53" i="42"/>
  <c r="M56" i="42"/>
  <c r="D50" i="40"/>
  <c r="E53" i="40"/>
  <c r="K51" i="40"/>
  <c r="G53" i="40"/>
  <c r="G74" i="40"/>
  <c r="D14" i="39" s="1"/>
  <c r="E49" i="42"/>
  <c r="H70" i="42"/>
  <c r="I92" i="17"/>
  <c r="K57" i="40"/>
  <c r="D51" i="41"/>
  <c r="E57" i="42"/>
  <c r="B69" i="17"/>
  <c r="C90" i="17"/>
  <c r="C11" i="36" s="1"/>
  <c r="B12" i="42"/>
  <c r="B12" i="40"/>
  <c r="B12" i="41"/>
  <c r="K90" i="17"/>
  <c r="Q15" i="5" s="1"/>
  <c r="C36" i="42"/>
  <c r="C36" i="41"/>
  <c r="C36" i="40"/>
  <c r="D95" i="17"/>
  <c r="E16" i="36" s="1"/>
  <c r="L95" i="17"/>
  <c r="L20" i="5" s="1"/>
  <c r="R20" i="5" s="1"/>
  <c r="I50" i="41"/>
  <c r="F54" i="40"/>
  <c r="D56" i="42"/>
  <c r="H74" i="41"/>
  <c r="F15" i="44" s="1"/>
  <c r="U15" i="44" s="1"/>
  <c r="E56" i="40"/>
  <c r="M49" i="40"/>
  <c r="C50" i="42"/>
  <c r="M57" i="41"/>
  <c r="G57" i="41"/>
  <c r="G78" i="41"/>
  <c r="D19" i="44" s="1"/>
  <c r="B68" i="17"/>
  <c r="K89" i="17"/>
  <c r="Q14" i="5" s="1"/>
  <c r="B11" i="41"/>
  <c r="B11" i="40"/>
  <c r="B11" i="42"/>
  <c r="C89" i="17"/>
  <c r="B18" i="42"/>
  <c r="B18" i="40"/>
  <c r="B18" i="41"/>
  <c r="C96" i="17"/>
  <c r="C17" i="36" s="1"/>
  <c r="B75" i="17"/>
  <c r="K96" i="17"/>
  <c r="Q21" i="5" s="1"/>
  <c r="G56" i="41"/>
  <c r="G77" i="41"/>
  <c r="D18" i="44" s="1"/>
  <c r="G56" i="42"/>
  <c r="G77" i="42"/>
  <c r="D18" i="45" s="1"/>
  <c r="D52" i="41"/>
  <c r="J51" i="40"/>
  <c r="H54" i="42"/>
  <c r="J55" i="40"/>
  <c r="H77" i="40"/>
  <c r="F17" i="39" s="1"/>
  <c r="G51" i="41"/>
  <c r="G72" i="41"/>
  <c r="D13" i="44" s="1"/>
  <c r="I94" i="17"/>
  <c r="H76" i="42"/>
  <c r="F17" i="45" s="1"/>
  <c r="U17" i="45" s="1"/>
  <c r="I56" i="42"/>
  <c r="H52" i="41"/>
  <c r="C52" i="42"/>
  <c r="D49" i="41"/>
  <c r="L50" i="41"/>
  <c r="H57" i="41"/>
  <c r="H78" i="41"/>
  <c r="F19" i="44" s="1"/>
  <c r="U19" i="44" s="1"/>
  <c r="G49" i="40"/>
  <c r="G70" i="40"/>
  <c r="M53" i="40"/>
  <c r="I90" i="17"/>
  <c r="G71" i="40"/>
  <c r="D11" i="39" s="1"/>
  <c r="G50" i="40"/>
  <c r="I51" i="40"/>
  <c r="F53" i="41"/>
  <c r="M56" i="41"/>
  <c r="D50" i="42"/>
  <c r="E53" i="41"/>
  <c r="G53" i="41"/>
  <c r="G74" i="41"/>
  <c r="D15" i="44" s="1"/>
  <c r="G52" i="41"/>
  <c r="G73" i="41"/>
  <c r="D14" i="44" s="1"/>
  <c r="D51" i="42"/>
  <c r="M55" i="41"/>
  <c r="E57" i="40"/>
  <c r="B31" i="41"/>
  <c r="B31" i="40"/>
  <c r="B31" i="42"/>
  <c r="D90" i="17"/>
  <c r="E11" i="36" s="1"/>
  <c r="L90" i="17"/>
  <c r="L15" i="5" s="1"/>
  <c r="R15" i="5" s="1"/>
  <c r="C17" i="40"/>
  <c r="C17" i="41"/>
  <c r="C17" i="42"/>
  <c r="C74" i="17"/>
  <c r="K95" i="17"/>
  <c r="Q20" i="5" s="1"/>
  <c r="C95" i="17"/>
  <c r="C16" i="36" s="1"/>
  <c r="C19" i="13" s="1"/>
  <c r="H71" i="40"/>
  <c r="F11" i="39" s="1"/>
  <c r="I50" i="40"/>
  <c r="D56" i="41"/>
  <c r="H74" i="40"/>
  <c r="F14" i="39" s="1"/>
  <c r="E56" i="41"/>
  <c r="M49" i="41"/>
  <c r="C50" i="41"/>
  <c r="M57" i="40"/>
  <c r="Y16" i="5"/>
  <c r="AB16" i="5" s="1"/>
  <c r="AG16" i="5"/>
  <c r="AJ16" i="5" s="1"/>
  <c r="T16" i="5"/>
  <c r="AO16" i="5"/>
  <c r="AR16" i="5" s="1"/>
  <c r="E19" i="13" l="1"/>
  <c r="F10" i="39"/>
  <c r="D10" i="39"/>
  <c r="F11" i="45"/>
  <c r="U11" i="45" s="1"/>
  <c r="U10" i="45"/>
  <c r="D11" i="45"/>
  <c r="D11" i="44"/>
  <c r="O11" i="44" s="1"/>
  <c r="F11" i="44"/>
  <c r="U11" i="44" s="1"/>
  <c r="U10" i="44"/>
  <c r="E10" i="36"/>
  <c r="C10" i="36"/>
  <c r="C12" i="13"/>
  <c r="E12" i="13" s="1"/>
  <c r="I70" i="41"/>
  <c r="C16" i="13"/>
  <c r="I73" i="41"/>
  <c r="I71" i="42"/>
  <c r="I77" i="40"/>
  <c r="I69" i="40"/>
  <c r="M69" i="40"/>
  <c r="M69" i="41"/>
  <c r="I69" i="41"/>
  <c r="E69" i="41"/>
  <c r="I77" i="41"/>
  <c r="E69" i="40"/>
  <c r="I70" i="40"/>
  <c r="I72" i="41"/>
  <c r="C20" i="13"/>
  <c r="I74" i="42"/>
  <c r="I74" i="40"/>
  <c r="I72" i="42"/>
  <c r="K52" i="41"/>
  <c r="I78" i="40"/>
  <c r="I74" i="41"/>
  <c r="C17" i="13"/>
  <c r="K52" i="42"/>
  <c r="I73" i="42"/>
  <c r="I75" i="40"/>
  <c r="I71" i="40"/>
  <c r="I71" i="41"/>
  <c r="C14" i="13"/>
  <c r="L71" i="42"/>
  <c r="D71" i="42"/>
  <c r="E12" i="45" s="1"/>
  <c r="R12" i="45" s="1"/>
  <c r="B56" i="40"/>
  <c r="C77" i="40"/>
  <c r="C17" i="39" s="1"/>
  <c r="K77" i="40"/>
  <c r="K73" i="40"/>
  <c r="B52" i="40"/>
  <c r="C73" i="40"/>
  <c r="C13" i="39" s="1"/>
  <c r="Y22" i="5"/>
  <c r="AB22" i="5" s="1"/>
  <c r="AG22" i="5"/>
  <c r="AJ22" i="5" s="1"/>
  <c r="T22" i="5"/>
  <c r="AO22" i="5"/>
  <c r="AR22" i="5" s="1"/>
  <c r="L72" i="42"/>
  <c r="D72" i="42"/>
  <c r="E13" i="45" s="1"/>
  <c r="R13" i="45" s="1"/>
  <c r="B54" i="40"/>
  <c r="K75" i="40"/>
  <c r="C75" i="40"/>
  <c r="C15" i="39" s="1"/>
  <c r="D73" i="41"/>
  <c r="E14" i="44" s="1"/>
  <c r="R14" i="44" s="1"/>
  <c r="L73" i="41"/>
  <c r="E97" i="17"/>
  <c r="M97" i="17"/>
  <c r="M95" i="17"/>
  <c r="E95" i="17"/>
  <c r="C55" i="42"/>
  <c r="C76" i="42"/>
  <c r="C17" i="45" s="1"/>
  <c r="L17" i="45" s="1"/>
  <c r="K76" i="42"/>
  <c r="O14" i="44"/>
  <c r="C77" i="41"/>
  <c r="C18" i="44" s="1"/>
  <c r="L18" i="44" s="1"/>
  <c r="K77" i="41"/>
  <c r="B56" i="41"/>
  <c r="B49" i="42"/>
  <c r="K70" i="42"/>
  <c r="C70" i="42"/>
  <c r="M89" i="17"/>
  <c r="E89" i="17"/>
  <c r="Y20" i="5"/>
  <c r="AB20" i="5" s="1"/>
  <c r="T20" i="5"/>
  <c r="AO20" i="5"/>
  <c r="AR20" i="5" s="1"/>
  <c r="AG20" i="5"/>
  <c r="AJ20" i="5" s="1"/>
  <c r="L76" i="42"/>
  <c r="D76" i="42"/>
  <c r="E17" i="45" s="1"/>
  <c r="R17" i="45" s="1"/>
  <c r="C71" i="42"/>
  <c r="C12" i="45" s="1"/>
  <c r="L12" i="45" s="1"/>
  <c r="B50" i="42"/>
  <c r="K71" i="42"/>
  <c r="I75" i="42"/>
  <c r="E92" i="17"/>
  <c r="M92" i="17"/>
  <c r="X18" i="5"/>
  <c r="AA18" i="5" s="1"/>
  <c r="AF18" i="5"/>
  <c r="AI18" i="5" s="1"/>
  <c r="AN18" i="5"/>
  <c r="AQ18" i="5" s="1"/>
  <c r="S18" i="5"/>
  <c r="E93" i="17"/>
  <c r="M93" i="17"/>
  <c r="D78" i="42"/>
  <c r="E19" i="45" s="1"/>
  <c r="R19" i="45" s="1"/>
  <c r="L78" i="42"/>
  <c r="O17" i="45"/>
  <c r="L19" i="13"/>
  <c r="D72" i="41"/>
  <c r="E13" i="44" s="1"/>
  <c r="R13" i="44" s="1"/>
  <c r="L72" i="41"/>
  <c r="B54" i="41"/>
  <c r="K75" i="41"/>
  <c r="C75" i="41"/>
  <c r="C16" i="44" s="1"/>
  <c r="L16" i="44" s="1"/>
  <c r="K52" i="40"/>
  <c r="O14" i="45"/>
  <c r="L73" i="40"/>
  <c r="D73" i="40"/>
  <c r="E13" i="39" s="1"/>
  <c r="D74" i="42"/>
  <c r="E15" i="45" s="1"/>
  <c r="R15" i="45" s="1"/>
  <c r="L74" i="42"/>
  <c r="C21" i="13"/>
  <c r="C57" i="42"/>
  <c r="K78" i="42"/>
  <c r="C78" i="42"/>
  <c r="C19" i="45" s="1"/>
  <c r="L19" i="45" s="1"/>
  <c r="I76" i="41"/>
  <c r="E91" i="17"/>
  <c r="M91" i="17"/>
  <c r="Y19" i="5"/>
  <c r="AB19" i="5" s="1"/>
  <c r="AG19" i="5"/>
  <c r="AJ19" i="5" s="1"/>
  <c r="AO19" i="5"/>
  <c r="AR19" i="5" s="1"/>
  <c r="T19" i="5"/>
  <c r="D75" i="42"/>
  <c r="E16" i="45" s="1"/>
  <c r="R16" i="45" s="1"/>
  <c r="L75" i="42"/>
  <c r="O12" i="44"/>
  <c r="I72" i="40"/>
  <c r="D77" i="42"/>
  <c r="E18" i="45" s="1"/>
  <c r="R18" i="45" s="1"/>
  <c r="L77" i="42"/>
  <c r="O18" i="45"/>
  <c r="O19" i="44"/>
  <c r="X15" i="5"/>
  <c r="AA15" i="5" s="1"/>
  <c r="S15" i="5"/>
  <c r="AN15" i="5"/>
  <c r="AQ15" i="5" s="1"/>
  <c r="AF15" i="5"/>
  <c r="AI15" i="5" s="1"/>
  <c r="O12" i="45"/>
  <c r="O16" i="45"/>
  <c r="C53" i="42"/>
  <c r="C74" i="42"/>
  <c r="C15" i="45" s="1"/>
  <c r="L15" i="45" s="1"/>
  <c r="K74" i="42"/>
  <c r="L78" i="41"/>
  <c r="D78" i="41"/>
  <c r="E19" i="44" s="1"/>
  <c r="R19" i="44" s="1"/>
  <c r="O19" i="45"/>
  <c r="E51" i="42"/>
  <c r="M72" i="42" s="1"/>
  <c r="L75" i="40"/>
  <c r="D75" i="40"/>
  <c r="E15" i="39" s="1"/>
  <c r="D77" i="40"/>
  <c r="E17" i="39" s="1"/>
  <c r="L77" i="40"/>
  <c r="D70" i="42"/>
  <c r="L70" i="42"/>
  <c r="L70" i="40"/>
  <c r="D70" i="40"/>
  <c r="X20" i="5"/>
  <c r="AA20" i="5" s="1"/>
  <c r="AF20" i="5"/>
  <c r="AI20" i="5" s="1"/>
  <c r="AN20" i="5"/>
  <c r="AQ20" i="5" s="1"/>
  <c r="S20" i="5"/>
  <c r="C55" i="40"/>
  <c r="K76" i="40"/>
  <c r="C76" i="40"/>
  <c r="C16" i="39" s="1"/>
  <c r="L71" i="40"/>
  <c r="D71" i="40"/>
  <c r="E11" i="39" s="1"/>
  <c r="O13" i="44"/>
  <c r="I77" i="42"/>
  <c r="M96" i="17"/>
  <c r="E96" i="17"/>
  <c r="C77" i="42"/>
  <c r="C18" i="45" s="1"/>
  <c r="L18" i="45" s="1"/>
  <c r="K77" i="42"/>
  <c r="B56" i="42"/>
  <c r="B49" i="41"/>
  <c r="C70" i="41"/>
  <c r="K70" i="41"/>
  <c r="I78" i="41"/>
  <c r="L76" i="40"/>
  <c r="D76" i="40"/>
  <c r="E16" i="39" s="1"/>
  <c r="B50" i="41"/>
  <c r="C71" i="41"/>
  <c r="C12" i="44" s="1"/>
  <c r="L12" i="44" s="1"/>
  <c r="K71" i="41"/>
  <c r="E90" i="17"/>
  <c r="M90" i="17"/>
  <c r="O13" i="45"/>
  <c r="C73" i="42"/>
  <c r="C14" i="45" s="1"/>
  <c r="L14" i="45" s="1"/>
  <c r="B52" i="42"/>
  <c r="K73" i="42"/>
  <c r="C73" i="41"/>
  <c r="C14" i="44" s="1"/>
  <c r="L14" i="44" s="1"/>
  <c r="K73" i="41"/>
  <c r="B52" i="41"/>
  <c r="C53" i="41"/>
  <c r="K74" i="41"/>
  <c r="C74" i="41"/>
  <c r="C15" i="44" s="1"/>
  <c r="L15" i="44" s="1"/>
  <c r="M94" i="17"/>
  <c r="E94" i="17"/>
  <c r="B54" i="42"/>
  <c r="K75" i="42"/>
  <c r="C75" i="42"/>
  <c r="C16" i="45" s="1"/>
  <c r="L16" i="45" s="1"/>
  <c r="I73" i="40"/>
  <c r="O15" i="45"/>
  <c r="O11" i="45"/>
  <c r="O16" i="44"/>
  <c r="L73" i="42"/>
  <c r="D73" i="42"/>
  <c r="E14" i="45" s="1"/>
  <c r="R14" i="45" s="1"/>
  <c r="D74" i="41"/>
  <c r="E15" i="44" s="1"/>
  <c r="R15" i="44" s="1"/>
  <c r="L74" i="41"/>
  <c r="C57" i="40"/>
  <c r="C78" i="40"/>
  <c r="C18" i="39" s="1"/>
  <c r="K78" i="40"/>
  <c r="I78" i="42"/>
  <c r="S16" i="5"/>
  <c r="X16" i="5"/>
  <c r="AA16" i="5" s="1"/>
  <c r="AN16" i="5"/>
  <c r="AQ16" i="5" s="1"/>
  <c r="AF16" i="5"/>
  <c r="AI16" i="5" s="1"/>
  <c r="E51" i="41"/>
  <c r="M72" i="41" s="1"/>
  <c r="K72" i="41"/>
  <c r="C72" i="41"/>
  <c r="C13" i="44" s="1"/>
  <c r="L13" i="44" s="1"/>
  <c r="D75" i="41"/>
  <c r="E16" i="44" s="1"/>
  <c r="R16" i="44" s="1"/>
  <c r="L75" i="41"/>
  <c r="L77" i="41"/>
  <c r="D77" i="41"/>
  <c r="E18" i="44" s="1"/>
  <c r="R18" i="44" s="1"/>
  <c r="AG14" i="5"/>
  <c r="AJ14" i="5" s="1"/>
  <c r="Y14" i="5"/>
  <c r="AB14" i="5" s="1"/>
  <c r="AO14" i="5"/>
  <c r="AR14" i="5" s="1"/>
  <c r="T14" i="5"/>
  <c r="C72" i="42"/>
  <c r="C13" i="45" s="1"/>
  <c r="L13" i="45" s="1"/>
  <c r="C55" i="41"/>
  <c r="K76" i="41"/>
  <c r="C76" i="41"/>
  <c r="C17" i="44" s="1"/>
  <c r="L17" i="44" s="1"/>
  <c r="S21" i="5"/>
  <c r="AF21" i="5"/>
  <c r="AI21" i="5" s="1"/>
  <c r="X21" i="5"/>
  <c r="AA21" i="5" s="1"/>
  <c r="AN21" i="5"/>
  <c r="AQ21" i="5" s="1"/>
  <c r="B49" i="40"/>
  <c r="C70" i="40"/>
  <c r="F12" i="13" s="1"/>
  <c r="H12" i="13" s="1"/>
  <c r="K70" i="40"/>
  <c r="AG17" i="5"/>
  <c r="AJ17" i="5" s="1"/>
  <c r="Y17" i="5"/>
  <c r="AB17" i="5" s="1"/>
  <c r="AO17" i="5"/>
  <c r="AR17" i="5" s="1"/>
  <c r="T17" i="5"/>
  <c r="D74" i="40"/>
  <c r="E14" i="39" s="1"/>
  <c r="L74" i="40"/>
  <c r="T15" i="5"/>
  <c r="Y15" i="5"/>
  <c r="AB15" i="5" s="1"/>
  <c r="AG15" i="5"/>
  <c r="AJ15" i="5" s="1"/>
  <c r="AO15" i="5"/>
  <c r="AR15" i="5" s="1"/>
  <c r="D71" i="41"/>
  <c r="E12" i="44" s="1"/>
  <c r="R12" i="44" s="1"/>
  <c r="L71" i="41"/>
  <c r="O15" i="44"/>
  <c r="O18" i="44"/>
  <c r="AF14" i="5"/>
  <c r="AI14" i="5" s="1"/>
  <c r="S14" i="5"/>
  <c r="AN14" i="5"/>
  <c r="AQ14" i="5" s="1"/>
  <c r="X14" i="5"/>
  <c r="AA14" i="5" s="1"/>
  <c r="D76" i="41"/>
  <c r="E17" i="44" s="1"/>
  <c r="R17" i="44" s="1"/>
  <c r="L76" i="41"/>
  <c r="C71" i="40"/>
  <c r="C11" i="39" s="1"/>
  <c r="B50" i="40"/>
  <c r="K71" i="40"/>
  <c r="AF17" i="5"/>
  <c r="AI17" i="5" s="1"/>
  <c r="S17" i="5"/>
  <c r="X17" i="5"/>
  <c r="AA17" i="5" s="1"/>
  <c r="AN17" i="5"/>
  <c r="AQ17" i="5" s="1"/>
  <c r="C53" i="40"/>
  <c r="K74" i="40"/>
  <c r="C74" i="40"/>
  <c r="C14" i="39" s="1"/>
  <c r="L78" i="40"/>
  <c r="D78" i="40"/>
  <c r="E18" i="39" s="1"/>
  <c r="I75" i="41"/>
  <c r="AG18" i="5"/>
  <c r="AJ18" i="5" s="1"/>
  <c r="T18" i="5"/>
  <c r="AO18" i="5"/>
  <c r="AR18" i="5" s="1"/>
  <c r="Y18" i="5"/>
  <c r="AB18" i="5" s="1"/>
  <c r="AN22" i="5"/>
  <c r="AQ22" i="5" s="1"/>
  <c r="AF22" i="5"/>
  <c r="AI22" i="5" s="1"/>
  <c r="S22" i="5"/>
  <c r="X22" i="5"/>
  <c r="AA22" i="5" s="1"/>
  <c r="C57" i="41"/>
  <c r="K78" i="41"/>
  <c r="C78" i="41"/>
  <c r="C19" i="44" s="1"/>
  <c r="L19" i="44" s="1"/>
  <c r="O17" i="44"/>
  <c r="L72" i="40"/>
  <c r="C15" i="13"/>
  <c r="E51" i="40"/>
  <c r="C72" i="40"/>
  <c r="C12" i="39" s="1"/>
  <c r="F15" i="13" s="1"/>
  <c r="K72" i="40"/>
  <c r="C18" i="13"/>
  <c r="T21" i="5"/>
  <c r="Y21" i="5"/>
  <c r="AB21" i="5" s="1"/>
  <c r="AG21" i="5"/>
  <c r="AJ21" i="5" s="1"/>
  <c r="AO21" i="5"/>
  <c r="AR21" i="5" s="1"/>
  <c r="D70" i="41"/>
  <c r="L70" i="41"/>
  <c r="I76" i="40"/>
  <c r="E18" i="13" l="1"/>
  <c r="E20" i="13"/>
  <c r="E17" i="13"/>
  <c r="E16" i="13"/>
  <c r="E21" i="13"/>
  <c r="N19" i="13"/>
  <c r="E14" i="13"/>
  <c r="C13" i="13"/>
  <c r="L17" i="13"/>
  <c r="C10" i="39"/>
  <c r="E10" i="39"/>
  <c r="O10" i="45"/>
  <c r="C11" i="45"/>
  <c r="L10" i="45"/>
  <c r="E11" i="45"/>
  <c r="R11" i="45" s="1"/>
  <c r="R10" i="45"/>
  <c r="O10" i="44"/>
  <c r="E11" i="44"/>
  <c r="R11" i="44" s="1"/>
  <c r="R10" i="44"/>
  <c r="C11" i="44"/>
  <c r="L11" i="44" s="1"/>
  <c r="L10" i="44"/>
  <c r="L21" i="13"/>
  <c r="I19" i="13"/>
  <c r="F16" i="13"/>
  <c r="F19" i="13"/>
  <c r="L14" i="13"/>
  <c r="F21" i="13"/>
  <c r="L18" i="13"/>
  <c r="I21" i="13"/>
  <c r="F17" i="13"/>
  <c r="F20" i="13"/>
  <c r="E72" i="42"/>
  <c r="H15" i="13"/>
  <c r="E73" i="41"/>
  <c r="M73" i="41"/>
  <c r="E71" i="41"/>
  <c r="M71" i="41"/>
  <c r="I14" i="13"/>
  <c r="I17" i="13"/>
  <c r="M75" i="42"/>
  <c r="E75" i="42"/>
  <c r="I15" i="13"/>
  <c r="M78" i="42"/>
  <c r="E78" i="42"/>
  <c r="E71" i="42"/>
  <c r="M71" i="42"/>
  <c r="M70" i="42"/>
  <c r="E70" i="42"/>
  <c r="I16" i="13"/>
  <c r="F18" i="13"/>
  <c r="M77" i="40"/>
  <c r="E77" i="40"/>
  <c r="E73" i="42"/>
  <c r="M73" i="42"/>
  <c r="E15" i="13"/>
  <c r="M74" i="40"/>
  <c r="E74" i="40"/>
  <c r="M71" i="40"/>
  <c r="E71" i="40"/>
  <c r="E70" i="40"/>
  <c r="M70" i="40"/>
  <c r="M76" i="41"/>
  <c r="E76" i="41"/>
  <c r="E78" i="40"/>
  <c r="M78" i="40"/>
  <c r="L15" i="13"/>
  <c r="E70" i="41"/>
  <c r="M70" i="41"/>
  <c r="N14" i="13"/>
  <c r="L20" i="13"/>
  <c r="E77" i="41"/>
  <c r="M77" i="41"/>
  <c r="M76" i="42"/>
  <c r="E76" i="42"/>
  <c r="M72" i="40"/>
  <c r="E72" i="40"/>
  <c r="M78" i="41"/>
  <c r="E78" i="41"/>
  <c r="E75" i="41"/>
  <c r="M75" i="41"/>
  <c r="I20" i="13"/>
  <c r="I18" i="13"/>
  <c r="E74" i="41"/>
  <c r="M74" i="41"/>
  <c r="M77" i="42"/>
  <c r="E77" i="42"/>
  <c r="F14" i="13"/>
  <c r="M76" i="40"/>
  <c r="E76" i="40"/>
  <c r="M74" i="42"/>
  <c r="E74" i="42"/>
  <c r="L16" i="13"/>
  <c r="L11" i="45"/>
  <c r="M75" i="40"/>
  <c r="E75" i="40"/>
  <c r="E73" i="40"/>
  <c r="M73" i="40"/>
  <c r="E72" i="41"/>
  <c r="E13" i="13" l="1"/>
  <c r="N16" i="13"/>
  <c r="K16" i="13"/>
  <c r="K21" i="13"/>
  <c r="H19" i="13"/>
  <c r="N17" i="13"/>
  <c r="N20" i="13"/>
  <c r="N18" i="13"/>
  <c r="H16" i="13"/>
  <c r="K18" i="13"/>
  <c r="K17" i="13"/>
  <c r="H20" i="13"/>
  <c r="H21" i="13"/>
  <c r="K19" i="13"/>
  <c r="K20" i="13"/>
  <c r="H18" i="13"/>
  <c r="H17" i="13"/>
  <c r="N21" i="13"/>
  <c r="F13" i="13"/>
  <c r="L13" i="13"/>
  <c r="I13" i="13"/>
  <c r="L12" i="13"/>
  <c r="N12" i="13" s="1"/>
  <c r="I12" i="13"/>
  <c r="K12" i="13" s="1"/>
  <c r="H14" i="13"/>
  <c r="K15" i="13"/>
  <c r="K14" i="13"/>
  <c r="N15" i="13"/>
  <c r="H13" i="13" l="1"/>
  <c r="K13" i="13"/>
  <c r="N13" i="13"/>
  <c r="F58" i="17"/>
  <c r="D58" i="17"/>
  <c r="H59" i="17"/>
  <c r="G59" i="17"/>
  <c r="G58" i="17"/>
  <c r="L59" i="17"/>
  <c r="D59" i="17"/>
  <c r="C58" i="17"/>
  <c r="E58" i="17"/>
  <c r="M58" i="17"/>
  <c r="H58" i="17"/>
  <c r="M59" i="17"/>
  <c r="C59" i="17"/>
  <c r="K59" i="17"/>
  <c r="J59" i="17"/>
  <c r="E59" i="17"/>
  <c r="K58" i="17"/>
  <c r="I59" i="17"/>
  <c r="I58" i="17"/>
  <c r="J58" i="17"/>
  <c r="L58" i="17"/>
  <c r="F59" i="17"/>
  <c r="F40" i="17" l="1"/>
  <c r="J39" i="17"/>
  <c r="E40" i="17"/>
  <c r="M40" i="17"/>
  <c r="L40" i="17"/>
  <c r="D39" i="17"/>
  <c r="I39" i="17"/>
  <c r="J40" i="17"/>
  <c r="H39" i="17"/>
  <c r="E39" i="17"/>
  <c r="G39" i="17"/>
  <c r="H40" i="17"/>
  <c r="F39" i="17"/>
  <c r="I40" i="17"/>
  <c r="K40" i="17"/>
  <c r="M39" i="17"/>
  <c r="C39" i="17"/>
  <c r="G40" i="17"/>
  <c r="L39" i="17"/>
  <c r="K39" i="17"/>
  <c r="C40" i="17"/>
  <c r="D40" i="17"/>
  <c r="B59" i="17"/>
  <c r="B58" i="17"/>
  <c r="B39" i="17" l="1"/>
  <c r="D21" i="42"/>
  <c r="D78" i="17"/>
  <c r="D21" i="40"/>
  <c r="D21" i="41"/>
  <c r="K20" i="41"/>
  <c r="K20" i="40"/>
  <c r="K20" i="42"/>
  <c r="K77" i="17"/>
  <c r="G40" i="40"/>
  <c r="H99" i="17"/>
  <c r="F20" i="36" s="1"/>
  <c r="G40" i="42"/>
  <c r="G40" i="41"/>
  <c r="M77" i="17"/>
  <c r="M20" i="40"/>
  <c r="M20" i="42"/>
  <c r="M20" i="41"/>
  <c r="I40" i="40"/>
  <c r="I40" i="42"/>
  <c r="I40" i="41"/>
  <c r="H21" i="42"/>
  <c r="H21" i="40"/>
  <c r="H21" i="41"/>
  <c r="H78" i="17"/>
  <c r="E39" i="42"/>
  <c r="E39" i="41"/>
  <c r="E39" i="40"/>
  <c r="J40" i="42"/>
  <c r="J40" i="41"/>
  <c r="J40" i="40"/>
  <c r="D77" i="17"/>
  <c r="D20" i="42"/>
  <c r="D20" i="41"/>
  <c r="D20" i="40"/>
  <c r="M21" i="42"/>
  <c r="M21" i="41"/>
  <c r="M21" i="40"/>
  <c r="M78" i="17"/>
  <c r="J20" i="41"/>
  <c r="J20" i="42"/>
  <c r="J20" i="40"/>
  <c r="J77" i="17"/>
  <c r="D40" i="42"/>
  <c r="D40" i="40"/>
  <c r="D40" i="41"/>
  <c r="K39" i="40"/>
  <c r="K39" i="41"/>
  <c r="K39" i="42"/>
  <c r="G21" i="41"/>
  <c r="G21" i="42"/>
  <c r="G99" i="17"/>
  <c r="D20" i="36" s="1"/>
  <c r="G78" i="17"/>
  <c r="G21" i="40"/>
  <c r="M39" i="41"/>
  <c r="M39" i="42"/>
  <c r="M39" i="40"/>
  <c r="I78" i="17"/>
  <c r="I21" i="42"/>
  <c r="I21" i="41"/>
  <c r="I21" i="40"/>
  <c r="H40" i="41"/>
  <c r="H40" i="40"/>
  <c r="H40" i="42"/>
  <c r="E20" i="40"/>
  <c r="E20" i="41"/>
  <c r="E20" i="42"/>
  <c r="E77" i="17"/>
  <c r="J21" i="41"/>
  <c r="J21" i="42"/>
  <c r="J78" i="17"/>
  <c r="J21" i="40"/>
  <c r="D39" i="41"/>
  <c r="D39" i="42"/>
  <c r="D39" i="40"/>
  <c r="M40" i="41"/>
  <c r="M40" i="40"/>
  <c r="M40" i="42"/>
  <c r="J39" i="40"/>
  <c r="J39" i="42"/>
  <c r="J39" i="41"/>
  <c r="B40" i="17"/>
  <c r="C21" i="41"/>
  <c r="C78" i="17"/>
  <c r="C21" i="40"/>
  <c r="C21" i="42"/>
  <c r="L20" i="42"/>
  <c r="L77" i="17"/>
  <c r="L20" i="41"/>
  <c r="L20" i="40"/>
  <c r="C39" i="41"/>
  <c r="C39" i="42"/>
  <c r="C39" i="40"/>
  <c r="K78" i="17"/>
  <c r="K21" i="40"/>
  <c r="K21" i="42"/>
  <c r="K21" i="41"/>
  <c r="F39" i="41"/>
  <c r="F39" i="42"/>
  <c r="F39" i="40"/>
  <c r="G77" i="17"/>
  <c r="G20" i="40"/>
  <c r="G20" i="42"/>
  <c r="G98" i="17"/>
  <c r="D19" i="36" s="1"/>
  <c r="G20" i="41"/>
  <c r="H20" i="41"/>
  <c r="H20" i="40"/>
  <c r="H20" i="42"/>
  <c r="H77" i="17"/>
  <c r="I20" i="41"/>
  <c r="I77" i="17"/>
  <c r="I20" i="40"/>
  <c r="I20" i="42"/>
  <c r="L21" i="40"/>
  <c r="L78" i="17"/>
  <c r="L21" i="41"/>
  <c r="L21" i="42"/>
  <c r="E78" i="17"/>
  <c r="E21" i="41"/>
  <c r="E21" i="40"/>
  <c r="E21" i="42"/>
  <c r="F78" i="17"/>
  <c r="F21" i="41"/>
  <c r="F21" i="42"/>
  <c r="F21" i="40"/>
  <c r="C40" i="41"/>
  <c r="C40" i="42"/>
  <c r="C40" i="40"/>
  <c r="L39" i="42"/>
  <c r="L39" i="41"/>
  <c r="L39" i="40"/>
  <c r="C20" i="40"/>
  <c r="C20" i="42"/>
  <c r="C77" i="17"/>
  <c r="C20" i="41"/>
  <c r="C58" i="41" s="1"/>
  <c r="K40" i="42"/>
  <c r="K40" i="40"/>
  <c r="K40" i="41"/>
  <c r="F77" i="17"/>
  <c r="F20" i="41"/>
  <c r="F20" i="40"/>
  <c r="F20" i="42"/>
  <c r="G39" i="42"/>
  <c r="G39" i="41"/>
  <c r="G39" i="40"/>
  <c r="H98" i="17"/>
  <c r="F19" i="36" s="1"/>
  <c r="H39" i="42"/>
  <c r="H39" i="41"/>
  <c r="H39" i="40"/>
  <c r="I39" i="42"/>
  <c r="I39" i="41"/>
  <c r="I39" i="40"/>
  <c r="L40" i="40"/>
  <c r="L40" i="41"/>
  <c r="L40" i="42"/>
  <c r="E40" i="42"/>
  <c r="E40" i="40"/>
  <c r="E40" i="41"/>
  <c r="F40" i="41"/>
  <c r="F40" i="42"/>
  <c r="F40" i="40"/>
  <c r="I59" i="41" l="1"/>
  <c r="J59" i="42"/>
  <c r="J59" i="40"/>
  <c r="E58" i="41"/>
  <c r="F58" i="41"/>
  <c r="I59" i="40"/>
  <c r="E59" i="41"/>
  <c r="C59" i="41"/>
  <c r="J58" i="41"/>
  <c r="M58" i="40"/>
  <c r="K58" i="40"/>
  <c r="F58" i="40"/>
  <c r="C58" i="42"/>
  <c r="E59" i="42"/>
  <c r="I58" i="42"/>
  <c r="K59" i="41"/>
  <c r="L58" i="41"/>
  <c r="C59" i="40"/>
  <c r="J58" i="40"/>
  <c r="M59" i="40"/>
  <c r="D58" i="41"/>
  <c r="M58" i="41"/>
  <c r="H79" i="42"/>
  <c r="F20" i="45" s="1"/>
  <c r="F59" i="41"/>
  <c r="H58" i="40"/>
  <c r="G58" i="42"/>
  <c r="G79" i="42"/>
  <c r="D20" i="45" s="1"/>
  <c r="K59" i="40"/>
  <c r="L58" i="42"/>
  <c r="M59" i="42"/>
  <c r="H59" i="41"/>
  <c r="F38" i="36"/>
  <c r="F37" i="36"/>
  <c r="F36" i="36"/>
  <c r="F58" i="42"/>
  <c r="L59" i="40"/>
  <c r="I58" i="41"/>
  <c r="H58" i="41"/>
  <c r="G58" i="40"/>
  <c r="G79" i="40"/>
  <c r="D19" i="39" s="1"/>
  <c r="L58" i="40"/>
  <c r="C59" i="42"/>
  <c r="C99" i="17"/>
  <c r="C20" i="36" s="1"/>
  <c r="B21" i="41"/>
  <c r="B21" i="40"/>
  <c r="B78" i="17"/>
  <c r="K99" i="17"/>
  <c r="Q24" i="5" s="1"/>
  <c r="B21" i="42"/>
  <c r="E58" i="42"/>
  <c r="I59" i="42"/>
  <c r="G59" i="42"/>
  <c r="G80" i="42"/>
  <c r="D21" i="45" s="1"/>
  <c r="D58" i="40"/>
  <c r="H59" i="40"/>
  <c r="H80" i="40"/>
  <c r="F20" i="39" s="1"/>
  <c r="K58" i="41"/>
  <c r="D59" i="42"/>
  <c r="H79" i="40"/>
  <c r="F19" i="39" s="1"/>
  <c r="F59" i="40"/>
  <c r="L59" i="42"/>
  <c r="G79" i="41"/>
  <c r="D20" i="44" s="1"/>
  <c r="G58" i="41"/>
  <c r="I98" i="17"/>
  <c r="L99" i="17"/>
  <c r="L24" i="5" s="1"/>
  <c r="R24" i="5" s="1"/>
  <c r="B40" i="42"/>
  <c r="D99" i="17"/>
  <c r="E20" i="36" s="1"/>
  <c r="B40" i="40"/>
  <c r="B40" i="41"/>
  <c r="G59" i="40"/>
  <c r="G80" i="40"/>
  <c r="D20" i="39" s="1"/>
  <c r="G80" i="41"/>
  <c r="D21" i="44" s="1"/>
  <c r="G59" i="41"/>
  <c r="H59" i="42"/>
  <c r="H80" i="41"/>
  <c r="F21" i="44" s="1"/>
  <c r="U21" i="44" s="1"/>
  <c r="D59" i="41"/>
  <c r="B77" i="17"/>
  <c r="B20" i="40"/>
  <c r="B20" i="42"/>
  <c r="K98" i="17"/>
  <c r="Q23" i="5" s="1"/>
  <c r="B20" i="41"/>
  <c r="C98" i="17"/>
  <c r="C19" i="36" s="1"/>
  <c r="H79" i="41"/>
  <c r="F20" i="44" s="1"/>
  <c r="C58" i="40"/>
  <c r="F59" i="42"/>
  <c r="E59" i="40"/>
  <c r="L59" i="41"/>
  <c r="I58" i="40"/>
  <c r="H58" i="42"/>
  <c r="K59" i="42"/>
  <c r="J59" i="41"/>
  <c r="E58" i="40"/>
  <c r="I99" i="17"/>
  <c r="J58" i="42"/>
  <c r="M59" i="41"/>
  <c r="D58" i="42"/>
  <c r="M58" i="42"/>
  <c r="H80" i="42"/>
  <c r="F21" i="45" s="1"/>
  <c r="U21" i="45" s="1"/>
  <c r="K58" i="42"/>
  <c r="D59" i="40"/>
  <c r="B39" i="42"/>
  <c r="B39" i="40"/>
  <c r="L98" i="17"/>
  <c r="L23" i="5" s="1"/>
  <c r="R23" i="5" s="1"/>
  <c r="D98" i="17"/>
  <c r="E19" i="36" s="1"/>
  <c r="B39" i="41"/>
  <c r="I80" i="40" l="1"/>
  <c r="C23" i="13"/>
  <c r="I79" i="42"/>
  <c r="AG23" i="5"/>
  <c r="AJ23" i="5" s="1"/>
  <c r="Y23" i="5"/>
  <c r="AB23" i="5" s="1"/>
  <c r="AO23" i="5"/>
  <c r="AR23" i="5" s="1"/>
  <c r="T23" i="5"/>
  <c r="C22" i="13"/>
  <c r="B58" i="40"/>
  <c r="C79" i="40"/>
  <c r="C19" i="39" s="1"/>
  <c r="K79" i="40"/>
  <c r="D80" i="42"/>
  <c r="E21" i="45" s="1"/>
  <c r="R21" i="45" s="1"/>
  <c r="L80" i="42"/>
  <c r="O20" i="44"/>
  <c r="C80" i="40"/>
  <c r="C20" i="39" s="1"/>
  <c r="K80" i="40"/>
  <c r="B59" i="40"/>
  <c r="D79" i="40"/>
  <c r="E19" i="39" s="1"/>
  <c r="L79" i="40"/>
  <c r="K79" i="41"/>
  <c r="C79" i="41"/>
  <c r="C20" i="44" s="1"/>
  <c r="B58" i="41"/>
  <c r="E98" i="17"/>
  <c r="M98" i="17"/>
  <c r="I80" i="41"/>
  <c r="D80" i="41"/>
  <c r="E21" i="44" s="1"/>
  <c r="R21" i="44" s="1"/>
  <c r="L80" i="41"/>
  <c r="AG24" i="5"/>
  <c r="AJ24" i="5" s="1"/>
  <c r="E23" i="44" s="1"/>
  <c r="AO24" i="5"/>
  <c r="AR24" i="5" s="1"/>
  <c r="E23" i="45" s="1"/>
  <c r="Y24" i="5"/>
  <c r="AB24" i="5" s="1"/>
  <c r="E22" i="39" s="1"/>
  <c r="F22" i="39" s="1"/>
  <c r="F36" i="39" s="1"/>
  <c r="T24" i="5"/>
  <c r="O21" i="45"/>
  <c r="K80" i="42"/>
  <c r="B59" i="42"/>
  <c r="C80" i="42"/>
  <c r="C21" i="45" s="1"/>
  <c r="L21" i="45" s="1"/>
  <c r="C80" i="41"/>
  <c r="C21" i="44" s="1"/>
  <c r="L21" i="44" s="1"/>
  <c r="B59" i="41"/>
  <c r="K80" i="41"/>
  <c r="D79" i="41"/>
  <c r="E20" i="44" s="1"/>
  <c r="L79" i="41"/>
  <c r="D79" i="42"/>
  <c r="E20" i="45" s="1"/>
  <c r="L79" i="42"/>
  <c r="AF23" i="5"/>
  <c r="AI23" i="5" s="1"/>
  <c r="X23" i="5"/>
  <c r="AA23" i="5" s="1"/>
  <c r="S23" i="5"/>
  <c r="AN23" i="5"/>
  <c r="AQ23" i="5" s="1"/>
  <c r="O21" i="44"/>
  <c r="D80" i="40"/>
  <c r="E20" i="39" s="1"/>
  <c r="L80" i="40"/>
  <c r="I80" i="42"/>
  <c r="X24" i="5"/>
  <c r="AA24" i="5" s="1"/>
  <c r="C22" i="39" s="1"/>
  <c r="D22" i="39" s="1"/>
  <c r="F25" i="13" s="1"/>
  <c r="AF24" i="5"/>
  <c r="AI24" i="5" s="1"/>
  <c r="C23" i="44" s="1"/>
  <c r="S24" i="5"/>
  <c r="C22" i="36" s="1"/>
  <c r="D22" i="36" s="1"/>
  <c r="AN24" i="5"/>
  <c r="AQ24" i="5" s="1"/>
  <c r="C23" i="45" s="1"/>
  <c r="I79" i="40"/>
  <c r="E37" i="36"/>
  <c r="E36" i="36"/>
  <c r="E38" i="36"/>
  <c r="U20" i="44"/>
  <c r="B58" i="42"/>
  <c r="C79" i="42"/>
  <c r="C20" i="45" s="1"/>
  <c r="K79" i="42"/>
  <c r="I79" i="41"/>
  <c r="M99" i="17"/>
  <c r="E99" i="17"/>
  <c r="O20" i="45"/>
  <c r="U20" i="45"/>
  <c r="H25" i="13" l="1"/>
  <c r="E23" i="13"/>
  <c r="F23" i="44"/>
  <c r="R23" i="44"/>
  <c r="R23" i="45"/>
  <c r="F23" i="45"/>
  <c r="F23" i="13"/>
  <c r="D23" i="44"/>
  <c r="L23" i="44"/>
  <c r="C37" i="36"/>
  <c r="L23" i="45"/>
  <c r="D23" i="45"/>
  <c r="D36" i="39"/>
  <c r="C38" i="36"/>
  <c r="C25" i="13"/>
  <c r="D36" i="36"/>
  <c r="D37" i="36"/>
  <c r="D38" i="36"/>
  <c r="C36" i="36"/>
  <c r="E36" i="39"/>
  <c r="I22" i="13"/>
  <c r="L20" i="45"/>
  <c r="C37" i="45"/>
  <c r="R20" i="44"/>
  <c r="E37" i="44"/>
  <c r="M80" i="41"/>
  <c r="E80" i="41"/>
  <c r="M79" i="42"/>
  <c r="E79" i="42"/>
  <c r="L23" i="13"/>
  <c r="R20" i="45"/>
  <c r="E37" i="45"/>
  <c r="F22" i="13"/>
  <c r="C36" i="39"/>
  <c r="M79" i="41"/>
  <c r="E79" i="41"/>
  <c r="L20" i="44"/>
  <c r="C37" i="44"/>
  <c r="M80" i="40"/>
  <c r="E80" i="40"/>
  <c r="L22" i="13"/>
  <c r="I23" i="13"/>
  <c r="M80" i="42"/>
  <c r="E80" i="42"/>
  <c r="E79" i="40"/>
  <c r="M79" i="40"/>
  <c r="E22" i="13"/>
  <c r="C40" i="13" l="1"/>
  <c r="C46" i="13"/>
  <c r="C43" i="13"/>
  <c r="K23" i="13"/>
  <c r="N23" i="13"/>
  <c r="E25" i="13"/>
  <c r="E46" i="13" s="1"/>
  <c r="H23" i="13"/>
  <c r="U23" i="45"/>
  <c r="F37" i="45"/>
  <c r="U23" i="44"/>
  <c r="F37" i="44"/>
  <c r="O23" i="45"/>
  <c r="L25" i="13"/>
  <c r="D37" i="45"/>
  <c r="O23" i="44"/>
  <c r="I25" i="13"/>
  <c r="D37" i="44"/>
  <c r="K22" i="13"/>
  <c r="N22" i="13"/>
  <c r="L38" i="44"/>
  <c r="M38" i="44" s="1"/>
  <c r="C42" i="44" s="1"/>
  <c r="L36" i="44"/>
  <c r="H22" i="13"/>
  <c r="F43" i="13"/>
  <c r="F40" i="13"/>
  <c r="F46" i="13"/>
  <c r="R38" i="44"/>
  <c r="S38" i="44" s="1"/>
  <c r="E42" i="44" s="1"/>
  <c r="R36" i="44"/>
  <c r="I40" i="13"/>
  <c r="R38" i="45"/>
  <c r="S38" i="45" s="1"/>
  <c r="S10" i="45" s="1"/>
  <c r="R36" i="45"/>
  <c r="L36" i="45"/>
  <c r="L38" i="45"/>
  <c r="M38" i="45" s="1"/>
  <c r="M10" i="45" s="1"/>
  <c r="E43" i="13" l="1"/>
  <c r="E40" i="13"/>
  <c r="N25" i="13"/>
  <c r="N43" i="13" s="1"/>
  <c r="K25" i="13"/>
  <c r="K43" i="13" s="1"/>
  <c r="U36" i="44"/>
  <c r="U38" i="44"/>
  <c r="V38" i="44" s="1"/>
  <c r="F42" i="44" s="1"/>
  <c r="U38" i="45"/>
  <c r="V38" i="45" s="1"/>
  <c r="V10" i="45" s="1"/>
  <c r="U36" i="45"/>
  <c r="L43" i="13"/>
  <c r="L40" i="13"/>
  <c r="I46" i="13"/>
  <c r="O36" i="45"/>
  <c r="O38" i="45"/>
  <c r="P38" i="45" s="1"/>
  <c r="P10" i="45" s="1"/>
  <c r="L46" i="13"/>
  <c r="O38" i="44"/>
  <c r="P38" i="44" s="1"/>
  <c r="D42" i="44" s="1"/>
  <c r="O36" i="44"/>
  <c r="I43" i="13"/>
  <c r="E42" i="45"/>
  <c r="S25" i="45"/>
  <c r="S26" i="45"/>
  <c r="S16" i="45"/>
  <c r="S20" i="45"/>
  <c r="S15" i="45"/>
  <c r="S17" i="45"/>
  <c r="S11" i="45"/>
  <c r="S27" i="45"/>
  <c r="S22" i="45"/>
  <c r="S19" i="45"/>
  <c r="S14" i="45"/>
  <c r="S23" i="45"/>
  <c r="S21" i="45"/>
  <c r="S18" i="45"/>
  <c r="S13" i="45"/>
  <c r="S28" i="45"/>
  <c r="S24" i="45"/>
  <c r="S12" i="45"/>
  <c r="M15" i="45"/>
  <c r="M18" i="45"/>
  <c r="M23" i="45"/>
  <c r="M25" i="45"/>
  <c r="M19" i="45"/>
  <c r="M20" i="45"/>
  <c r="M22" i="45"/>
  <c r="M28" i="45"/>
  <c r="M11" i="45"/>
  <c r="M12" i="45"/>
  <c r="C42" i="45"/>
  <c r="M16" i="45"/>
  <c r="M26" i="45"/>
  <c r="M24" i="45"/>
  <c r="M13" i="45"/>
  <c r="M17" i="45"/>
  <c r="M14" i="45"/>
  <c r="M21" i="45"/>
  <c r="M27" i="45"/>
  <c r="H46" i="13"/>
  <c r="H43" i="13"/>
  <c r="H40" i="13"/>
  <c r="N40" i="13"/>
  <c r="K46" i="13" l="1"/>
  <c r="K40" i="13"/>
  <c r="N46" i="13"/>
  <c r="V26" i="45"/>
  <c r="V18" i="45"/>
  <c r="V20" i="45"/>
  <c r="V25" i="45"/>
  <c r="V14" i="45"/>
  <c r="F42" i="45"/>
  <c r="V27" i="45"/>
  <c r="V11" i="45"/>
  <c r="V28" i="45"/>
  <c r="V23" i="45"/>
  <c r="V24" i="45"/>
  <c r="V21" i="45"/>
  <c r="V22" i="45"/>
  <c r="V16" i="45"/>
  <c r="V15" i="45"/>
  <c r="V13" i="45"/>
  <c r="V17" i="45"/>
  <c r="V12" i="45"/>
  <c r="V19" i="45"/>
  <c r="P17" i="45"/>
  <c r="P23" i="45"/>
  <c r="P14" i="45"/>
  <c r="P27" i="45"/>
  <c r="P26" i="45"/>
  <c r="P24" i="45"/>
  <c r="P20" i="45"/>
  <c r="P19" i="45"/>
  <c r="P25" i="45"/>
  <c r="P13" i="45"/>
  <c r="P12" i="45"/>
  <c r="P15" i="45"/>
  <c r="P21" i="45"/>
  <c r="D42" i="45"/>
  <c r="P28" i="45"/>
  <c r="P16" i="45"/>
  <c r="P11" i="45"/>
  <c r="P22" i="45"/>
  <c r="P18" i="45"/>
  <c r="S36" i="45"/>
  <c r="M36" i="45"/>
  <c r="V36" i="45" l="1"/>
  <c r="P36" i="45"/>
</calcChain>
</file>

<file path=xl/sharedStrings.xml><?xml version="1.0" encoding="utf-8"?>
<sst xmlns="http://schemas.openxmlformats.org/spreadsheetml/2006/main" count="891" uniqueCount="350">
  <si>
    <t>On-Peak Hours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</si>
  <si>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</si>
  <si>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</si>
  <si>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</si>
  <si>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</si>
  <si>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</si>
  <si>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</si>
  <si>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</si>
  <si>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</si>
  <si>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</si>
  <si>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</si>
  <si>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</si>
  <si>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</si>
  <si>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</si>
  <si>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</si>
  <si>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</si>
  <si>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</si>
  <si>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</si>
  <si>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</si>
  <si>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</si>
  <si>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</si>
  <si>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</si>
  <si>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</si>
  <si>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</si>
  <si>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</si>
  <si>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</si>
  <si>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</si>
  <si>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</si>
  <si>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</si>
  <si>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(f)</t>
  </si>
  <si>
    <t>Fuel Cost</t>
  </si>
  <si>
    <t>Table 3</t>
  </si>
  <si>
    <t>Table 4</t>
  </si>
  <si>
    <t>Table 7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</si>
  <si>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</si>
  <si>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</si>
  <si>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</si>
  <si>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</si>
  <si>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</si>
  <si>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</si>
  <si>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</si>
  <si>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</si>
  <si>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</si>
  <si>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</si>
  <si>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</si>
  <si>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</si>
  <si>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</si>
  <si>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</si>
  <si>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</si>
  <si>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</si>
  <si>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</si>
  <si>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</si>
  <si>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</si>
  <si>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</si>
  <si>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</si>
  <si>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</si>
  <si>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</si>
  <si>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</si>
  <si>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</si>
  <si>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</si>
  <si>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</si>
  <si>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</si>
  <si>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</si>
  <si>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Current</t>
  </si>
  <si>
    <t>Avoided Costs</t>
  </si>
  <si>
    <t>Comparison between Proposed and Current Avoided Costs</t>
  </si>
  <si>
    <t>Annual Seasonal Average</t>
  </si>
  <si>
    <t>Annual Average</t>
  </si>
  <si>
    <t>Cap Cost</t>
  </si>
  <si>
    <t>Fixed</t>
  </si>
  <si>
    <t>Heat Rate</t>
  </si>
  <si>
    <t>MW</t>
  </si>
  <si>
    <t>Table 1</t>
  </si>
  <si>
    <t>Percent</t>
  </si>
  <si>
    <t>CCCT Statistics</t>
  </si>
  <si>
    <t>Capacity Weighted</t>
  </si>
  <si>
    <t>CF</t>
  </si>
  <si>
    <t>Energy Weighted</t>
  </si>
  <si>
    <t>Fixed Cost</t>
  </si>
  <si>
    <t>Peak</t>
  </si>
  <si>
    <t>Source:</t>
  </si>
  <si>
    <t>Blended Resource</t>
  </si>
  <si>
    <t>Table 8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</si>
  <si>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</si>
  <si>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</si>
  <si>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</si>
  <si>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</si>
  <si>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</si>
  <si>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</si>
  <si>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</si>
  <si>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</si>
  <si>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</si>
  <si>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</si>
  <si>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</si>
  <si>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Table 9</t>
  </si>
  <si>
    <t>Source</t>
  </si>
  <si>
    <t>Gas Fuel Costs</t>
  </si>
  <si>
    <t>Delivered</t>
  </si>
  <si>
    <t xml:space="preserve">Combined </t>
  </si>
  <si>
    <t>Natural Gas Price - Delivered to Plant</t>
  </si>
  <si>
    <t>($/MWH)</t>
  </si>
  <si>
    <t>Prices on this tab are formated to be cut and pasted directly into the tariff page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</si>
  <si>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</si>
  <si>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</si>
  <si>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</si>
  <si>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</si>
  <si>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</si>
  <si>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</si>
  <si>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</si>
  <si>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</si>
  <si>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 xml:space="preserve">  Plant capacity cost</t>
  </si>
  <si>
    <t xml:space="preserve">  Heat Rate in btu/kWh</t>
  </si>
  <si>
    <t xml:space="preserve">  Energy Weighted Capacity Factor</t>
  </si>
  <si>
    <t>Month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</si>
  <si>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</si>
  <si>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</si>
  <si>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</si>
  <si>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</si>
  <si>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</si>
  <si>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</si>
  <si>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</si>
  <si>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>Calendar Year</t>
  </si>
  <si>
    <t>Off-Peak Energy Prices (¢/kWh)</t>
  </si>
  <si>
    <t xml:space="preserve">Deliveries During 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</si>
  <si>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</si>
  <si>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</si>
  <si>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</si>
  <si>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Capitalized energy split 50% as ordered in Docket No. 03-035-14</t>
  </si>
  <si>
    <t>Capacity Contribution</t>
  </si>
  <si>
    <t>Wind</t>
  </si>
  <si>
    <t>Avoided Costs for Base Load QF</t>
  </si>
  <si>
    <t>Avoided Costs for Wind QF</t>
  </si>
  <si>
    <t>Integration Costs</t>
  </si>
  <si>
    <t>We therefore directed PacifiCorp to apply a solar integration charge of</t>
  </si>
  <si>
    <t>Tracking Solar ($2.18 /MWh)</t>
  </si>
  <si>
    <t>Fixed Solar ($2.83 /MWh)</t>
  </si>
  <si>
    <t>Total Wind Integration Costs</t>
  </si>
  <si>
    <t>(c) = (a) +(b)</t>
  </si>
  <si>
    <t>Base Load QF</t>
  </si>
  <si>
    <t>Wind QF</t>
  </si>
  <si>
    <t>Solar-Fixed QF</t>
  </si>
  <si>
    <t>Solar-Tracking QF</t>
  </si>
  <si>
    <t>On-Peak Price</t>
  </si>
  <si>
    <t>Off-Peak Price</t>
  </si>
  <si>
    <t>Cost</t>
  </si>
  <si>
    <t xml:space="preserve"> Integration</t>
  </si>
  <si>
    <t>Solar</t>
  </si>
  <si>
    <t>Avoided Cost Prices for Wind QF</t>
  </si>
  <si>
    <t>Avoided Cost Prices for Base Load QF</t>
  </si>
  <si>
    <t>Off-Peak Energy Prices (¢/kWh) (2)</t>
  </si>
  <si>
    <t>Table 2A</t>
  </si>
  <si>
    <t>Table 2B</t>
  </si>
  <si>
    <t>Table 2C</t>
  </si>
  <si>
    <t>Table 2D</t>
  </si>
  <si>
    <t>Base Load - On- &amp; Off- Peak Energy Prices</t>
  </si>
  <si>
    <t>Wind - On- &amp; Off- Peak Energy Prices</t>
  </si>
  <si>
    <t>Solar Fixed - On- &amp; Off- Peak Energy Prices</t>
  </si>
  <si>
    <t>Solar Tracking - On- &amp; Off- Peak Energy Prices</t>
  </si>
  <si>
    <t xml:space="preserve">$2.83 per megawatt hour for Fixed Solar resources and a $2.18 per megawatt </t>
  </si>
  <si>
    <t xml:space="preserve">hour solar integration cost for Tracking Solar resources based on the wind </t>
  </si>
  <si>
    <t>integration charge of $4.35 per megawatt hour levelized starting in 2013.</t>
  </si>
  <si>
    <t>Capacity (MW)</t>
  </si>
  <si>
    <t>Resource</t>
  </si>
  <si>
    <t>East</t>
  </si>
  <si>
    <t>Existing Plant Retirements/Conversions</t>
  </si>
  <si>
    <t>Expansion Resources</t>
  </si>
  <si>
    <t>DSM, Class 1 Total</t>
  </si>
  <si>
    <t>DSM, Class 2 Total</t>
  </si>
  <si>
    <t>West</t>
  </si>
  <si>
    <t>DSM, Class 1  Total</t>
  </si>
  <si>
    <t>DSM, Class 2  Total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</si>
  <si>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</si>
  <si>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</si>
  <si>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</si>
  <si>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</si>
  <si>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</si>
  <si>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</si>
  <si>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Costs for Fixed Solar QF</t>
  </si>
  <si>
    <t>Avoided Costs for Tracking Solar QF</t>
  </si>
  <si>
    <t>Intra-hour Wind Integration Costs</t>
  </si>
  <si>
    <t>(2): On- and off- peak prices are reduced by integration charges.</t>
  </si>
  <si>
    <t>Avoided Cost Prices for Fixed Solar QF</t>
  </si>
  <si>
    <t>(2): On and off peak prices are reduced by integration charges.</t>
  </si>
  <si>
    <t>Avoided Cost Prices for Tracking Solar QF</t>
  </si>
  <si>
    <t>on-peak Summer</t>
  </si>
  <si>
    <t>on-peak Winter</t>
  </si>
  <si>
    <t>off-peak Summer</t>
  </si>
  <si>
    <t>off-peak Winter</t>
  </si>
  <si>
    <t>Utah Commission Ordered Methodology - Docket 12-035-100</t>
  </si>
  <si>
    <t>Utah Commission Order dated October 4, 2013</t>
  </si>
  <si>
    <t>$ With degradation</t>
  </si>
  <si>
    <t>MWh With degradation</t>
  </si>
  <si>
    <t>Chck $</t>
  </si>
  <si>
    <t>NPV</t>
  </si>
  <si>
    <t>(3): Assuming  annual degradation of 0.7%.</t>
  </si>
  <si>
    <t>Peak Winter</t>
  </si>
  <si>
    <t>Peak Summer</t>
  </si>
  <si>
    <t>Off Peak  Winter</t>
  </si>
  <si>
    <t>Off Peak  Summer</t>
  </si>
  <si>
    <t>0.7 % Degradation</t>
  </si>
  <si>
    <t>hours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</si>
  <si>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</si>
  <si>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</si>
  <si>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</si>
  <si>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</si>
  <si>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</si>
  <si>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</si>
  <si>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</si>
  <si>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</si>
  <si>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</si>
  <si>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</si>
  <si>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</si>
  <si>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</si>
  <si>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</si>
  <si>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</si>
  <si>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</si>
  <si>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>HLH Ratio</t>
  </si>
  <si>
    <t>LLH Ratio</t>
  </si>
  <si>
    <t>On-Peak (1)</t>
  </si>
  <si>
    <t>Off-Peak (2)</t>
  </si>
  <si>
    <t>Combined ( 56% On-Peak 44% Off-Peak) (3)</t>
  </si>
  <si>
    <t>Off-Peak (Average Energy Costs less Integration Costs)(2)</t>
  </si>
  <si>
    <t xml:space="preserve"> </t>
  </si>
  <si>
    <t>On Peak Energy Prices (¢/kWh)</t>
  </si>
  <si>
    <t>On Peak Energy Prices (¢/kWh) (1,2)</t>
  </si>
  <si>
    <t>Avoided Energy Costs (GRID Production Cost Model Study)</t>
  </si>
  <si>
    <t>On-Peak Energy Cost</t>
  </si>
  <si>
    <t>Off-Peak Energy Cost</t>
  </si>
  <si>
    <t>BASE LOAD</t>
  </si>
  <si>
    <t>WIND</t>
  </si>
  <si>
    <t>SOLAR FIXED</t>
  </si>
  <si>
    <t>SOLAR TRACKING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</si>
  <si>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</si>
  <si>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</si>
  <si>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</si>
  <si>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</si>
  <si>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</si>
  <si>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</si>
  <si>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</si>
  <si>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</si>
  <si>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</si>
  <si>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</si>
  <si>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</si>
  <si>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</si>
  <si>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</si>
  <si>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</si>
  <si>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</si>
  <si>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</si>
  <si>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</si>
  <si>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</si>
  <si>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</si>
  <si>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</si>
  <si>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Generation Profile_Solar Fixed</t>
  </si>
  <si>
    <t>Generation Profile_Solar Tracking</t>
  </si>
  <si>
    <t>Table 5a</t>
  </si>
  <si>
    <t>Table 5b</t>
  </si>
  <si>
    <t>Table 5c</t>
  </si>
  <si>
    <t>Table 5d</t>
  </si>
  <si>
    <t>Table 6</t>
  </si>
  <si>
    <t>DSM, Class 1, ID-Curtail</t>
  </si>
  <si>
    <t>DSM, Class 1, ID-Irrigate</t>
  </si>
  <si>
    <t>DSM, Class 1, UT-Curtail</t>
  </si>
  <si>
    <t>DSM, Class 1, UT-Irrigate</t>
  </si>
  <si>
    <t>DSM, Class 1, WY-Curtail</t>
  </si>
  <si>
    <t>DSM, Class 1, WY-Irrigate</t>
  </si>
  <si>
    <t>DSM, Class 1, CA-Irrigate</t>
  </si>
  <si>
    <t>DSM, Class 1, WA-Curtail</t>
  </si>
  <si>
    <t>DSM, Class 1, WA-Irrigate</t>
  </si>
  <si>
    <t>15 year Levelized</t>
  </si>
  <si>
    <t>Integration costs - Utah 2015.Q2 Sch 38 Compliance Filing</t>
  </si>
  <si>
    <t>15-year (2017-2031) Nominal Levelized with degradation (3)</t>
  </si>
  <si>
    <t xml:space="preserve">                           / [Monthly Palo Verde Market Price]</t>
  </si>
  <si>
    <t xml:space="preserve">(1):  On-peak prices have been shaped by the relationship of Palo Verde  On-peak market price to Palo Verde market price. </t>
  </si>
  <si>
    <t xml:space="preserve">       On-Peak Price = [GRID Production Cost Model Avoided Cost Price] x [Monthly On-Peak Palo Verde Market Price] / </t>
  </si>
  <si>
    <t xml:space="preserve">(2):  Off-peak Prices have been shaped by the relationship of Palo Verde  Off-peak market price to Palo Verde market price. </t>
  </si>
  <si>
    <t xml:space="preserve">       Off-Peak Price = [GRID Production Cost Model Avoided Cost Price] x [Monthly Off-Peak Palo Verde Market Price] /</t>
  </si>
  <si>
    <t>(3):  Combined = On-Peak x 56%  + Off-Peak x 44%</t>
  </si>
  <si>
    <t>Wind Integration</t>
  </si>
  <si>
    <t xml:space="preserve">(1):  On-peak prices have been shaped by the relationship of Palo Verde  On-peak market price to Palo Verde market price, </t>
  </si>
  <si>
    <t xml:space="preserve">       and reduced by integration costs. </t>
  </si>
  <si>
    <t xml:space="preserve">                           / [Monthly Palo Verde Market Price] - Solar Integration</t>
  </si>
  <si>
    <t xml:space="preserve">                           / [Monthly Palo Verde Market Price] - Wind Integration</t>
  </si>
  <si>
    <t>IRP - Wyo NE</t>
  </si>
  <si>
    <t>Burnertip Annual Average Price</t>
  </si>
  <si>
    <t>2017 IRP Preferred Portfolio</t>
  </si>
  <si>
    <t>Excerpt from 2017 IRP Table 8.17</t>
  </si>
  <si>
    <t>Craig 1  (Coal Early Retirement/Conversions)</t>
  </si>
  <si>
    <t>Craig 2</t>
  </si>
  <si>
    <t>Wind - Repower Existing resource</t>
  </si>
  <si>
    <t>East Wind-Repower</t>
  </si>
  <si>
    <t>CCCT - DJohns - J 1x1</t>
  </si>
  <si>
    <t>SCCT Frame DJ</t>
  </si>
  <si>
    <t>SCCT Frame UTN</t>
  </si>
  <si>
    <t>Wind, Djohnston</t>
  </si>
  <si>
    <t>Wind, GO</t>
  </si>
  <si>
    <t>Wind, WYAE</t>
  </si>
  <si>
    <t>Total Wind</t>
  </si>
  <si>
    <t>Utility Solar - PV - Utah-S</t>
  </si>
  <si>
    <t>DSM, Class 1, ID-Cool/WH</t>
  </si>
  <si>
    <t>DSM, Class 1, UT-Cool/WH</t>
  </si>
  <si>
    <t>DSM, Class 1, WY-Cool/WH</t>
  </si>
  <si>
    <t>FOT Mona - SMR</t>
  </si>
  <si>
    <t>JimBridger 1  (Coal Early Retirement/Conversions)</t>
  </si>
  <si>
    <t>JimBridger 2  (Coal Early Retirement/Conversions)</t>
  </si>
  <si>
    <t>West Wind-Repower</t>
  </si>
  <si>
    <t>CCCT - WillamValcc - G 1x1</t>
  </si>
  <si>
    <t>Utility Solar - PV - Yakima</t>
  </si>
  <si>
    <t>DSM, Class 1, CA-Cool/WH</t>
  </si>
  <si>
    <t>DSM, Class 1, CA-Curtail</t>
  </si>
  <si>
    <t>DSM, Class 1, OR-Cool/WH</t>
  </si>
  <si>
    <t>DSM, Class 1, WA-Cool/WH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</si>
  <si>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</si>
  <si>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</si>
  <si>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</si>
  <si>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</si>
  <si>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</si>
  <si>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</si>
  <si>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</si>
  <si>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</si>
  <si>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 xml:space="preserve"> The 2017 IRP was prepared using a 13% planning reserve margin.  See 2017 IRP, page 10.</t>
  </si>
  <si>
    <t>UT N - 200 MW - SCCT Frame "F" x1 - East Side Resource (5,050')</t>
  </si>
  <si>
    <t>2016 $</t>
  </si>
  <si>
    <t>Willamette Valley - 436 MW - CCCT Dry "G/H", 1x1 - West Side Resource (1,500')</t>
  </si>
  <si>
    <t>Plant Costs  - 2017 IRP - Table 6.2</t>
  </si>
  <si>
    <t>CCCT Dry "G/H", 1x1 - Turbine</t>
  </si>
  <si>
    <t>CCCT Dry "G/H", 1x1 - Duct Firing</t>
  </si>
  <si>
    <t>Pacific NW</t>
  </si>
  <si>
    <t>2016 Flexible Reserve Study Results from 2017 IRP</t>
  </si>
  <si>
    <t>Incremental Flex Capacity Costs (2016 $/MWh) *</t>
  </si>
  <si>
    <t>Regulation Reserve</t>
  </si>
  <si>
    <t>System Balancing</t>
  </si>
  <si>
    <t>* Costs per MWh of wind/solar generation</t>
  </si>
  <si>
    <t>Inter-hour Integration Costs</t>
  </si>
  <si>
    <t>Annual</t>
  </si>
  <si>
    <t>Intra-hour Solar Integration Costs</t>
  </si>
  <si>
    <t>Total Soar Integration Costs</t>
  </si>
  <si>
    <t>(e)=(a)+(d)</t>
  </si>
  <si>
    <t>15-year (2019-2033) Nominal Levelized</t>
  </si>
  <si>
    <t>Discount Rate - 2017 IRP</t>
  </si>
  <si>
    <t>15-year (2018-2032) Nominal Levelized</t>
  </si>
  <si>
    <t>15-year (2020-2034) Nominal Levelized</t>
  </si>
  <si>
    <t>15-year (2018-2032) Nominal Levelized with degradation (3)</t>
  </si>
  <si>
    <t>15-year (2018-2 Nominal Levelized</t>
  </si>
  <si>
    <t>Revised Current Method</t>
  </si>
  <si>
    <t>Avoided Resource (2017 through 2028)</t>
  </si>
  <si>
    <t>(1): On Peak Prices reflect 15.8% capacity contribution of wind QF.</t>
  </si>
  <si>
    <t>(1): On Peak Prices reflect 37.9% capacity contribution of Fixed Solar QF.</t>
  </si>
  <si>
    <t>(1): On Peak Prices reflect 59.7% capacity contribution of Tracking Solar QF.</t>
  </si>
  <si>
    <t xml:space="preserve"> Capitalized energy is zero if (b) is greater than (a)</t>
  </si>
  <si>
    <t>Company Official Inflation Forecast Dated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</si>
</sst>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0.000"/>
    <numFmt numFmtId="177" formatCode="0.000%"/>
    <numFmt numFmtId="178" formatCode="#,##0.000_);\(#,##0.000\)"/>
    <numFmt numFmtId="179" formatCode="_(* #,##0.000_);[Red]_(* \(#,##0.000\);_(* &quot;-&quot;_);_(@_)"/>
    <numFmt numFmtId="180" formatCode="_(* #,##0.00_);[Red]_(* \(#,##0.00\);_(* &quot;-&quot;_);_(@_)"/>
    <numFmt numFmtId="181" formatCode="_(* #,##0.000_);_(* \(#,##0.000\);_(* &quot;-&quot;??_);_(@_)"/>
    <numFmt numFmtId="182" formatCode="_(* #,##0.0000_);_(* \(#,##0.0000\);_(* &quot;-&quot;??_);_(@_)"/>
    <numFmt numFmtId="183" formatCode="[$-409]mmmm\ d\,\ yyyy;@"/>
    <numFmt numFmtId="184" formatCode="&quot;$&quot;#,##0.000"/>
    <numFmt numFmtId="185" formatCode="&quot;$&quot;###0.00\(\x\)"/>
  </numFmts>
  <fonts count="4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EA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9">
    <xf numFmtId="175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16" fillId="0" borderId="0" applyFont="0" applyFill="0" applyBorder="0" applyProtection="0">
      <alignment horizontal="right"/>
    </xf>
    <xf numFmtId="0" fontId="15" fillId="0" borderId="0" applyNumberFormat="0" applyFill="0" applyBorder="0" applyAlignment="0">
      <protection locked="0"/>
    </xf>
    <xf numFmtId="165" fontId="17" fillId="0" borderId="0" applyNumberFormat="0" applyFill="0" applyBorder="0" applyAlignment="0" applyProtection="0"/>
    <xf numFmtId="0" fontId="18" fillId="0" borderId="1" applyNumberFormat="0" applyBorder="0" applyAlignment="0"/>
    <xf numFmtId="41" fontId="6" fillId="0" borderId="0"/>
    <xf numFmtId="0" fontId="6" fillId="0" borderId="0"/>
    <xf numFmtId="175" fontId="6" fillId="0" borderId="0"/>
    <xf numFmtId="0" fontId="4" fillId="0" borderId="0"/>
    <xf numFmtId="175" fontId="4" fillId="0" borderId="0"/>
    <xf numFmtId="12" fontId="14" fillId="2" borderId="2">
      <alignment horizontal="left"/>
    </xf>
    <xf numFmtId="9" fontId="4" fillId="0" borderId="0" applyFont="0" applyFill="0" applyBorder="0" applyAlignment="0" applyProtection="0"/>
    <xf numFmtId="37" fontId="18" fillId="3" borderId="0" applyNumberFormat="0" applyBorder="0" applyAlignment="0" applyProtection="0"/>
    <xf numFmtId="37" fontId="19" fillId="0" borderId="0"/>
    <xf numFmtId="3" fontId="20" fillId="4" borderId="3" applyProtection="0"/>
    <xf numFmtId="175" fontId="4" fillId="0" borderId="0"/>
    <xf numFmtId="175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175" fontId="1" fillId="0" borderId="0"/>
    <xf numFmtId="9" fontId="4" fillId="0" borderId="0" applyFont="0" applyFill="0" applyBorder="0" applyAlignment="0" applyProtection="0"/>
    <xf numFmtId="175" fontId="6" fillId="0" borderId="0"/>
  </cellStyleXfs>
  <cellXfs count="498">
    <xf numFmtId="175" fontId="0" fillId="0" borderId="0" xfId="0"/>
    <xf numFmtId="175" fontId="7" fillId="0" borderId="0" xfId="0" applyFont="1" applyFill="1" applyAlignment="1">
      <alignment horizontal="centerContinuous"/>
    </xf>
    <xf numFmtId="175" fontId="13" fillId="0" borderId="0" xfId="0" applyFont="1" applyFill="1" applyAlignment="1">
      <alignment horizontal="centerContinuous"/>
    </xf>
    <xf numFmtId="175" fontId="8" fillId="0" borderId="0" xfId="0" applyFont="1" applyFill="1" applyAlignment="1">
      <alignment horizontal="centerContinuous"/>
    </xf>
    <xf numFmtId="8" fontId="10" fillId="0" borderId="0" xfId="0" applyNumberFormat="1" applyFont="1" applyFill="1" applyAlignment="1">
      <alignment horizontal="center"/>
    </xf>
    <xf numFmtId="175" fontId="11" fillId="0" borderId="0" xfId="0" applyFont="1" applyFill="1"/>
    <xf numFmtId="175" fontId="11" fillId="0" borderId="0" xfId="0" applyFont="1" applyFill="1" applyAlignment="1">
      <alignment horizontal="centerContinuous"/>
    </xf>
    <xf numFmtId="175" fontId="12" fillId="0" borderId="0" xfId="0" applyFont="1" applyFill="1"/>
    <xf numFmtId="175" fontId="7" fillId="0" borderId="0" xfId="0" applyFont="1" applyFill="1" applyBorder="1" applyAlignment="1">
      <alignment horizontal="center"/>
    </xf>
    <xf numFmtId="175" fontId="8" fillId="0" borderId="0" xfId="0" applyFont="1" applyFill="1" applyBorder="1" applyAlignment="1">
      <alignment horizontal="center"/>
    </xf>
    <xf numFmtId="8" fontId="10" fillId="0" borderId="0" xfId="0" applyNumberFormat="1" applyFont="1" applyFill="1" applyAlignment="1">
      <alignment horizontal="centerContinuous"/>
    </xf>
    <xf numFmtId="175" fontId="10" fillId="0" borderId="0" xfId="0" quotePrefix="1" applyFont="1" applyFill="1" applyAlignment="1">
      <alignment horizontal="center"/>
    </xf>
    <xf numFmtId="175" fontId="5" fillId="0" borderId="0" xfId="0" applyFont="1" applyFill="1" applyBorder="1" applyAlignment="1">
      <alignment horizontal="left"/>
    </xf>
    <xf numFmtId="175" fontId="12" fillId="0" borderId="0" xfId="0" applyFont="1" applyFill="1" applyAlignment="1">
      <alignment horizontal="centerContinuous"/>
    </xf>
    <xf numFmtId="175" fontId="7" fillId="0" borderId="0" xfId="0" applyFont="1" applyFill="1" applyBorder="1" applyAlignment="1">
      <alignment horizontal="centerContinuous"/>
    </xf>
    <xf numFmtId="175" fontId="8" fillId="0" borderId="0" xfId="0" applyFont="1" applyFill="1" applyBorder="1" applyAlignment="1">
      <alignment horizontal="centerContinuous"/>
    </xf>
    <xf numFmtId="8" fontId="10" fillId="0" borderId="0" xfId="0" applyNumberFormat="1" applyFont="1" applyFill="1" applyBorder="1" applyAlignment="1">
      <alignment horizontal="left"/>
    </xf>
    <xf numFmtId="175" fontId="9" fillId="0" borderId="0" xfId="0" applyFont="1" applyFill="1" applyBorder="1" applyAlignment="1">
      <alignment horizontal="center"/>
    </xf>
    <xf numFmtId="175" fontId="9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5" fontId="7" fillId="0" borderId="0" xfId="9" applyFont="1" applyFill="1" applyAlignment="1">
      <alignment horizontal="centerContinuous"/>
    </xf>
    <xf numFmtId="175" fontId="5" fillId="0" borderId="4" xfId="9" applyFont="1" applyFill="1" applyBorder="1" applyAlignment="1">
      <alignment horizontal="center"/>
    </xf>
    <xf numFmtId="175" fontId="9" fillId="0" borderId="0" xfId="9" quotePrefix="1" applyFont="1" applyFill="1" applyBorder="1" applyAlignment="1">
      <alignment horizontal="center"/>
    </xf>
    <xf numFmtId="175" fontId="8" fillId="0" borderId="0" xfId="9" applyFont="1" applyFill="1" applyAlignment="1">
      <alignment horizontal="centerContinuous"/>
    </xf>
    <xf numFmtId="175" fontId="5" fillId="0" borderId="11" xfId="9" applyFont="1" applyFill="1" applyBorder="1" applyAlignment="1">
      <alignment horizontal="centerContinuous"/>
    </xf>
    <xf numFmtId="175" fontId="5" fillId="0" borderId="6" xfId="9" applyFont="1" applyFill="1" applyBorder="1" applyAlignment="1">
      <alignment horizontal="center"/>
    </xf>
    <xf numFmtId="175" fontId="5" fillId="0" borderId="10" xfId="9" applyFont="1" applyFill="1" applyBorder="1" applyAlignment="1">
      <alignment horizontal="center"/>
    </xf>
    <xf numFmtId="175" fontId="22" fillId="0" borderId="0" xfId="9" applyFont="1" applyFill="1" applyAlignment="1">
      <alignment horizontal="left"/>
    </xf>
    <xf numFmtId="167" fontId="10" fillId="0" borderId="0" xfId="0" applyNumberFormat="1" applyFont="1" applyFill="1" applyBorder="1" applyAlignment="1">
      <alignment horizontal="center"/>
    </xf>
    <xf numFmtId="175" fontId="7" fillId="0" borderId="0" xfId="11" applyFont="1" applyAlignment="1">
      <alignment horizontal="centerContinuous"/>
    </xf>
    <xf numFmtId="175" fontId="6" fillId="0" borderId="0" xfId="11" applyFont="1"/>
    <xf numFmtId="175" fontId="9" fillId="0" borderId="10" xfId="0" quotePrefix="1" applyFont="1" applyFill="1" applyBorder="1" applyAlignment="1">
      <alignment horizontal="center"/>
    </xf>
    <xf numFmtId="175" fontId="0" fillId="0" borderId="0" xfId="9" applyFont="1" applyFill="1"/>
    <xf numFmtId="175" fontId="0" fillId="0" borderId="5" xfId="0" applyFont="1" applyFill="1" applyBorder="1" applyAlignment="1">
      <alignment horizontal="centerContinuous"/>
    </xf>
    <xf numFmtId="175" fontId="0" fillId="0" borderId="17" xfId="0" applyFont="1" applyFill="1" applyBorder="1" applyAlignment="1">
      <alignment horizontal="centerContinuous"/>
    </xf>
    <xf numFmtId="175" fontId="0" fillId="0" borderId="0" xfId="0" applyFont="1" applyFill="1"/>
    <xf numFmtId="169" fontId="0" fillId="0" borderId="0" xfId="13" applyNumberFormat="1" applyFont="1" applyFill="1"/>
    <xf numFmtId="175" fontId="0" fillId="0" borderId="0" xfId="0" applyFont="1" applyFill="1" applyBorder="1"/>
    <xf numFmtId="8" fontId="0" fillId="0" borderId="0" xfId="0" applyNumberFormat="1" applyFont="1" applyFill="1" applyBorder="1"/>
    <xf numFmtId="8" fontId="10" fillId="0" borderId="0" xfId="0" applyNumberFormat="1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center"/>
    </xf>
    <xf numFmtId="175" fontId="0" fillId="0" borderId="4" xfId="0" applyFont="1" applyFill="1" applyBorder="1" applyAlignment="1">
      <alignment horizontal="center"/>
    </xf>
    <xf numFmtId="175" fontId="0" fillId="0" borderId="11" xfId="0" applyFont="1" applyFill="1" applyBorder="1" applyAlignment="1">
      <alignment horizontal="centerContinuous"/>
    </xf>
    <xf numFmtId="175" fontId="0" fillId="0" borderId="11" xfId="0" quotePrefix="1" applyFont="1" applyFill="1" applyBorder="1" applyAlignment="1">
      <alignment horizontal="centerContinuous"/>
    </xf>
    <xf numFmtId="175" fontId="0" fillId="0" borderId="10" xfId="0" applyFont="1" applyFill="1" applyBorder="1" applyAlignment="1">
      <alignment horizontal="center"/>
    </xf>
    <xf numFmtId="175" fontId="0" fillId="0" borderId="9" xfId="0" applyFont="1" applyFill="1" applyBorder="1" applyAlignment="1">
      <alignment horizontal="center"/>
    </xf>
    <xf numFmtId="175" fontId="0" fillId="0" borderId="16" xfId="0" applyFont="1" applyFill="1" applyBorder="1" applyAlignment="1">
      <alignment horizontal="center"/>
    </xf>
    <xf numFmtId="175" fontId="0" fillId="0" borderId="0" xfId="0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left"/>
    </xf>
    <xf numFmtId="8" fontId="0" fillId="0" borderId="18" xfId="0" applyNumberFormat="1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8" fontId="0" fillId="0" borderId="12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0" fillId="0" borderId="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8" fontId="0" fillId="0" borderId="15" xfId="0" applyNumberFormat="1" applyFont="1" applyFill="1" applyBorder="1" applyAlignment="1">
      <alignment horizontal="center"/>
    </xf>
    <xf numFmtId="8" fontId="0" fillId="0" borderId="9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175" fontId="0" fillId="0" borderId="0" xfId="0" applyFont="1" applyFill="1" applyBorder="1" applyAlignment="1">
      <alignment horizontal="left"/>
    </xf>
    <xf numFmtId="175" fontId="0" fillId="0" borderId="0" xfId="0" quotePrefix="1" applyFont="1" applyFill="1"/>
    <xf numFmtId="175" fontId="0" fillId="0" borderId="11" xfId="0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75" fontId="0" fillId="0" borderId="0" xfId="9" applyFont="1" applyFill="1" applyAlignment="1">
      <alignment horizontal="centerContinuous"/>
    </xf>
    <xf numFmtId="175" fontId="0" fillId="0" borderId="10" xfId="9" applyFont="1" applyFill="1" applyBorder="1"/>
    <xf numFmtId="175" fontId="0" fillId="0" borderId="0" xfId="9" quotePrefix="1" applyFont="1" applyFill="1" applyBorder="1" applyAlignment="1">
      <alignment horizontal="center"/>
    </xf>
    <xf numFmtId="0" fontId="0" fillId="0" borderId="0" xfId="9" applyNumberFormat="1" applyFont="1" applyFill="1" applyAlignment="1">
      <alignment horizontal="center"/>
    </xf>
    <xf numFmtId="167" fontId="0" fillId="0" borderId="0" xfId="9" applyNumberFormat="1" applyFont="1" applyFill="1" applyBorder="1" applyAlignment="1">
      <alignment horizontal="center"/>
    </xf>
    <xf numFmtId="175" fontId="0" fillId="0" borderId="0" xfId="9" applyFont="1" applyFill="1" applyAlignment="1">
      <alignment horizontal="right"/>
    </xf>
    <xf numFmtId="175" fontId="0" fillId="0" borderId="0" xfId="9" applyFont="1" applyFill="1" applyBorder="1" applyAlignment="1">
      <alignment horizontal="center"/>
    </xf>
    <xf numFmtId="175" fontId="0" fillId="0" borderId="4" xfId="0" applyFont="1" applyFill="1" applyBorder="1"/>
    <xf numFmtId="175" fontId="0" fillId="0" borderId="4" xfId="0" applyFont="1" applyFill="1" applyBorder="1" applyAlignment="1">
      <alignment horizontal="centerContinuous"/>
    </xf>
    <xf numFmtId="175" fontId="0" fillId="0" borderId="12" xfId="0" applyFont="1" applyFill="1" applyBorder="1" applyAlignment="1">
      <alignment horizontal="center"/>
    </xf>
    <xf numFmtId="175" fontId="0" fillId="0" borderId="13" xfId="0" applyFont="1" applyFill="1" applyBorder="1" applyAlignment="1">
      <alignment horizontal="centerContinuous"/>
    </xf>
    <xf numFmtId="175" fontId="0" fillId="0" borderId="7" xfId="0" applyFont="1" applyFill="1" applyBorder="1" applyAlignment="1">
      <alignment horizontal="center"/>
    </xf>
    <xf numFmtId="175" fontId="0" fillId="0" borderId="6" xfId="0" applyFont="1" applyFill="1" applyBorder="1" applyAlignment="1">
      <alignment horizontal="center"/>
    </xf>
    <xf numFmtId="175" fontId="0" fillId="0" borderId="12" xfId="0" applyFont="1" applyFill="1" applyBorder="1"/>
    <xf numFmtId="175" fontId="0" fillId="0" borderId="0" xfId="0" quotePrefix="1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center"/>
    </xf>
    <xf numFmtId="175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75" fontId="0" fillId="0" borderId="0" xfId="0" quotePrefix="1" applyFont="1" applyFill="1" applyAlignment="1">
      <alignment horizontal="right"/>
    </xf>
    <xf numFmtId="175" fontId="0" fillId="0" borderId="13" xfId="0" applyFont="1" applyFill="1" applyBorder="1" applyAlignment="1">
      <alignment horizontal="center"/>
    </xf>
    <xf numFmtId="175" fontId="0" fillId="0" borderId="14" xfId="0" applyFont="1" applyFill="1" applyBorder="1" applyAlignment="1">
      <alignment horizontal="center"/>
    </xf>
    <xf numFmtId="175" fontId="0" fillId="0" borderId="13" xfId="0" applyFont="1" applyFill="1" applyBorder="1"/>
    <xf numFmtId="175" fontId="0" fillId="0" borderId="12" xfId="0" applyFont="1" applyFill="1" applyBorder="1" applyAlignment="1">
      <alignment horizontal="centerContinuous"/>
    </xf>
    <xf numFmtId="175" fontId="0" fillId="0" borderId="6" xfId="0" applyFont="1" applyFill="1" applyBorder="1" applyAlignment="1">
      <alignment horizontal="centerContinuous"/>
    </xf>
    <xf numFmtId="175" fontId="0" fillId="0" borderId="6" xfId="0" applyFont="1" applyFill="1" applyBorder="1"/>
    <xf numFmtId="175" fontId="0" fillId="0" borderId="7" xfId="0" quotePrefix="1" applyFont="1" applyFill="1" applyBorder="1" applyAlignment="1">
      <alignment horizontal="center"/>
    </xf>
    <xf numFmtId="175" fontId="0" fillId="0" borderId="10" xfId="0" applyFont="1" applyFill="1" applyBorder="1"/>
    <xf numFmtId="175" fontId="0" fillId="0" borderId="10" xfId="0" quotePrefix="1" applyFont="1" applyFill="1" applyBorder="1" applyAlignment="1">
      <alignment horizontal="center"/>
    </xf>
    <xf numFmtId="175" fontId="0" fillId="0" borderId="8" xfId="0" quotePrefix="1" applyFont="1" applyFill="1" applyBorder="1" applyAlignment="1">
      <alignment horizontal="centerContinuous"/>
    </xf>
    <xf numFmtId="8" fontId="0" fillId="0" borderId="0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horizontal="center"/>
    </xf>
    <xf numFmtId="175" fontId="0" fillId="0" borderId="0" xfId="0" applyFont="1" applyFill="1" applyBorder="1" applyAlignment="1">
      <alignment horizontal="right"/>
    </xf>
    <xf numFmtId="8" fontId="0" fillId="0" borderId="0" xfId="0" applyNumberFormat="1" applyFont="1" applyFill="1"/>
    <xf numFmtId="175" fontId="0" fillId="0" borderId="17" xfId="0" applyFont="1" applyFill="1" applyBorder="1" applyAlignment="1">
      <alignment horizontal="center"/>
    </xf>
    <xf numFmtId="175" fontId="0" fillId="0" borderId="18" xfId="0" applyFont="1" applyFill="1" applyBorder="1"/>
    <xf numFmtId="175" fontId="0" fillId="0" borderId="18" xfId="0" quotePrefix="1" applyFont="1" applyFill="1" applyBorder="1"/>
    <xf numFmtId="175" fontId="0" fillId="0" borderId="18" xfId="0" applyFont="1" applyFill="1" applyBorder="1" applyAlignment="1">
      <alignment horizontal="left"/>
    </xf>
    <xf numFmtId="175" fontId="0" fillId="0" borderId="18" xfId="0" applyFont="1" applyFill="1" applyBorder="1" applyAlignment="1">
      <alignment horizontal="center"/>
    </xf>
    <xf numFmtId="175" fontId="7" fillId="0" borderId="0" xfId="11" applyFont="1" applyFill="1" applyAlignment="1">
      <alignment horizontal="centerContinuous"/>
    </xf>
    <xf numFmtId="175" fontId="10" fillId="0" borderId="0" xfId="0" applyNumberFormat="1" applyFont="1" applyFill="1" applyAlignment="1">
      <alignment horizontal="center"/>
    </xf>
    <xf numFmtId="175" fontId="24" fillId="0" borderId="0" xfId="0" applyFont="1" applyFill="1"/>
    <xf numFmtId="175" fontId="24" fillId="0" borderId="0" xfId="0" applyFont="1" applyFill="1" applyBorder="1" applyAlignment="1">
      <alignment horizontal="center"/>
    </xf>
    <xf numFmtId="175" fontId="24" fillId="0" borderId="0" xfId="0" applyFont="1" applyFill="1" applyAlignment="1">
      <alignment horizontal="center"/>
    </xf>
    <xf numFmtId="175" fontId="25" fillId="0" borderId="0" xfId="0" applyFont="1" applyFill="1" applyBorder="1" applyAlignment="1">
      <alignment horizontal="centerContinuous"/>
    </xf>
    <xf numFmtId="175" fontId="26" fillId="0" borderId="0" xfId="0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Border="1" applyAlignment="1">
      <alignment horizontal="center"/>
    </xf>
    <xf numFmtId="8" fontId="24" fillId="0" borderId="0" xfId="0" applyNumberFormat="1" applyFont="1" applyFill="1" applyAlignment="1">
      <alignment horizontal="left"/>
    </xf>
    <xf numFmtId="177" fontId="24" fillId="0" borderId="0" xfId="0" applyNumberFormat="1" applyFont="1" applyFill="1" applyAlignment="1">
      <alignment horizontal="center"/>
    </xf>
    <xf numFmtId="175" fontId="24" fillId="0" borderId="0" xfId="0" applyFont="1" applyFill="1" applyAlignment="1">
      <alignment horizontal="right"/>
    </xf>
    <xf numFmtId="175" fontId="24" fillId="0" borderId="0" xfId="0" applyFont="1" applyFill="1" applyBorder="1" applyAlignment="1">
      <alignment horizontal="right" vertical="center" wrapText="1"/>
    </xf>
    <xf numFmtId="178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/>
    </xf>
    <xf numFmtId="39" fontId="24" fillId="0" borderId="0" xfId="0" applyNumberFormat="1" applyFont="1" applyFill="1" applyBorder="1" applyAlignment="1">
      <alignment horizontal="center"/>
    </xf>
    <xf numFmtId="39" fontId="24" fillId="0" borderId="0" xfId="0" applyNumberFormat="1" applyFont="1" applyFill="1" applyBorder="1" applyAlignment="1">
      <alignment horizontal="center" vertical="center"/>
    </xf>
    <xf numFmtId="175" fontId="6" fillId="0" borderId="0" xfId="11" applyFont="1" applyAlignment="1">
      <alignment horizontal="centerContinuous"/>
    </xf>
    <xf numFmtId="175" fontId="6" fillId="0" borderId="0" xfId="0" applyFont="1" applyFill="1" applyBorder="1"/>
    <xf numFmtId="9" fontId="0" fillId="0" borderId="0" xfId="13" applyFont="1" applyFill="1"/>
    <xf numFmtId="9" fontId="5" fillId="0" borderId="0" xfId="13" applyFont="1" applyFill="1"/>
    <xf numFmtId="175" fontId="5" fillId="0" borderId="4" xfId="18" applyFont="1" applyFill="1" applyBorder="1" applyAlignment="1">
      <alignment horizontal="center" wrapText="1"/>
    </xf>
    <xf numFmtId="175" fontId="21" fillId="0" borderId="10" xfId="18" quotePrefix="1" applyFont="1" applyFill="1" applyBorder="1" applyAlignment="1">
      <alignment horizontal="center" wrapText="1"/>
    </xf>
    <xf numFmtId="175" fontId="6" fillId="0" borderId="0" xfId="18" applyFont="1" applyFill="1"/>
    <xf numFmtId="0" fontId="4" fillId="0" borderId="0" xfId="19"/>
    <xf numFmtId="8" fontId="6" fillId="0" borderId="0" xfId="18" applyNumberFormat="1" applyFont="1" applyFill="1" applyAlignment="1">
      <alignment horizontal="right"/>
    </xf>
    <xf numFmtId="175" fontId="0" fillId="0" borderId="8" xfId="0" applyFont="1" applyFill="1" applyBorder="1"/>
    <xf numFmtId="175" fontId="0" fillId="0" borderId="5" xfId="0" applyFont="1" applyFill="1" applyBorder="1"/>
    <xf numFmtId="175" fontId="7" fillId="0" borderId="0" xfId="0" applyFont="1" applyFill="1" applyAlignment="1">
      <alignment horizontal="left" vertical="top"/>
    </xf>
    <xf numFmtId="175" fontId="8" fillId="0" borderId="0" xfId="0" applyFont="1" applyFill="1" applyAlignment="1">
      <alignment horizontal="left" vertical="top"/>
    </xf>
    <xf numFmtId="175" fontId="13" fillId="0" borderId="0" xfId="0" applyFont="1" applyFill="1"/>
    <xf numFmtId="0" fontId="24" fillId="0" borderId="0" xfId="0" applyNumberFormat="1" applyFont="1" applyFill="1" applyAlignment="1">
      <alignment horizontal="left" vertical="top"/>
    </xf>
    <xf numFmtId="175" fontId="0" fillId="0" borderId="0" xfId="0" applyAlignment="1">
      <alignment horizontal="centerContinuous"/>
    </xf>
    <xf numFmtId="175" fontId="7" fillId="0" borderId="0" xfId="0" applyFont="1" applyFill="1" applyAlignment="1">
      <alignment horizontal="centerContinuous" vertical="center"/>
    </xf>
    <xf numFmtId="175" fontId="0" fillId="0" borderId="0" xfId="0" applyFill="1" applyAlignment="1">
      <alignment horizontal="centerContinuous" vertical="center"/>
    </xf>
    <xf numFmtId="175" fontId="8" fillId="0" borderId="0" xfId="0" applyFont="1" applyFill="1" applyAlignment="1">
      <alignment horizontal="centerContinuous" vertical="center"/>
    </xf>
    <xf numFmtId="175" fontId="7" fillId="0" borderId="0" xfId="0" applyFont="1" applyFill="1" applyAlignment="1">
      <alignment horizontal="centerContinuous" vertical="top"/>
    </xf>
    <xf numFmtId="175" fontId="8" fillId="0" borderId="0" xfId="0" applyFont="1" applyFill="1" applyAlignment="1">
      <alignment horizontal="centerContinuous" vertical="top"/>
    </xf>
    <xf numFmtId="175" fontId="27" fillId="0" borderId="0" xfId="0" applyFont="1" applyAlignment="1">
      <alignment horizontal="right" vertical="center"/>
    </xf>
    <xf numFmtId="166" fontId="28" fillId="0" borderId="0" xfId="0" applyNumberFormat="1" applyFont="1" applyAlignment="1">
      <alignment horizontal="left" vertical="center"/>
    </xf>
    <xf numFmtId="175" fontId="11" fillId="5" borderId="11" xfId="0" applyFont="1" applyFill="1" applyBorder="1" applyAlignment="1">
      <alignment horizontal="centerContinuous" vertical="center"/>
    </xf>
    <xf numFmtId="175" fontId="11" fillId="5" borderId="11" xfId="0" applyFont="1" applyFill="1" applyBorder="1" applyAlignment="1">
      <alignment horizontal="centerContinuous"/>
    </xf>
    <xf numFmtId="175" fontId="11" fillId="0" borderId="16" xfId="0" applyFont="1" applyBorder="1" applyAlignment="1"/>
    <xf numFmtId="175" fontId="5" fillId="5" borderId="6" xfId="0" applyFont="1" applyFill="1" applyBorder="1" applyAlignment="1">
      <alignment horizontal="center" vertical="top"/>
    </xf>
    <xf numFmtId="175" fontId="6" fillId="5" borderId="6" xfId="0" applyFont="1" applyFill="1" applyBorder="1" applyAlignment="1">
      <alignment horizontal="center" vertical="top"/>
    </xf>
    <xf numFmtId="175" fontId="6" fillId="5" borderId="24" xfId="0" applyFont="1" applyFill="1" applyBorder="1" applyAlignment="1">
      <alignment horizontal="center" vertical="top"/>
    </xf>
    <xf numFmtId="175" fontId="6" fillId="0" borderId="7" xfId="0" applyFont="1" applyBorder="1" applyAlignment="1"/>
    <xf numFmtId="175" fontId="6" fillId="5" borderId="25" xfId="0" applyFont="1" applyFill="1" applyBorder="1" applyAlignment="1">
      <alignment horizontal="right"/>
    </xf>
    <xf numFmtId="175" fontId="6" fillId="0" borderId="0" xfId="0" applyFont="1" applyAlignment="1"/>
    <xf numFmtId="175" fontId="6" fillId="6" borderId="12" xfId="0" applyFont="1" applyFill="1" applyBorder="1" applyAlignment="1"/>
    <xf numFmtId="175" fontId="6" fillId="6" borderId="7" xfId="0" applyFont="1" applyFill="1" applyBorder="1" applyAlignment="1"/>
    <xf numFmtId="175" fontId="0" fillId="0" borderId="0" xfId="0" applyFill="1"/>
    <xf numFmtId="2" fontId="24" fillId="0" borderId="0" xfId="0" applyNumberFormat="1" applyFont="1" applyFill="1" applyBorder="1" applyAlignment="1">
      <alignment horizontal="center"/>
    </xf>
    <xf numFmtId="175" fontId="25" fillId="0" borderId="0" xfId="0" applyFont="1" applyFill="1" applyBorder="1" applyAlignment="1">
      <alignment horizontal="left"/>
    </xf>
    <xf numFmtId="175" fontId="26" fillId="0" borderId="0" xfId="0" applyFont="1" applyFill="1" applyBorder="1" applyAlignment="1">
      <alignment horizontal="left" vertical="top"/>
    </xf>
    <xf numFmtId="175" fontId="24" fillId="0" borderId="0" xfId="0" applyFont="1" applyFill="1" applyBorder="1"/>
    <xf numFmtId="175" fontId="24" fillId="0" borderId="0" xfId="0" applyFont="1" applyFill="1" applyBorder="1" applyAlignment="1">
      <alignment horizontal="right"/>
    </xf>
    <xf numFmtId="164" fontId="24" fillId="0" borderId="0" xfId="1" applyNumberFormat="1" applyFont="1" applyFill="1" applyBorder="1" applyAlignment="1">
      <alignment horizontal="left" vertical="top"/>
    </xf>
    <xf numFmtId="172" fontId="24" fillId="0" borderId="0" xfId="2" applyNumberFormat="1" applyFont="1" applyFill="1" applyBorder="1" applyAlignment="1">
      <alignment horizontal="left" vertical="top"/>
    </xf>
    <xf numFmtId="181" fontId="24" fillId="0" borderId="0" xfId="1" applyNumberFormat="1" applyFont="1" applyFill="1" applyBorder="1" applyAlignment="1">
      <alignment horizontal="left" vertical="top"/>
    </xf>
    <xf numFmtId="178" fontId="24" fillId="0" borderId="0" xfId="0" applyNumberFormat="1" applyFont="1" applyFill="1" applyBorder="1" applyAlignment="1">
      <alignment horizontal="left" vertical="top"/>
    </xf>
    <xf numFmtId="175" fontId="13" fillId="0" borderId="0" xfId="0" applyFont="1" applyFill="1" applyBorder="1" applyAlignment="1">
      <alignment horizontal="centerContinuous"/>
    </xf>
    <xf numFmtId="178" fontId="24" fillId="0" borderId="0" xfId="0" applyNumberFormat="1" applyFont="1" applyFill="1" applyBorder="1" applyAlignment="1">
      <alignment horizontal="right" vertical="top"/>
    </xf>
    <xf numFmtId="10" fontId="24" fillId="0" borderId="0" xfId="13" applyNumberFormat="1" applyFont="1" applyFill="1" applyBorder="1" applyAlignment="1">
      <alignment horizontal="center"/>
    </xf>
    <xf numFmtId="180" fontId="24" fillId="0" borderId="0" xfId="0" applyNumberFormat="1" applyFont="1" applyFill="1" applyBorder="1"/>
    <xf numFmtId="179" fontId="24" fillId="0" borderId="0" xfId="0" applyNumberFormat="1" applyFont="1" applyFill="1" applyBorder="1"/>
    <xf numFmtId="172" fontId="24" fillId="0" borderId="0" xfId="2" applyNumberFormat="1" applyFont="1" applyFill="1" applyBorder="1"/>
    <xf numFmtId="164" fontId="24" fillId="0" borderId="0" xfId="1" applyNumberFormat="1" applyFont="1" applyFill="1" applyBorder="1"/>
    <xf numFmtId="175" fontId="24" fillId="0" borderId="0" xfId="0" applyFont="1" applyFill="1" applyBorder="1" applyAlignment="1">
      <alignment horizontal="left" vertical="top"/>
    </xf>
    <xf numFmtId="10" fontId="24" fillId="0" borderId="0" xfId="13" applyNumberFormat="1" applyFont="1" applyFill="1" applyBorder="1" applyAlignment="1">
      <alignment horizontal="left" vertical="top"/>
    </xf>
    <xf numFmtId="175" fontId="24" fillId="7" borderId="0" xfId="0" applyFont="1" applyFill="1" applyAlignment="1">
      <alignment horizontal="center"/>
    </xf>
    <xf numFmtId="175" fontId="24" fillId="7" borderId="0" xfId="0" applyFont="1" applyFill="1"/>
    <xf numFmtId="10" fontId="24" fillId="7" borderId="0" xfId="13" applyNumberFormat="1" applyFont="1" applyFill="1" applyAlignment="1">
      <alignment horizontal="center"/>
    </xf>
    <xf numFmtId="9" fontId="24" fillId="7" borderId="0" xfId="13" applyFont="1" applyFill="1"/>
    <xf numFmtId="175" fontId="25" fillId="7" borderId="0" xfId="0" applyFont="1" applyFill="1" applyBorder="1" applyAlignment="1">
      <alignment horizontal="centerContinuous"/>
    </xf>
    <xf numFmtId="175" fontId="24" fillId="7" borderId="9" xfId="0" applyFont="1" applyFill="1" applyBorder="1"/>
    <xf numFmtId="175" fontId="26" fillId="7" borderId="0" xfId="0" applyFont="1" applyFill="1" applyBorder="1" applyAlignment="1">
      <alignment horizontal="center"/>
    </xf>
    <xf numFmtId="175" fontId="26" fillId="7" borderId="0" xfId="0" applyFont="1" applyFill="1" applyBorder="1" applyAlignment="1">
      <alignment horizontal="left" vertical="top"/>
    </xf>
    <xf numFmtId="180" fontId="24" fillId="7" borderId="0" xfId="0" applyNumberFormat="1" applyFont="1" applyFill="1"/>
    <xf numFmtId="179" fontId="24" fillId="7" borderId="0" xfId="0" applyNumberFormat="1" applyFont="1" applyFill="1"/>
    <xf numFmtId="172" fontId="24" fillId="7" borderId="0" xfId="2" applyNumberFormat="1" applyFont="1" applyFill="1"/>
    <xf numFmtId="8" fontId="24" fillId="7" borderId="0" xfId="0" applyNumberFormat="1" applyFont="1" applyFill="1" applyAlignment="1">
      <alignment horizontal="left"/>
    </xf>
    <xf numFmtId="177" fontId="24" fillId="7" borderId="0" xfId="0" applyNumberFormat="1" applyFont="1" applyFill="1" applyAlignment="1">
      <alignment horizontal="center"/>
    </xf>
    <xf numFmtId="43" fontId="24" fillId="7" borderId="0" xfId="1" applyFont="1" applyFill="1" applyAlignment="1">
      <alignment horizontal="right"/>
    </xf>
    <xf numFmtId="175" fontId="24" fillId="7" borderId="0" xfId="0" applyFont="1" applyFill="1" applyAlignment="1">
      <alignment horizontal="right"/>
    </xf>
    <xf numFmtId="164" fontId="24" fillId="7" borderId="0" xfId="1" applyNumberFormat="1" applyFont="1" applyFill="1" applyAlignment="1">
      <alignment horizontal="right"/>
    </xf>
    <xf numFmtId="175" fontId="24" fillId="7" borderId="0" xfId="0" applyFont="1" applyFill="1" applyBorder="1" applyAlignment="1">
      <alignment horizontal="right"/>
    </xf>
    <xf numFmtId="178" fontId="24" fillId="7" borderId="0" xfId="0" applyNumberFormat="1" applyFont="1" applyFill="1" applyBorder="1" applyAlignment="1">
      <alignment horizontal="right"/>
    </xf>
    <xf numFmtId="164" fontId="24" fillId="7" borderId="0" xfId="1" applyNumberFormat="1" applyFont="1" applyFill="1" applyBorder="1" applyAlignment="1">
      <alignment horizontal="right"/>
    </xf>
    <xf numFmtId="172" fontId="24" fillId="7" borderId="0" xfId="2" applyNumberFormat="1" applyFont="1" applyFill="1" applyBorder="1" applyAlignment="1">
      <alignment horizontal="left" vertical="top"/>
    </xf>
    <xf numFmtId="181" fontId="24" fillId="7" borderId="0" xfId="1" applyNumberFormat="1" applyFont="1" applyFill="1" applyBorder="1" applyAlignment="1">
      <alignment horizontal="left" vertical="top"/>
    </xf>
    <xf numFmtId="175" fontId="24" fillId="7" borderId="0" xfId="0" applyFont="1" applyFill="1" applyAlignment="1">
      <alignment horizontal="left" vertical="top"/>
    </xf>
    <xf numFmtId="178" fontId="24" fillId="7" borderId="0" xfId="0" applyNumberFormat="1" applyFont="1" applyFill="1" applyBorder="1" applyAlignment="1">
      <alignment horizontal="left" vertical="top"/>
    </xf>
    <xf numFmtId="182" fontId="24" fillId="7" borderId="0" xfId="1" applyNumberFormat="1" applyFont="1" applyFill="1" applyAlignment="1">
      <alignment horizontal="left" vertical="top"/>
    </xf>
    <xf numFmtId="10" fontId="24" fillId="7" borderId="0" xfId="13" applyNumberFormat="1" applyFont="1" applyFill="1" applyAlignment="1">
      <alignment horizontal="right"/>
    </xf>
    <xf numFmtId="175" fontId="24" fillId="7" borderId="0" xfId="0" applyFont="1" applyFill="1" applyBorder="1"/>
    <xf numFmtId="175" fontId="0" fillId="0" borderId="0" xfId="0" applyBorder="1"/>
    <xf numFmtId="175" fontId="0" fillId="0" borderId="0" xfId="0" applyFill="1" applyBorder="1"/>
    <xf numFmtId="175" fontId="6" fillId="0" borderId="0" xfId="0" applyFont="1" applyFill="1" applyAlignment="1">
      <alignment horizontal="centerContinuous"/>
    </xf>
    <xf numFmtId="175" fontId="6" fillId="0" borderId="0" xfId="0" applyFont="1" applyFill="1"/>
    <xf numFmtId="175" fontId="14" fillId="0" borderId="18" xfId="0" applyFont="1" applyFill="1" applyBorder="1" applyAlignment="1">
      <alignment horizontal="centerContinuous"/>
    </xf>
    <xf numFmtId="175" fontId="14" fillId="0" borderId="14" xfId="0" applyFont="1" applyFill="1" applyBorder="1" applyAlignment="1">
      <alignment horizontal="centerContinuous"/>
    </xf>
    <xf numFmtId="175" fontId="14" fillId="0" borderId="0" xfId="0" applyFont="1" applyFill="1" applyAlignment="1">
      <alignment horizontal="centerContinuous"/>
    </xf>
    <xf numFmtId="0" fontId="14" fillId="0" borderId="0" xfId="22" applyFont="1" applyFill="1" applyAlignment="1">
      <alignment horizontal="centerContinuous"/>
    </xf>
    <xf numFmtId="175" fontId="23" fillId="0" borderId="0" xfId="0" applyFont="1" applyFill="1" applyAlignment="1">
      <alignment horizontal="centerContinuous"/>
    </xf>
    <xf numFmtId="175" fontId="0" fillId="0" borderId="0" xfId="9" quotePrefix="1" applyFont="1" applyFill="1"/>
    <xf numFmtId="175" fontId="4" fillId="0" borderId="0" xfId="0" applyFont="1" applyFill="1" applyBorder="1" applyAlignment="1">
      <alignment horizontal="center"/>
    </xf>
    <xf numFmtId="175" fontId="5" fillId="0" borderId="0" xfId="0" applyFont="1" applyFill="1" applyAlignment="1">
      <alignment horizontal="right"/>
    </xf>
    <xf numFmtId="183" fontId="6" fillId="0" borderId="0" xfId="0" applyNumberFormat="1" applyFont="1" applyFill="1"/>
    <xf numFmtId="175" fontId="6" fillId="0" borderId="0" xfId="0" applyFont="1" applyFill="1" applyAlignment="1">
      <alignment horizontal="left"/>
    </xf>
    <xf numFmtId="0" fontId="23" fillId="0" borderId="0" xfId="22" applyFont="1" applyFill="1" applyBorder="1" applyAlignment="1">
      <alignment horizontal="center"/>
    </xf>
    <xf numFmtId="175" fontId="23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29" fillId="0" borderId="13" xfId="22" applyFont="1" applyFill="1" applyBorder="1" applyAlignment="1">
      <alignment horizontal="center"/>
    </xf>
    <xf numFmtId="175" fontId="23" fillId="0" borderId="11" xfId="0" applyFont="1" applyFill="1" applyBorder="1" applyAlignment="1">
      <alignment horizontal="centerContinuous"/>
    </xf>
    <xf numFmtId="175" fontId="5" fillId="0" borderId="0" xfId="0" applyFont="1" applyFill="1"/>
    <xf numFmtId="175" fontId="5" fillId="0" borderId="28" xfId="0" applyFont="1" applyFill="1" applyBorder="1" applyAlignment="1">
      <alignment horizontal="center"/>
    </xf>
    <xf numFmtId="175" fontId="5" fillId="0" borderId="29" xfId="0" applyFont="1" applyFill="1" applyBorder="1" applyAlignment="1">
      <alignment horizontal="center"/>
    </xf>
    <xf numFmtId="0" fontId="23" fillId="0" borderId="15" xfId="22" applyFont="1" applyFill="1" applyBorder="1" applyAlignment="1">
      <alignment horizontal="center"/>
    </xf>
    <xf numFmtId="175" fontId="5" fillId="0" borderId="8" xfId="0" applyFont="1" applyFill="1" applyBorder="1" applyAlignment="1">
      <alignment horizontal="center"/>
    </xf>
    <xf numFmtId="175" fontId="5" fillId="0" borderId="5" xfId="0" applyFont="1" applyFill="1" applyBorder="1" applyAlignment="1">
      <alignment horizontal="center"/>
    </xf>
    <xf numFmtId="175" fontId="5" fillId="0" borderId="17" xfId="0" applyFont="1" applyFill="1" applyBorder="1" applyAlignment="1">
      <alignment horizontal="center"/>
    </xf>
    <xf numFmtId="175" fontId="6" fillId="0" borderId="30" xfId="0" applyFont="1" applyFill="1" applyBorder="1"/>
    <xf numFmtId="175" fontId="5" fillId="0" borderId="31" xfId="0" quotePrefix="1" applyFont="1" applyFill="1" applyBorder="1" applyAlignment="1">
      <alignment horizontal="center"/>
    </xf>
    <xf numFmtId="0" fontId="30" fillId="0" borderId="8" xfId="22" applyFont="1" applyFill="1" applyBorder="1" applyAlignment="1">
      <alignment horizontal="center"/>
    </xf>
    <xf numFmtId="175" fontId="30" fillId="0" borderId="15" xfId="0" applyFont="1" applyFill="1" applyBorder="1" applyAlignment="1">
      <alignment horizontal="center"/>
    </xf>
    <xf numFmtId="175" fontId="30" fillId="0" borderId="11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176" fontId="6" fillId="0" borderId="0" xfId="2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39" fontId="6" fillId="0" borderId="0" xfId="1" applyNumberFormat="1" applyFont="1" applyFill="1" applyAlignment="1">
      <alignment horizontal="center"/>
    </xf>
    <xf numFmtId="17" fontId="4" fillId="0" borderId="12" xfId="0" applyNumberFormat="1" applyFont="1" applyFill="1" applyBorder="1" applyAlignment="1">
      <alignment horizontal="center"/>
    </xf>
    <xf numFmtId="4" fontId="4" fillId="0" borderId="12" xfId="2" applyNumberFormat="1" applyFont="1" applyFill="1" applyBorder="1" applyAlignment="1">
      <alignment horizontal="center"/>
    </xf>
    <xf numFmtId="4" fontId="4" fillId="0" borderId="6" xfId="2" applyNumberFormat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17" fontId="6" fillId="0" borderId="15" xfId="0" applyNumberFormat="1" applyFont="1" applyFill="1" applyBorder="1" applyAlignment="1">
      <alignment horizontal="center"/>
    </xf>
    <xf numFmtId="176" fontId="6" fillId="0" borderId="9" xfId="2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7" fontId="4" fillId="0" borderId="15" xfId="0" applyNumberFormat="1" applyFont="1" applyFill="1" applyBorder="1" applyAlignment="1">
      <alignment horizontal="center"/>
    </xf>
    <xf numFmtId="4" fontId="4" fillId="0" borderId="15" xfId="2" applyNumberFormat="1" applyFont="1" applyFill="1" applyBorder="1" applyAlignment="1">
      <alignment horizontal="center"/>
    </xf>
    <xf numFmtId="4" fontId="4" fillId="0" borderId="10" xfId="2" applyNumberFormat="1" applyFont="1" applyFill="1" applyBorder="1" applyAlignment="1">
      <alignment horizontal="center"/>
    </xf>
    <xf numFmtId="4" fontId="4" fillId="0" borderId="13" xfId="2" applyNumberFormat="1" applyFont="1" applyFill="1" applyBorder="1" applyAlignment="1">
      <alignment horizontal="center"/>
    </xf>
    <xf numFmtId="4" fontId="4" fillId="0" borderId="4" xfId="2" applyNumberFormat="1" applyFont="1" applyFill="1" applyBorder="1" applyAlignment="1">
      <alignment horizontal="center"/>
    </xf>
    <xf numFmtId="43" fontId="6" fillId="0" borderId="0" xfId="1" applyFont="1" applyFill="1"/>
    <xf numFmtId="39" fontId="6" fillId="0" borderId="11" xfId="1" applyNumberFormat="1" applyFont="1" applyFill="1" applyBorder="1" applyAlignment="1">
      <alignment horizontal="center"/>
    </xf>
    <xf numFmtId="175" fontId="6" fillId="0" borderId="11" xfId="0" applyFont="1" applyFill="1" applyBorder="1" applyAlignment="1">
      <alignment horizontal="centerContinuous"/>
    </xf>
    <xf numFmtId="43" fontId="6" fillId="0" borderId="11" xfId="1" applyNumberFormat="1" applyFont="1" applyFill="1" applyBorder="1" applyAlignment="1">
      <alignment horizontal="center"/>
    </xf>
    <xf numFmtId="175" fontId="6" fillId="0" borderId="0" xfId="0" applyFont="1" applyFill="1" applyAlignment="1">
      <alignment horizontal="center"/>
    </xf>
    <xf numFmtId="0" fontId="4" fillId="0" borderId="0" xfId="22" applyFont="1" applyFill="1" applyAlignment="1">
      <alignment horizontal="center"/>
    </xf>
    <xf numFmtId="175" fontId="6" fillId="8" borderId="0" xfId="0" applyFont="1" applyFill="1"/>
    <xf numFmtId="175" fontId="4" fillId="0" borderId="0" xfId="0" applyFont="1" applyFill="1"/>
    <xf numFmtId="175" fontId="4" fillId="0" borderId="0" xfId="0" applyFont="1" applyFill="1" applyAlignment="1">
      <alignment horizontal="center"/>
    </xf>
    <xf numFmtId="0" fontId="6" fillId="0" borderId="0" xfId="22" applyFont="1" applyFill="1" applyAlignment="1">
      <alignment horizontal="center"/>
    </xf>
    <xf numFmtId="175" fontId="4" fillId="0" borderId="11" xfId="0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175" fontId="6" fillId="0" borderId="0" xfId="0" applyFont="1" applyFill="1" applyAlignment="1">
      <alignment wrapText="1"/>
    </xf>
    <xf numFmtId="180" fontId="6" fillId="0" borderId="0" xfId="0" applyNumberFormat="1" applyFont="1" applyFill="1"/>
    <xf numFmtId="0" fontId="6" fillId="0" borderId="0" xfId="0" applyNumberFormat="1" applyFont="1" applyFill="1"/>
    <xf numFmtId="1" fontId="6" fillId="0" borderId="0" xfId="0" applyNumberFormat="1" applyFont="1" applyFill="1" applyAlignment="1">
      <alignment vertical="top"/>
    </xf>
    <xf numFmtId="175" fontId="0" fillId="0" borderId="12" xfId="0" applyFont="1" applyFill="1" applyBorder="1" applyAlignment="1">
      <alignment horizontal="centerContinuous" wrapText="1"/>
    </xf>
    <xf numFmtId="167" fontId="0" fillId="0" borderId="18" xfId="0" quotePrefix="1" applyNumberFormat="1" applyFont="1" applyFill="1" applyBorder="1" applyAlignment="1">
      <alignment horizontal="center"/>
    </xf>
    <xf numFmtId="175" fontId="6" fillId="0" borderId="12" xfId="0" applyFont="1" applyFill="1" applyBorder="1" applyAlignment="1">
      <alignment horizontal="center"/>
    </xf>
    <xf numFmtId="175" fontId="6" fillId="0" borderId="6" xfId="0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Continuous"/>
    </xf>
    <xf numFmtId="17" fontId="6" fillId="0" borderId="7" xfId="0" applyNumberFormat="1" applyFont="1" applyFill="1" applyBorder="1" applyAlignment="1">
      <alignment horizontal="center"/>
    </xf>
    <xf numFmtId="175" fontId="6" fillId="0" borderId="15" xfId="0" applyFont="1" applyFill="1" applyBorder="1"/>
    <xf numFmtId="175" fontId="6" fillId="0" borderId="15" xfId="0" applyFont="1" applyFill="1" applyBorder="1" applyAlignment="1">
      <alignment horizontal="centerContinuous"/>
    </xf>
    <xf numFmtId="175" fontId="6" fillId="0" borderId="16" xfId="0" applyFont="1" applyFill="1" applyBorder="1" applyAlignment="1">
      <alignment horizontal="center"/>
    </xf>
    <xf numFmtId="175" fontId="6" fillId="0" borderId="10" xfId="0" applyFont="1" applyFill="1" applyBorder="1" applyAlignment="1">
      <alignment horizontal="center"/>
    </xf>
    <xf numFmtId="175" fontId="6" fillId="0" borderId="0" xfId="0" quotePrefix="1" applyFont="1" applyFill="1" applyBorder="1" applyAlignment="1">
      <alignment horizontal="centerContinuous"/>
    </xf>
    <xf numFmtId="175" fontId="6" fillId="0" borderId="0" xfId="0" quotePrefix="1" applyFont="1" applyFill="1" applyBorder="1" applyAlignment="1">
      <alignment horizontal="center"/>
    </xf>
    <xf numFmtId="175" fontId="6" fillId="0" borderId="13" xfId="0" quotePrefix="1" applyFont="1" applyFill="1" applyBorder="1" applyAlignment="1">
      <alignment horizontal="centerContinuous"/>
    </xf>
    <xf numFmtId="175" fontId="6" fillId="0" borderId="12" xfId="0" quotePrefix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80" fontId="6" fillId="0" borderId="0" xfId="0" applyNumberFormat="1" applyFont="1" applyFill="1" applyBorder="1"/>
    <xf numFmtId="10" fontId="6" fillId="0" borderId="0" xfId="0" applyNumberFormat="1" applyFont="1" applyFill="1" applyAlignment="1">
      <alignment horizontal="center"/>
    </xf>
    <xf numFmtId="175" fontId="6" fillId="0" borderId="0" xfId="0" applyFont="1" applyFill="1" applyAlignment="1">
      <alignment horizontal="right"/>
    </xf>
    <xf numFmtId="3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8" applyFont="1"/>
    <xf numFmtId="179" fontId="6" fillId="0" borderId="0" xfId="0" applyNumberFormat="1" applyFont="1" applyFill="1"/>
    <xf numFmtId="164" fontId="11" fillId="0" borderId="11" xfId="23" applyNumberFormat="1" applyFont="1" applyBorder="1" applyAlignment="1">
      <alignment horizontal="center"/>
    </xf>
    <xf numFmtId="164" fontId="11" fillId="0" borderId="10" xfId="23" applyNumberFormat="1" applyFont="1" applyBorder="1" applyAlignment="1">
      <alignment horizontal="center"/>
    </xf>
    <xf numFmtId="175" fontId="6" fillId="0" borderId="32" xfId="0" applyFont="1" applyBorder="1" applyAlignment="1"/>
    <xf numFmtId="175" fontId="5" fillId="0" borderId="33" xfId="0" applyFont="1" applyBorder="1" applyAlignment="1"/>
    <xf numFmtId="164" fontId="11" fillId="0" borderId="21" xfId="23" applyNumberFormat="1" applyFont="1" applyBorder="1" applyAlignment="1">
      <alignment horizontal="center"/>
    </xf>
    <xf numFmtId="175" fontId="6" fillId="0" borderId="15" xfId="0" applyFont="1" applyBorder="1" applyAlignment="1"/>
    <xf numFmtId="170" fontId="11" fillId="0" borderId="10" xfId="23" applyNumberFormat="1" applyFont="1" applyBorder="1" applyAlignment="1">
      <alignment horizontal="center"/>
    </xf>
    <xf numFmtId="170" fontId="11" fillId="0" borderId="11" xfId="23" applyNumberFormat="1" applyFont="1" applyBorder="1" applyAlignment="1">
      <alignment horizontal="center"/>
    </xf>
    <xf numFmtId="170" fontId="11" fillId="0" borderId="21" xfId="23" applyNumberFormat="1" applyFont="1" applyBorder="1" applyAlignment="1">
      <alignment horizontal="center"/>
    </xf>
    <xf numFmtId="164" fontId="11" fillId="0" borderId="6" xfId="23" applyNumberFormat="1" applyFont="1" applyBorder="1" applyAlignment="1">
      <alignment horizontal="center"/>
    </xf>
    <xf numFmtId="175" fontId="6" fillId="5" borderId="34" xfId="0" applyFont="1" applyFill="1" applyBorder="1" applyAlignment="1">
      <alignment horizontal="right"/>
    </xf>
    <xf numFmtId="164" fontId="11" fillId="5" borderId="27" xfId="23" applyNumberFormat="1" applyFont="1" applyFill="1" applyBorder="1" applyAlignment="1">
      <alignment horizontal="center"/>
    </xf>
    <xf numFmtId="164" fontId="11" fillId="5" borderId="26" xfId="23" applyNumberFormat="1" applyFont="1" applyFill="1" applyBorder="1" applyAlignment="1">
      <alignment horizontal="center"/>
    </xf>
    <xf numFmtId="164" fontId="11" fillId="0" borderId="0" xfId="23" applyNumberFormat="1" applyFont="1" applyFill="1" applyBorder="1" applyAlignment="1">
      <alignment horizontal="center"/>
    </xf>
    <xf numFmtId="164" fontId="11" fillId="5" borderId="11" xfId="23" applyNumberFormat="1" applyFont="1" applyFill="1" applyBorder="1" applyAlignment="1">
      <alignment horizontal="center"/>
    </xf>
    <xf numFmtId="9" fontId="0" fillId="0" borderId="0" xfId="13" applyNumberFormat="1" applyFont="1" applyFill="1"/>
    <xf numFmtId="175" fontId="8" fillId="0" borderId="0" xfId="0" applyFont="1" applyFill="1" applyAlignment="1">
      <alignment horizontal="left"/>
    </xf>
    <xf numFmtId="8" fontId="24" fillId="0" borderId="0" xfId="0" applyNumberFormat="1" applyFont="1" applyFill="1"/>
    <xf numFmtId="180" fontId="24" fillId="0" borderId="0" xfId="0" applyNumberFormat="1" applyFont="1" applyFill="1"/>
    <xf numFmtId="8" fontId="24" fillId="0" borderId="0" xfId="0" applyNumberFormat="1" applyFont="1" applyFill="1" applyAlignment="1">
      <alignment horizontal="center"/>
    </xf>
    <xf numFmtId="175" fontId="11" fillId="5" borderId="11" xfId="0" applyFont="1" applyFill="1" applyBorder="1" applyAlignment="1"/>
    <xf numFmtId="1" fontId="11" fillId="5" borderId="11" xfId="0" applyNumberFormat="1" applyFont="1" applyFill="1" applyBorder="1" applyAlignment="1">
      <alignment horizontal="center"/>
    </xf>
    <xf numFmtId="0" fontId="11" fillId="5" borderId="11" xfId="0" applyNumberFormat="1" applyFont="1" applyFill="1" applyBorder="1" applyAlignment="1">
      <alignment horizontal="center"/>
    </xf>
    <xf numFmtId="175" fontId="7" fillId="5" borderId="11" xfId="0" applyFont="1" applyFill="1" applyBorder="1" applyAlignment="1">
      <alignment horizontal="centerContinuous"/>
    </xf>
    <xf numFmtId="175" fontId="5" fillId="5" borderId="37" xfId="0" applyFont="1" applyFill="1" applyBorder="1" applyAlignment="1">
      <alignment horizontal="center" vertical="top"/>
    </xf>
    <xf numFmtId="175" fontId="6" fillId="0" borderId="38" xfId="0" applyFont="1" applyBorder="1" applyAlignment="1"/>
    <xf numFmtId="175" fontId="6" fillId="0" borderId="37" xfId="0" applyFont="1" applyBorder="1" applyAlignment="1"/>
    <xf numFmtId="175" fontId="6" fillId="0" borderId="39" xfId="0" applyFont="1" applyBorder="1" applyAlignment="1"/>
    <xf numFmtId="175" fontId="6" fillId="5" borderId="12" xfId="0" applyFont="1" applyFill="1" applyBorder="1" applyAlignment="1">
      <alignment horizontal="center" vertical="top"/>
    </xf>
    <xf numFmtId="175" fontId="6" fillId="0" borderId="11" xfId="0" applyFont="1" applyBorder="1" applyAlignment="1"/>
    <xf numFmtId="175" fontId="6" fillId="0" borderId="40" xfId="0" applyFont="1" applyBorder="1" applyAlignment="1"/>
    <xf numFmtId="164" fontId="11" fillId="0" borderId="41" xfId="23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44" fontId="0" fillId="0" borderId="0" xfId="2" applyFont="1" applyFill="1"/>
    <xf numFmtId="8" fontId="0" fillId="0" borderId="41" xfId="0" applyNumberFormat="1" applyFont="1" applyFill="1" applyBorder="1" applyAlignment="1">
      <alignment horizontal="center"/>
    </xf>
    <xf numFmtId="8" fontId="0" fillId="0" borderId="40" xfId="0" applyNumberFormat="1" applyFont="1" applyFill="1" applyBorder="1" applyAlignment="1">
      <alignment horizontal="center"/>
    </xf>
    <xf numFmtId="175" fontId="5" fillId="0" borderId="0" xfId="0" applyFont="1" applyFill="1" applyBorder="1" applyAlignment="1">
      <alignment horizontal="centerContinuous" wrapText="1"/>
    </xf>
    <xf numFmtId="175" fontId="6" fillId="0" borderId="37" xfId="0" applyFont="1" applyFill="1" applyBorder="1"/>
    <xf numFmtId="175" fontId="6" fillId="0" borderId="40" xfId="0" applyFont="1" applyFill="1" applyBorder="1" applyAlignment="1">
      <alignment horizontal="center"/>
    </xf>
    <xf numFmtId="175" fontId="6" fillId="0" borderId="36" xfId="0" applyFont="1" applyFill="1" applyBorder="1" applyAlignment="1">
      <alignment horizontal="center"/>
    </xf>
    <xf numFmtId="175" fontId="5" fillId="9" borderId="42" xfId="0" applyFont="1" applyFill="1" applyBorder="1" applyAlignment="1">
      <alignment horizontal="centerContinuous"/>
    </xf>
    <xf numFmtId="175" fontId="6" fillId="9" borderId="43" xfId="0" applyFont="1" applyFill="1" applyBorder="1" applyAlignment="1">
      <alignment horizontal="centerContinuous"/>
    </xf>
    <xf numFmtId="175" fontId="6" fillId="9" borderId="44" xfId="0" applyFont="1" applyFill="1" applyBorder="1" applyAlignment="1">
      <alignment horizontal="centerContinuous"/>
    </xf>
    <xf numFmtId="175" fontId="0" fillId="0" borderId="0" xfId="0" applyAlignment="1">
      <alignment horizontal="right"/>
    </xf>
    <xf numFmtId="175" fontId="0" fillId="0" borderId="0" xfId="0" applyAlignment="1">
      <alignment horizontal="right" indent="1"/>
    </xf>
    <xf numFmtId="175" fontId="0" fillId="0" borderId="0" xfId="9" applyFont="1" applyFill="1" applyAlignment="1">
      <alignment horizontal="left" wrapText="1"/>
    </xf>
    <xf numFmtId="175" fontId="31" fillId="0" borderId="0" xfId="9" applyFont="1" applyFill="1"/>
    <xf numFmtId="175" fontId="32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right"/>
    </xf>
    <xf numFmtId="175" fontId="31" fillId="0" borderId="0" xfId="9" applyFont="1" applyFill="1" applyBorder="1" applyAlignment="1">
      <alignment horizontal="centerContinuous"/>
    </xf>
    <xf numFmtId="175" fontId="31" fillId="0" borderId="0" xfId="9" applyFont="1" applyFill="1" applyBorder="1"/>
    <xf numFmtId="175" fontId="31" fillId="0" borderId="7" xfId="9" applyFont="1" applyFill="1" applyBorder="1"/>
    <xf numFmtId="175" fontId="33" fillId="0" borderId="4" xfId="9" applyFont="1" applyFill="1" applyBorder="1" applyAlignment="1">
      <alignment horizontal="center"/>
    </xf>
    <xf numFmtId="175" fontId="33" fillId="0" borderId="4" xfId="9" applyFont="1" applyFill="1" applyBorder="1" applyAlignment="1">
      <alignment horizontal="center" wrapText="1"/>
    </xf>
    <xf numFmtId="175" fontId="34" fillId="0" borderId="10" xfId="9" applyFont="1" applyFill="1" applyBorder="1" applyAlignment="1">
      <alignment horizontal="centerContinuous"/>
    </xf>
    <xf numFmtId="175" fontId="35" fillId="0" borderId="0" xfId="9" quotePrefix="1" applyFont="1" applyFill="1" applyBorder="1" applyAlignment="1">
      <alignment horizontal="center"/>
    </xf>
    <xf numFmtId="175" fontId="36" fillId="0" borderId="0" xfId="9" applyFont="1" applyFill="1" applyBorder="1"/>
    <xf numFmtId="0" fontId="31" fillId="0" borderId="0" xfId="9" applyNumberFormat="1" applyFont="1" applyFill="1"/>
    <xf numFmtId="6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Border="1" applyAlignment="1">
      <alignment horizontal="right"/>
    </xf>
    <xf numFmtId="166" fontId="31" fillId="0" borderId="0" xfId="9" applyNumberFormat="1" applyFont="1" applyFill="1" applyAlignment="1">
      <alignment horizontal="center"/>
    </xf>
    <xf numFmtId="168" fontId="31" fillId="0" borderId="0" xfId="9" applyNumberFormat="1" applyFont="1" applyFill="1" applyBorder="1"/>
    <xf numFmtId="43" fontId="31" fillId="0" borderId="0" xfId="9" applyNumberFormat="1" applyFont="1" applyFill="1"/>
    <xf numFmtId="8" fontId="31" fillId="0" borderId="0" xfId="9" applyNumberFormat="1" applyFont="1" applyFill="1" applyBorder="1"/>
    <xf numFmtId="0" fontId="31" fillId="0" borderId="9" xfId="9" applyNumberFormat="1" applyFont="1" applyFill="1" applyBorder="1"/>
    <xf numFmtId="166" fontId="31" fillId="0" borderId="9" xfId="9" applyNumberFormat="1" applyFont="1" applyFill="1" applyBorder="1" applyAlignment="1">
      <alignment horizontal="center"/>
    </xf>
    <xf numFmtId="8" fontId="31" fillId="0" borderId="9" xfId="9" applyNumberFormat="1" applyFont="1" applyFill="1" applyBorder="1"/>
    <xf numFmtId="0" fontId="31" fillId="0" borderId="0" xfId="9" applyNumberFormat="1" applyFont="1" applyFill="1" applyBorder="1"/>
    <xf numFmtId="166" fontId="31" fillId="0" borderId="0" xfId="9" applyNumberFormat="1" applyFont="1" applyFill="1" applyBorder="1" applyAlignment="1">
      <alignment horizontal="center"/>
    </xf>
    <xf numFmtId="8" fontId="31" fillId="0" borderId="0" xfId="9" applyNumberFormat="1" applyFont="1" applyFill="1" applyBorder="1" applyAlignment="1">
      <alignment horizontal="center"/>
    </xf>
    <xf numFmtId="43" fontId="31" fillId="0" borderId="0" xfId="9" applyNumberFormat="1" applyFont="1" applyFill="1" applyBorder="1"/>
    <xf numFmtId="41" fontId="31" fillId="0" borderId="0" xfId="7" applyFont="1" applyFill="1"/>
    <xf numFmtId="41" fontId="31" fillId="0" borderId="0" xfId="7" applyFont="1" applyFill="1" applyAlignment="1">
      <alignment horizontal="center"/>
    </xf>
    <xf numFmtId="8" fontId="31" fillId="0" borderId="0" xfId="7" applyNumberFormat="1" applyFont="1" applyFill="1" applyBorder="1"/>
    <xf numFmtId="175" fontId="33" fillId="0" borderId="19" xfId="9" applyFont="1" applyFill="1" applyBorder="1" applyAlignment="1">
      <alignment horizontal="centerContinuous"/>
    </xf>
    <xf numFmtId="175" fontId="33" fillId="0" borderId="20" xfId="9" applyFont="1" applyFill="1" applyBorder="1" applyAlignment="1">
      <alignment horizontal="centerContinuous"/>
    </xf>
    <xf numFmtId="175" fontId="33" fillId="0" borderId="21" xfId="9" applyFont="1" applyFill="1" applyBorder="1" applyAlignment="1">
      <alignment horizontal="centerContinuous"/>
    </xf>
    <xf numFmtId="41" fontId="33" fillId="0" borderId="20" xfId="7" applyFont="1" applyFill="1" applyBorder="1" applyAlignment="1">
      <alignment horizontal="centerContinuous"/>
    </xf>
    <xf numFmtId="41" fontId="33" fillId="0" borderId="22" xfId="7" applyFont="1" applyFill="1" applyBorder="1" applyAlignment="1">
      <alignment horizontal="centerContinuous"/>
    </xf>
    <xf numFmtId="6" fontId="31" fillId="0" borderId="0" xfId="2" applyNumberFormat="1" applyFont="1" applyFill="1"/>
    <xf numFmtId="41" fontId="31" fillId="0" borderId="0" xfId="7" applyFont="1" applyFill="1" applyAlignment="1">
      <alignment horizontal="left"/>
    </xf>
    <xf numFmtId="41" fontId="37" fillId="0" borderId="0" xfId="7" applyFont="1" applyFill="1"/>
    <xf numFmtId="164" fontId="37" fillId="0" borderId="0" xfId="7" applyNumberFormat="1" applyFont="1" applyFill="1"/>
    <xf numFmtId="8" fontId="31" fillId="0" borderId="0" xfId="2" applyNumberFormat="1" applyFont="1" applyFill="1"/>
    <xf numFmtId="175" fontId="31" fillId="0" borderId="0" xfId="0" applyFont="1" applyFill="1"/>
    <xf numFmtId="8" fontId="37" fillId="0" borderId="0" xfId="2" applyNumberFormat="1" applyFont="1" applyFill="1"/>
    <xf numFmtId="177" fontId="31" fillId="0" borderId="0" xfId="7" applyNumberFormat="1" applyFont="1" applyFill="1" applyBorder="1"/>
    <xf numFmtId="9" fontId="31" fillId="0" borderId="0" xfId="9" applyNumberFormat="1" applyFont="1" applyFill="1"/>
    <xf numFmtId="170" fontId="31" fillId="0" borderId="0" xfId="7" applyNumberFormat="1" applyFont="1" applyFill="1"/>
    <xf numFmtId="43" fontId="31" fillId="0" borderId="0" xfId="7" applyNumberFormat="1" applyFont="1" applyFill="1"/>
    <xf numFmtId="164" fontId="31" fillId="0" borderId="0" xfId="7" applyNumberFormat="1" applyFont="1" applyFill="1"/>
    <xf numFmtId="175" fontId="33" fillId="0" borderId="4" xfId="0" applyFont="1" applyFill="1" applyBorder="1" applyAlignment="1">
      <alignment horizontal="centerContinuous" wrapText="1"/>
    </xf>
    <xf numFmtId="175" fontId="33" fillId="0" borderId="4" xfId="0" applyFont="1" applyFill="1" applyBorder="1" applyAlignment="1">
      <alignment horizontal="center" wrapText="1"/>
    </xf>
    <xf numFmtId="175" fontId="35" fillId="0" borderId="0" xfId="0" quotePrefix="1" applyFont="1" applyFill="1" applyBorder="1" applyAlignment="1">
      <alignment horizontal="center"/>
    </xf>
    <xf numFmtId="8" fontId="31" fillId="0" borderId="0" xfId="0" applyNumberFormat="1" applyFont="1" applyFill="1" applyBorder="1"/>
    <xf numFmtId="173" fontId="31" fillId="0" borderId="0" xfId="9" applyNumberFormat="1" applyFont="1" applyFill="1"/>
    <xf numFmtId="175" fontId="38" fillId="0" borderId="0" xfId="9" applyFont="1" applyFill="1" applyAlignment="1">
      <alignment horizontal="centerContinuous"/>
    </xf>
    <xf numFmtId="175" fontId="33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"/>
    </xf>
    <xf numFmtId="41" fontId="31" fillId="0" borderId="0" xfId="9" applyNumberFormat="1" applyFont="1" applyFill="1" applyBorder="1"/>
    <xf numFmtId="174" fontId="31" fillId="0" borderId="0" xfId="9" applyNumberFormat="1" applyFont="1" applyFill="1" applyBorder="1"/>
    <xf numFmtId="175" fontId="33" fillId="0" borderId="20" xfId="0" applyFont="1" applyFill="1" applyBorder="1" applyAlignment="1">
      <alignment horizontal="centerContinuous"/>
    </xf>
    <xf numFmtId="175" fontId="33" fillId="0" borderId="23" xfId="0" applyFont="1" applyFill="1" applyBorder="1" applyAlignment="1">
      <alignment horizontal="centerContinuous"/>
    </xf>
    <xf numFmtId="175" fontId="31" fillId="0" borderId="22" xfId="0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Continuous"/>
    </xf>
    <xf numFmtId="175" fontId="33" fillId="0" borderId="5" xfId="9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"/>
    </xf>
    <xf numFmtId="41" fontId="31" fillId="0" borderId="0" xfId="9" applyNumberFormat="1" applyFont="1" applyFill="1"/>
    <xf numFmtId="169" fontId="31" fillId="0" borderId="0" xfId="13" applyNumberFormat="1" applyFont="1" applyFill="1"/>
    <xf numFmtId="41" fontId="37" fillId="0" borderId="0" xfId="9" applyNumberFormat="1" applyFont="1" applyFill="1"/>
    <xf numFmtId="169" fontId="37" fillId="0" borderId="0" xfId="13" applyNumberFormat="1" applyFont="1" applyFill="1"/>
    <xf numFmtId="6" fontId="37" fillId="0" borderId="0" xfId="2" applyNumberFormat="1" applyFont="1" applyFill="1"/>
    <xf numFmtId="175" fontId="31" fillId="0" borderId="0" xfId="9" applyFont="1" applyFill="1" applyAlignment="1">
      <alignment horizontal="left"/>
    </xf>
    <xf numFmtId="41" fontId="31" fillId="0" borderId="0" xfId="9" applyNumberFormat="1" applyFont="1" applyFill="1" applyAlignment="1">
      <alignment horizontal="center"/>
    </xf>
    <xf numFmtId="175" fontId="37" fillId="0" borderId="0" xfId="9" applyFont="1" applyFill="1"/>
    <xf numFmtId="41" fontId="37" fillId="0" borderId="0" xfId="9" applyNumberFormat="1" applyFont="1" applyFill="1" applyAlignment="1">
      <alignment horizontal="center"/>
    </xf>
    <xf numFmtId="169" fontId="31" fillId="0" borderId="0" xfId="9" applyNumberFormat="1" applyFont="1" applyFill="1"/>
    <xf numFmtId="164" fontId="35" fillId="0" borderId="0" xfId="9" applyNumberFormat="1" applyFont="1" applyFill="1" applyAlignment="1">
      <alignment horizontal="right"/>
    </xf>
    <xf numFmtId="175" fontId="33" fillId="0" borderId="0" xfId="9" applyFont="1" applyFill="1"/>
    <xf numFmtId="175" fontId="33" fillId="0" borderId="11" xfId="0" applyFont="1" applyFill="1" applyBorder="1" applyAlignment="1">
      <alignment horizontal="center"/>
    </xf>
    <xf numFmtId="175" fontId="33" fillId="0" borderId="8" xfId="9" applyFont="1" applyFill="1" applyBorder="1" applyAlignment="1">
      <alignment horizontal="centerContinuous"/>
    </xf>
    <xf numFmtId="175" fontId="31" fillId="0" borderId="5" xfId="0" applyFont="1" applyFill="1" applyBorder="1" applyAlignment="1">
      <alignment horizontal="centerContinuous"/>
    </xf>
    <xf numFmtId="175" fontId="31" fillId="0" borderId="17" xfId="0" applyFont="1" applyFill="1" applyBorder="1" applyAlignment="1">
      <alignment horizontal="centerContinuous"/>
    </xf>
    <xf numFmtId="172" fontId="31" fillId="0" borderId="0" xfId="2" applyNumberFormat="1" applyFont="1" applyFill="1"/>
    <xf numFmtId="164" fontId="31" fillId="0" borderId="0" xfId="1" applyNumberFormat="1" applyFont="1" applyFill="1"/>
    <xf numFmtId="177" fontId="31" fillId="0" borderId="0" xfId="0" applyNumberFormat="1" applyFont="1" applyFill="1" applyBorder="1"/>
    <xf numFmtId="169" fontId="31" fillId="0" borderId="0" xfId="0" applyNumberFormat="1" applyFont="1" applyFill="1"/>
    <xf numFmtId="43" fontId="31" fillId="0" borderId="0" xfId="1" applyFont="1" applyFill="1"/>
    <xf numFmtId="1" fontId="31" fillId="0" borderId="0" xfId="9" applyNumberFormat="1" applyFont="1" applyFill="1"/>
    <xf numFmtId="10" fontId="31" fillId="0" borderId="0" xfId="9" applyNumberFormat="1" applyFont="1" applyFill="1"/>
    <xf numFmtId="1" fontId="31" fillId="0" borderId="0" xfId="10" applyNumberFormat="1" applyFont="1" applyFill="1" applyAlignment="1" applyProtection="1">
      <alignment horizontal="center"/>
      <protection locked="0"/>
    </xf>
    <xf numFmtId="175" fontId="33" fillId="0" borderId="19" xfId="0" applyFont="1" applyFill="1" applyBorder="1" applyAlignment="1">
      <alignment horizontal="centerContinuous" wrapText="1"/>
    </xf>
    <xf numFmtId="175" fontId="31" fillId="0" borderId="20" xfId="0" applyFont="1" applyFill="1" applyBorder="1" applyAlignment="1">
      <alignment horizontal="centerContinuous" wrapText="1"/>
    </xf>
    <xf numFmtId="175" fontId="31" fillId="0" borderId="22" xfId="0" applyFont="1" applyFill="1" applyBorder="1" applyAlignment="1">
      <alignment horizontal="centerContinuous" wrapText="1"/>
    </xf>
    <xf numFmtId="175" fontId="31" fillId="0" borderId="0" xfId="0" applyFont="1" applyFill="1" applyBorder="1"/>
    <xf numFmtId="175" fontId="35" fillId="0" borderId="10" xfId="9" quotePrefix="1" applyFont="1" applyFill="1" applyBorder="1" applyAlignment="1">
      <alignment horizontal="center" wrapText="1"/>
    </xf>
    <xf numFmtId="175" fontId="35" fillId="0" borderId="10" xfId="9" applyFont="1" applyFill="1" applyBorder="1" applyAlignment="1">
      <alignment horizontal="center" wrapText="1"/>
    </xf>
    <xf numFmtId="175" fontId="35" fillId="0" borderId="10" xfId="0" applyFont="1" applyFill="1" applyBorder="1" applyAlignment="1">
      <alignment horizontal="center" wrapText="1"/>
    </xf>
    <xf numFmtId="175" fontId="35" fillId="0" borderId="10" xfId="0" quotePrefix="1" applyFont="1" applyFill="1" applyBorder="1" applyAlignment="1">
      <alignment horizontal="center" wrapText="1"/>
    </xf>
    <xf numFmtId="175" fontId="6" fillId="0" borderId="35" xfId="0" applyFont="1" applyFill="1" applyBorder="1"/>
    <xf numFmtId="175" fontId="5" fillId="0" borderId="19" xfId="0" applyFont="1" applyFill="1" applyBorder="1" applyAlignment="1">
      <alignment horizontal="centerContinuous"/>
    </xf>
    <xf numFmtId="175" fontId="5" fillId="0" borderId="22" xfId="0" applyFont="1" applyFill="1" applyBorder="1" applyAlignment="1">
      <alignment horizontal="centerContinuous"/>
    </xf>
    <xf numFmtId="175" fontId="7" fillId="0" borderId="0" xfId="9" applyFont="1" applyFill="1" applyAlignment="1">
      <alignment horizontal="center"/>
    </xf>
    <xf numFmtId="175" fontId="0" fillId="0" borderId="0" xfId="9" applyFont="1" applyFill="1" applyAlignment="1">
      <alignment horizontal="center"/>
    </xf>
    <xf numFmtId="169" fontId="39" fillId="0" borderId="0" xfId="13" applyNumberFormat="1" applyFont="1" applyFill="1"/>
    <xf numFmtId="175" fontId="0" fillId="0" borderId="0" xfId="9" applyFont="1" applyFill="1" applyAlignment="1">
      <alignment horizontal="centerContinuous" wrapText="1"/>
    </xf>
    <xf numFmtId="175" fontId="7" fillId="5" borderId="42" xfId="0" applyFont="1" applyFill="1" applyBorder="1" applyAlignment="1">
      <alignment horizontal="centerContinuous" wrapText="1"/>
    </xf>
    <xf numFmtId="175" fontId="7" fillId="5" borderId="44" xfId="0" applyFont="1" applyFill="1" applyBorder="1" applyAlignment="1">
      <alignment horizontal="centerContinuous" wrapText="1"/>
    </xf>
    <xf numFmtId="175" fontId="5" fillId="6" borderId="42" xfId="0" applyFont="1" applyFill="1" applyBorder="1" applyAlignment="1"/>
    <xf numFmtId="175" fontId="6" fillId="6" borderId="42" xfId="0" applyFont="1" applyFill="1" applyBorder="1" applyAlignment="1"/>
    <xf numFmtId="175" fontId="6" fillId="6" borderId="43" xfId="0" applyFont="1" applyFill="1" applyBorder="1" applyAlignment="1"/>
    <xf numFmtId="175" fontId="6" fillId="6" borderId="44" xfId="0" applyFont="1" applyFill="1" applyBorder="1" applyAlignment="1"/>
    <xf numFmtId="164" fontId="11" fillId="0" borderId="10" xfId="23" applyNumberFormat="1" applyFont="1" applyFill="1" applyBorder="1" applyAlignment="1">
      <alignment horizontal="center"/>
    </xf>
    <xf numFmtId="164" fontId="11" fillId="0" borderId="11" xfId="23" applyNumberFormat="1" applyFont="1" applyFill="1" applyBorder="1" applyAlignment="1">
      <alignment horizontal="center"/>
    </xf>
    <xf numFmtId="164" fontId="11" fillId="0" borderId="21" xfId="23" applyNumberFormat="1" applyFont="1" applyFill="1" applyBorder="1" applyAlignment="1">
      <alignment horizontal="center"/>
    </xf>
    <xf numFmtId="164" fontId="11" fillId="0" borderId="45" xfId="23" applyNumberFormat="1" applyFont="1" applyBorder="1" applyAlignment="1">
      <alignment horizontal="center"/>
    </xf>
    <xf numFmtId="164" fontId="11" fillId="0" borderId="45" xfId="23" applyNumberFormat="1" applyFont="1" applyFill="1" applyBorder="1" applyAlignment="1">
      <alignment horizontal="center"/>
    </xf>
    <xf numFmtId="170" fontId="11" fillId="0" borderId="10" xfId="23" applyNumberFormat="1" applyFont="1" applyFill="1" applyBorder="1" applyAlignment="1">
      <alignment horizontal="center"/>
    </xf>
    <xf numFmtId="170" fontId="11" fillId="0" borderId="11" xfId="23" applyNumberFormat="1" applyFont="1" applyFill="1" applyBorder="1" applyAlignment="1">
      <alignment horizontal="center"/>
    </xf>
    <xf numFmtId="170" fontId="11" fillId="0" borderId="21" xfId="23" applyNumberFormat="1" applyFont="1" applyFill="1" applyBorder="1" applyAlignment="1">
      <alignment horizontal="center"/>
    </xf>
    <xf numFmtId="175" fontId="6" fillId="0" borderId="42" xfId="0" applyFont="1" applyBorder="1" applyAlignment="1"/>
    <xf numFmtId="175" fontId="5" fillId="5" borderId="12" xfId="0" applyFont="1" applyFill="1" applyBorder="1" applyAlignment="1">
      <alignment horizontal="center" vertical="top"/>
    </xf>
    <xf numFmtId="175" fontId="6" fillId="5" borderId="6" xfId="0" applyFont="1" applyFill="1" applyBorder="1" applyAlignment="1">
      <alignment horizontal="right" vertical="top"/>
    </xf>
    <xf numFmtId="175" fontId="6" fillId="10" borderId="39" xfId="0" applyFont="1" applyFill="1" applyBorder="1" applyAlignment="1"/>
    <xf numFmtId="164" fontId="11" fillId="10" borderId="10" xfId="23" applyNumberFormat="1" applyFont="1" applyFill="1" applyBorder="1" applyAlignment="1">
      <alignment horizontal="center"/>
    </xf>
    <xf numFmtId="164" fontId="11" fillId="10" borderId="11" xfId="23" applyNumberFormat="1" applyFont="1" applyFill="1" applyBorder="1" applyAlignment="1">
      <alignment horizontal="center"/>
    </xf>
    <xf numFmtId="175" fontId="6" fillId="5" borderId="10" xfId="0" applyFont="1" applyFill="1" applyBorder="1" applyAlignment="1">
      <alignment horizontal="right" vertical="top"/>
    </xf>
    <xf numFmtId="175" fontId="6" fillId="10" borderId="38" xfId="0" applyFont="1" applyFill="1" applyBorder="1" applyAlignment="1"/>
    <xf numFmtId="164" fontId="11" fillId="10" borderId="6" xfId="23" applyNumberFormat="1" applyFont="1" applyFill="1" applyBorder="1" applyAlignment="1">
      <alignment horizontal="center"/>
    </xf>
    <xf numFmtId="175" fontId="6" fillId="5" borderId="42" xfId="0" applyFont="1" applyFill="1" applyBorder="1" applyAlignment="1">
      <alignment horizontal="right"/>
    </xf>
    <xf numFmtId="175" fontId="31" fillId="0" borderId="9" xfId="9" applyFont="1" applyFill="1" applyBorder="1" applyAlignment="1">
      <alignment horizontal="centerContinuous"/>
    </xf>
    <xf numFmtId="175" fontId="5" fillId="0" borderId="0" xfId="18" applyFont="1" applyFill="1"/>
    <xf numFmtId="175" fontId="5" fillId="0" borderId="11" xfId="18" applyFont="1" applyFill="1" applyBorder="1"/>
    <xf numFmtId="179" fontId="6" fillId="0" borderId="11" xfId="18" applyNumberFormat="1" applyFont="1" applyFill="1" applyBorder="1"/>
    <xf numFmtId="184" fontId="0" fillId="0" borderId="0" xfId="9" applyNumberFormat="1" applyFont="1" applyFill="1" applyBorder="1" applyAlignment="1">
      <alignment horizontal="center"/>
    </xf>
    <xf numFmtId="175" fontId="31" fillId="0" borderId="0" xfId="18" applyFont="1" applyFill="1"/>
    <xf numFmtId="175" fontId="31" fillId="0" borderId="0" xfId="18" applyFont="1" applyFill="1" applyAlignment="1">
      <alignment horizontal="centerContinuous"/>
    </xf>
    <xf numFmtId="175" fontId="33" fillId="0" borderId="36" xfId="18" applyFont="1" applyFill="1" applyBorder="1" applyAlignment="1">
      <alignment horizontal="centerContinuous" wrapText="1"/>
    </xf>
    <xf numFmtId="175" fontId="33" fillId="0" borderId="15" xfId="18" applyFont="1" applyFill="1" applyBorder="1" applyAlignment="1">
      <alignment horizontal="center"/>
    </xf>
    <xf numFmtId="175" fontId="33" fillId="0" borderId="9" xfId="18" applyFont="1" applyFill="1" applyBorder="1" applyAlignment="1">
      <alignment horizontal="center"/>
    </xf>
    <xf numFmtId="175" fontId="31" fillId="0" borderId="0" xfId="18" applyFont="1" applyFill="1" applyBorder="1"/>
    <xf numFmtId="175" fontId="31" fillId="0" borderId="0" xfId="26" applyFont="1" applyFill="1" applyBorder="1" applyAlignment="1">
      <alignment horizontal="center"/>
    </xf>
    <xf numFmtId="175" fontId="31" fillId="0" borderId="0" xfId="26" applyFont="1" applyFill="1" applyBorder="1"/>
    <xf numFmtId="169" fontId="31" fillId="0" borderId="0" xfId="27" applyNumberFormat="1" applyFont="1" applyFill="1" applyBorder="1"/>
    <xf numFmtId="0" fontId="24" fillId="0" borderId="9" xfId="0" applyNumberFormat="1" applyFont="1" applyFill="1" applyBorder="1" applyAlignment="1">
      <alignment horizontal="center"/>
    </xf>
    <xf numFmtId="176" fontId="24" fillId="0" borderId="9" xfId="0" applyNumberFormat="1" applyFont="1" applyFill="1" applyBorder="1" applyAlignment="1">
      <alignment horizontal="center"/>
    </xf>
    <xf numFmtId="175" fontId="6" fillId="0" borderId="37" xfId="0" applyFont="1" applyFill="1" applyBorder="1" applyAlignment="1">
      <alignment horizontal="center" wrapText="1"/>
    </xf>
    <xf numFmtId="185" fontId="31" fillId="0" borderId="0" xfId="28" applyNumberFormat="1" applyFont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75" fontId="0" fillId="0" borderId="41" xfId="0" applyFont="1" applyFill="1" applyBorder="1"/>
    <xf numFmtId="175" fontId="0" fillId="0" borderId="41" xfId="0" quotePrefix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"/>
    </xf>
    <xf numFmtId="175" fontId="0" fillId="0" borderId="5" xfId="0" applyFont="1" applyFill="1" applyBorder="1" applyAlignment="1">
      <alignment horizontal="center"/>
    </xf>
    <xf numFmtId="175" fontId="0" fillId="0" borderId="17" xfId="0" applyFont="1" applyFill="1" applyBorder="1" applyAlignment="1">
      <alignment horizontal="center"/>
    </xf>
    <xf numFmtId="175" fontId="0" fillId="0" borderId="0" xfId="9" applyFont="1" applyFill="1" applyAlignment="1">
      <alignment horizontal="left" wrapText="1"/>
    </xf>
    <xf numFmtId="175" fontId="5" fillId="0" borderId="0" xfId="18" applyFont="1" applyFill="1" applyAlignment="1">
      <alignment horizontal="center"/>
    </xf>
  </cellXfs>
  <cellStyles count="29">
    <cellStyle name="_x0013_" xfId="21"/>
    <cellStyle name="Comma" xfId="1" builtinId="3"/>
    <cellStyle name="Comma 2 2" xfId="23"/>
    <cellStyle name="Currency" xfId="2" builtinId="4"/>
    <cellStyle name="Currency 2" xfId="25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176" xfId="20"/>
    <cellStyle name="Normal 176 2" xfId="24"/>
    <cellStyle name="Normal 2" xfId="17"/>
    <cellStyle name="Normal 3" xfId="26"/>
    <cellStyle name="Normal 5" xfId="28"/>
    <cellStyle name="Normal_CG27 Official Base Case 03-31-05" xfId="22"/>
    <cellStyle name="Normal_DRR AC Study - Utah Valley - 53 MW 90 CF (2.28.2005)" xfId="7"/>
    <cellStyle name="Normal_INF_06_03_07" xfId="19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Normal_WY AC 2009 - AC Study (Wind Study)_2009 08 11" xfId="18"/>
    <cellStyle name="Password" xfId="12"/>
    <cellStyle name="Percent" xfId="13" builtinId="5"/>
    <cellStyle name="Percent 2" xfId="27"/>
    <cellStyle name="Unprot" xfId="14"/>
    <cellStyle name="Unprot$" xfId="15"/>
    <cellStyle name="Unprotect" xfId="16"/>
  </cellStyles>
  <dxfs count="2"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Avoided%20Cost%20Study%20_2017%2005%2002_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-%205a%20-%20GRID%20AC%20Study%20CONF%20_2017%2005%2015_Therm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QF%20Pricing%20Detail%20_2017%2005%2002_Therm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Data\45%20-%20UT%202016.Q4%20-%20Demand%20CONF%20_2017%2002%2027%20(1335.23%20MW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x%20Commission%20Approved\UT%20Sch%2037%202014%20-%20AC%20Study%20_2014%2005%2002%20OFPC%201403_LowCO2_Updated%20for%20Reconsiderat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4%20-%202a%20-%20L&amp;R%20%20Study%20_2014%2005%2004%201403%20OFPC%20Low%20CO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Public%20Workpapers\17-035-T07%20RMP%20Wkpr%20-%20UPSC%20Ordered%20AC%20Study%2005-30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56-57%20-%20Glen%20Canyon%20Solar%20-%20UT%20-%202016%20Aug\Scenario\37%20-%20Black%20Mtn%20II%20-%201---%20Price%20Comparison%20_2016%2007%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Public%20Workpapers\17-035-T07%20RMP%20Appendix%201%20-%20AC%20Study%20Summary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Data\Source%20Files\2017%20QF%20Pricing%20Request%20Study%20List%20_2017%2004%20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5%2004%2017\UT%20Sch%2037%202015%20-%202a%20-%20L&amp;R%20%20Study%20_2015%2004%2017_CCadj_RofR_aMW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VDOC"/>
    </sheetNames>
    <sheetDataSet>
      <sheetData sheetId="0">
        <row r="42">
          <cell r="I42">
            <v>6.5699999999999995E-2</v>
          </cell>
        </row>
      </sheetData>
      <sheetData sheetId="1" refreshError="1"/>
      <sheetData sheetId="2" refreshError="1"/>
      <sheetData sheetId="3">
        <row r="6">
          <cell r="M6">
            <v>10</v>
          </cell>
        </row>
        <row r="7">
          <cell r="M7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 refreshError="1"/>
      <sheetData sheetId="1">
        <row r="37">
          <cell r="B37" t="str">
            <v>Y</v>
          </cell>
        </row>
        <row r="45">
          <cell r="G45" t="str">
            <v>No</v>
          </cell>
        </row>
      </sheetData>
      <sheetData sheetId="2" refreshError="1"/>
      <sheetData sheetId="3">
        <row r="4">
          <cell r="D4" t="str">
            <v>Jan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  <sheetName val="VDOC"/>
      <sheetName val="Security"/>
      <sheetName val="SecurityCalc"/>
    </sheetNames>
    <sheetDataSet>
      <sheetData sheetId="0" refreshError="1"/>
      <sheetData sheetId="1" refreshError="1"/>
      <sheetData sheetId="2">
        <row r="1">
          <cell r="B1" t="str">
            <v>Utah Sch 37 Thermal</v>
          </cell>
        </row>
        <row r="4">
          <cell r="N4">
            <v>5.3167389786501484E-3</v>
          </cell>
        </row>
      </sheetData>
      <sheetData sheetId="3" refreshError="1"/>
      <sheetData sheetId="4">
        <row r="9">
          <cell r="K9" t="str">
            <v>No</v>
          </cell>
          <cell r="L9">
            <v>2015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WyoWind1"/>
      <sheetName val="WyoWind2"/>
      <sheetName val="WyoWind3"/>
      <sheetName val="WyoWind4"/>
      <sheetName val="WyoWind5"/>
      <sheetName val="0-GRID Potential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>
        <row r="3">
          <cell r="W3">
            <v>0.14499999999999999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1">
          <cell r="M1" t="str">
            <v>UT Sch 37 2014 - 2a - L&amp;R  Study _2014 05 04 1403 OFPC Low CO2.xlsm</v>
          </cell>
        </row>
        <row r="7">
          <cell r="D7" t="str">
            <v>Ut Sch 37 - 05a - Base Case _2014 05 04 (L&amp;R)</v>
          </cell>
        </row>
      </sheetData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>
        <row r="8">
          <cell r="A8" t="str">
            <v>REQUIREMENTS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Contract (HLH)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41275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OFPC 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>
            <v>2016</v>
          </cell>
          <cell r="C10">
            <v>1.9239999999999999</v>
          </cell>
          <cell r="D10">
            <v>2.274</v>
          </cell>
          <cell r="E10">
            <v>1.65</v>
          </cell>
          <cell r="F10">
            <v>1.7170000000000001</v>
          </cell>
        </row>
        <row r="11">
          <cell r="B11">
            <v>2017</v>
          </cell>
          <cell r="C11">
            <v>2.1459999999999999</v>
          </cell>
          <cell r="D11">
            <v>2.3210000000000002</v>
          </cell>
          <cell r="E11">
            <v>1.885</v>
          </cell>
          <cell r="F11">
            <v>1.863</v>
          </cell>
        </row>
        <row r="12">
          <cell r="B12">
            <v>2018</v>
          </cell>
          <cell r="C12">
            <v>2.407</v>
          </cell>
          <cell r="D12">
            <v>2.528</v>
          </cell>
          <cell r="E12">
            <v>2.1339999999999999</v>
          </cell>
          <cell r="F12">
            <v>1.96</v>
          </cell>
        </row>
        <row r="13">
          <cell r="B13">
            <v>2019</v>
          </cell>
          <cell r="C13">
            <v>2.472</v>
          </cell>
          <cell r="D13">
            <v>2.7890000000000001</v>
          </cell>
          <cell r="E13">
            <v>2.1800000000000002</v>
          </cell>
          <cell r="F13">
            <v>2.1760000000000002</v>
          </cell>
        </row>
        <row r="14">
          <cell r="B14">
            <v>2020</v>
          </cell>
          <cell r="C14">
            <v>2.7090000000000001</v>
          </cell>
          <cell r="D14">
            <v>2.8319999999999999</v>
          </cell>
          <cell r="E14">
            <v>2.39</v>
          </cell>
          <cell r="F14">
            <v>2.1709999999999998</v>
          </cell>
        </row>
        <row r="15">
          <cell r="B15">
            <v>2021</v>
          </cell>
          <cell r="C15">
            <v>2.8319999999999999</v>
          </cell>
          <cell r="D15">
            <v>3.113</v>
          </cell>
          <cell r="E15">
            <v>2.4940000000000002</v>
          </cell>
          <cell r="F15">
            <v>2.4529999999999998</v>
          </cell>
        </row>
        <row r="16">
          <cell r="B16">
            <v>2022</v>
          </cell>
          <cell r="C16">
            <v>3.0089999999999999</v>
          </cell>
          <cell r="D16">
            <v>3.4950000000000001</v>
          </cell>
          <cell r="E16">
            <v>2.665</v>
          </cell>
          <cell r="F16">
            <v>2.8490000000000002</v>
          </cell>
        </row>
        <row r="17">
          <cell r="B17">
            <v>2023</v>
          </cell>
          <cell r="C17">
            <v>3.1819999999999999</v>
          </cell>
          <cell r="D17">
            <v>3.8130000000000002</v>
          </cell>
          <cell r="E17">
            <v>2.831</v>
          </cell>
          <cell r="F17">
            <v>3.194</v>
          </cell>
        </row>
        <row r="18">
          <cell r="B18">
            <v>2024</v>
          </cell>
          <cell r="C18">
            <v>3.6440000000000001</v>
          </cell>
          <cell r="D18">
            <v>4.1479999999999997</v>
          </cell>
          <cell r="E18">
            <v>3.2349999999999999</v>
          </cell>
          <cell r="F18">
            <v>3.4590000000000001</v>
          </cell>
        </row>
        <row r="19">
          <cell r="B19">
            <v>2025</v>
          </cell>
          <cell r="C19">
            <v>3.9079999999999999</v>
          </cell>
          <cell r="D19">
            <v>4.3360000000000003</v>
          </cell>
          <cell r="E19">
            <v>3.4969999999999999</v>
          </cell>
          <cell r="F19">
            <v>3.6059999999999999</v>
          </cell>
        </row>
        <row r="20">
          <cell r="B20">
            <v>2026</v>
          </cell>
          <cell r="C20">
            <v>3.91</v>
          </cell>
          <cell r="D20">
            <v>4.5010000000000003</v>
          </cell>
          <cell r="E20">
            <v>3.4910000000000001</v>
          </cell>
          <cell r="F20">
            <v>3.7959999999999998</v>
          </cell>
        </row>
        <row r="21">
          <cell r="B21">
            <v>2027</v>
          </cell>
          <cell r="C21">
            <v>4.1689999999999996</v>
          </cell>
          <cell r="D21">
            <v>4.694</v>
          </cell>
          <cell r="E21">
            <v>3.726</v>
          </cell>
          <cell r="F21">
            <v>3.9870000000000001</v>
          </cell>
        </row>
        <row r="22">
          <cell r="B22">
            <v>2028</v>
          </cell>
          <cell r="C22">
            <v>6.1349999999999998</v>
          </cell>
          <cell r="D22">
            <v>6.1349999999999998</v>
          </cell>
          <cell r="E22">
            <v>3.222</v>
          </cell>
          <cell r="F22">
            <v>3.222</v>
          </cell>
        </row>
        <row r="23">
          <cell r="B23">
            <v>2029</v>
          </cell>
          <cell r="C23">
            <v>6.29</v>
          </cell>
          <cell r="D23">
            <v>6.29</v>
          </cell>
          <cell r="E23">
            <v>3.3149999999999999</v>
          </cell>
          <cell r="F23">
            <v>3.3149999999999999</v>
          </cell>
        </row>
        <row r="24">
          <cell r="B24">
            <v>2030</v>
          </cell>
          <cell r="C24">
            <v>6.5620000000000003</v>
          </cell>
          <cell r="D24">
            <v>6.5620000000000003</v>
          </cell>
          <cell r="E24">
            <v>3.5209999999999999</v>
          </cell>
          <cell r="F24">
            <v>3.5209999999999999</v>
          </cell>
        </row>
        <row r="25">
          <cell r="B25">
            <v>2031</v>
          </cell>
          <cell r="C25">
            <v>6.72</v>
          </cell>
          <cell r="D25">
            <v>6.72</v>
          </cell>
          <cell r="E25">
            <v>3.613</v>
          </cell>
          <cell r="F25">
            <v>3.613</v>
          </cell>
        </row>
        <row r="26">
          <cell r="B26">
            <v>2032</v>
          </cell>
          <cell r="C26">
            <v>6.8890000000000002</v>
          </cell>
          <cell r="D26">
            <v>6.8890000000000002</v>
          </cell>
          <cell r="E26">
            <v>3.7130000000000001</v>
          </cell>
          <cell r="F26">
            <v>3.7130000000000001</v>
          </cell>
        </row>
        <row r="27">
          <cell r="B27">
            <v>2033</v>
          </cell>
          <cell r="C27">
            <v>7.085</v>
          </cell>
          <cell r="D27">
            <v>7.085</v>
          </cell>
          <cell r="E27">
            <v>3.839</v>
          </cell>
          <cell r="F27">
            <v>3.839</v>
          </cell>
        </row>
      </sheetData>
      <sheetData sheetId="13">
        <row r="10">
          <cell r="B10">
            <v>2016</v>
          </cell>
          <cell r="C10">
            <v>1.641</v>
          </cell>
          <cell r="D10">
            <v>1.9910000000000001</v>
          </cell>
          <cell r="E10">
            <v>1.367</v>
          </cell>
          <cell r="F10">
            <v>1.4339999999999999</v>
          </cell>
        </row>
        <row r="11">
          <cell r="B11">
            <v>2017</v>
          </cell>
          <cell r="C11">
            <v>1.863</v>
          </cell>
          <cell r="D11">
            <v>2.0379999999999998</v>
          </cell>
          <cell r="E11">
            <v>1.6020000000000001</v>
          </cell>
          <cell r="F11">
            <v>1.58</v>
          </cell>
        </row>
        <row r="12">
          <cell r="B12">
            <v>2018</v>
          </cell>
          <cell r="C12">
            <v>2.1240000000000001</v>
          </cell>
          <cell r="D12">
            <v>2.2450000000000001</v>
          </cell>
          <cell r="E12">
            <v>1.851</v>
          </cell>
          <cell r="F12">
            <v>1.677</v>
          </cell>
        </row>
        <row r="13">
          <cell r="B13">
            <v>2019</v>
          </cell>
          <cell r="C13">
            <v>2.1890000000000001</v>
          </cell>
          <cell r="D13">
            <v>2.5059999999999998</v>
          </cell>
          <cell r="E13">
            <v>1.897</v>
          </cell>
          <cell r="F13">
            <v>1.893</v>
          </cell>
        </row>
        <row r="14">
          <cell r="B14">
            <v>2020</v>
          </cell>
          <cell r="C14">
            <v>2.4260000000000002</v>
          </cell>
          <cell r="D14">
            <v>2.5489999999999999</v>
          </cell>
          <cell r="E14">
            <v>2.1070000000000002</v>
          </cell>
          <cell r="F14">
            <v>1.8879999999999999</v>
          </cell>
        </row>
        <row r="15">
          <cell r="B15">
            <v>2021</v>
          </cell>
          <cell r="C15">
            <v>2.5489999999999999</v>
          </cell>
          <cell r="D15">
            <v>2.83</v>
          </cell>
          <cell r="E15">
            <v>2.2109999999999999</v>
          </cell>
          <cell r="F15">
            <v>2.17</v>
          </cell>
        </row>
        <row r="16">
          <cell r="B16">
            <v>2022</v>
          </cell>
          <cell r="C16">
            <v>2.726</v>
          </cell>
          <cell r="D16">
            <v>3.2120000000000002</v>
          </cell>
          <cell r="E16">
            <v>2.3820000000000001</v>
          </cell>
          <cell r="F16">
            <v>2.5659999999999998</v>
          </cell>
        </row>
        <row r="17">
          <cell r="B17">
            <v>2023</v>
          </cell>
          <cell r="C17">
            <v>2.899</v>
          </cell>
          <cell r="D17">
            <v>3.53</v>
          </cell>
          <cell r="E17">
            <v>2.548</v>
          </cell>
          <cell r="F17">
            <v>2.911</v>
          </cell>
        </row>
        <row r="18">
          <cell r="B18">
            <v>2024</v>
          </cell>
          <cell r="C18">
            <v>3.3610000000000002</v>
          </cell>
          <cell r="D18">
            <v>3.8650000000000002</v>
          </cell>
          <cell r="E18">
            <v>2.952</v>
          </cell>
          <cell r="F18">
            <v>3.1760000000000002</v>
          </cell>
        </row>
        <row r="19">
          <cell r="B19">
            <v>2025</v>
          </cell>
          <cell r="C19">
            <v>3.625</v>
          </cell>
          <cell r="D19">
            <v>4.0529999999999999</v>
          </cell>
          <cell r="E19">
            <v>3.214</v>
          </cell>
          <cell r="F19">
            <v>3.323</v>
          </cell>
        </row>
        <row r="20">
          <cell r="B20">
            <v>2026</v>
          </cell>
          <cell r="C20">
            <v>3.6269999999999998</v>
          </cell>
          <cell r="D20">
            <v>4.218</v>
          </cell>
          <cell r="E20">
            <v>3.2080000000000002</v>
          </cell>
          <cell r="F20">
            <v>3.5129999999999999</v>
          </cell>
        </row>
        <row r="21">
          <cell r="B21">
            <v>2027</v>
          </cell>
          <cell r="C21">
            <v>3.8860000000000001</v>
          </cell>
          <cell r="D21">
            <v>4.4109999999999996</v>
          </cell>
          <cell r="E21">
            <v>3.4430000000000001</v>
          </cell>
          <cell r="F21">
            <v>3.7040000000000002</v>
          </cell>
        </row>
        <row r="22">
          <cell r="B22">
            <v>2028</v>
          </cell>
          <cell r="C22">
            <v>3.9329999999999998</v>
          </cell>
          <cell r="D22">
            <v>3.9329999999999998</v>
          </cell>
          <cell r="E22">
            <v>2.9390000000000001</v>
          </cell>
          <cell r="F22">
            <v>2.9390000000000001</v>
          </cell>
        </row>
        <row r="23">
          <cell r="B23">
            <v>2029</v>
          </cell>
          <cell r="C23">
            <v>4.0460000000000003</v>
          </cell>
          <cell r="D23">
            <v>4.0460000000000003</v>
          </cell>
          <cell r="E23">
            <v>3.032</v>
          </cell>
          <cell r="F23">
            <v>3.032</v>
          </cell>
        </row>
        <row r="24">
          <cell r="B24">
            <v>2030</v>
          </cell>
          <cell r="C24">
            <v>4.2750000000000004</v>
          </cell>
          <cell r="D24">
            <v>4.2750000000000004</v>
          </cell>
          <cell r="E24">
            <v>3.238</v>
          </cell>
          <cell r="F24">
            <v>3.238</v>
          </cell>
        </row>
        <row r="25">
          <cell r="B25">
            <v>2031</v>
          </cell>
          <cell r="C25">
            <v>4.3899999999999997</v>
          </cell>
          <cell r="D25">
            <v>4.3899999999999997</v>
          </cell>
          <cell r="E25">
            <v>3.33</v>
          </cell>
          <cell r="F25">
            <v>3.33</v>
          </cell>
        </row>
        <row r="26">
          <cell r="B26">
            <v>2032</v>
          </cell>
          <cell r="C26">
            <v>4.5129999999999999</v>
          </cell>
          <cell r="D26">
            <v>4.5129999999999999</v>
          </cell>
          <cell r="E26">
            <v>3.43</v>
          </cell>
          <cell r="F26">
            <v>3.43</v>
          </cell>
        </row>
        <row r="27">
          <cell r="B27">
            <v>2033</v>
          </cell>
          <cell r="C27">
            <v>4.6630000000000003</v>
          </cell>
          <cell r="D27">
            <v>4.6630000000000003</v>
          </cell>
          <cell r="E27">
            <v>3.556</v>
          </cell>
          <cell r="F27">
            <v>3.556</v>
          </cell>
        </row>
      </sheetData>
      <sheetData sheetId="14">
        <row r="10">
          <cell r="B10">
            <v>2016</v>
          </cell>
          <cell r="C10">
            <v>1.706</v>
          </cell>
          <cell r="D10">
            <v>2.056</v>
          </cell>
          <cell r="E10">
            <v>1.4319999999999999</v>
          </cell>
          <cell r="F10">
            <v>1.4990000000000001</v>
          </cell>
        </row>
        <row r="11">
          <cell r="B11">
            <v>2017</v>
          </cell>
          <cell r="C11">
            <v>1.9279999999999999</v>
          </cell>
          <cell r="D11">
            <v>2.1030000000000002</v>
          </cell>
          <cell r="E11">
            <v>1.667</v>
          </cell>
          <cell r="F11">
            <v>1.645</v>
          </cell>
        </row>
        <row r="12">
          <cell r="B12">
            <v>2018</v>
          </cell>
          <cell r="C12">
            <v>2.1890000000000001</v>
          </cell>
          <cell r="D12">
            <v>2.31</v>
          </cell>
          <cell r="E12">
            <v>1.9159999999999999</v>
          </cell>
          <cell r="F12">
            <v>1.742</v>
          </cell>
        </row>
        <row r="13">
          <cell r="B13">
            <v>2019</v>
          </cell>
          <cell r="C13">
            <v>2.254</v>
          </cell>
          <cell r="D13">
            <v>2.5710000000000002</v>
          </cell>
          <cell r="E13">
            <v>1.962</v>
          </cell>
          <cell r="F13">
            <v>1.958</v>
          </cell>
        </row>
        <row r="14">
          <cell r="B14">
            <v>2020</v>
          </cell>
          <cell r="C14">
            <v>2.4910000000000001</v>
          </cell>
          <cell r="D14">
            <v>2.6139999999999999</v>
          </cell>
          <cell r="E14">
            <v>2.1720000000000002</v>
          </cell>
          <cell r="F14">
            <v>1.9530000000000001</v>
          </cell>
        </row>
        <row r="15">
          <cell r="B15">
            <v>2021</v>
          </cell>
          <cell r="C15">
            <v>2.6139999999999999</v>
          </cell>
          <cell r="D15">
            <v>2.895</v>
          </cell>
          <cell r="E15">
            <v>2.2759999999999998</v>
          </cell>
          <cell r="F15">
            <v>2.2349999999999999</v>
          </cell>
        </row>
        <row r="16">
          <cell r="B16">
            <v>2022</v>
          </cell>
          <cell r="C16">
            <v>2.7909999999999999</v>
          </cell>
          <cell r="D16">
            <v>3.2770000000000001</v>
          </cell>
          <cell r="E16">
            <v>2.4470000000000001</v>
          </cell>
          <cell r="F16">
            <v>2.6309999999999998</v>
          </cell>
        </row>
        <row r="17">
          <cell r="B17">
            <v>2023</v>
          </cell>
          <cell r="C17">
            <v>2.964</v>
          </cell>
          <cell r="D17">
            <v>3.5950000000000002</v>
          </cell>
          <cell r="E17">
            <v>2.613</v>
          </cell>
          <cell r="F17">
            <v>2.976</v>
          </cell>
        </row>
        <row r="18">
          <cell r="B18">
            <v>2024</v>
          </cell>
          <cell r="C18">
            <v>3.4260000000000002</v>
          </cell>
          <cell r="D18">
            <v>3.93</v>
          </cell>
          <cell r="E18">
            <v>3.0169999999999999</v>
          </cell>
          <cell r="F18">
            <v>3.2410000000000001</v>
          </cell>
        </row>
        <row r="19">
          <cell r="B19">
            <v>2025</v>
          </cell>
          <cell r="C19">
            <v>3.69</v>
          </cell>
          <cell r="D19">
            <v>4.1180000000000003</v>
          </cell>
          <cell r="E19">
            <v>3.2789999999999999</v>
          </cell>
          <cell r="F19">
            <v>3.3879999999999999</v>
          </cell>
        </row>
        <row r="20">
          <cell r="B20">
            <v>2026</v>
          </cell>
          <cell r="C20">
            <v>3.6920000000000002</v>
          </cell>
          <cell r="D20">
            <v>4.2830000000000004</v>
          </cell>
          <cell r="E20">
            <v>3.2730000000000001</v>
          </cell>
          <cell r="F20">
            <v>3.5779999999999998</v>
          </cell>
        </row>
        <row r="21">
          <cell r="B21">
            <v>2027</v>
          </cell>
          <cell r="C21">
            <v>3.9510000000000001</v>
          </cell>
          <cell r="D21">
            <v>4.476</v>
          </cell>
          <cell r="E21">
            <v>3.508</v>
          </cell>
          <cell r="F21">
            <v>3.7690000000000001</v>
          </cell>
        </row>
        <row r="22">
          <cell r="B22">
            <v>2028</v>
          </cell>
          <cell r="C22">
            <v>4.1429999999999998</v>
          </cell>
          <cell r="D22">
            <v>4.1429999999999998</v>
          </cell>
          <cell r="E22">
            <v>3.004</v>
          </cell>
          <cell r="F22">
            <v>3.004</v>
          </cell>
        </row>
        <row r="23">
          <cell r="B23">
            <v>2029</v>
          </cell>
          <cell r="C23">
            <v>4.26</v>
          </cell>
          <cell r="D23">
            <v>4.26</v>
          </cell>
          <cell r="E23">
            <v>3.097</v>
          </cell>
          <cell r="F23">
            <v>3.097</v>
          </cell>
        </row>
        <row r="24">
          <cell r="B24">
            <v>2030</v>
          </cell>
          <cell r="C24">
            <v>4.492</v>
          </cell>
          <cell r="D24">
            <v>4.492</v>
          </cell>
          <cell r="E24">
            <v>3.3029999999999999</v>
          </cell>
          <cell r="F24">
            <v>3.3029999999999999</v>
          </cell>
        </row>
        <row r="25">
          <cell r="B25">
            <v>2031</v>
          </cell>
          <cell r="C25">
            <v>4.6100000000000003</v>
          </cell>
          <cell r="D25">
            <v>4.6100000000000003</v>
          </cell>
          <cell r="E25">
            <v>3.395</v>
          </cell>
          <cell r="F25">
            <v>3.395</v>
          </cell>
        </row>
        <row r="26">
          <cell r="B26">
            <v>2032</v>
          </cell>
          <cell r="C26">
            <v>4.7370000000000001</v>
          </cell>
          <cell r="D26">
            <v>4.7370000000000001</v>
          </cell>
          <cell r="E26">
            <v>3.4950000000000001</v>
          </cell>
          <cell r="F26">
            <v>3.4950000000000001</v>
          </cell>
        </row>
        <row r="27">
          <cell r="B27">
            <v>2033</v>
          </cell>
          <cell r="C27">
            <v>4.8899999999999997</v>
          </cell>
          <cell r="D27">
            <v>4.8899999999999997</v>
          </cell>
          <cell r="E27">
            <v>3.621</v>
          </cell>
          <cell r="F27">
            <v>3.621</v>
          </cell>
        </row>
      </sheetData>
      <sheetData sheetId="15">
        <row r="10">
          <cell r="B10">
            <v>2016</v>
          </cell>
          <cell r="C10">
            <v>1.7450000000000001</v>
          </cell>
          <cell r="D10">
            <v>2.0950000000000002</v>
          </cell>
          <cell r="E10">
            <v>1.4710000000000001</v>
          </cell>
          <cell r="F10">
            <v>1.538</v>
          </cell>
        </row>
        <row r="11">
          <cell r="B11">
            <v>2017</v>
          </cell>
          <cell r="C11">
            <v>2.008</v>
          </cell>
          <cell r="D11">
            <v>2.1829999999999998</v>
          </cell>
          <cell r="E11">
            <v>1.7470000000000001</v>
          </cell>
          <cell r="F11">
            <v>1.7250000000000001</v>
          </cell>
        </row>
        <row r="12">
          <cell r="B12">
            <v>2018</v>
          </cell>
          <cell r="C12">
            <v>2.246</v>
          </cell>
          <cell r="D12">
            <v>2.367</v>
          </cell>
          <cell r="E12">
            <v>1.9730000000000001</v>
          </cell>
          <cell r="F12">
            <v>1.7989999999999999</v>
          </cell>
        </row>
        <row r="13">
          <cell r="B13">
            <v>2019</v>
          </cell>
          <cell r="C13">
            <v>2.3010000000000002</v>
          </cell>
          <cell r="D13">
            <v>2.6179999999999999</v>
          </cell>
          <cell r="E13">
            <v>2.0089999999999999</v>
          </cell>
          <cell r="F13">
            <v>2.0049999999999999</v>
          </cell>
        </row>
        <row r="14">
          <cell r="B14">
            <v>2020</v>
          </cell>
          <cell r="C14">
            <v>2.5489999999999999</v>
          </cell>
          <cell r="D14">
            <v>2.6720000000000002</v>
          </cell>
          <cell r="E14">
            <v>2.23</v>
          </cell>
          <cell r="F14">
            <v>2.0110000000000001</v>
          </cell>
        </row>
        <row r="15">
          <cell r="B15">
            <v>2021</v>
          </cell>
          <cell r="C15">
            <v>2.6749999999999998</v>
          </cell>
          <cell r="D15">
            <v>2.956</v>
          </cell>
          <cell r="E15">
            <v>2.3370000000000002</v>
          </cell>
          <cell r="F15">
            <v>2.2959999999999998</v>
          </cell>
        </row>
        <row r="16">
          <cell r="B16">
            <v>2022</v>
          </cell>
          <cell r="C16">
            <v>2.8420000000000001</v>
          </cell>
          <cell r="D16">
            <v>3.3279999999999998</v>
          </cell>
          <cell r="E16">
            <v>2.4980000000000002</v>
          </cell>
          <cell r="F16">
            <v>2.6819999999999999</v>
          </cell>
        </row>
        <row r="17">
          <cell r="B17">
            <v>2023</v>
          </cell>
          <cell r="C17">
            <v>2.9889999999999999</v>
          </cell>
          <cell r="D17">
            <v>3.62</v>
          </cell>
          <cell r="E17">
            <v>2.6379999999999999</v>
          </cell>
          <cell r="F17">
            <v>3.0009999999999999</v>
          </cell>
        </row>
        <row r="18">
          <cell r="B18">
            <v>2024</v>
          </cell>
          <cell r="C18">
            <v>3.4460000000000002</v>
          </cell>
          <cell r="D18">
            <v>3.95</v>
          </cell>
          <cell r="E18">
            <v>3.0369999999999999</v>
          </cell>
          <cell r="F18">
            <v>3.2610000000000001</v>
          </cell>
        </row>
        <row r="19">
          <cell r="B19">
            <v>2025</v>
          </cell>
          <cell r="C19">
            <v>3.7040000000000002</v>
          </cell>
          <cell r="D19">
            <v>4.1319999999999997</v>
          </cell>
          <cell r="E19">
            <v>3.2930000000000001</v>
          </cell>
          <cell r="F19">
            <v>3.4020000000000001</v>
          </cell>
        </row>
        <row r="20">
          <cell r="B20">
            <v>2026</v>
          </cell>
          <cell r="C20">
            <v>3.6869999999999998</v>
          </cell>
          <cell r="D20">
            <v>4.2779999999999996</v>
          </cell>
          <cell r="E20">
            <v>3.2679999999999998</v>
          </cell>
          <cell r="F20">
            <v>3.573</v>
          </cell>
        </row>
        <row r="21">
          <cell r="B21">
            <v>2027</v>
          </cell>
          <cell r="C21">
            <v>3.95</v>
          </cell>
          <cell r="D21">
            <v>4.4749999999999996</v>
          </cell>
          <cell r="E21">
            <v>3.5070000000000001</v>
          </cell>
          <cell r="F21">
            <v>3.7679999999999998</v>
          </cell>
        </row>
        <row r="22">
          <cell r="B22">
            <v>2028</v>
          </cell>
          <cell r="C22">
            <v>3.4079999999999999</v>
          </cell>
          <cell r="D22">
            <v>3.4079999999999999</v>
          </cell>
          <cell r="E22">
            <v>2.9849999999999999</v>
          </cell>
          <cell r="F22">
            <v>2.9849999999999999</v>
          </cell>
        </row>
        <row r="23">
          <cell r="B23">
            <v>2029</v>
          </cell>
          <cell r="C23">
            <v>3.468</v>
          </cell>
          <cell r="D23">
            <v>3.468</v>
          </cell>
          <cell r="E23">
            <v>3.0369999999999999</v>
          </cell>
          <cell r="F23">
            <v>3.0369999999999999</v>
          </cell>
        </row>
        <row r="24">
          <cell r="B24">
            <v>2030</v>
          </cell>
          <cell r="C24">
            <v>3.641</v>
          </cell>
          <cell r="D24">
            <v>3.641</v>
          </cell>
          <cell r="E24">
            <v>3.2010000000000001</v>
          </cell>
          <cell r="F24">
            <v>3.2010000000000001</v>
          </cell>
        </row>
        <row r="25">
          <cell r="B25">
            <v>2031</v>
          </cell>
          <cell r="C25">
            <v>3.7240000000000002</v>
          </cell>
          <cell r="D25">
            <v>3.7240000000000002</v>
          </cell>
          <cell r="E25">
            <v>3.2730000000000001</v>
          </cell>
          <cell r="F25">
            <v>3.2730000000000001</v>
          </cell>
        </row>
        <row r="26">
          <cell r="B26">
            <v>2032</v>
          </cell>
          <cell r="C26">
            <v>3.8029999999999999</v>
          </cell>
          <cell r="D26">
            <v>3.8029999999999999</v>
          </cell>
          <cell r="E26">
            <v>3.343</v>
          </cell>
          <cell r="F26">
            <v>3.343</v>
          </cell>
        </row>
        <row r="27">
          <cell r="B27">
            <v>2033</v>
          </cell>
          <cell r="C27">
            <v>3.9830000000000001</v>
          </cell>
          <cell r="D27">
            <v>3.9830000000000001</v>
          </cell>
          <cell r="E27">
            <v>3.5129999999999999</v>
          </cell>
          <cell r="F27">
            <v>3.5129999999999999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Comparison"/>
      <sheetName val="Pricing"/>
      <sheetName val="HLB"/>
      <sheetName val="Monthly"/>
      <sheetName val="Cap&amp;Energy"/>
      <sheetName val="CF Difference"/>
      <sheetName val="CostDifferences"/>
      <sheetName val="DollarBreakdown"/>
      <sheetName val="Summary"/>
    </sheetNames>
    <sheetDataSet>
      <sheetData sheetId="0" refreshError="1"/>
      <sheetData sheetId="1">
        <row r="33">
          <cell r="M33">
            <v>6.6600000000000006E-2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Portfolio"/>
      <sheetName val="Table 2 QF Queue"/>
      <sheetName val="Table 3 Comparison"/>
      <sheetName val="Table 4 Gas Price"/>
      <sheetName val=" Table 5 Electric Price"/>
      <sheetName val="Table 6 Integration"/>
      <sheetName val="--- Do Not Print ---&gt;"/>
      <sheetName val="Tariff Page"/>
      <sheetName val="Tariff Page Solar Fixed"/>
      <sheetName val="Tariff Page Solar Tracking"/>
      <sheetName val="Tariff Page Wind"/>
      <sheetName val="OFPC Source"/>
      <sheetName val="Table 1B QF Que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">
          <cell r="AN19">
            <v>0.18722294654498045</v>
          </cell>
        </row>
        <row r="20">
          <cell r="AN20">
            <v>0.3732290308561495</v>
          </cell>
        </row>
        <row r="21">
          <cell r="AN21">
            <v>0.1468057366362451</v>
          </cell>
        </row>
        <row r="22">
          <cell r="AN22">
            <v>0.29274228596262497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Degradation"/>
      <sheetName val="Location"/>
      <sheetName val="2017 QF Pricing Request Study L"/>
    </sheetNames>
    <definedNames>
      <definedName name="Active_CF" refersTo="='QF_Names'!$E$4:$E$102"/>
      <definedName name="Active_Deg_Method" refersTo="='QF_Names'!$N$4:$N$102"/>
      <definedName name="Active_Deg_Rate" refersTo="='QF_Names'!$M$4:$M$102"/>
      <definedName name="Active_Delivery_Point" refersTo="='QF_Names'!$C$4:$C$102"/>
      <definedName name="Active_MW" refersTo="='QF_Names'!$D$4:$D$102"/>
      <definedName name="Active_Name_Conf" refersTo="='QF_Names'!$A$4:$A$102"/>
      <definedName name="Active_Online" refersTo="='QF_Names'!$F$4:$F$102"/>
      <definedName name="Active_QF_Name" refersTo="='QF_Names'!$B$4:$B$102"/>
      <definedName name="Active_QF_Queue_Date" refersTo="='QF_Names'!$L$4:$L$102"/>
      <definedName name="Active_Status" refersTo="='QF_Names'!$K$4:$K$102"/>
    </definedNames>
    <sheetDataSet>
      <sheetData sheetId="0"/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Glen Canyon A Solar</v>
          </cell>
          <cell r="B8" t="str">
            <v>QF - 256 - UT - Solar</v>
          </cell>
          <cell r="C8" t="str">
            <v>PP-GC</v>
          </cell>
          <cell r="D8">
            <v>68</v>
          </cell>
          <cell r="E8">
            <v>0.32312986838571045</v>
          </cell>
          <cell r="F8">
            <v>43647</v>
          </cell>
          <cell r="K8" t="str">
            <v>Active</v>
          </cell>
          <cell r="L8">
            <v>42514.577777777777</v>
          </cell>
          <cell r="M8">
            <v>5.0000000000000001E-3</v>
          </cell>
          <cell r="N8" t="str">
            <v>Prior Year</v>
          </cell>
        </row>
        <row r="9">
          <cell r="A9" t="str">
            <v>Sage I Solar</v>
          </cell>
          <cell r="B9" t="str">
            <v>QF - 277 -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42564.390972222223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Sage II Solar</v>
          </cell>
          <cell r="B10" t="str">
            <v>QF - 278 - WY - Solar</v>
          </cell>
          <cell r="C10" t="str">
            <v>Trona</v>
          </cell>
          <cell r="D10">
            <v>20</v>
          </cell>
          <cell r="E10">
            <v>0.28240833333333337</v>
          </cell>
          <cell r="F10">
            <v>43739</v>
          </cell>
          <cell r="K10" t="str">
            <v>Active</v>
          </cell>
          <cell r="L10">
            <v>42564.390972222223</v>
          </cell>
          <cell r="M10">
            <v>6.0000000000000001E-3</v>
          </cell>
          <cell r="N10" t="str">
            <v>First Year</v>
          </cell>
        </row>
        <row r="11">
          <cell r="A11" t="str">
            <v>Sparrow Solar</v>
          </cell>
          <cell r="B11" t="str">
            <v>QF - 279 - OR - Solar</v>
          </cell>
          <cell r="C11" t="str">
            <v>West Main</v>
          </cell>
          <cell r="D11">
            <v>40</v>
          </cell>
          <cell r="E11">
            <v>0.30979452054794521</v>
          </cell>
          <cell r="F11">
            <v>43281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Ochoco Solar</v>
          </cell>
          <cell r="B12" t="str">
            <v>QF - 280 - OR - Solar</v>
          </cell>
          <cell r="C12" t="str">
            <v>Central Oregon</v>
          </cell>
          <cell r="D12">
            <v>40</v>
          </cell>
          <cell r="E12">
            <v>0.2791238584474886</v>
          </cell>
          <cell r="F12">
            <v>43435</v>
          </cell>
          <cell r="K12" t="str">
            <v>Active</v>
          </cell>
          <cell r="L12">
            <v>42580.675000000003</v>
          </cell>
          <cell r="M12">
            <v>5.0000000000000001E-3</v>
          </cell>
          <cell r="N12" t="str">
            <v>Prior Year</v>
          </cell>
        </row>
        <row r="13">
          <cell r="A13" t="str">
            <v>Ringtail Solar</v>
          </cell>
          <cell r="B13" t="str">
            <v>QF - 281 - OR - Solar</v>
          </cell>
          <cell r="C13" t="str">
            <v>West Main</v>
          </cell>
          <cell r="D13">
            <v>40</v>
          </cell>
          <cell r="E13">
            <v>0.24543093607305935</v>
          </cell>
          <cell r="F13">
            <v>43435</v>
          </cell>
          <cell r="K13" t="str">
            <v>Active</v>
          </cell>
          <cell r="L13">
            <v>42580.683333333334</v>
          </cell>
          <cell r="M13">
            <v>5.0000000000000001E-3</v>
          </cell>
          <cell r="N13" t="str">
            <v>Prior Year</v>
          </cell>
        </row>
        <row r="14">
          <cell r="A14" t="str">
            <v>Riverton PV1 Solar</v>
          </cell>
          <cell r="B14" t="str">
            <v>QF - 282 - WY - Solar</v>
          </cell>
          <cell r="C14" t="str">
            <v>Wyoming Northeast</v>
          </cell>
          <cell r="D14">
            <v>74.900000000000006</v>
          </cell>
          <cell r="E14">
            <v>0.30612898628917706</v>
          </cell>
          <cell r="F14">
            <v>43160</v>
          </cell>
          <cell r="K14" t="str">
            <v>Active</v>
          </cell>
          <cell r="L14">
            <v>42585.531944444447</v>
          </cell>
          <cell r="M14">
            <v>5.0000000000000001E-3</v>
          </cell>
          <cell r="N14" t="str">
            <v>Prior Year</v>
          </cell>
        </row>
        <row r="15">
          <cell r="A15" t="str">
            <v>Oregon Potential Solar</v>
          </cell>
          <cell r="B15" t="str">
            <v>QF - 284 - OR - Solar</v>
          </cell>
          <cell r="C15" t="str">
            <v>Central Oregon</v>
          </cell>
          <cell r="D15">
            <v>17.97</v>
          </cell>
          <cell r="E15">
            <v>0.25991088505834109</v>
          </cell>
          <cell r="F15">
            <v>43101</v>
          </cell>
          <cell r="K15" t="str">
            <v>Active</v>
          </cell>
          <cell r="L15">
            <v>42675</v>
          </cell>
          <cell r="M15">
            <v>5.1666666666666666E-3</v>
          </cell>
          <cell r="N15" t="str">
            <v>Prior Year</v>
          </cell>
        </row>
        <row r="16">
          <cell r="A16" t="str">
            <v>Boswell Springs I Wind</v>
          </cell>
          <cell r="B16" t="str">
            <v>QF - 285 - WY - Wind</v>
          </cell>
          <cell r="C16" t="str">
            <v>Wyoming Northeast</v>
          </cell>
          <cell r="D16">
            <v>80</v>
          </cell>
          <cell r="E16">
            <v>0.40697345890410958</v>
          </cell>
          <cell r="F16">
            <v>43465</v>
          </cell>
          <cell r="K16" t="str">
            <v>Active</v>
          </cell>
          <cell r="L16">
            <v>42594</v>
          </cell>
          <cell r="M16">
            <v>0</v>
          </cell>
          <cell r="N16" t="str">
            <v>First Year</v>
          </cell>
        </row>
        <row r="17">
          <cell r="A17" t="str">
            <v>Boswell Springs II Wind</v>
          </cell>
          <cell r="B17" t="str">
            <v>QF - 286 - WY - Wind</v>
          </cell>
          <cell r="C17" t="str">
            <v>Wyoming Northeast</v>
          </cell>
          <cell r="D17">
            <v>80</v>
          </cell>
          <cell r="E17">
            <v>0.40697345890410958</v>
          </cell>
          <cell r="F17">
            <v>43465</v>
          </cell>
          <cell r="K17" t="str">
            <v>Active</v>
          </cell>
          <cell r="L17">
            <v>42594</v>
          </cell>
          <cell r="M17">
            <v>0</v>
          </cell>
          <cell r="N17" t="str">
            <v>First Year</v>
          </cell>
        </row>
        <row r="18">
          <cell r="A18" t="str">
            <v>Boswell Springs III Wind</v>
          </cell>
          <cell r="B18" t="str">
            <v>QF - 287 - WY - Wind</v>
          </cell>
          <cell r="C18" t="str">
            <v>Wyoming Northeast</v>
          </cell>
          <cell r="D18">
            <v>80</v>
          </cell>
          <cell r="E18">
            <v>0.40697345890410958</v>
          </cell>
          <cell r="F18">
            <v>43465</v>
          </cell>
          <cell r="K18" t="str">
            <v>Active</v>
          </cell>
          <cell r="L18">
            <v>42594</v>
          </cell>
          <cell r="M18">
            <v>0</v>
          </cell>
          <cell r="N18" t="str">
            <v>First Year</v>
          </cell>
        </row>
        <row r="19">
          <cell r="A19" t="str">
            <v>Boswell Springs IV Wind</v>
          </cell>
          <cell r="B19" t="str">
            <v>QF - 288 - WY - Wind</v>
          </cell>
          <cell r="C19" t="str">
            <v>Wyoming Northeast</v>
          </cell>
          <cell r="D19">
            <v>80</v>
          </cell>
          <cell r="E19">
            <v>0.40697345890410958</v>
          </cell>
          <cell r="F19">
            <v>43465</v>
          </cell>
          <cell r="K19" t="str">
            <v>Active</v>
          </cell>
          <cell r="L19">
            <v>42594</v>
          </cell>
          <cell r="M19">
            <v>0</v>
          </cell>
          <cell r="N19" t="str">
            <v>First Year</v>
          </cell>
        </row>
        <row r="20">
          <cell r="A20" t="str">
            <v>Fremont Solar</v>
          </cell>
          <cell r="B20" t="str">
            <v>QF - 289 - UT - Solar</v>
          </cell>
          <cell r="C20" t="str">
            <v>Utah South</v>
          </cell>
          <cell r="D20">
            <v>80</v>
          </cell>
          <cell r="E20">
            <v>0.31172945205479452</v>
          </cell>
          <cell r="F20">
            <v>43435</v>
          </cell>
          <cell r="K20" t="str">
            <v>Active</v>
          </cell>
          <cell r="L20">
            <v>42620.643623379598</v>
          </cell>
          <cell r="M20">
            <v>7.4999999999999997E-3</v>
          </cell>
          <cell r="N20" t="str">
            <v>Prior Year</v>
          </cell>
        </row>
        <row r="21">
          <cell r="A21" t="str">
            <v>Milford Solar</v>
          </cell>
          <cell r="B21" t="str">
            <v>QF - 290 - UT - Solar</v>
          </cell>
          <cell r="C21" t="str">
            <v>Utah South</v>
          </cell>
          <cell r="D21">
            <v>80</v>
          </cell>
          <cell r="E21">
            <v>0.31513555936073057</v>
          </cell>
          <cell r="F21">
            <v>43435</v>
          </cell>
          <cell r="K21" t="str">
            <v>Active</v>
          </cell>
          <cell r="L21">
            <v>42620.643623379598</v>
          </cell>
          <cell r="M21">
            <v>7.4999999999999997E-3</v>
          </cell>
          <cell r="N21" t="str">
            <v>Prior Year</v>
          </cell>
        </row>
        <row r="22">
          <cell r="A22" t="str">
            <v>Rush Lake Solar</v>
          </cell>
          <cell r="B22" t="str">
            <v>QF - 291 - UT - Solar</v>
          </cell>
          <cell r="C22" t="str">
            <v>Utah South</v>
          </cell>
          <cell r="D22">
            <v>80</v>
          </cell>
          <cell r="E22">
            <v>0.31859446347031961</v>
          </cell>
          <cell r="F22">
            <v>43435</v>
          </cell>
          <cell r="K22" t="str">
            <v>Active</v>
          </cell>
          <cell r="L22">
            <v>42620.643623379598</v>
          </cell>
          <cell r="M22">
            <v>7.4999999999999997E-3</v>
          </cell>
          <cell r="N22" t="str">
            <v>Prior Year</v>
          </cell>
        </row>
        <row r="23">
          <cell r="A23" t="str">
            <v xml:space="preserve">Tableland Solar </v>
          </cell>
          <cell r="B23" t="str">
            <v>QF - 292 - OR - Solar</v>
          </cell>
          <cell r="C23" t="str">
            <v>West Main</v>
          </cell>
          <cell r="D23">
            <v>40</v>
          </cell>
          <cell r="E23">
            <v>0.28310787671232879</v>
          </cell>
          <cell r="F23">
            <v>43830</v>
          </cell>
          <cell r="K23" t="str">
            <v>Active</v>
          </cell>
          <cell r="L23">
            <v>42634.526388888888</v>
          </cell>
          <cell r="M23">
            <v>5.0000000000000001E-3</v>
          </cell>
          <cell r="N23" t="str">
            <v>First Year</v>
          </cell>
        </row>
        <row r="24">
          <cell r="A24" t="str">
            <v>Ponderosa Solar</v>
          </cell>
          <cell r="B24" t="str">
            <v>QF - 293 - OR - Solar</v>
          </cell>
          <cell r="C24" t="str">
            <v>Central Oregon</v>
          </cell>
          <cell r="D24">
            <v>50</v>
          </cell>
          <cell r="E24">
            <v>0.26696347031963469</v>
          </cell>
          <cell r="F24">
            <v>43830</v>
          </cell>
          <cell r="K24" t="str">
            <v>Active</v>
          </cell>
          <cell r="L24">
            <v>42634.526388888888</v>
          </cell>
          <cell r="M24">
            <v>5.0000000000000001E-3</v>
          </cell>
          <cell r="N24" t="str">
            <v>First Year</v>
          </cell>
        </row>
        <row r="25">
          <cell r="A25" t="str">
            <v>Hornet PV1 Solar</v>
          </cell>
          <cell r="B25" t="str">
            <v>QF - 300 - OR - Solar</v>
          </cell>
          <cell r="C25" t="str">
            <v>West Main</v>
          </cell>
          <cell r="D25">
            <v>15</v>
          </cell>
          <cell r="E25">
            <v>0.29340182648401825</v>
          </cell>
          <cell r="F25">
            <v>43435</v>
          </cell>
          <cell r="K25" t="str">
            <v>Active</v>
          </cell>
          <cell r="L25">
            <v>42649.5</v>
          </cell>
          <cell r="M25">
            <v>5.0000000000000001E-3</v>
          </cell>
          <cell r="N25" t="str">
            <v>Prior Year</v>
          </cell>
        </row>
        <row r="26">
          <cell r="A26" t="str">
            <v>Ft. Klamath PV1 Solar</v>
          </cell>
          <cell r="B26" t="str">
            <v>QF - 301 - OR - Solar</v>
          </cell>
          <cell r="C26" t="str">
            <v>West Main</v>
          </cell>
          <cell r="D26">
            <v>45</v>
          </cell>
          <cell r="E26">
            <v>0.28835109081684424</v>
          </cell>
          <cell r="F26">
            <v>43435</v>
          </cell>
          <cell r="K26" t="str">
            <v>Active</v>
          </cell>
          <cell r="L26">
            <v>42649.5</v>
          </cell>
          <cell r="M26">
            <v>5.0000000000000001E-3</v>
          </cell>
          <cell r="N26" t="str">
            <v>Prior Year</v>
          </cell>
        </row>
        <row r="27">
          <cell r="A27" t="str">
            <v>Sage III Solar</v>
          </cell>
          <cell r="B27" t="str">
            <v>QF - 302 - WY - Solar</v>
          </cell>
          <cell r="C27" t="str">
            <v>Trona</v>
          </cell>
          <cell r="D27">
            <v>16</v>
          </cell>
          <cell r="E27">
            <v>0.29317208904109587</v>
          </cell>
          <cell r="F27">
            <v>43739</v>
          </cell>
          <cell r="K27" t="str">
            <v>Active</v>
          </cell>
          <cell r="L27">
            <v>42650.347916666666</v>
          </cell>
          <cell r="M27">
            <v>6.0000000000000001E-3</v>
          </cell>
          <cell r="N27" t="str">
            <v>First Year</v>
          </cell>
        </row>
        <row r="28">
          <cell r="A28" t="str">
            <v>Dinosolar 1 Solar</v>
          </cell>
          <cell r="B28" t="str">
            <v>QF - 304 - WY - Solar</v>
          </cell>
          <cell r="C28" t="str">
            <v>Wyoming Northeast</v>
          </cell>
          <cell r="D28">
            <v>30</v>
          </cell>
          <cell r="E28">
            <v>0.27404870624048705</v>
          </cell>
          <cell r="F28">
            <v>43646</v>
          </cell>
          <cell r="K28" t="str">
            <v>Active</v>
          </cell>
          <cell r="L28">
            <v>42657.375</v>
          </cell>
          <cell r="M28">
            <v>5.0000000000000001E-3</v>
          </cell>
          <cell r="N28" t="str">
            <v>Prior Year</v>
          </cell>
        </row>
        <row r="29">
          <cell r="A29" t="str">
            <v>Dinosolar 2 Solar</v>
          </cell>
          <cell r="B29" t="str">
            <v>QF - 305 - WY - Solar</v>
          </cell>
          <cell r="C29" t="str">
            <v>Wyoming Northeast</v>
          </cell>
          <cell r="D29">
            <v>80</v>
          </cell>
          <cell r="E29">
            <v>0.27414526255707761</v>
          </cell>
          <cell r="F29">
            <v>43646</v>
          </cell>
          <cell r="K29" t="str">
            <v>Active</v>
          </cell>
          <cell r="L29">
            <v>42657.375</v>
          </cell>
          <cell r="M29">
            <v>5.0000000000000001E-3</v>
          </cell>
          <cell r="N29" t="str">
            <v>Prior Year</v>
          </cell>
        </row>
        <row r="30">
          <cell r="A30" t="str">
            <v>Rock Creek I Wind</v>
          </cell>
          <cell r="B30" t="str">
            <v>QF - 308 - WY - Wind</v>
          </cell>
          <cell r="C30" t="str">
            <v>Wyoming Northeast</v>
          </cell>
          <cell r="D30">
            <v>80</v>
          </cell>
          <cell r="E30">
            <v>0.46554223744292239</v>
          </cell>
          <cell r="F30">
            <v>43831</v>
          </cell>
          <cell r="K30" t="str">
            <v>Active</v>
          </cell>
          <cell r="L30">
            <v>42668.607638888891</v>
          </cell>
          <cell r="M30">
            <v>0</v>
          </cell>
          <cell r="N30" t="str">
            <v>First Year</v>
          </cell>
        </row>
        <row r="31">
          <cell r="A31" t="str">
            <v>Rock Creek II Wind</v>
          </cell>
          <cell r="B31" t="str">
            <v>QF - 309 - WY - Wind</v>
          </cell>
          <cell r="C31" t="str">
            <v>Wyoming Northeast</v>
          </cell>
          <cell r="D31">
            <v>80</v>
          </cell>
          <cell r="E31">
            <v>0.46554223744292239</v>
          </cell>
          <cell r="F31">
            <v>43831</v>
          </cell>
          <cell r="K31" t="str">
            <v>Active</v>
          </cell>
          <cell r="L31">
            <v>42668.607638888891</v>
          </cell>
          <cell r="M31">
            <v>0</v>
          </cell>
          <cell r="N31" t="str">
            <v>First Year</v>
          </cell>
        </row>
        <row r="32">
          <cell r="A32" t="str">
            <v>Rock Creek III Wind</v>
          </cell>
          <cell r="B32" t="str">
            <v>QF - 310 - WY - Wind</v>
          </cell>
          <cell r="C32" t="str">
            <v>Wyoming Northeast</v>
          </cell>
          <cell r="D32">
            <v>80</v>
          </cell>
          <cell r="E32">
            <v>0.46554223744292239</v>
          </cell>
          <cell r="F32">
            <v>43831</v>
          </cell>
          <cell r="K32" t="str">
            <v>Active</v>
          </cell>
          <cell r="L32">
            <v>42668.607638888891</v>
          </cell>
          <cell r="M32">
            <v>0</v>
          </cell>
          <cell r="N32" t="str">
            <v>First Year</v>
          </cell>
        </row>
        <row r="33">
          <cell r="A33" t="str">
            <v>Rock Creek IV Wind</v>
          </cell>
          <cell r="B33" t="str">
            <v>QF - 311 - WY - Wind</v>
          </cell>
          <cell r="C33" t="str">
            <v>Wyoming Northeast</v>
          </cell>
          <cell r="D33">
            <v>40</v>
          </cell>
          <cell r="E33">
            <v>0.46554223744292239</v>
          </cell>
          <cell r="F33">
            <v>43831</v>
          </cell>
          <cell r="K33" t="str">
            <v>Active</v>
          </cell>
          <cell r="L33">
            <v>42668.607638888891</v>
          </cell>
          <cell r="M33">
            <v>0</v>
          </cell>
          <cell r="N33" t="str">
            <v>First Year</v>
          </cell>
        </row>
        <row r="34">
          <cell r="A34" t="str">
            <v>Faraday II Solar</v>
          </cell>
          <cell r="B34" t="str">
            <v>QF - 313 - UT - Solar</v>
          </cell>
          <cell r="C34" t="str">
            <v>Clover</v>
          </cell>
          <cell r="D34">
            <v>80</v>
          </cell>
          <cell r="E34">
            <v>0.2962956621004566</v>
          </cell>
          <cell r="F34">
            <v>43800</v>
          </cell>
          <cell r="K34" t="str">
            <v>Active</v>
          </cell>
          <cell r="L34">
            <v>42676.605555555558</v>
          </cell>
          <cell r="M34">
            <v>5.0000000000000001E-3</v>
          </cell>
          <cell r="N34" t="str">
            <v>Prior Year</v>
          </cell>
        </row>
        <row r="35">
          <cell r="A35" t="str">
            <v>Faraday IV Solar</v>
          </cell>
          <cell r="B35" t="str">
            <v>QF - 315 - UT - Solar</v>
          </cell>
          <cell r="C35" t="str">
            <v>Clover</v>
          </cell>
          <cell r="D35">
            <v>80</v>
          </cell>
          <cell r="E35">
            <v>0.2962956621004566</v>
          </cell>
          <cell r="F35">
            <v>43800</v>
          </cell>
          <cell r="K35" t="str">
            <v>Active</v>
          </cell>
          <cell r="L35">
            <v>42676.605555555558</v>
          </cell>
          <cell r="M35">
            <v>5.0000000000000001E-3</v>
          </cell>
          <cell r="N35" t="str">
            <v>Prior Year</v>
          </cell>
        </row>
        <row r="36">
          <cell r="A36" t="str">
            <v>Faraday VI Solar</v>
          </cell>
          <cell r="B36" t="str">
            <v>QF - 317 - UT - Solar</v>
          </cell>
          <cell r="C36" t="str">
            <v>Clover</v>
          </cell>
          <cell r="D36">
            <v>80</v>
          </cell>
          <cell r="E36">
            <v>0.2962956621004566</v>
          </cell>
          <cell r="F36">
            <v>43800</v>
          </cell>
          <cell r="K36" t="str">
            <v>Active</v>
          </cell>
          <cell r="L36">
            <v>42676.605555555558</v>
          </cell>
          <cell r="M36">
            <v>5.0000000000000001E-3</v>
          </cell>
          <cell r="N36" t="str">
            <v>Prior Year</v>
          </cell>
        </row>
        <row r="37">
          <cell r="A37" t="str">
            <v>Faraday VIII Solar</v>
          </cell>
          <cell r="B37" t="str">
            <v>QF - 319 - UT - Solar</v>
          </cell>
          <cell r="C37" t="str">
            <v>Clover</v>
          </cell>
          <cell r="D37">
            <v>80</v>
          </cell>
          <cell r="E37">
            <v>0.2962956621004566</v>
          </cell>
          <cell r="F37">
            <v>43800</v>
          </cell>
          <cell r="K37" t="str">
            <v>Active</v>
          </cell>
          <cell r="L37">
            <v>42676.605555555558</v>
          </cell>
          <cell r="M37">
            <v>5.0000000000000001E-3</v>
          </cell>
          <cell r="N37" t="str">
            <v>Prior Year</v>
          </cell>
        </row>
        <row r="38">
          <cell r="A38" t="str">
            <v>Faraday X Solar</v>
          </cell>
          <cell r="B38" t="str">
            <v>QF - 321 - UT - Solar</v>
          </cell>
          <cell r="C38" t="str">
            <v>Clover</v>
          </cell>
          <cell r="D38">
            <v>80</v>
          </cell>
          <cell r="E38">
            <v>0.2962956621004566</v>
          </cell>
          <cell r="F38">
            <v>43800</v>
          </cell>
          <cell r="K38" t="str">
            <v>Active</v>
          </cell>
          <cell r="L38">
            <v>42676.605555555558</v>
          </cell>
          <cell r="M38">
            <v>5.0000000000000001E-3</v>
          </cell>
          <cell r="N38" t="str">
            <v>Prior Year</v>
          </cell>
        </row>
        <row r="39">
          <cell r="A39" t="str">
            <v>Faraday XII Solar</v>
          </cell>
          <cell r="B39" t="str">
            <v>QF - 323 - UT - Solar</v>
          </cell>
          <cell r="C39" t="str">
            <v>Clover</v>
          </cell>
          <cell r="D39">
            <v>80</v>
          </cell>
          <cell r="E39">
            <v>0.2962956621004566</v>
          </cell>
          <cell r="F39">
            <v>43800</v>
          </cell>
          <cell r="K39" t="str">
            <v>Active</v>
          </cell>
          <cell r="L39">
            <v>42676.605555555558</v>
          </cell>
          <cell r="M39">
            <v>5.0000000000000001E-3</v>
          </cell>
          <cell r="N39" t="str">
            <v>Prior Year</v>
          </cell>
        </row>
        <row r="40">
          <cell r="A40" t="str">
            <v>Faraday XIV Solar</v>
          </cell>
          <cell r="B40" t="str">
            <v>QF - 325 - UT - Solar</v>
          </cell>
          <cell r="C40" t="str">
            <v>Clover</v>
          </cell>
          <cell r="D40">
            <v>80</v>
          </cell>
          <cell r="E40">
            <v>0.2962956621004566</v>
          </cell>
          <cell r="F40">
            <v>43800</v>
          </cell>
          <cell r="K40" t="str">
            <v>Active</v>
          </cell>
          <cell r="L40">
            <v>42676.605555555558</v>
          </cell>
          <cell r="M40">
            <v>5.0000000000000001E-3</v>
          </cell>
          <cell r="N40" t="str">
            <v>Prior Year</v>
          </cell>
        </row>
        <row r="41">
          <cell r="A41" t="str">
            <v>Glen Canyon B Solar</v>
          </cell>
          <cell r="B41" t="str">
            <v>QF - 326 - UT - Solar</v>
          </cell>
          <cell r="C41" t="str">
            <v>PP-GC</v>
          </cell>
          <cell r="D41">
            <v>21</v>
          </cell>
          <cell r="E41">
            <v>0.3490215264187867</v>
          </cell>
          <cell r="F41">
            <v>43800</v>
          </cell>
          <cell r="K41" t="str">
            <v>Active</v>
          </cell>
          <cell r="L41">
            <v>42684</v>
          </cell>
          <cell r="M41">
            <v>5.0000000000000001E-3</v>
          </cell>
          <cell r="N41" t="str">
            <v>Prior Year</v>
          </cell>
        </row>
        <row r="42">
          <cell r="A42" t="str">
            <v>Hornet PV2 Solar</v>
          </cell>
          <cell r="B42" t="str">
            <v>QF - 327 - OR - Solar</v>
          </cell>
          <cell r="C42" t="str">
            <v>West Main</v>
          </cell>
          <cell r="D42">
            <v>8</v>
          </cell>
          <cell r="E42">
            <v>0.28451753710045663</v>
          </cell>
          <cell r="F42">
            <v>43435</v>
          </cell>
          <cell r="K42" t="str">
            <v>Active</v>
          </cell>
          <cell r="L42">
            <v>42692.344444444447</v>
          </cell>
          <cell r="M42">
            <v>5.0000000000000001E-3</v>
          </cell>
          <cell r="N42" t="str">
            <v>Prior Year</v>
          </cell>
        </row>
        <row r="43">
          <cell r="A43" t="str">
            <v>Hornet PV1-3 Solar</v>
          </cell>
          <cell r="B43" t="str">
            <v>QF - 328 - OR - Solar</v>
          </cell>
          <cell r="C43" t="str">
            <v>West Main</v>
          </cell>
          <cell r="D43">
            <v>46</v>
          </cell>
          <cell r="E43">
            <v>0.28746024171133611</v>
          </cell>
          <cell r="F43">
            <v>43435</v>
          </cell>
          <cell r="K43" t="str">
            <v>Active</v>
          </cell>
          <cell r="L43">
            <v>42692.344444444447</v>
          </cell>
          <cell r="M43">
            <v>5.0000000000000001E-3</v>
          </cell>
          <cell r="N43" t="str">
            <v>Prior Year</v>
          </cell>
        </row>
        <row r="44">
          <cell r="A44" t="str">
            <v>Cove Mtn Solar</v>
          </cell>
          <cell r="B44" t="str">
            <v>QF - 336 - UT - Solar</v>
          </cell>
          <cell r="C44" t="str">
            <v>Utah South</v>
          </cell>
          <cell r="D44">
            <v>58</v>
          </cell>
          <cell r="E44">
            <v>0.33892497244528419</v>
          </cell>
          <cell r="F44">
            <v>43282</v>
          </cell>
          <cell r="K44" t="str">
            <v>Active</v>
          </cell>
          <cell r="L44">
            <v>42703.375</v>
          </cell>
          <cell r="M44">
            <v>5.0000000000000001E-3</v>
          </cell>
          <cell r="N44" t="str">
            <v>Prior Year</v>
          </cell>
        </row>
        <row r="45">
          <cell r="A45" t="str">
            <v>Shoshoni PV1 Solar</v>
          </cell>
          <cell r="B45" t="str">
            <v>QF - 337 - WY - Solar</v>
          </cell>
          <cell r="C45" t="str">
            <v>Wyoming Northeast</v>
          </cell>
          <cell r="D45">
            <v>13.33</v>
          </cell>
          <cell r="E45">
            <v>0.26666769432084048</v>
          </cell>
          <cell r="F45">
            <v>43313</v>
          </cell>
          <cell r="K45" t="str">
            <v>Active</v>
          </cell>
          <cell r="L45">
            <v>42706.356249999997</v>
          </cell>
          <cell r="M45">
            <v>5.0000000000000001E-3</v>
          </cell>
          <cell r="N45" t="str">
            <v>Prior Year</v>
          </cell>
        </row>
        <row r="46">
          <cell r="A46" t="str">
            <v>Elk Mtn Wind</v>
          </cell>
          <cell r="B46" t="str">
            <v>QF - 339 - WY - Wind</v>
          </cell>
          <cell r="C46" t="str">
            <v>Wyoming Northeast</v>
          </cell>
          <cell r="D46">
            <v>75.900000000000006</v>
          </cell>
          <cell r="E46">
            <v>0.46942022969420227</v>
          </cell>
          <cell r="F46">
            <v>43374</v>
          </cell>
          <cell r="K46" t="str">
            <v>Active</v>
          </cell>
          <cell r="L46">
            <v>42713.580555555556</v>
          </cell>
          <cell r="M46">
            <v>0</v>
          </cell>
          <cell r="N46" t="str">
            <v>First Year</v>
          </cell>
        </row>
        <row r="47">
          <cell r="A47" t="str">
            <v>Homestead I Solar</v>
          </cell>
          <cell r="B47" t="str">
            <v>QF - 340 - WY - Solar</v>
          </cell>
          <cell r="C47" t="str">
            <v>Wyoming Northeast</v>
          </cell>
          <cell r="D47">
            <v>80</v>
          </cell>
          <cell r="E47">
            <v>0.27384703196347032</v>
          </cell>
          <cell r="F47">
            <v>43617</v>
          </cell>
          <cell r="K47" t="str">
            <v>Active</v>
          </cell>
          <cell r="L47">
            <v>42719.606944444444</v>
          </cell>
          <cell r="M47">
            <v>7.0000000000000001E-3</v>
          </cell>
          <cell r="N47" t="str">
            <v>Prior Year</v>
          </cell>
        </row>
        <row r="48">
          <cell r="A48" t="str">
            <v>Graphite Solar</v>
          </cell>
          <cell r="B48" t="str">
            <v>QF - 341 - UT - Solar</v>
          </cell>
          <cell r="C48" t="str">
            <v>Utah North</v>
          </cell>
          <cell r="D48">
            <v>80</v>
          </cell>
          <cell r="E48">
            <v>0.301488299086758</v>
          </cell>
          <cell r="F48">
            <v>43405</v>
          </cell>
          <cell r="K48" t="str">
            <v>Active</v>
          </cell>
          <cell r="L48">
            <v>42720.652777777781</v>
          </cell>
          <cell r="M48">
            <v>5.0000000000000001E-3</v>
          </cell>
          <cell r="N48" t="str">
            <v>Prior Year</v>
          </cell>
        </row>
        <row r="49">
          <cell r="A49" t="str">
            <v>Sheep Dip Solar</v>
          </cell>
          <cell r="B49" t="str">
            <v>QF - 342 - UT - Solar</v>
          </cell>
          <cell r="C49" t="str">
            <v>Utah North</v>
          </cell>
          <cell r="D49">
            <v>80</v>
          </cell>
          <cell r="E49">
            <v>0.28941152968036532</v>
          </cell>
          <cell r="F49">
            <v>43435</v>
          </cell>
          <cell r="K49" t="str">
            <v>Active</v>
          </cell>
          <cell r="L49">
            <v>42724.4375</v>
          </cell>
          <cell r="M49">
            <v>5.0000000000000001E-3</v>
          </cell>
          <cell r="N49" t="str">
            <v>Prior Year</v>
          </cell>
        </row>
        <row r="50">
          <cell r="A50" t="str">
            <v>Green River I Solar</v>
          </cell>
          <cell r="B50" t="str">
            <v>QF - 343 - UT - Solar</v>
          </cell>
          <cell r="C50" t="str">
            <v>Utah South</v>
          </cell>
          <cell r="D50">
            <v>80</v>
          </cell>
          <cell r="E50">
            <v>0.31296501569634705</v>
          </cell>
          <cell r="F50">
            <v>43922</v>
          </cell>
          <cell r="K50" t="str">
            <v>Active</v>
          </cell>
          <cell r="L50">
            <v>42725.349305555559</v>
          </cell>
          <cell r="M50">
            <v>5.0000000000000001E-3</v>
          </cell>
          <cell r="N50" t="str">
            <v>Prior Year</v>
          </cell>
        </row>
        <row r="51">
          <cell r="A51" t="str">
            <v>Green River II Solar</v>
          </cell>
          <cell r="B51" t="str">
            <v>QF - 344 - UT - Solar</v>
          </cell>
          <cell r="C51" t="str">
            <v>Utah South</v>
          </cell>
          <cell r="D51">
            <v>80</v>
          </cell>
          <cell r="E51">
            <v>0.31296501569634705</v>
          </cell>
          <cell r="F51">
            <v>43922</v>
          </cell>
          <cell r="K51" t="str">
            <v>Active</v>
          </cell>
          <cell r="L51">
            <v>42725.349305555559</v>
          </cell>
          <cell r="M51">
            <v>5.0000000000000001E-3</v>
          </cell>
          <cell r="N51" t="str">
            <v>Prior Year</v>
          </cell>
        </row>
        <row r="52">
          <cell r="A52" t="str">
            <v>Green River III Solar</v>
          </cell>
          <cell r="B52" t="str">
            <v>QF - 345 - UT - Solar</v>
          </cell>
          <cell r="C52" t="str">
            <v>Utah South</v>
          </cell>
          <cell r="D52">
            <v>80</v>
          </cell>
          <cell r="E52">
            <v>0.31296501569634705</v>
          </cell>
          <cell r="F52">
            <v>43922</v>
          </cell>
          <cell r="K52" t="str">
            <v>Active</v>
          </cell>
          <cell r="L52">
            <v>42725.349305555559</v>
          </cell>
          <cell r="M52">
            <v>5.0000000000000001E-3</v>
          </cell>
          <cell r="N52" t="str">
            <v>Prior Year</v>
          </cell>
        </row>
        <row r="53">
          <cell r="A53" t="str">
            <v>Green River IV Solar</v>
          </cell>
          <cell r="B53" t="str">
            <v>QF - 346 - UT - Solar</v>
          </cell>
          <cell r="C53" t="str">
            <v>Utah South</v>
          </cell>
          <cell r="D53">
            <v>80</v>
          </cell>
          <cell r="E53">
            <v>0.31296501569634705</v>
          </cell>
          <cell r="F53">
            <v>43922</v>
          </cell>
          <cell r="K53" t="str">
            <v>Active</v>
          </cell>
          <cell r="L53">
            <v>42725.349305555559</v>
          </cell>
          <cell r="M53">
            <v>5.0000000000000001E-3</v>
          </cell>
          <cell r="N53" t="str">
            <v>Prior Year</v>
          </cell>
        </row>
        <row r="54">
          <cell r="A54" t="str">
            <v>Green River V Solar</v>
          </cell>
          <cell r="B54" t="str">
            <v>QF - 347 - UT - Solar</v>
          </cell>
          <cell r="C54" t="str">
            <v>Utah South</v>
          </cell>
          <cell r="D54">
            <v>80</v>
          </cell>
          <cell r="E54">
            <v>0.31296501569634705</v>
          </cell>
          <cell r="F54">
            <v>43922</v>
          </cell>
          <cell r="K54" t="str">
            <v>Active</v>
          </cell>
          <cell r="L54">
            <v>42725.349305555559</v>
          </cell>
          <cell r="M54">
            <v>5.0000000000000001E-3</v>
          </cell>
          <cell r="N54" t="str">
            <v>Prior Year</v>
          </cell>
        </row>
        <row r="55">
          <cell r="A55" t="str">
            <v>Homestead II Solar</v>
          </cell>
          <cell r="B55" t="str">
            <v>QF - 348 - WY - Solar</v>
          </cell>
          <cell r="C55" t="str">
            <v>Wyoming Northeast</v>
          </cell>
          <cell r="D55">
            <v>80</v>
          </cell>
          <cell r="E55">
            <v>0.27302226027397258</v>
          </cell>
          <cell r="F55">
            <v>43800</v>
          </cell>
          <cell r="K55" t="str">
            <v>Active</v>
          </cell>
          <cell r="L55">
            <v>42726.347916666666</v>
          </cell>
          <cell r="M55">
            <v>7.0000000000000001E-3</v>
          </cell>
          <cell r="N55" t="str">
            <v>Prior Year</v>
          </cell>
        </row>
        <row r="56">
          <cell r="A56" t="str">
            <v>Homestead III Solar</v>
          </cell>
          <cell r="B56" t="str">
            <v>QF - 349 - WY - Solar</v>
          </cell>
          <cell r="C56" t="str">
            <v>Wyoming Northeast</v>
          </cell>
          <cell r="D56">
            <v>80</v>
          </cell>
          <cell r="E56">
            <v>0.2703581621004566</v>
          </cell>
          <cell r="F56">
            <v>43800</v>
          </cell>
          <cell r="K56" t="str">
            <v>Active</v>
          </cell>
          <cell r="L56">
            <v>42726.347916666666</v>
          </cell>
          <cell r="M56">
            <v>7.0000000000000001E-3</v>
          </cell>
          <cell r="N56" t="str">
            <v>Prior Year</v>
          </cell>
        </row>
        <row r="57">
          <cell r="A57" t="str">
            <v>Glen Canyon C Solar</v>
          </cell>
          <cell r="B57" t="str">
            <v>QF - 350 - UT - Solar</v>
          </cell>
          <cell r="C57" t="str">
            <v>PP-GC</v>
          </cell>
          <cell r="D57">
            <v>59</v>
          </cell>
          <cell r="E57">
            <v>0.34871720455073135</v>
          </cell>
          <cell r="F57">
            <v>43800</v>
          </cell>
          <cell r="K57" t="str">
            <v>Active</v>
          </cell>
          <cell r="L57">
            <v>42726.586111111108</v>
          </cell>
          <cell r="M57">
            <v>5.0000000000000001E-3</v>
          </cell>
          <cell r="N57" t="str">
            <v>Prior Year</v>
          </cell>
        </row>
        <row r="58">
          <cell r="A58" t="str">
            <v>Rimrock Solar</v>
          </cell>
          <cell r="B58" t="str">
            <v>QF - 351 - OR - Solar</v>
          </cell>
          <cell r="C58" t="str">
            <v>Central Oregon</v>
          </cell>
          <cell r="D58">
            <v>55</v>
          </cell>
          <cell r="E58">
            <v>0.28014736405147361</v>
          </cell>
          <cell r="F58">
            <v>43466</v>
          </cell>
          <cell r="K58" t="str">
            <v>Active</v>
          </cell>
          <cell r="L58">
            <v>42738.710416666669</v>
          </cell>
          <cell r="M58">
            <v>5.0000000000000001E-3</v>
          </cell>
          <cell r="N58" t="str">
            <v>First Year</v>
          </cell>
        </row>
        <row r="59">
          <cell r="A59" t="str">
            <v>Ponderosa V29</v>
          </cell>
          <cell r="B59" t="str">
            <v>QF - 352 - OR - Solar</v>
          </cell>
          <cell r="C59" t="str">
            <v>Central Oregon</v>
          </cell>
          <cell r="D59">
            <v>34</v>
          </cell>
          <cell r="E59">
            <v>0.29430844077356971</v>
          </cell>
          <cell r="F59">
            <v>43101</v>
          </cell>
          <cell r="K59" t="str">
            <v>Internal</v>
          </cell>
          <cell r="L59">
            <v>42741</v>
          </cell>
          <cell r="M59">
            <v>2.5000000000000001E-3</v>
          </cell>
          <cell r="N59" t="str">
            <v>Prior Year</v>
          </cell>
        </row>
        <row r="60">
          <cell r="A60" t="str">
            <v>Ponderosa V30</v>
          </cell>
          <cell r="B60" t="str">
            <v>QF - 353 - OR - Solar</v>
          </cell>
          <cell r="C60" t="str">
            <v>Central Oregon</v>
          </cell>
          <cell r="D60">
            <v>34</v>
          </cell>
          <cell r="E60">
            <v>0.29430844077356971</v>
          </cell>
          <cell r="F60">
            <v>43831</v>
          </cell>
          <cell r="K60" t="str">
            <v>Internal</v>
          </cell>
          <cell r="L60">
            <v>42741</v>
          </cell>
          <cell r="M60">
            <v>2.5000000000000001E-3</v>
          </cell>
          <cell r="N60" t="str">
            <v>Prior Year</v>
          </cell>
        </row>
        <row r="61">
          <cell r="A61" t="str">
            <v>Ponderosa V32</v>
          </cell>
          <cell r="B61" t="str">
            <v>QF - 354 - OR - Solar</v>
          </cell>
          <cell r="C61" t="str">
            <v>Central Oregon</v>
          </cell>
          <cell r="D61">
            <v>34</v>
          </cell>
          <cell r="E61">
            <v>0.29809016250335751</v>
          </cell>
          <cell r="F61">
            <v>43101</v>
          </cell>
          <cell r="K61" t="str">
            <v>Internal</v>
          </cell>
          <cell r="L61">
            <v>42741</v>
          </cell>
          <cell r="M61">
            <v>5.0000000000000001E-3</v>
          </cell>
          <cell r="N61" t="str">
            <v>Prior Year</v>
          </cell>
        </row>
        <row r="62">
          <cell r="A62" t="str">
            <v>Ponderosa V33</v>
          </cell>
          <cell r="B62" t="str">
            <v>QF - 355 - OR - Solar</v>
          </cell>
          <cell r="C62" t="str">
            <v>Central Oregon</v>
          </cell>
          <cell r="D62">
            <v>34</v>
          </cell>
          <cell r="E62">
            <v>0.29809016250335751</v>
          </cell>
          <cell r="F62">
            <v>43831</v>
          </cell>
          <cell r="K62" t="str">
            <v>Internal</v>
          </cell>
          <cell r="L62">
            <v>42741</v>
          </cell>
          <cell r="M62">
            <v>5.0000000000000001E-3</v>
          </cell>
          <cell r="N62" t="str">
            <v>Prior Year</v>
          </cell>
        </row>
        <row r="63">
          <cell r="A63" t="str">
            <v>Sigurd Solar</v>
          </cell>
          <cell r="B63" t="str">
            <v>QF - 356 - UT - Solar</v>
          </cell>
          <cell r="C63" t="str">
            <v>Utah South</v>
          </cell>
          <cell r="D63">
            <v>80</v>
          </cell>
          <cell r="E63">
            <v>0.29963184931506848</v>
          </cell>
          <cell r="F63">
            <v>43435</v>
          </cell>
          <cell r="K63" t="str">
            <v>Active</v>
          </cell>
          <cell r="L63">
            <v>42760.725694444445</v>
          </cell>
          <cell r="M63">
            <v>5.0000000000000001E-3</v>
          </cell>
          <cell r="N63" t="str">
            <v>Prior Year</v>
          </cell>
        </row>
        <row r="64">
          <cell r="A64" t="str">
            <v>Clover Creek Solar</v>
          </cell>
          <cell r="B64" t="str">
            <v>QF - 357 - UT - Solar</v>
          </cell>
          <cell r="C64" t="str">
            <v>Clover</v>
          </cell>
          <cell r="D64">
            <v>80</v>
          </cell>
          <cell r="E64">
            <v>0.27895262557077627</v>
          </cell>
          <cell r="F64">
            <v>43922</v>
          </cell>
          <cell r="K64" t="str">
            <v>Active</v>
          </cell>
          <cell r="L64">
            <v>42762.306250000001</v>
          </cell>
          <cell r="M64">
            <v>5.0000000000000001E-3</v>
          </cell>
          <cell r="N64" t="str">
            <v>Prior Year</v>
          </cell>
        </row>
        <row r="65">
          <cell r="A65" t="str">
            <v>Goshen Valley I Solar</v>
          </cell>
          <cell r="B65" t="str">
            <v>QF - 358 - UT - Solar</v>
          </cell>
          <cell r="C65" t="str">
            <v>Clover</v>
          </cell>
          <cell r="D65">
            <v>80</v>
          </cell>
          <cell r="E65">
            <v>0.2965884703196347</v>
          </cell>
          <cell r="F65">
            <v>43800</v>
          </cell>
          <cell r="K65" t="str">
            <v>Active</v>
          </cell>
          <cell r="L65">
            <v>42774.469444444447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II Solar</v>
          </cell>
          <cell r="B66" t="str">
            <v>QF - 359 -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42774.469444444447</v>
          </cell>
          <cell r="M66">
            <v>5.0000000000000001E-3</v>
          </cell>
          <cell r="N66" t="str">
            <v>Prior Year</v>
          </cell>
        </row>
        <row r="67">
          <cell r="A67" t="str">
            <v>Goshen Valley III Solar</v>
          </cell>
          <cell r="B67" t="str">
            <v>QF - 360 - UT - Solar</v>
          </cell>
          <cell r="C67" t="str">
            <v>Clover</v>
          </cell>
          <cell r="D67">
            <v>80</v>
          </cell>
          <cell r="E67">
            <v>0.2965884703196347</v>
          </cell>
          <cell r="F67">
            <v>43800</v>
          </cell>
          <cell r="K67" t="str">
            <v>Active</v>
          </cell>
          <cell r="L67">
            <v>42774.469444444447</v>
          </cell>
          <cell r="M67">
            <v>5.0000000000000001E-3</v>
          </cell>
          <cell r="N67" t="str">
            <v>Prior Year</v>
          </cell>
        </row>
        <row r="68">
          <cell r="A68" t="str">
            <v>Goshen Valley IV Solar</v>
          </cell>
          <cell r="B68" t="str">
            <v>QF - 361 - UT - Solar</v>
          </cell>
          <cell r="C68" t="str">
            <v>Clover</v>
          </cell>
          <cell r="D68">
            <v>80</v>
          </cell>
          <cell r="E68">
            <v>0.2965884703196347</v>
          </cell>
          <cell r="F68">
            <v>43800</v>
          </cell>
          <cell r="K68" t="str">
            <v>Active</v>
          </cell>
          <cell r="L68">
            <v>42774.469444444447</v>
          </cell>
          <cell r="M68">
            <v>5.0000000000000001E-3</v>
          </cell>
          <cell r="N68" t="str">
            <v>Prior Year</v>
          </cell>
        </row>
        <row r="69">
          <cell r="A69" t="str">
            <v>Goshen Valley V Solar</v>
          </cell>
          <cell r="B69" t="str">
            <v>QF - 362 - UT - Solar</v>
          </cell>
          <cell r="C69" t="str">
            <v>Clover</v>
          </cell>
          <cell r="D69">
            <v>80</v>
          </cell>
          <cell r="E69">
            <v>0.2965884703196347</v>
          </cell>
          <cell r="F69">
            <v>43800</v>
          </cell>
          <cell r="K69" t="str">
            <v>Active</v>
          </cell>
          <cell r="L69">
            <v>42774.469444444447</v>
          </cell>
          <cell r="M69">
            <v>5.0000000000000001E-3</v>
          </cell>
          <cell r="N69" t="str">
            <v>Prior Year</v>
          </cell>
        </row>
        <row r="70">
          <cell r="A70" t="str">
            <v>Goshen Valley VI Solar</v>
          </cell>
          <cell r="B70" t="str">
            <v>QF - 363 - UT - Solar</v>
          </cell>
          <cell r="C70" t="str">
            <v>Clover</v>
          </cell>
          <cell r="D70">
            <v>80</v>
          </cell>
          <cell r="E70">
            <v>0.2965884703196347</v>
          </cell>
          <cell r="F70">
            <v>43800</v>
          </cell>
          <cell r="K70" t="str">
            <v>Active</v>
          </cell>
          <cell r="L70">
            <v>42774.469444444447</v>
          </cell>
          <cell r="M70">
            <v>5.0000000000000001E-3</v>
          </cell>
          <cell r="N70" t="str">
            <v>Prior Year</v>
          </cell>
        </row>
        <row r="71">
          <cell r="A71" t="str">
            <v>Goshen Valley VII Solar</v>
          </cell>
          <cell r="B71" t="str">
            <v>QF - 364 - UT - Solar</v>
          </cell>
          <cell r="C71" t="str">
            <v>Clover</v>
          </cell>
          <cell r="D71">
            <v>80</v>
          </cell>
          <cell r="E71">
            <v>0.2965884703196347</v>
          </cell>
          <cell r="F71">
            <v>43800</v>
          </cell>
          <cell r="K71" t="str">
            <v>Active</v>
          </cell>
          <cell r="L71">
            <v>42774.469444444447</v>
          </cell>
          <cell r="M71">
            <v>5.0000000000000001E-3</v>
          </cell>
          <cell r="N71" t="str">
            <v>Prior Year</v>
          </cell>
        </row>
        <row r="72">
          <cell r="A72" t="str">
            <v>Skysol Solar</v>
          </cell>
          <cell r="B72" t="str">
            <v>QF - 254 - OR - Solar</v>
          </cell>
          <cell r="C72" t="str">
            <v>West Main</v>
          </cell>
          <cell r="D72">
            <v>55</v>
          </cell>
          <cell r="E72">
            <v>0.24561402833410492</v>
          </cell>
          <cell r="F72">
            <v>44196</v>
          </cell>
          <cell r="K72" t="str">
            <v>Active</v>
          </cell>
          <cell r="L72">
            <v>42774.688888888886</v>
          </cell>
          <cell r="M72">
            <v>5.0000000000000001E-3</v>
          </cell>
          <cell r="N72" t="str">
            <v>Prior Year</v>
          </cell>
        </row>
        <row r="73">
          <cell r="A73" t="str">
            <v>Echo Divide Wind</v>
          </cell>
          <cell r="B73" t="str">
            <v>QF - 365 - UT - Wind</v>
          </cell>
          <cell r="C73" t="str">
            <v>Utah North</v>
          </cell>
          <cell r="D73">
            <v>80</v>
          </cell>
          <cell r="E73">
            <v>0.31355450913242011</v>
          </cell>
          <cell r="F73">
            <v>43466</v>
          </cell>
          <cell r="K73" t="str">
            <v>Active</v>
          </cell>
          <cell r="L73">
            <v>42779.411111111112</v>
          </cell>
          <cell r="M73">
            <v>0</v>
          </cell>
          <cell r="N73" t="str">
            <v>Prior Year</v>
          </cell>
        </row>
        <row r="74">
          <cell r="A74" t="str">
            <v>2016.Q4 UT Compliance Filing</v>
          </cell>
          <cell r="B74" t="str">
            <v>QF -  - UT - Thermal</v>
          </cell>
          <cell r="C74" t="str">
            <v>Utah North</v>
          </cell>
          <cell r="D74">
            <v>100</v>
          </cell>
          <cell r="E74">
            <v>0.85</v>
          </cell>
          <cell r="F74">
            <v>43101</v>
          </cell>
          <cell r="K74" t="str">
            <v>Active</v>
          </cell>
          <cell r="L74">
            <v>42675</v>
          </cell>
          <cell r="M74">
            <v>0</v>
          </cell>
          <cell r="N74" t="str">
            <v>Prior Year</v>
          </cell>
        </row>
        <row r="75">
          <cell r="A75" t="str">
            <v>Monticello Wind</v>
          </cell>
          <cell r="B75" t="str">
            <v>QF -  - UT - Wind</v>
          </cell>
          <cell r="C75" t="str">
            <v>Utah South</v>
          </cell>
          <cell r="D75">
            <v>79.2</v>
          </cell>
          <cell r="E75">
            <v>0.33818493150684931</v>
          </cell>
          <cell r="F75">
            <v>44196</v>
          </cell>
          <cell r="K75" t="str">
            <v>Active</v>
          </cell>
          <cell r="L75" t="str">
            <v>complete</v>
          </cell>
          <cell r="M75">
            <v>0</v>
          </cell>
          <cell r="N75" t="str">
            <v>Prior Year</v>
          </cell>
        </row>
        <row r="76">
          <cell r="A76" t="str">
            <v>Oneida Spin Res. Valuation</v>
          </cell>
          <cell r="B76" t="str">
            <v>QF -  - UT - 0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K76" t="str">
            <v>Internal</v>
          </cell>
          <cell r="L76">
            <v>0</v>
          </cell>
          <cell r="M76">
            <v>0</v>
          </cell>
          <cell r="N76" t="str">
            <v>Prior Year</v>
          </cell>
        </row>
        <row r="77">
          <cell r="A77" t="str">
            <v>Klamath Falls TOU Irrigation Pilot</v>
          </cell>
          <cell r="B77" t="str">
            <v>QF -  - OR - Hydro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K77" t="str">
            <v>Internal</v>
          </cell>
          <cell r="L77" t="str">
            <v>complete</v>
          </cell>
          <cell r="M77">
            <v>0</v>
          </cell>
          <cell r="N77" t="str">
            <v>Prior Year</v>
          </cell>
        </row>
        <row r="78">
          <cell r="A78" t="str">
            <v>Dinosolar 4 Solar</v>
          </cell>
          <cell r="B78" t="str">
            <v>QF - 372 - WY - Solar</v>
          </cell>
          <cell r="C78" t="str">
            <v>Wyoming Northeast</v>
          </cell>
          <cell r="D78">
            <v>40</v>
          </cell>
          <cell r="E78">
            <v>0.27404965753424659</v>
          </cell>
          <cell r="F78">
            <v>43646</v>
          </cell>
          <cell r="K78" t="str">
            <v>Active</v>
          </cell>
          <cell r="L78">
            <v>42797.583333333336</v>
          </cell>
          <cell r="M78">
            <v>5.0000000000000001E-3</v>
          </cell>
          <cell r="N78" t="str">
            <v>Prior Year</v>
          </cell>
        </row>
        <row r="79">
          <cell r="A79" t="str">
            <v>Prineville Solar</v>
          </cell>
          <cell r="B79" t="str">
            <v>QF - 380 - OR - Solar</v>
          </cell>
          <cell r="C79" t="str">
            <v>Central Oregon</v>
          </cell>
          <cell r="D79">
            <v>50</v>
          </cell>
          <cell r="E79">
            <v>0.25810730593607306</v>
          </cell>
          <cell r="F79">
            <v>43466</v>
          </cell>
          <cell r="K79" t="str">
            <v>Active</v>
          </cell>
          <cell r="L79">
            <v>42802.359722222223</v>
          </cell>
          <cell r="M79">
            <v>5.0000000000000001E-3</v>
          </cell>
          <cell r="N79" t="str">
            <v>Prior Year</v>
          </cell>
        </row>
        <row r="80">
          <cell r="A80" t="str">
            <v>Linkville Solar</v>
          </cell>
          <cell r="B80" t="str">
            <v>QF - 381 - OR - Solar</v>
          </cell>
          <cell r="C80" t="str">
            <v>West Main</v>
          </cell>
          <cell r="D80">
            <v>80</v>
          </cell>
          <cell r="E80">
            <v>0.29331050228310501</v>
          </cell>
          <cell r="F80">
            <v>44197</v>
          </cell>
          <cell r="K80" t="str">
            <v>Active</v>
          </cell>
          <cell r="L80">
            <v>42802.359722222223</v>
          </cell>
          <cell r="M80">
            <v>5.0000000000000001E-3</v>
          </cell>
          <cell r="N80" t="str">
            <v>Prior Year</v>
          </cell>
        </row>
        <row r="81">
          <cell r="A81" t="str">
            <v>Abajo Solar</v>
          </cell>
          <cell r="B81" t="str">
            <v>QF - 382 - UT - Solar</v>
          </cell>
          <cell r="C81" t="str">
            <v>Utah South</v>
          </cell>
          <cell r="D81">
            <v>80</v>
          </cell>
          <cell r="E81">
            <v>0.31495005707762558</v>
          </cell>
          <cell r="F81">
            <v>43983</v>
          </cell>
          <cell r="K81" t="str">
            <v>Active</v>
          </cell>
          <cell r="L81">
            <v>42803.359722222223</v>
          </cell>
          <cell r="M81">
            <v>5.0000000000000001E-3</v>
          </cell>
          <cell r="N81" t="str">
            <v>Prior Year</v>
          </cell>
        </row>
        <row r="82">
          <cell r="A82" t="str">
            <v>Christmas Valley Solar PV3-A</v>
          </cell>
          <cell r="B82" t="str">
            <v>QF - 383 - OR - Solar</v>
          </cell>
          <cell r="C82" t="str">
            <v>Central Oregon</v>
          </cell>
          <cell r="D82">
            <v>80</v>
          </cell>
          <cell r="E82">
            <v>0.28007577197488581</v>
          </cell>
          <cell r="F82">
            <v>43800</v>
          </cell>
          <cell r="K82" t="str">
            <v>Active</v>
          </cell>
          <cell r="L82">
            <v>42807.359722222223</v>
          </cell>
          <cell r="M82">
            <v>5.0000000000000001E-3</v>
          </cell>
          <cell r="N82" t="str">
            <v>Prior Year</v>
          </cell>
        </row>
        <row r="83">
          <cell r="A83" t="str">
            <v>Christmas Valley Solar PV3-B</v>
          </cell>
          <cell r="B83" t="str">
            <v>QF - 384 - OR - Solar</v>
          </cell>
          <cell r="C83" t="str">
            <v>Central Oregon</v>
          </cell>
          <cell r="D83">
            <v>80</v>
          </cell>
          <cell r="E83">
            <v>0.28007577197488581</v>
          </cell>
          <cell r="F83">
            <v>43800</v>
          </cell>
          <cell r="K83" t="str">
            <v>Active</v>
          </cell>
          <cell r="L83">
            <v>42807.359722222223</v>
          </cell>
          <cell r="M83">
            <v>5.0000000000000001E-3</v>
          </cell>
          <cell r="N83" t="str">
            <v>Prior Year</v>
          </cell>
        </row>
        <row r="84">
          <cell r="A84" t="str">
            <v>Christmas Valley Solar PV3-C</v>
          </cell>
          <cell r="B84" t="str">
            <v>QF - 385 - OR - Solar</v>
          </cell>
          <cell r="C84" t="str">
            <v>Central Oregon</v>
          </cell>
          <cell r="D84">
            <v>80</v>
          </cell>
          <cell r="E84">
            <v>0.28007577197488581</v>
          </cell>
          <cell r="F84">
            <v>43800</v>
          </cell>
          <cell r="K84" t="str">
            <v>Active</v>
          </cell>
          <cell r="L84">
            <v>42807.359722222223</v>
          </cell>
          <cell r="M84">
            <v>5.0000000000000001E-3</v>
          </cell>
          <cell r="N84" t="str">
            <v>Prior Year</v>
          </cell>
        </row>
        <row r="85">
          <cell r="A85" t="str">
            <v>Intermountain Solar</v>
          </cell>
          <cell r="B85" t="str">
            <v>QF - 386 - UT - Solar</v>
          </cell>
          <cell r="C85" t="str">
            <v>Clover</v>
          </cell>
          <cell r="D85">
            <v>80</v>
          </cell>
          <cell r="E85">
            <v>0.30816067351598175</v>
          </cell>
          <cell r="F85">
            <v>44012</v>
          </cell>
          <cell r="K85" t="str">
            <v>Active</v>
          </cell>
          <cell r="L85">
            <v>42807.359722222223</v>
          </cell>
          <cell r="M85">
            <v>5.0000000000000001E-3</v>
          </cell>
          <cell r="N85" t="str">
            <v>Prior Year</v>
          </cell>
        </row>
        <row r="86">
          <cell r="A86" t="str">
            <v>Tooele Solar</v>
          </cell>
          <cell r="B86" t="str">
            <v>QF - 387 -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42807.359722222223</v>
          </cell>
          <cell r="M86">
            <v>5.0000000000000001E-3</v>
          </cell>
          <cell r="N86" t="str">
            <v>Prior Year</v>
          </cell>
        </row>
        <row r="87">
          <cell r="A87" t="str">
            <v>Graphite Solar w Battery</v>
          </cell>
          <cell r="B87" t="str">
            <v>QF - 388 - UT - Solar</v>
          </cell>
          <cell r="C87" t="str">
            <v>Utah North</v>
          </cell>
          <cell r="D87">
            <v>80</v>
          </cell>
          <cell r="E87">
            <v>0.27972031963470317</v>
          </cell>
          <cell r="F87">
            <v>43770</v>
          </cell>
          <cell r="K87" t="str">
            <v>Active</v>
          </cell>
          <cell r="L87">
            <v>42822</v>
          </cell>
          <cell r="M87">
            <v>5.0000000000000001E-3</v>
          </cell>
          <cell r="N87" t="str">
            <v>Prior Year</v>
          </cell>
        </row>
        <row r="88">
          <cell r="A88" t="str">
            <v>Settler Wind</v>
          </cell>
          <cell r="B88" t="str">
            <v>QF - 389 - WY - Wind</v>
          </cell>
          <cell r="C88" t="str">
            <v>Wyoming Northeast</v>
          </cell>
          <cell r="D88">
            <v>79.400000000000006</v>
          </cell>
          <cell r="E88">
            <v>0.41568470147107878</v>
          </cell>
          <cell r="F88">
            <v>43466</v>
          </cell>
          <cell r="K88" t="str">
            <v>Active</v>
          </cell>
          <cell r="L88">
            <v>42821.595833333333</v>
          </cell>
          <cell r="M88">
            <v>0</v>
          </cell>
          <cell r="N88">
            <v>0</v>
          </cell>
        </row>
        <row r="89">
          <cell r="A89" t="str">
            <v>Caiman Solar</v>
          </cell>
          <cell r="B89" t="str">
            <v>QF - 390 - WY - Solar</v>
          </cell>
          <cell r="C89">
            <v>0</v>
          </cell>
          <cell r="D89">
            <v>20</v>
          </cell>
          <cell r="E89">
            <v>0.26893835616438355</v>
          </cell>
          <cell r="F89">
            <v>43435</v>
          </cell>
          <cell r="K89" t="str">
            <v>Active</v>
          </cell>
          <cell r="L89">
            <v>42825.699305555558</v>
          </cell>
          <cell r="M89">
            <v>0</v>
          </cell>
          <cell r="N89">
            <v>0</v>
          </cell>
        </row>
        <row r="90">
          <cell r="A90" t="str">
            <v>Raptor Solar</v>
          </cell>
          <cell r="B90" t="str">
            <v>QF - 391 - WY - Solar</v>
          </cell>
          <cell r="C90">
            <v>0</v>
          </cell>
          <cell r="D90">
            <v>20</v>
          </cell>
          <cell r="E90">
            <v>0.27686244292237444</v>
          </cell>
          <cell r="F90">
            <v>43435</v>
          </cell>
          <cell r="K90" t="str">
            <v>Active</v>
          </cell>
          <cell r="L90">
            <v>42825.675000000003</v>
          </cell>
          <cell r="M90">
            <v>0</v>
          </cell>
          <cell r="N90">
            <v>0</v>
          </cell>
        </row>
        <row r="91">
          <cell r="A91" t="str">
            <v>Parowan Solar</v>
          </cell>
          <cell r="B91" t="str">
            <v>QF - 392 - UT - Solar</v>
          </cell>
          <cell r="C91">
            <v>0</v>
          </cell>
          <cell r="D91">
            <v>58</v>
          </cell>
          <cell r="E91">
            <v>0.29307786175405448</v>
          </cell>
          <cell r="F91">
            <v>0</v>
          </cell>
          <cell r="K91" t="str">
            <v>Active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Lakeview PV1 Solar</v>
          </cell>
          <cell r="B92" t="str">
            <v>QF - 393 - OR - Solar</v>
          </cell>
          <cell r="C92" t="str">
            <v>West Main</v>
          </cell>
          <cell r="D92">
            <v>50</v>
          </cell>
          <cell r="E92">
            <v>0.28627853881278537</v>
          </cell>
          <cell r="F92">
            <v>43435</v>
          </cell>
          <cell r="K92" t="str">
            <v>Active</v>
          </cell>
          <cell r="L92">
            <v>42837.368055555555</v>
          </cell>
          <cell r="M92">
            <v>5.0000000000000001E-3</v>
          </cell>
          <cell r="N92" t="str">
            <v>Prior Year</v>
          </cell>
        </row>
        <row r="93">
          <cell r="A93" t="str">
            <v xml:space="preserve">West Valley </v>
          </cell>
          <cell r="B93" t="str">
            <v>QF -  - UT - SCCT</v>
          </cell>
          <cell r="C93" t="str">
            <v>Utah North</v>
          </cell>
          <cell r="D93">
            <v>120</v>
          </cell>
          <cell r="E93">
            <v>0.95</v>
          </cell>
          <cell r="F93">
            <v>0</v>
          </cell>
          <cell r="K93" t="str">
            <v>Active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Anticline Wind</v>
          </cell>
          <cell r="B94" t="str">
            <v>QF - 394 - WY - Wind</v>
          </cell>
          <cell r="C94" t="str">
            <v>Wyoming Northeast</v>
          </cell>
          <cell r="D94">
            <v>80</v>
          </cell>
          <cell r="E94">
            <v>0.52088470319634705</v>
          </cell>
          <cell r="F94">
            <v>43830</v>
          </cell>
          <cell r="K94" t="str">
            <v>Active</v>
          </cell>
          <cell r="L94">
            <v>42842.602083333331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D95">
            <v>0</v>
          </cell>
          <cell r="E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D96">
            <v>0</v>
          </cell>
          <cell r="E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D97">
            <v>0</v>
          </cell>
          <cell r="E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D98">
            <v>0</v>
          </cell>
          <cell r="E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Utah 2017.Q1</v>
          </cell>
          <cell r="B99" t="str">
            <v>Avoided Cost Resource</v>
          </cell>
          <cell r="C99" t="str">
            <v>Utah North</v>
          </cell>
          <cell r="D99">
            <v>100</v>
          </cell>
          <cell r="E99">
            <v>0.85</v>
          </cell>
          <cell r="F99">
            <v>43101</v>
          </cell>
          <cell r="K99" t="str">
            <v>Utah 2017.Q1</v>
          </cell>
          <cell r="L99">
            <v>42842.602083333331</v>
          </cell>
          <cell r="M99">
            <v>0</v>
          </cell>
          <cell r="N99" t="str">
            <v>First Year</v>
          </cell>
        </row>
        <row r="100">
          <cell r="A100">
            <v>0</v>
          </cell>
          <cell r="B100">
            <v>0</v>
          </cell>
          <cell r="D100">
            <v>0</v>
          </cell>
          <cell r="E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D101">
            <v>0</v>
          </cell>
          <cell r="E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D102">
            <v>0</v>
          </cell>
          <cell r="E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2">
        <row r="5">
          <cell r="D5">
            <v>12.64</v>
          </cell>
        </row>
        <row r="6">
          <cell r="D6">
            <v>12.64</v>
          </cell>
        </row>
        <row r="7">
          <cell r="D7">
            <v>12.64</v>
          </cell>
        </row>
        <row r="8">
          <cell r="D8">
            <v>12.64</v>
          </cell>
        </row>
        <row r="30">
          <cell r="D30">
            <v>12.64</v>
          </cell>
        </row>
        <row r="31">
          <cell r="D31">
            <v>12.64</v>
          </cell>
        </row>
        <row r="32">
          <cell r="D32">
            <v>12.64</v>
          </cell>
        </row>
        <row r="33">
          <cell r="D33">
            <v>25.92</v>
          </cell>
        </row>
        <row r="34">
          <cell r="D34">
            <v>40.58</v>
          </cell>
        </row>
        <row r="35">
          <cell r="D35">
            <v>11.93</v>
          </cell>
        </row>
        <row r="36">
          <cell r="D36">
            <v>11.93</v>
          </cell>
        </row>
        <row r="37">
          <cell r="D37">
            <v>25.92</v>
          </cell>
        </row>
        <row r="38">
          <cell r="D38">
            <v>25.92</v>
          </cell>
        </row>
        <row r="39">
          <cell r="D39">
            <v>25.92</v>
          </cell>
        </row>
        <row r="40">
          <cell r="D40">
            <v>44.69</v>
          </cell>
        </row>
        <row r="41">
          <cell r="D41">
            <v>47.74</v>
          </cell>
        </row>
        <row r="42">
          <cell r="D42">
            <v>47.74</v>
          </cell>
        </row>
        <row r="43">
          <cell r="D43">
            <v>47.74</v>
          </cell>
        </row>
        <row r="44">
          <cell r="D44">
            <v>9.5500000000000007</v>
          </cell>
        </row>
        <row r="45">
          <cell r="D45">
            <v>17.899999999999999</v>
          </cell>
        </row>
        <row r="46">
          <cell r="D46">
            <v>47.74</v>
          </cell>
        </row>
        <row r="47">
          <cell r="D47">
            <v>12.64</v>
          </cell>
        </row>
        <row r="48">
          <cell r="D48">
            <v>12.64</v>
          </cell>
        </row>
        <row r="49">
          <cell r="D49">
            <v>12.64</v>
          </cell>
        </row>
        <row r="50">
          <cell r="D50">
            <v>6.32</v>
          </cell>
        </row>
        <row r="51">
          <cell r="D51">
            <v>11.65</v>
          </cell>
        </row>
        <row r="52">
          <cell r="D52">
            <v>47.74</v>
          </cell>
        </row>
        <row r="53">
          <cell r="D53">
            <v>47.74</v>
          </cell>
        </row>
        <row r="54">
          <cell r="D54">
            <v>47.74</v>
          </cell>
        </row>
        <row r="55">
          <cell r="D55">
            <v>47.74</v>
          </cell>
        </row>
        <row r="56">
          <cell r="D56">
            <v>47.74</v>
          </cell>
        </row>
        <row r="57">
          <cell r="D57">
            <v>47.74</v>
          </cell>
        </row>
        <row r="58">
          <cell r="D58">
            <v>47.74</v>
          </cell>
        </row>
        <row r="59">
          <cell r="D59">
            <v>12.53</v>
          </cell>
        </row>
        <row r="60">
          <cell r="D60">
            <v>5.18</v>
          </cell>
        </row>
        <row r="61">
          <cell r="D61">
            <v>29.81</v>
          </cell>
        </row>
        <row r="62">
          <cell r="D62">
            <v>34.61</v>
          </cell>
        </row>
        <row r="63">
          <cell r="D63">
            <v>7.95</v>
          </cell>
        </row>
        <row r="64">
          <cell r="D64">
            <v>11.99</v>
          </cell>
        </row>
        <row r="65">
          <cell r="D65">
            <v>47.74</v>
          </cell>
        </row>
        <row r="66">
          <cell r="D66">
            <v>47.74</v>
          </cell>
        </row>
        <row r="67">
          <cell r="D67">
            <v>47.74</v>
          </cell>
        </row>
        <row r="68">
          <cell r="D68">
            <v>47.74</v>
          </cell>
        </row>
        <row r="69">
          <cell r="D69">
            <v>3.58</v>
          </cell>
        </row>
        <row r="70">
          <cell r="D70">
            <v>35.64</v>
          </cell>
        </row>
        <row r="71">
          <cell r="D71">
            <v>47.74</v>
          </cell>
        </row>
        <row r="72">
          <cell r="D72">
            <v>47.74</v>
          </cell>
        </row>
        <row r="73">
          <cell r="D73">
            <v>47.74</v>
          </cell>
        </row>
        <row r="74">
          <cell r="D74">
            <v>47.74</v>
          </cell>
        </row>
        <row r="75">
          <cell r="D75">
            <v>47.74</v>
          </cell>
        </row>
        <row r="76">
          <cell r="D76">
            <v>47.74</v>
          </cell>
        </row>
        <row r="77">
          <cell r="D77">
            <v>47.74</v>
          </cell>
        </row>
        <row r="78">
          <cell r="D78">
            <v>47.74</v>
          </cell>
        </row>
        <row r="79">
          <cell r="D79">
            <v>47.74</v>
          </cell>
        </row>
        <row r="80">
          <cell r="D80">
            <v>35.64</v>
          </cell>
        </row>
        <row r="81">
          <cell r="D81">
            <v>12.64</v>
          </cell>
        </row>
        <row r="82">
          <cell r="D82">
            <v>23.87</v>
          </cell>
        </row>
        <row r="83">
          <cell r="D83">
            <v>32.4</v>
          </cell>
        </row>
        <row r="84">
          <cell r="D84">
            <v>51.84</v>
          </cell>
        </row>
        <row r="85">
          <cell r="D85">
            <v>47.74</v>
          </cell>
        </row>
        <row r="86">
          <cell r="D86">
            <v>51.84</v>
          </cell>
        </row>
        <row r="87">
          <cell r="D87">
            <v>51.84</v>
          </cell>
        </row>
        <row r="88">
          <cell r="D88">
            <v>51.84</v>
          </cell>
        </row>
        <row r="89">
          <cell r="D89">
            <v>47.74</v>
          </cell>
        </row>
        <row r="90">
          <cell r="D90">
            <v>47.74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Summary_Resources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/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C15">
            <v>41640</v>
          </cell>
          <cell r="D15">
            <v>41671</v>
          </cell>
          <cell r="E15">
            <v>41699</v>
          </cell>
          <cell r="F15">
            <v>41730</v>
          </cell>
          <cell r="G15">
            <v>41760</v>
          </cell>
          <cell r="H15">
            <v>41791</v>
          </cell>
          <cell r="I15">
            <v>41821</v>
          </cell>
          <cell r="J15">
            <v>41852</v>
          </cell>
          <cell r="K15">
            <v>41883</v>
          </cell>
          <cell r="L15">
            <v>41913</v>
          </cell>
          <cell r="M15">
            <v>41944</v>
          </cell>
          <cell r="N15">
            <v>41974</v>
          </cell>
          <cell r="O15">
            <v>42005</v>
          </cell>
          <cell r="P15">
            <v>42036</v>
          </cell>
          <cell r="Q15">
            <v>42064</v>
          </cell>
          <cell r="R15">
            <v>42095</v>
          </cell>
          <cell r="S15">
            <v>42125</v>
          </cell>
          <cell r="T15">
            <v>42156</v>
          </cell>
          <cell r="U15">
            <v>42186</v>
          </cell>
          <cell r="V15">
            <v>42217</v>
          </cell>
          <cell r="W15">
            <v>42248</v>
          </cell>
          <cell r="X15">
            <v>42278</v>
          </cell>
          <cell r="Y15">
            <v>42309</v>
          </cell>
          <cell r="Z15">
            <v>42339</v>
          </cell>
          <cell r="AA15">
            <v>42370</v>
          </cell>
          <cell r="AB15">
            <v>42401</v>
          </cell>
          <cell r="AC15">
            <v>42430</v>
          </cell>
          <cell r="AD15">
            <v>42461</v>
          </cell>
          <cell r="AE15">
            <v>42491</v>
          </cell>
          <cell r="AF15">
            <v>42522</v>
          </cell>
          <cell r="AG15">
            <v>42552</v>
          </cell>
          <cell r="AH15">
            <v>42583</v>
          </cell>
          <cell r="AI15">
            <v>42614</v>
          </cell>
          <cell r="AJ15">
            <v>42644</v>
          </cell>
          <cell r="AK15">
            <v>42675</v>
          </cell>
          <cell r="AL15">
            <v>42705</v>
          </cell>
          <cell r="AM15">
            <v>42736</v>
          </cell>
          <cell r="AN15">
            <v>42767</v>
          </cell>
          <cell r="AO15">
            <v>42795</v>
          </cell>
          <cell r="AP15">
            <v>42826</v>
          </cell>
          <cell r="AQ15">
            <v>42856</v>
          </cell>
          <cell r="AR15">
            <v>42887</v>
          </cell>
          <cell r="AS15">
            <v>42917</v>
          </cell>
          <cell r="AT15">
            <v>42948</v>
          </cell>
          <cell r="AU15">
            <v>42979</v>
          </cell>
          <cell r="AV15">
            <v>43009</v>
          </cell>
          <cell r="AW15">
            <v>43040</v>
          </cell>
          <cell r="AX15">
            <v>43070</v>
          </cell>
          <cell r="AY15">
            <v>43101</v>
          </cell>
          <cell r="AZ15">
            <v>43132</v>
          </cell>
          <cell r="BA15">
            <v>43160</v>
          </cell>
          <cell r="BB15">
            <v>43191</v>
          </cell>
          <cell r="BC15">
            <v>43221</v>
          </cell>
          <cell r="BD15">
            <v>43252</v>
          </cell>
          <cell r="BE15">
            <v>43282</v>
          </cell>
          <cell r="BF15">
            <v>43313</v>
          </cell>
          <cell r="BG15">
            <v>43344</v>
          </cell>
          <cell r="BH15">
            <v>43374</v>
          </cell>
          <cell r="BI15">
            <v>43405</v>
          </cell>
          <cell r="BJ15">
            <v>43435</v>
          </cell>
          <cell r="BK15">
            <v>43466</v>
          </cell>
          <cell r="BL15">
            <v>43497</v>
          </cell>
          <cell r="BM15">
            <v>43525</v>
          </cell>
          <cell r="BN15">
            <v>43556</v>
          </cell>
          <cell r="BO15">
            <v>43586</v>
          </cell>
          <cell r="BP15">
            <v>43617</v>
          </cell>
          <cell r="BQ15">
            <v>43647</v>
          </cell>
          <cell r="BR15">
            <v>43678</v>
          </cell>
          <cell r="BS15">
            <v>43709</v>
          </cell>
          <cell r="BT15">
            <v>43739</v>
          </cell>
          <cell r="BU15">
            <v>43770</v>
          </cell>
          <cell r="BV15">
            <v>43800</v>
          </cell>
          <cell r="BW15">
            <v>43831</v>
          </cell>
          <cell r="BX15">
            <v>43862</v>
          </cell>
          <cell r="BY15">
            <v>43891</v>
          </cell>
          <cell r="BZ15">
            <v>43922</v>
          </cell>
          <cell r="CA15">
            <v>43952</v>
          </cell>
          <cell r="CB15">
            <v>43983</v>
          </cell>
          <cell r="CC15">
            <v>44013</v>
          </cell>
          <cell r="CD15">
            <v>44044</v>
          </cell>
          <cell r="CE15">
            <v>44075</v>
          </cell>
          <cell r="CF15">
            <v>44105</v>
          </cell>
          <cell r="CG15">
            <v>44136</v>
          </cell>
          <cell r="CH15">
            <v>44166</v>
          </cell>
          <cell r="CI15">
            <v>44197</v>
          </cell>
          <cell r="CJ15">
            <v>44228</v>
          </cell>
          <cell r="CK15">
            <v>44256</v>
          </cell>
          <cell r="CL15">
            <v>44287</v>
          </cell>
          <cell r="CM15">
            <v>44317</v>
          </cell>
          <cell r="CN15">
            <v>44348</v>
          </cell>
          <cell r="CO15">
            <v>44378</v>
          </cell>
          <cell r="CP15">
            <v>44409</v>
          </cell>
          <cell r="CQ15">
            <v>44440</v>
          </cell>
          <cell r="CR15">
            <v>44470</v>
          </cell>
          <cell r="CS15">
            <v>44501</v>
          </cell>
          <cell r="CT15">
            <v>44531</v>
          </cell>
          <cell r="CU15">
            <v>44562</v>
          </cell>
          <cell r="CV15">
            <v>44593</v>
          </cell>
          <cell r="CW15">
            <v>44621</v>
          </cell>
          <cell r="CX15">
            <v>44652</v>
          </cell>
          <cell r="CY15">
            <v>44682</v>
          </cell>
          <cell r="CZ15">
            <v>44713</v>
          </cell>
          <cell r="DA15">
            <v>44743</v>
          </cell>
          <cell r="DB15">
            <v>44774</v>
          </cell>
          <cell r="DC15">
            <v>44805</v>
          </cell>
          <cell r="DD15">
            <v>44835</v>
          </cell>
          <cell r="DE15">
            <v>44866</v>
          </cell>
          <cell r="DF15">
            <v>44896</v>
          </cell>
          <cell r="DG15">
            <v>44927</v>
          </cell>
          <cell r="DH15">
            <v>44958</v>
          </cell>
          <cell r="DI15">
            <v>44986</v>
          </cell>
          <cell r="DJ15">
            <v>45017</v>
          </cell>
          <cell r="DK15">
            <v>45047</v>
          </cell>
          <cell r="DL15">
            <v>45078</v>
          </cell>
          <cell r="DM15">
            <v>45108</v>
          </cell>
          <cell r="DN15">
            <v>45139</v>
          </cell>
          <cell r="DO15">
            <v>45170</v>
          </cell>
          <cell r="DP15">
            <v>45200</v>
          </cell>
          <cell r="DQ15">
            <v>45231</v>
          </cell>
          <cell r="DR15">
            <v>45261</v>
          </cell>
          <cell r="DS15">
            <v>45292</v>
          </cell>
          <cell r="DT15">
            <v>45323</v>
          </cell>
          <cell r="DU15">
            <v>45352</v>
          </cell>
          <cell r="DV15">
            <v>45383</v>
          </cell>
          <cell r="DW15">
            <v>45413</v>
          </cell>
          <cell r="DX15">
            <v>45444</v>
          </cell>
          <cell r="DY15">
            <v>45474</v>
          </cell>
          <cell r="DZ15">
            <v>45505</v>
          </cell>
          <cell r="EA15">
            <v>45536</v>
          </cell>
          <cell r="EB15">
            <v>45566</v>
          </cell>
          <cell r="EC15">
            <v>45597</v>
          </cell>
          <cell r="ED15">
            <v>45627</v>
          </cell>
        </row>
        <row r="16">
          <cell r="C16">
            <v>416</v>
          </cell>
          <cell r="D16">
            <v>384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416</v>
          </cell>
          <cell r="K16">
            <v>400</v>
          </cell>
          <cell r="L16">
            <v>432</v>
          </cell>
          <cell r="M16">
            <v>384</v>
          </cell>
          <cell r="N16">
            <v>416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400</v>
          </cell>
          <cell r="T16">
            <v>416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400</v>
          </cell>
          <cell r="AB16">
            <v>400</v>
          </cell>
          <cell r="AC16">
            <v>432</v>
          </cell>
          <cell r="AD16">
            <v>416</v>
          </cell>
          <cell r="AE16">
            <v>400</v>
          </cell>
          <cell r="AF16">
            <v>416</v>
          </cell>
          <cell r="AG16">
            <v>400</v>
          </cell>
          <cell r="AH16">
            <v>432</v>
          </cell>
          <cell r="AI16">
            <v>400</v>
          </cell>
          <cell r="AJ16">
            <v>416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432</v>
          </cell>
          <cell r="AP16">
            <v>400</v>
          </cell>
          <cell r="AQ16">
            <v>416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416</v>
          </cell>
          <cell r="AZ16">
            <v>384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384</v>
          </cell>
          <cell r="BH16">
            <v>432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416</v>
          </cell>
          <cell r="BN16">
            <v>416</v>
          </cell>
          <cell r="BO16">
            <v>416</v>
          </cell>
          <cell r="BP16">
            <v>400</v>
          </cell>
          <cell r="BQ16">
            <v>416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400</v>
          </cell>
          <cell r="BY16">
            <v>416</v>
          </cell>
          <cell r="BZ16">
            <v>416</v>
          </cell>
          <cell r="CA16">
            <v>400</v>
          </cell>
          <cell r="CB16">
            <v>416</v>
          </cell>
          <cell r="CC16">
            <v>416</v>
          </cell>
          <cell r="CD16">
            <v>416</v>
          </cell>
          <cell r="CE16">
            <v>400</v>
          </cell>
          <cell r="CF16">
            <v>432</v>
          </cell>
          <cell r="CG16">
            <v>384</v>
          </cell>
          <cell r="CH16">
            <v>416</v>
          </cell>
          <cell r="CI16">
            <v>400</v>
          </cell>
          <cell r="CJ16">
            <v>384</v>
          </cell>
          <cell r="CK16">
            <v>432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416</v>
          </cell>
          <cell r="CS16">
            <v>400</v>
          </cell>
          <cell r="CT16">
            <v>416</v>
          </cell>
          <cell r="CU16">
            <v>400</v>
          </cell>
          <cell r="CV16">
            <v>384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400</v>
          </cell>
          <cell r="DB16">
            <v>432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400</v>
          </cell>
          <cell r="DK16">
            <v>416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400</v>
          </cell>
          <cell r="DS16">
            <v>416</v>
          </cell>
          <cell r="DT16">
            <v>400</v>
          </cell>
          <cell r="DU16">
            <v>416</v>
          </cell>
          <cell r="DV16">
            <v>416</v>
          </cell>
          <cell r="DW16">
            <v>416</v>
          </cell>
          <cell r="DX16">
            <v>400</v>
          </cell>
          <cell r="DY16">
            <v>416</v>
          </cell>
          <cell r="DZ16">
            <v>432</v>
          </cell>
          <cell r="EA16">
            <v>384</v>
          </cell>
          <cell r="EB16">
            <v>432</v>
          </cell>
          <cell r="EC16">
            <v>400</v>
          </cell>
          <cell r="ED16">
            <v>400</v>
          </cell>
        </row>
        <row r="17">
          <cell r="C17">
            <v>328</v>
          </cell>
          <cell r="D17">
            <v>288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328</v>
          </cell>
          <cell r="K17">
            <v>320</v>
          </cell>
          <cell r="L17">
            <v>312</v>
          </cell>
          <cell r="M17">
            <v>336</v>
          </cell>
          <cell r="N17">
            <v>328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344</v>
          </cell>
          <cell r="T17">
            <v>304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344</v>
          </cell>
          <cell r="AB17">
            <v>296</v>
          </cell>
          <cell r="AC17">
            <v>312</v>
          </cell>
          <cell r="AD17">
            <v>304</v>
          </cell>
          <cell r="AE17">
            <v>344</v>
          </cell>
          <cell r="AF17">
            <v>304</v>
          </cell>
          <cell r="AG17">
            <v>344</v>
          </cell>
          <cell r="AH17">
            <v>312</v>
          </cell>
          <cell r="AI17">
            <v>320</v>
          </cell>
          <cell r="AJ17">
            <v>328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312</v>
          </cell>
          <cell r="AP17">
            <v>320</v>
          </cell>
          <cell r="AQ17">
            <v>328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328</v>
          </cell>
          <cell r="AZ17">
            <v>288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336</v>
          </cell>
          <cell r="BH17">
            <v>312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328</v>
          </cell>
          <cell r="BN17">
            <v>304</v>
          </cell>
          <cell r="BO17">
            <v>328</v>
          </cell>
          <cell r="BP17">
            <v>320</v>
          </cell>
          <cell r="BQ17">
            <v>328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296</v>
          </cell>
          <cell r="BY17">
            <v>328</v>
          </cell>
          <cell r="BZ17">
            <v>304</v>
          </cell>
          <cell r="CA17">
            <v>344</v>
          </cell>
          <cell r="CB17">
            <v>304</v>
          </cell>
          <cell r="CC17">
            <v>328</v>
          </cell>
          <cell r="CD17">
            <v>328</v>
          </cell>
          <cell r="CE17">
            <v>320</v>
          </cell>
          <cell r="CF17">
            <v>312</v>
          </cell>
          <cell r="CG17">
            <v>336</v>
          </cell>
          <cell r="CH17">
            <v>328</v>
          </cell>
          <cell r="CI17">
            <v>344</v>
          </cell>
          <cell r="CJ17">
            <v>288</v>
          </cell>
          <cell r="CK17">
            <v>312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328</v>
          </cell>
          <cell r="CS17">
            <v>320</v>
          </cell>
          <cell r="CT17">
            <v>328</v>
          </cell>
          <cell r="CU17">
            <v>344</v>
          </cell>
          <cell r="CV17">
            <v>288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344</v>
          </cell>
          <cell r="DB17">
            <v>312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320</v>
          </cell>
          <cell r="DK17">
            <v>328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344</v>
          </cell>
          <cell r="DS17">
            <v>328</v>
          </cell>
          <cell r="DT17">
            <v>296</v>
          </cell>
          <cell r="DU17">
            <v>328</v>
          </cell>
          <cell r="DV17">
            <v>304</v>
          </cell>
          <cell r="DW17">
            <v>328</v>
          </cell>
          <cell r="DX17">
            <v>320</v>
          </cell>
          <cell r="DY17">
            <v>328</v>
          </cell>
          <cell r="DZ17">
            <v>312</v>
          </cell>
          <cell r="EA17">
            <v>336</v>
          </cell>
          <cell r="EB17">
            <v>312</v>
          </cell>
          <cell r="EC17">
            <v>320</v>
          </cell>
          <cell r="ED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696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696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696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328</v>
          </cell>
          <cell r="D19">
            <v>288</v>
          </cell>
          <cell r="E19">
            <v>327</v>
          </cell>
          <cell r="F19">
            <v>304</v>
          </cell>
          <cell r="G19">
            <v>328</v>
          </cell>
          <cell r="H19">
            <v>320</v>
          </cell>
          <cell r="I19">
            <v>328</v>
          </cell>
          <cell r="J19">
            <v>328</v>
          </cell>
          <cell r="K19">
            <v>320</v>
          </cell>
          <cell r="L19">
            <v>312</v>
          </cell>
          <cell r="M19">
            <v>337</v>
          </cell>
          <cell r="N19">
            <v>328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344</v>
          </cell>
          <cell r="T19">
            <v>304</v>
          </cell>
          <cell r="U19">
            <v>328</v>
          </cell>
          <cell r="V19">
            <v>328</v>
          </cell>
          <cell r="W19">
            <v>320</v>
          </cell>
          <cell r="X19">
            <v>312</v>
          </cell>
          <cell r="Y19">
            <v>337</v>
          </cell>
          <cell r="Z19">
            <v>328</v>
          </cell>
          <cell r="AA19">
            <v>344</v>
          </cell>
          <cell r="AB19">
            <v>296</v>
          </cell>
          <cell r="AC19">
            <v>311</v>
          </cell>
          <cell r="AD19">
            <v>304</v>
          </cell>
          <cell r="AE19">
            <v>344</v>
          </cell>
          <cell r="AF19">
            <v>304</v>
          </cell>
          <cell r="AG19">
            <v>344</v>
          </cell>
          <cell r="AH19">
            <v>312</v>
          </cell>
          <cell r="AI19">
            <v>320</v>
          </cell>
          <cell r="AJ19">
            <v>328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311</v>
          </cell>
          <cell r="AP19">
            <v>320</v>
          </cell>
          <cell r="AQ19">
            <v>328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328</v>
          </cell>
          <cell r="AZ19">
            <v>288</v>
          </cell>
          <cell r="BA19">
            <v>311</v>
          </cell>
          <cell r="BB19">
            <v>320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336</v>
          </cell>
          <cell r="BH19">
            <v>312</v>
          </cell>
          <cell r="BI19">
            <v>321</v>
          </cell>
          <cell r="BJ19">
            <v>344</v>
          </cell>
          <cell r="BK19">
            <v>328</v>
          </cell>
          <cell r="BL19">
            <v>288</v>
          </cell>
          <cell r="BM19">
            <v>327</v>
          </cell>
          <cell r="BN19">
            <v>304</v>
          </cell>
          <cell r="BO19">
            <v>328</v>
          </cell>
          <cell r="BP19">
            <v>320</v>
          </cell>
          <cell r="BQ19">
            <v>328</v>
          </cell>
          <cell r="BR19">
            <v>312</v>
          </cell>
          <cell r="BS19">
            <v>336</v>
          </cell>
          <cell r="BT19">
            <v>312</v>
          </cell>
          <cell r="BU19">
            <v>321</v>
          </cell>
          <cell r="BV19">
            <v>344</v>
          </cell>
          <cell r="BW19">
            <v>328</v>
          </cell>
          <cell r="BX19">
            <v>296</v>
          </cell>
          <cell r="BY19">
            <v>327</v>
          </cell>
          <cell r="BZ19">
            <v>304</v>
          </cell>
          <cell r="CA19">
            <v>344</v>
          </cell>
          <cell r="CB19">
            <v>304</v>
          </cell>
          <cell r="CC19">
            <v>328</v>
          </cell>
          <cell r="CD19">
            <v>328</v>
          </cell>
          <cell r="CE19">
            <v>320</v>
          </cell>
          <cell r="CF19">
            <v>312</v>
          </cell>
          <cell r="CG19">
            <v>337</v>
          </cell>
          <cell r="CH19">
            <v>328</v>
          </cell>
          <cell r="CI19">
            <v>344</v>
          </cell>
          <cell r="CJ19">
            <v>288</v>
          </cell>
          <cell r="CK19">
            <v>311</v>
          </cell>
          <cell r="CL19">
            <v>304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328</v>
          </cell>
          <cell r="CS19">
            <v>321</v>
          </cell>
          <cell r="CT19">
            <v>328</v>
          </cell>
          <cell r="CU19">
            <v>344</v>
          </cell>
          <cell r="CV19">
            <v>288</v>
          </cell>
          <cell r="CW19">
            <v>311</v>
          </cell>
          <cell r="CX19">
            <v>304</v>
          </cell>
          <cell r="CY19">
            <v>344</v>
          </cell>
          <cell r="CZ19">
            <v>304</v>
          </cell>
          <cell r="DA19">
            <v>344</v>
          </cell>
          <cell r="DB19">
            <v>312</v>
          </cell>
          <cell r="DC19">
            <v>320</v>
          </cell>
          <cell r="DD19">
            <v>328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320</v>
          </cell>
          <cell r="DK19">
            <v>328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328</v>
          </cell>
          <cell r="DQ19">
            <v>321</v>
          </cell>
          <cell r="DR19">
            <v>344</v>
          </cell>
          <cell r="DS19">
            <v>328</v>
          </cell>
          <cell r="DT19">
            <v>296</v>
          </cell>
          <cell r="DU19">
            <v>327</v>
          </cell>
          <cell r="DV19">
            <v>304</v>
          </cell>
          <cell r="DW19">
            <v>328</v>
          </cell>
          <cell r="DX19">
            <v>320</v>
          </cell>
          <cell r="DY19">
            <v>328</v>
          </cell>
          <cell r="DZ19">
            <v>312</v>
          </cell>
          <cell r="EA19">
            <v>336</v>
          </cell>
          <cell r="EB19">
            <v>312</v>
          </cell>
          <cell r="EC19">
            <v>321</v>
          </cell>
          <cell r="ED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696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696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696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zoomScale="60" zoomScaleNormal="60" workbookViewId="0">
      <selection activeCell="B92" sqref="B92"/>
    </sheetView>
  </sheetViews>
  <sheetFormatPr defaultRowHeight="12.75" x14ac:dyDescent="0.2"/>
  <cols>
    <col min="2" max="2" width="51.5" customWidth="1"/>
    <col min="3" max="3" width="9.33203125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9" max="10" width="11.33203125" customWidth="1"/>
    <col min="11" max="14" width="10.5" customWidth="1"/>
    <col min="15" max="16" width="11" customWidth="1"/>
    <col min="17" max="17" width="10.5" customWidth="1"/>
    <col min="18" max="18" width="12.83203125" customWidth="1"/>
    <col min="19" max="19" width="11.6640625" customWidth="1"/>
    <col min="20" max="20" width="11" customWidth="1"/>
    <col min="21" max="21" width="11.6640625" customWidth="1"/>
    <col min="22" max="22" width="11.1640625" customWidth="1"/>
    <col min="23" max="23" width="13" customWidth="1"/>
    <col min="24" max="24" width="13.6640625" customWidth="1"/>
    <col min="25" max="25" width="8.6640625" customWidth="1"/>
  </cols>
  <sheetData>
    <row r="1" spans="1:24" s="30" customFormat="1" ht="15.75" x14ac:dyDescent="0.25">
      <c r="B1" s="29" t="s">
        <v>72</v>
      </c>
      <c r="C1" s="29"/>
      <c r="D1" s="29"/>
      <c r="E1" s="29"/>
      <c r="F1" s="29"/>
      <c r="G1" s="29"/>
      <c r="H1" s="29"/>
      <c r="I1" s="29"/>
      <c r="J1" s="29"/>
      <c r="K1" s="29"/>
      <c r="L1" s="129"/>
      <c r="M1" s="129"/>
      <c r="N1" s="129"/>
      <c r="O1" s="129"/>
      <c r="P1" s="129"/>
      <c r="Q1" s="129"/>
      <c r="R1" s="129"/>
    </row>
    <row r="2" spans="1:24" s="30" customFormat="1" ht="15.75" x14ac:dyDescent="0.25">
      <c r="B2" s="110" t="s">
        <v>284</v>
      </c>
      <c r="C2" s="29"/>
      <c r="D2" s="29"/>
      <c r="E2" s="29"/>
      <c r="F2" s="29"/>
      <c r="G2" s="29"/>
      <c r="H2" s="29"/>
      <c r="I2" s="29"/>
      <c r="J2" s="29"/>
      <c r="K2" s="29"/>
      <c r="L2" s="129"/>
      <c r="M2" s="129"/>
      <c r="N2" s="129"/>
      <c r="O2" s="129"/>
      <c r="P2" s="129"/>
      <c r="Q2" s="129"/>
      <c r="R2" s="129"/>
    </row>
    <row r="3" spans="1:24" s="30" customFormat="1" ht="15.75" x14ac:dyDescent="0.25">
      <c r="B3" s="110" t="s">
        <v>285</v>
      </c>
      <c r="C3" s="29"/>
      <c r="D3" s="29"/>
      <c r="E3" s="29"/>
      <c r="F3" s="29"/>
      <c r="G3" s="29"/>
      <c r="H3" s="29"/>
      <c r="I3" s="29"/>
      <c r="J3" s="29"/>
      <c r="K3" s="29"/>
      <c r="L3" s="129"/>
      <c r="M3" s="129"/>
      <c r="N3" s="129"/>
      <c r="O3" s="129"/>
      <c r="P3" s="129"/>
      <c r="Q3" s="129"/>
      <c r="R3" s="129"/>
    </row>
    <row r="7" spans="1:24" ht="18.75" x14ac:dyDescent="0.25">
      <c r="A7" s="150"/>
      <c r="B7" s="151"/>
      <c r="C7" s="152" t="s">
        <v>161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447" t="s">
        <v>174</v>
      </c>
      <c r="X7" s="448"/>
    </row>
    <row r="8" spans="1:24" ht="15.75" x14ac:dyDescent="0.25">
      <c r="A8" s="154"/>
      <c r="B8" s="319" t="s">
        <v>162</v>
      </c>
      <c r="C8" s="320">
        <v>2017</v>
      </c>
      <c r="D8" s="321">
        <v>2018</v>
      </c>
      <c r="E8" s="321">
        <v>2019</v>
      </c>
      <c r="F8" s="321">
        <v>2020</v>
      </c>
      <c r="G8" s="321">
        <v>2021</v>
      </c>
      <c r="H8" s="321">
        <v>2022</v>
      </c>
      <c r="I8" s="321">
        <v>2023</v>
      </c>
      <c r="J8" s="321">
        <v>2024</v>
      </c>
      <c r="K8" s="321">
        <v>2025</v>
      </c>
      <c r="L8" s="321">
        <v>2026</v>
      </c>
      <c r="M8" s="321">
        <v>2027</v>
      </c>
      <c r="N8" s="321">
        <v>2028</v>
      </c>
      <c r="O8" s="321">
        <v>2029</v>
      </c>
      <c r="P8" s="321">
        <v>2030</v>
      </c>
      <c r="Q8" s="321">
        <v>2031</v>
      </c>
      <c r="R8" s="321">
        <v>2032</v>
      </c>
      <c r="S8" s="321">
        <v>2033</v>
      </c>
      <c r="T8" s="321">
        <v>2034</v>
      </c>
      <c r="U8" s="321">
        <v>2035</v>
      </c>
      <c r="V8" s="321">
        <v>2036</v>
      </c>
      <c r="W8" s="322" t="s">
        <v>175</v>
      </c>
      <c r="X8" s="322" t="s">
        <v>176</v>
      </c>
    </row>
    <row r="9" spans="1:24" hidden="1" x14ac:dyDescent="0.2">
      <c r="A9" s="323" t="s">
        <v>163</v>
      </c>
      <c r="B9" s="449" t="s">
        <v>164</v>
      </c>
      <c r="C9" s="450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2"/>
      <c r="W9" s="450"/>
      <c r="X9" s="452"/>
    </row>
    <row r="10" spans="1:24" ht="15.75" hidden="1" x14ac:dyDescent="0.25">
      <c r="A10" s="155"/>
      <c r="B10" s="324" t="s">
        <v>286</v>
      </c>
      <c r="C10" s="299">
        <v>0</v>
      </c>
      <c r="D10" s="299">
        <v>0</v>
      </c>
      <c r="E10" s="299">
        <v>0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299">
        <v>0</v>
      </c>
      <c r="L10" s="299">
        <v>-82.3</v>
      </c>
      <c r="M10" s="299">
        <v>0</v>
      </c>
      <c r="N10" s="299">
        <v>0</v>
      </c>
      <c r="O10" s="299">
        <v>0</v>
      </c>
      <c r="P10" s="299">
        <v>0</v>
      </c>
      <c r="Q10" s="299">
        <v>0</v>
      </c>
      <c r="R10" s="299">
        <v>0</v>
      </c>
      <c r="S10" s="299">
        <v>0</v>
      </c>
      <c r="T10" s="299">
        <v>0</v>
      </c>
      <c r="U10" s="299">
        <v>0</v>
      </c>
      <c r="V10" s="299">
        <v>0</v>
      </c>
      <c r="W10" s="299">
        <v>-82.3</v>
      </c>
      <c r="X10" s="299">
        <v>-82.3</v>
      </c>
    </row>
    <row r="11" spans="1:24" ht="15.75" hidden="1" x14ac:dyDescent="0.25">
      <c r="A11" s="155"/>
      <c r="B11" s="324" t="s">
        <v>287</v>
      </c>
      <c r="C11" s="299">
        <v>0</v>
      </c>
      <c r="D11" s="299">
        <v>0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299">
        <v>0</v>
      </c>
      <c r="M11" s="299">
        <v>0</v>
      </c>
      <c r="N11" s="299">
        <v>0</v>
      </c>
      <c r="O11" s="299">
        <v>0</v>
      </c>
      <c r="P11" s="299">
        <v>0</v>
      </c>
      <c r="Q11" s="299">
        <v>0</v>
      </c>
      <c r="R11" s="299">
        <v>0</v>
      </c>
      <c r="S11" s="299">
        <v>0</v>
      </c>
      <c r="T11" s="299">
        <v>0</v>
      </c>
      <c r="U11" s="299">
        <v>-81.540000000000006</v>
      </c>
      <c r="V11" s="299">
        <v>0</v>
      </c>
      <c r="W11" s="299">
        <v>0</v>
      </c>
      <c r="X11" s="299">
        <v>-81.540000000000006</v>
      </c>
    </row>
    <row r="12" spans="1:24" ht="15.75" hidden="1" x14ac:dyDescent="0.25">
      <c r="A12" s="155"/>
      <c r="B12" s="324" t="s">
        <v>232</v>
      </c>
      <c r="C12" s="299">
        <v>0</v>
      </c>
      <c r="D12" s="299">
        <v>0</v>
      </c>
      <c r="E12" s="299">
        <v>0</v>
      </c>
      <c r="F12" s="299">
        <v>0</v>
      </c>
      <c r="G12" s="299">
        <v>0</v>
      </c>
      <c r="H12" s="299">
        <v>0</v>
      </c>
      <c r="I12" s="299">
        <v>0</v>
      </c>
      <c r="J12" s="299">
        <v>0</v>
      </c>
      <c r="K12" s="299">
        <v>0</v>
      </c>
      <c r="L12" s="299">
        <v>0</v>
      </c>
      <c r="M12" s="299">
        <v>0</v>
      </c>
      <c r="N12" s="299">
        <v>0</v>
      </c>
      <c r="O12" s="299">
        <v>0</v>
      </c>
      <c r="P12" s="299">
        <v>0</v>
      </c>
      <c r="Q12" s="299">
        <v>-45.1</v>
      </c>
      <c r="R12" s="299">
        <v>0</v>
      </c>
      <c r="S12" s="299">
        <v>0</v>
      </c>
      <c r="T12" s="299">
        <v>0</v>
      </c>
      <c r="U12" s="299">
        <v>0</v>
      </c>
      <c r="V12" s="299">
        <v>0</v>
      </c>
      <c r="W12" s="299">
        <v>0</v>
      </c>
      <c r="X12" s="299">
        <v>-45.1</v>
      </c>
    </row>
    <row r="13" spans="1:24" ht="15.75" hidden="1" x14ac:dyDescent="0.25">
      <c r="A13" s="155"/>
      <c r="B13" s="324" t="s">
        <v>233</v>
      </c>
      <c r="C13" s="299">
        <v>0</v>
      </c>
      <c r="D13" s="299">
        <v>0</v>
      </c>
      <c r="E13" s="299">
        <v>0</v>
      </c>
      <c r="F13" s="299">
        <v>0</v>
      </c>
      <c r="G13" s="299">
        <v>0</v>
      </c>
      <c r="H13" s="299">
        <v>0</v>
      </c>
      <c r="I13" s="299">
        <v>0</v>
      </c>
      <c r="J13" s="299">
        <v>0</v>
      </c>
      <c r="K13" s="299">
        <v>0</v>
      </c>
      <c r="L13" s="299">
        <v>0</v>
      </c>
      <c r="M13" s="299">
        <v>0</v>
      </c>
      <c r="N13" s="299">
        <v>0</v>
      </c>
      <c r="O13" s="299">
        <v>0</v>
      </c>
      <c r="P13" s="299">
        <v>0</v>
      </c>
      <c r="Q13" s="299">
        <v>-32.68</v>
      </c>
      <c r="R13" s="299">
        <v>0</v>
      </c>
      <c r="S13" s="299">
        <v>0</v>
      </c>
      <c r="T13" s="299">
        <v>0</v>
      </c>
      <c r="U13" s="299">
        <v>0</v>
      </c>
      <c r="V13" s="299">
        <v>0</v>
      </c>
      <c r="W13" s="299">
        <v>0</v>
      </c>
      <c r="X13" s="299">
        <v>-32.68</v>
      </c>
    </row>
    <row r="14" spans="1:24" ht="15.75" hidden="1" x14ac:dyDescent="0.25">
      <c r="A14" s="155"/>
      <c r="B14" s="324" t="s">
        <v>288</v>
      </c>
      <c r="C14" s="300">
        <v>0</v>
      </c>
      <c r="D14" s="300">
        <v>0</v>
      </c>
      <c r="E14" s="300">
        <v>-482.5</v>
      </c>
      <c r="F14" s="300">
        <v>-111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0">
        <v>0</v>
      </c>
      <c r="W14" s="299">
        <v>-593.5</v>
      </c>
      <c r="X14" s="299">
        <v>-593.5</v>
      </c>
    </row>
    <row r="15" spans="1:24" ht="15.75" hidden="1" x14ac:dyDescent="0.25">
      <c r="A15" s="155"/>
      <c r="B15" s="324" t="s">
        <v>289</v>
      </c>
      <c r="C15" s="300">
        <v>0</v>
      </c>
      <c r="D15" s="300">
        <v>0</v>
      </c>
      <c r="E15" s="300">
        <v>483</v>
      </c>
      <c r="F15" s="300">
        <v>111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0</v>
      </c>
      <c r="V15" s="300">
        <v>0</v>
      </c>
      <c r="W15" s="299">
        <v>594</v>
      </c>
      <c r="X15" s="299">
        <v>594</v>
      </c>
    </row>
    <row r="16" spans="1:24" ht="15.75" hidden="1" x14ac:dyDescent="0.25">
      <c r="A16" s="155"/>
      <c r="B16" s="324" t="s">
        <v>234</v>
      </c>
      <c r="C16" s="299">
        <v>0</v>
      </c>
      <c r="D16" s="299">
        <v>0</v>
      </c>
      <c r="E16" s="299">
        <v>0</v>
      </c>
      <c r="F16" s="299">
        <v>0</v>
      </c>
      <c r="G16" s="299">
        <v>-387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  <c r="M16" s="299">
        <v>0</v>
      </c>
      <c r="N16" s="299">
        <v>0</v>
      </c>
      <c r="O16" s="299">
        <v>0</v>
      </c>
      <c r="P16" s="299">
        <v>0</v>
      </c>
      <c r="Q16" s="299">
        <v>0</v>
      </c>
      <c r="R16" s="299">
        <v>0</v>
      </c>
      <c r="S16" s="299">
        <v>0</v>
      </c>
      <c r="T16" s="299">
        <v>0</v>
      </c>
      <c r="U16" s="299">
        <v>0</v>
      </c>
      <c r="V16" s="299">
        <v>0</v>
      </c>
      <c r="W16" s="299">
        <v>-387</v>
      </c>
      <c r="X16" s="299">
        <v>-387</v>
      </c>
    </row>
    <row r="17" spans="1:24" ht="15.75" hidden="1" x14ac:dyDescent="0.25">
      <c r="A17" s="155"/>
      <c r="B17" s="324" t="s">
        <v>235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99">
        <v>0</v>
      </c>
      <c r="M17" s="299">
        <v>0</v>
      </c>
      <c r="N17" s="299">
        <v>-106</v>
      </c>
      <c r="O17" s="299">
        <v>0</v>
      </c>
      <c r="P17" s="299">
        <v>0</v>
      </c>
      <c r="Q17" s="299">
        <v>0</v>
      </c>
      <c r="R17" s="299">
        <v>0</v>
      </c>
      <c r="S17" s="299">
        <v>0</v>
      </c>
      <c r="T17" s="299">
        <v>0</v>
      </c>
      <c r="U17" s="299">
        <v>0</v>
      </c>
      <c r="V17" s="299">
        <v>0</v>
      </c>
      <c r="W17" s="299">
        <v>0</v>
      </c>
      <c r="X17" s="299">
        <v>-106</v>
      </c>
    </row>
    <row r="18" spans="1:24" ht="15.75" hidden="1" x14ac:dyDescent="0.25">
      <c r="A18" s="155"/>
      <c r="B18" s="324" t="s">
        <v>236</v>
      </c>
      <c r="C18" s="299">
        <v>0</v>
      </c>
      <c r="D18" s="299">
        <v>0</v>
      </c>
      <c r="E18" s="299">
        <v>0</v>
      </c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299">
        <v>0</v>
      </c>
      <c r="L18" s="299">
        <v>0</v>
      </c>
      <c r="M18" s="299">
        <v>0</v>
      </c>
      <c r="N18" s="299">
        <v>-106</v>
      </c>
      <c r="O18" s="299">
        <v>0</v>
      </c>
      <c r="P18" s="299">
        <v>0</v>
      </c>
      <c r="Q18" s="299">
        <v>0</v>
      </c>
      <c r="R18" s="299">
        <v>0</v>
      </c>
      <c r="S18" s="299">
        <v>0</v>
      </c>
      <c r="T18" s="299">
        <v>0</v>
      </c>
      <c r="U18" s="299">
        <v>0</v>
      </c>
      <c r="V18" s="299">
        <v>0</v>
      </c>
      <c r="W18" s="299">
        <v>0</v>
      </c>
      <c r="X18" s="299">
        <v>-106</v>
      </c>
    </row>
    <row r="19" spans="1:24" ht="15.75" hidden="1" x14ac:dyDescent="0.25">
      <c r="A19" s="155"/>
      <c r="B19" s="324" t="s">
        <v>237</v>
      </c>
      <c r="C19" s="299">
        <v>0</v>
      </c>
      <c r="D19" s="299">
        <v>0</v>
      </c>
      <c r="E19" s="299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299">
        <v>0</v>
      </c>
      <c r="M19" s="299">
        <v>0</v>
      </c>
      <c r="N19" s="299">
        <v>-220</v>
      </c>
      <c r="O19" s="299">
        <v>0</v>
      </c>
      <c r="P19" s="299">
        <v>0</v>
      </c>
      <c r="Q19" s="299">
        <v>0</v>
      </c>
      <c r="R19" s="299">
        <v>0</v>
      </c>
      <c r="S19" s="299">
        <v>0</v>
      </c>
      <c r="T19" s="299">
        <v>0</v>
      </c>
      <c r="U19" s="299">
        <v>0</v>
      </c>
      <c r="V19" s="299">
        <v>0</v>
      </c>
      <c r="W19" s="299">
        <v>0</v>
      </c>
      <c r="X19" s="299">
        <v>-220</v>
      </c>
    </row>
    <row r="20" spans="1:24" ht="15.75" hidden="1" x14ac:dyDescent="0.25">
      <c r="A20" s="155"/>
      <c r="B20" s="324" t="s">
        <v>238</v>
      </c>
      <c r="C20" s="299">
        <v>0</v>
      </c>
      <c r="D20" s="299">
        <v>0</v>
      </c>
      <c r="E20" s="299">
        <v>0</v>
      </c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299">
        <v>0</v>
      </c>
      <c r="M20" s="299">
        <v>0</v>
      </c>
      <c r="N20" s="299">
        <v>-330</v>
      </c>
      <c r="O20" s="299">
        <v>0</v>
      </c>
      <c r="P20" s="299">
        <v>0</v>
      </c>
      <c r="Q20" s="299">
        <v>0</v>
      </c>
      <c r="R20" s="299">
        <v>0</v>
      </c>
      <c r="S20" s="299">
        <v>0</v>
      </c>
      <c r="T20" s="299">
        <v>0</v>
      </c>
      <c r="U20" s="299">
        <v>0</v>
      </c>
      <c r="V20" s="299">
        <v>0</v>
      </c>
      <c r="W20" s="299">
        <v>0</v>
      </c>
      <c r="X20" s="299">
        <v>-330</v>
      </c>
    </row>
    <row r="21" spans="1:24" ht="15.75" hidden="1" x14ac:dyDescent="0.25">
      <c r="A21" s="155"/>
      <c r="B21" s="324" t="s">
        <v>239</v>
      </c>
      <c r="C21" s="299">
        <v>0</v>
      </c>
      <c r="D21" s="299">
        <v>0</v>
      </c>
      <c r="E21" s="299">
        <v>0</v>
      </c>
      <c r="F21" s="299">
        <v>0</v>
      </c>
      <c r="G21" s="299">
        <v>0</v>
      </c>
      <c r="H21" s="299">
        <v>0</v>
      </c>
      <c r="I21" s="299">
        <v>0</v>
      </c>
      <c r="J21" s="299">
        <v>0</v>
      </c>
      <c r="K21" s="299">
        <v>0</v>
      </c>
      <c r="L21" s="299">
        <v>0</v>
      </c>
      <c r="M21" s="299">
        <v>0</v>
      </c>
      <c r="N21" s="299">
        <v>0</v>
      </c>
      <c r="O21" s="299">
        <v>0</v>
      </c>
      <c r="P21" s="299">
        <v>-156</v>
      </c>
      <c r="Q21" s="299">
        <v>0</v>
      </c>
      <c r="R21" s="299">
        <v>0</v>
      </c>
      <c r="S21" s="299">
        <v>0</v>
      </c>
      <c r="T21" s="299">
        <v>0</v>
      </c>
      <c r="U21" s="299">
        <v>0</v>
      </c>
      <c r="V21" s="299">
        <v>0</v>
      </c>
      <c r="W21" s="299">
        <v>0</v>
      </c>
      <c r="X21" s="299">
        <v>-156</v>
      </c>
    </row>
    <row r="22" spans="1:24" ht="15.75" hidden="1" x14ac:dyDescent="0.25">
      <c r="A22" s="155"/>
      <c r="B22" s="324" t="s">
        <v>240</v>
      </c>
      <c r="C22" s="299">
        <v>0</v>
      </c>
      <c r="D22" s="299">
        <v>0</v>
      </c>
      <c r="E22" s="299">
        <v>0</v>
      </c>
      <c r="F22" s="299">
        <v>0</v>
      </c>
      <c r="G22" s="299">
        <v>0</v>
      </c>
      <c r="H22" s="299">
        <v>0</v>
      </c>
      <c r="I22" s="299">
        <v>0</v>
      </c>
      <c r="J22" s="299">
        <v>0</v>
      </c>
      <c r="K22" s="299">
        <v>0</v>
      </c>
      <c r="L22" s="299">
        <v>0</v>
      </c>
      <c r="M22" s="299">
        <v>0</v>
      </c>
      <c r="N22" s="299">
        <v>0</v>
      </c>
      <c r="O22" s="299">
        <v>0</v>
      </c>
      <c r="P22" s="299">
        <v>-201</v>
      </c>
      <c r="Q22" s="299">
        <v>0</v>
      </c>
      <c r="R22" s="299">
        <v>0</v>
      </c>
      <c r="S22" s="299">
        <v>0</v>
      </c>
      <c r="T22" s="299">
        <v>0</v>
      </c>
      <c r="U22" s="299">
        <v>0</v>
      </c>
      <c r="V22" s="299">
        <v>0</v>
      </c>
      <c r="W22" s="299">
        <v>0</v>
      </c>
      <c r="X22" s="299">
        <v>-201</v>
      </c>
    </row>
    <row r="23" spans="1:24" ht="15.75" hidden="1" x14ac:dyDescent="0.25">
      <c r="A23" s="155"/>
      <c r="B23" s="324" t="s">
        <v>241</v>
      </c>
      <c r="C23" s="299">
        <v>0</v>
      </c>
      <c r="D23" s="299">
        <v>0</v>
      </c>
      <c r="E23" s="299">
        <v>-280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>
        <v>0</v>
      </c>
      <c r="S23" s="299">
        <v>0</v>
      </c>
      <c r="T23" s="299">
        <v>0</v>
      </c>
      <c r="U23" s="299">
        <v>0</v>
      </c>
      <c r="V23" s="299">
        <v>0</v>
      </c>
      <c r="W23" s="299">
        <v>-280</v>
      </c>
      <c r="X23" s="299">
        <v>-280</v>
      </c>
    </row>
    <row r="24" spans="1:24" ht="15.75" hidden="1" x14ac:dyDescent="0.25">
      <c r="A24" s="155"/>
      <c r="B24" s="324" t="s">
        <v>242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0">
        <v>0</v>
      </c>
      <c r="Q24" s="300">
        <v>0</v>
      </c>
      <c r="R24" s="300">
        <v>0</v>
      </c>
      <c r="S24" s="300">
        <v>-357.5</v>
      </c>
      <c r="T24" s="300">
        <v>0</v>
      </c>
      <c r="U24" s="300">
        <v>0</v>
      </c>
      <c r="V24" s="300">
        <v>0</v>
      </c>
      <c r="W24" s="299">
        <v>0</v>
      </c>
      <c r="X24" s="299">
        <v>-357.5</v>
      </c>
    </row>
    <row r="25" spans="1:24" x14ac:dyDescent="0.2">
      <c r="A25" s="155" t="s">
        <v>163</v>
      </c>
      <c r="B25" s="449" t="s">
        <v>165</v>
      </c>
      <c r="C25" s="450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2"/>
      <c r="W25" s="161"/>
      <c r="X25" s="162"/>
    </row>
    <row r="26" spans="1:24" ht="16.5" thickBot="1" x14ac:dyDescent="0.3">
      <c r="A26" s="156"/>
      <c r="B26" s="301" t="s">
        <v>290</v>
      </c>
      <c r="C26" s="300">
        <v>0</v>
      </c>
      <c r="D26" s="300"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0</v>
      </c>
      <c r="J26" s="300">
        <v>0</v>
      </c>
      <c r="K26" s="300">
        <v>0</v>
      </c>
      <c r="L26" s="300">
        <v>0</v>
      </c>
      <c r="M26" s="300">
        <v>0</v>
      </c>
      <c r="N26" s="300">
        <v>0</v>
      </c>
      <c r="O26" s="300">
        <v>0</v>
      </c>
      <c r="P26" s="300">
        <v>0</v>
      </c>
      <c r="Q26" s="300">
        <v>0</v>
      </c>
      <c r="R26" s="300">
        <v>0</v>
      </c>
      <c r="S26" s="300">
        <v>476.577</v>
      </c>
      <c r="T26" s="300">
        <v>0</v>
      </c>
      <c r="U26" s="300">
        <v>0</v>
      </c>
      <c r="V26" s="300">
        <v>0</v>
      </c>
      <c r="W26" s="299">
        <v>0</v>
      </c>
      <c r="X26" s="299">
        <v>476.577</v>
      </c>
    </row>
    <row r="27" spans="1:24" ht="16.5" thickBot="1" x14ac:dyDescent="0.3">
      <c r="A27" s="156"/>
      <c r="B27" s="302" t="s">
        <v>243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03">
        <v>0</v>
      </c>
      <c r="M27" s="303">
        <v>0</v>
      </c>
      <c r="N27" s="303">
        <v>0</v>
      </c>
      <c r="O27" s="303">
        <v>0</v>
      </c>
      <c r="P27" s="303">
        <v>0</v>
      </c>
      <c r="Q27" s="303">
        <v>0</v>
      </c>
      <c r="R27" s="303">
        <v>0</v>
      </c>
      <c r="S27" s="303">
        <v>476.577</v>
      </c>
      <c r="T27" s="303">
        <v>0</v>
      </c>
      <c r="U27" s="303">
        <v>0</v>
      </c>
      <c r="V27" s="303">
        <v>0</v>
      </c>
      <c r="W27" s="303">
        <v>0</v>
      </c>
      <c r="X27" s="303">
        <v>476.577</v>
      </c>
    </row>
    <row r="28" spans="1:24" ht="15.75" x14ac:dyDescent="0.25">
      <c r="A28" s="156"/>
      <c r="B28" s="301" t="s">
        <v>291</v>
      </c>
      <c r="C28" s="300">
        <v>0</v>
      </c>
      <c r="D28" s="300">
        <v>0</v>
      </c>
      <c r="E28" s="300">
        <v>0</v>
      </c>
      <c r="F28" s="300">
        <v>0</v>
      </c>
      <c r="G28" s="300">
        <v>0</v>
      </c>
      <c r="H28" s="300">
        <v>0</v>
      </c>
      <c r="I28" s="300">
        <v>0</v>
      </c>
      <c r="J28" s="300">
        <v>0</v>
      </c>
      <c r="K28" s="300">
        <v>0</v>
      </c>
      <c r="L28" s="300">
        <v>0</v>
      </c>
      <c r="M28" s="300">
        <v>0</v>
      </c>
      <c r="N28" s="300">
        <v>0</v>
      </c>
      <c r="O28" s="300">
        <v>0</v>
      </c>
      <c r="P28" s="300">
        <v>0</v>
      </c>
      <c r="Q28" s="453">
        <v>0</v>
      </c>
      <c r="R28" s="453">
        <v>0</v>
      </c>
      <c r="S28" s="453">
        <v>199.92400000000001</v>
      </c>
      <c r="T28" s="453">
        <v>0</v>
      </c>
      <c r="U28" s="453">
        <v>0</v>
      </c>
      <c r="V28" s="453">
        <v>0</v>
      </c>
      <c r="W28" s="454">
        <v>0</v>
      </c>
      <c r="X28" s="299">
        <v>199.92400000000001</v>
      </c>
    </row>
    <row r="29" spans="1:24" ht="15.75" x14ac:dyDescent="0.25">
      <c r="A29" s="156"/>
      <c r="B29" s="301" t="s">
        <v>292</v>
      </c>
      <c r="C29" s="300">
        <v>0</v>
      </c>
      <c r="D29" s="300">
        <v>0</v>
      </c>
      <c r="E29" s="300">
        <v>0</v>
      </c>
      <c r="F29" s="300">
        <v>0</v>
      </c>
      <c r="G29" s="300">
        <v>0</v>
      </c>
      <c r="H29" s="300">
        <v>0</v>
      </c>
      <c r="I29" s="300">
        <v>0</v>
      </c>
      <c r="J29" s="300">
        <v>0</v>
      </c>
      <c r="K29" s="300">
        <v>0</v>
      </c>
      <c r="L29" s="300">
        <v>0</v>
      </c>
      <c r="M29" s="300">
        <v>0</v>
      </c>
      <c r="N29" s="300">
        <v>0</v>
      </c>
      <c r="O29" s="300">
        <v>199.92400000000001</v>
      </c>
      <c r="P29" s="300">
        <v>0</v>
      </c>
      <c r="Q29" s="453">
        <v>0</v>
      </c>
      <c r="R29" s="453">
        <v>0</v>
      </c>
      <c r="S29" s="453">
        <v>0</v>
      </c>
      <c r="T29" s="453">
        <v>0</v>
      </c>
      <c r="U29" s="453">
        <v>0</v>
      </c>
      <c r="V29" s="453">
        <v>0</v>
      </c>
      <c r="W29" s="454">
        <v>0</v>
      </c>
      <c r="X29" s="299">
        <v>199.92400000000001</v>
      </c>
    </row>
    <row r="30" spans="1:24" ht="15.75" x14ac:dyDescent="0.25">
      <c r="A30" s="156"/>
      <c r="B30" s="301" t="s">
        <v>293</v>
      </c>
      <c r="C30" s="300">
        <v>0</v>
      </c>
      <c r="D30" s="300">
        <v>0</v>
      </c>
      <c r="E30" s="300">
        <v>0</v>
      </c>
      <c r="F30" s="300">
        <v>0</v>
      </c>
      <c r="G30" s="300">
        <v>0</v>
      </c>
      <c r="H30" s="300">
        <v>0</v>
      </c>
      <c r="I30" s="300">
        <v>0</v>
      </c>
      <c r="J30" s="300">
        <v>0</v>
      </c>
      <c r="K30" s="300">
        <v>0</v>
      </c>
      <c r="L30" s="300">
        <v>0</v>
      </c>
      <c r="M30" s="300">
        <v>0</v>
      </c>
      <c r="N30" s="300">
        <v>0</v>
      </c>
      <c r="O30" s="300">
        <v>0</v>
      </c>
      <c r="P30" s="300">
        <v>0</v>
      </c>
      <c r="Q30" s="453">
        <v>85.498999999999995</v>
      </c>
      <c r="R30" s="453">
        <v>0</v>
      </c>
      <c r="S30" s="453">
        <v>0</v>
      </c>
      <c r="T30" s="453">
        <v>0</v>
      </c>
      <c r="U30" s="453">
        <v>0</v>
      </c>
      <c r="V30" s="453">
        <v>0</v>
      </c>
      <c r="W30" s="454">
        <v>0</v>
      </c>
      <c r="X30" s="299">
        <v>85.498999999999995</v>
      </c>
    </row>
    <row r="31" spans="1:24" ht="15.75" x14ac:dyDescent="0.25">
      <c r="A31" s="156"/>
      <c r="B31" s="301" t="s">
        <v>294</v>
      </c>
      <c r="C31" s="300">
        <v>0</v>
      </c>
      <c r="D31" s="300">
        <v>0</v>
      </c>
      <c r="E31" s="300">
        <v>0</v>
      </c>
      <c r="F31" s="300">
        <v>0</v>
      </c>
      <c r="G31" s="300">
        <v>0</v>
      </c>
      <c r="H31" s="300">
        <v>0</v>
      </c>
      <c r="I31" s="300">
        <v>0</v>
      </c>
      <c r="J31" s="300">
        <v>0</v>
      </c>
      <c r="K31" s="300">
        <v>0</v>
      </c>
      <c r="L31" s="300">
        <v>0</v>
      </c>
      <c r="M31" s="300">
        <v>0</v>
      </c>
      <c r="N31" s="300">
        <v>0</v>
      </c>
      <c r="O31" s="300">
        <v>0</v>
      </c>
      <c r="P31" s="300">
        <v>0</v>
      </c>
      <c r="Q31" s="453">
        <v>0</v>
      </c>
      <c r="R31" s="453">
        <v>0</v>
      </c>
      <c r="S31" s="453">
        <v>0</v>
      </c>
      <c r="T31" s="453">
        <v>0</v>
      </c>
      <c r="U31" s="453">
        <v>0</v>
      </c>
      <c r="V31" s="453">
        <v>773.98800000000006</v>
      </c>
      <c r="W31" s="454">
        <v>0</v>
      </c>
      <c r="X31" s="299">
        <v>773.98800000000006</v>
      </c>
    </row>
    <row r="32" spans="1:24" ht="16.5" thickBot="1" x14ac:dyDescent="0.3">
      <c r="A32" s="156"/>
      <c r="B32" s="301" t="s">
        <v>295</v>
      </c>
      <c r="C32" s="300">
        <v>0</v>
      </c>
      <c r="D32" s="300">
        <v>0</v>
      </c>
      <c r="E32" s="300">
        <v>0</v>
      </c>
      <c r="F32" s="300">
        <v>0</v>
      </c>
      <c r="G32" s="300">
        <v>1100</v>
      </c>
      <c r="H32" s="300">
        <v>0</v>
      </c>
      <c r="I32" s="300">
        <v>0</v>
      </c>
      <c r="J32" s="300">
        <v>0</v>
      </c>
      <c r="K32" s="300">
        <v>0</v>
      </c>
      <c r="L32" s="300">
        <v>0</v>
      </c>
      <c r="M32" s="300">
        <v>0</v>
      </c>
      <c r="N32" s="300">
        <v>0</v>
      </c>
      <c r="O32" s="300">
        <v>0</v>
      </c>
      <c r="P32" s="300">
        <v>0</v>
      </c>
      <c r="Q32" s="453">
        <v>0</v>
      </c>
      <c r="R32" s="453">
        <v>0</v>
      </c>
      <c r="S32" s="453">
        <v>0</v>
      </c>
      <c r="T32" s="453">
        <v>0</v>
      </c>
      <c r="U32" s="453">
        <v>0</v>
      </c>
      <c r="V32" s="453">
        <v>0</v>
      </c>
      <c r="W32" s="454">
        <v>1100</v>
      </c>
      <c r="X32" s="299">
        <v>1100</v>
      </c>
    </row>
    <row r="33" spans="1:24" ht="16.5" thickBot="1" x14ac:dyDescent="0.3">
      <c r="A33" s="156"/>
      <c r="B33" s="302" t="s">
        <v>296</v>
      </c>
      <c r="C33" s="303">
        <v>0</v>
      </c>
      <c r="D33" s="303">
        <v>0</v>
      </c>
      <c r="E33" s="303">
        <v>0</v>
      </c>
      <c r="F33" s="303">
        <v>0</v>
      </c>
      <c r="G33" s="303">
        <v>1100</v>
      </c>
      <c r="H33" s="303">
        <v>0</v>
      </c>
      <c r="I33" s="303">
        <v>0</v>
      </c>
      <c r="J33" s="303">
        <v>0</v>
      </c>
      <c r="K33" s="303">
        <v>0</v>
      </c>
      <c r="L33" s="303">
        <v>0</v>
      </c>
      <c r="M33" s="303">
        <v>0</v>
      </c>
      <c r="N33" s="303">
        <v>0</v>
      </c>
      <c r="O33" s="303">
        <v>0</v>
      </c>
      <c r="P33" s="303">
        <v>0</v>
      </c>
      <c r="Q33" s="455">
        <v>85.498999999999995</v>
      </c>
      <c r="R33" s="455">
        <v>0</v>
      </c>
      <c r="S33" s="455">
        <v>0</v>
      </c>
      <c r="T33" s="455">
        <v>0</v>
      </c>
      <c r="U33" s="455">
        <v>0</v>
      </c>
      <c r="V33" s="455">
        <v>773.98800000000006</v>
      </c>
      <c r="W33" s="455">
        <v>1100</v>
      </c>
      <c r="X33" s="303">
        <v>1959.4870000000001</v>
      </c>
    </row>
    <row r="34" spans="1:24" ht="16.5" thickBot="1" x14ac:dyDescent="0.3">
      <c r="A34" s="156"/>
      <c r="B34" s="304" t="s">
        <v>297</v>
      </c>
      <c r="C34" s="456">
        <v>0</v>
      </c>
      <c r="D34" s="456">
        <v>0</v>
      </c>
      <c r="E34" s="456">
        <v>0</v>
      </c>
      <c r="F34" s="456">
        <v>0</v>
      </c>
      <c r="G34" s="456">
        <v>0</v>
      </c>
      <c r="H34" s="456">
        <v>0</v>
      </c>
      <c r="I34" s="456">
        <v>0</v>
      </c>
      <c r="J34" s="456">
        <v>0</v>
      </c>
      <c r="K34" s="456">
        <v>0</v>
      </c>
      <c r="L34" s="456">
        <v>0</v>
      </c>
      <c r="M34" s="456">
        <v>0</v>
      </c>
      <c r="N34" s="456">
        <v>0</v>
      </c>
      <c r="O34" s="456">
        <v>0</v>
      </c>
      <c r="P34" s="456">
        <v>0</v>
      </c>
      <c r="Q34" s="457">
        <v>79.44</v>
      </c>
      <c r="R34" s="457">
        <v>166.625</v>
      </c>
      <c r="S34" s="457">
        <v>209.99100000000001</v>
      </c>
      <c r="T34" s="457">
        <v>40.779000000000003</v>
      </c>
      <c r="U34" s="457">
        <v>290.57600000000002</v>
      </c>
      <c r="V34" s="457">
        <v>12.589</v>
      </c>
      <c r="W34" s="453">
        <v>0</v>
      </c>
      <c r="X34" s="300">
        <v>800.00000000000011</v>
      </c>
    </row>
    <row r="35" spans="1:24" ht="16.5" hidden="1" thickBot="1" x14ac:dyDescent="0.3">
      <c r="A35" s="156"/>
      <c r="B35" s="304" t="s">
        <v>298</v>
      </c>
      <c r="C35" s="305">
        <v>0</v>
      </c>
      <c r="D35" s="305">
        <v>0</v>
      </c>
      <c r="E35" s="305">
        <v>0</v>
      </c>
      <c r="F35" s="305">
        <v>0</v>
      </c>
      <c r="G35" s="305">
        <v>0</v>
      </c>
      <c r="H35" s="305">
        <v>0</v>
      </c>
      <c r="I35" s="305">
        <v>0</v>
      </c>
      <c r="J35" s="305">
        <v>0</v>
      </c>
      <c r="K35" s="305">
        <v>0</v>
      </c>
      <c r="L35" s="305">
        <v>0</v>
      </c>
      <c r="M35" s="305">
        <v>0</v>
      </c>
      <c r="N35" s="305">
        <v>0</v>
      </c>
      <c r="O35" s="305">
        <v>3.35</v>
      </c>
      <c r="P35" s="305">
        <v>0</v>
      </c>
      <c r="Q35" s="458">
        <v>0</v>
      </c>
      <c r="R35" s="458">
        <v>0</v>
      </c>
      <c r="S35" s="458">
        <v>0</v>
      </c>
      <c r="T35" s="458">
        <v>0</v>
      </c>
      <c r="U35" s="458">
        <v>0</v>
      </c>
      <c r="V35" s="458">
        <v>1.34</v>
      </c>
      <c r="W35" s="459">
        <v>0</v>
      </c>
      <c r="X35" s="306">
        <v>4.6900000000000004</v>
      </c>
    </row>
    <row r="36" spans="1:24" ht="16.5" hidden="1" thickBot="1" x14ac:dyDescent="0.3">
      <c r="A36" s="156"/>
      <c r="B36" s="304" t="s">
        <v>259</v>
      </c>
      <c r="C36" s="305">
        <v>0</v>
      </c>
      <c r="D36" s="305">
        <v>0</v>
      </c>
      <c r="E36" s="305">
        <v>0</v>
      </c>
      <c r="F36" s="305">
        <v>0</v>
      </c>
      <c r="G36" s="305">
        <v>0</v>
      </c>
      <c r="H36" s="305">
        <v>0</v>
      </c>
      <c r="I36" s="305">
        <v>0</v>
      </c>
      <c r="J36" s="305">
        <v>0</v>
      </c>
      <c r="K36" s="305">
        <v>0</v>
      </c>
      <c r="L36" s="305">
        <v>0</v>
      </c>
      <c r="M36" s="305">
        <v>0</v>
      </c>
      <c r="N36" s="305">
        <v>0</v>
      </c>
      <c r="O36" s="305">
        <v>1.93</v>
      </c>
      <c r="P36" s="305">
        <v>0</v>
      </c>
      <c r="Q36" s="458">
        <v>0</v>
      </c>
      <c r="R36" s="458">
        <v>0</v>
      </c>
      <c r="S36" s="458">
        <v>0</v>
      </c>
      <c r="T36" s="458">
        <v>0</v>
      </c>
      <c r="U36" s="458">
        <v>0</v>
      </c>
      <c r="V36" s="458">
        <v>0</v>
      </c>
      <c r="W36" s="459">
        <v>0</v>
      </c>
      <c r="X36" s="306">
        <v>1.93</v>
      </c>
    </row>
    <row r="37" spans="1:24" ht="16.5" hidden="1" thickBot="1" x14ac:dyDescent="0.3">
      <c r="A37" s="156"/>
      <c r="B37" s="304" t="s">
        <v>260</v>
      </c>
      <c r="C37" s="305">
        <v>0</v>
      </c>
      <c r="D37" s="305">
        <v>0</v>
      </c>
      <c r="E37" s="305">
        <v>0</v>
      </c>
      <c r="F37" s="305">
        <v>0</v>
      </c>
      <c r="G37" s="305">
        <v>0</v>
      </c>
      <c r="H37" s="305">
        <v>0</v>
      </c>
      <c r="I37" s="305">
        <v>0</v>
      </c>
      <c r="J37" s="305">
        <v>0</v>
      </c>
      <c r="K37" s="305">
        <v>0</v>
      </c>
      <c r="L37" s="305">
        <v>0</v>
      </c>
      <c r="M37" s="305">
        <v>0</v>
      </c>
      <c r="N37" s="305">
        <v>10.93</v>
      </c>
      <c r="O37" s="305">
        <v>3.94</v>
      </c>
      <c r="P37" s="305">
        <v>0</v>
      </c>
      <c r="Q37" s="458">
        <v>0</v>
      </c>
      <c r="R37" s="458">
        <v>3.36</v>
      </c>
      <c r="S37" s="458">
        <v>0</v>
      </c>
      <c r="T37" s="458">
        <v>0</v>
      </c>
      <c r="U37" s="458">
        <v>3.05</v>
      </c>
      <c r="V37" s="458">
        <v>0</v>
      </c>
      <c r="W37" s="459">
        <v>0</v>
      </c>
      <c r="X37" s="306">
        <v>21.28</v>
      </c>
    </row>
    <row r="38" spans="1:24" ht="16.5" hidden="1" thickBot="1" x14ac:dyDescent="0.3">
      <c r="A38" s="156"/>
      <c r="B38" s="304" t="s">
        <v>299</v>
      </c>
      <c r="C38" s="306">
        <v>0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68.37</v>
      </c>
      <c r="O38" s="306">
        <v>0</v>
      </c>
      <c r="P38" s="306">
        <v>0</v>
      </c>
      <c r="Q38" s="459">
        <v>0</v>
      </c>
      <c r="R38" s="459">
        <v>0</v>
      </c>
      <c r="S38" s="459">
        <v>0</v>
      </c>
      <c r="T38" s="459">
        <v>0</v>
      </c>
      <c r="U38" s="459">
        <v>0</v>
      </c>
      <c r="V38" s="459">
        <v>0</v>
      </c>
      <c r="W38" s="459">
        <v>0</v>
      </c>
      <c r="X38" s="306">
        <v>68.37</v>
      </c>
    </row>
    <row r="39" spans="1:24" ht="16.5" hidden="1" thickBot="1" x14ac:dyDescent="0.3">
      <c r="A39" s="156"/>
      <c r="B39" s="304" t="s">
        <v>261</v>
      </c>
      <c r="C39" s="305">
        <v>0</v>
      </c>
      <c r="D39" s="305">
        <v>0</v>
      </c>
      <c r="E39" s="305">
        <v>0</v>
      </c>
      <c r="F39" s="305">
        <v>0</v>
      </c>
      <c r="G39" s="305">
        <v>0</v>
      </c>
      <c r="H39" s="305">
        <v>0</v>
      </c>
      <c r="I39" s="305">
        <v>0</v>
      </c>
      <c r="J39" s="305">
        <v>0</v>
      </c>
      <c r="K39" s="305">
        <v>0</v>
      </c>
      <c r="L39" s="305">
        <v>0</v>
      </c>
      <c r="M39" s="305">
        <v>0</v>
      </c>
      <c r="N39" s="305">
        <v>34.75</v>
      </c>
      <c r="O39" s="305">
        <v>40.54</v>
      </c>
      <c r="P39" s="305">
        <v>4.75</v>
      </c>
      <c r="Q39" s="458">
        <v>0</v>
      </c>
      <c r="R39" s="458">
        <v>0</v>
      </c>
      <c r="S39" s="458">
        <v>0</v>
      </c>
      <c r="T39" s="458">
        <v>3.67</v>
      </c>
      <c r="U39" s="458">
        <v>0</v>
      </c>
      <c r="V39" s="458">
        <v>2.2200000000000002</v>
      </c>
      <c r="W39" s="459">
        <v>0</v>
      </c>
      <c r="X39" s="306">
        <v>85.929999999999993</v>
      </c>
    </row>
    <row r="40" spans="1:24" ht="16.5" hidden="1" thickBot="1" x14ac:dyDescent="0.3">
      <c r="A40" s="156"/>
      <c r="B40" s="304" t="s">
        <v>262</v>
      </c>
      <c r="C40" s="305">
        <v>0</v>
      </c>
      <c r="D40" s="305">
        <v>0</v>
      </c>
      <c r="E40" s="305">
        <v>0</v>
      </c>
      <c r="F40" s="305">
        <v>0</v>
      </c>
      <c r="G40" s="305">
        <v>0</v>
      </c>
      <c r="H40" s="305">
        <v>0</v>
      </c>
      <c r="I40" s="305">
        <v>0</v>
      </c>
      <c r="J40" s="305">
        <v>0</v>
      </c>
      <c r="K40" s="305">
        <v>0</v>
      </c>
      <c r="L40" s="305">
        <v>0</v>
      </c>
      <c r="M40" s="305">
        <v>0</v>
      </c>
      <c r="N40" s="305">
        <v>3.05</v>
      </c>
      <c r="O40" s="305">
        <v>0</v>
      </c>
      <c r="P40" s="305">
        <v>0</v>
      </c>
      <c r="Q40" s="458">
        <v>0</v>
      </c>
      <c r="R40" s="458">
        <v>0</v>
      </c>
      <c r="S40" s="458">
        <v>0</v>
      </c>
      <c r="T40" s="458">
        <v>0</v>
      </c>
      <c r="U40" s="458">
        <v>0</v>
      </c>
      <c r="V40" s="458">
        <v>3.25</v>
      </c>
      <c r="W40" s="459">
        <v>0</v>
      </c>
      <c r="X40" s="306">
        <v>6.3</v>
      </c>
    </row>
    <row r="41" spans="1:24" ht="16.5" hidden="1" thickBot="1" x14ac:dyDescent="0.3">
      <c r="A41" s="156"/>
      <c r="B41" s="304" t="s">
        <v>300</v>
      </c>
      <c r="C41" s="305">
        <v>0</v>
      </c>
      <c r="D41" s="305">
        <v>0</v>
      </c>
      <c r="E41" s="305">
        <v>0</v>
      </c>
      <c r="F41" s="305">
        <v>0</v>
      </c>
      <c r="G41" s="305">
        <v>0</v>
      </c>
      <c r="H41" s="305">
        <v>0</v>
      </c>
      <c r="I41" s="305">
        <v>0</v>
      </c>
      <c r="J41" s="305">
        <v>0</v>
      </c>
      <c r="K41" s="305">
        <v>0</v>
      </c>
      <c r="L41" s="305">
        <v>0</v>
      </c>
      <c r="M41" s="305">
        <v>0</v>
      </c>
      <c r="N41" s="305">
        <v>4.78</v>
      </c>
      <c r="O41" s="305">
        <v>0</v>
      </c>
      <c r="P41" s="305">
        <v>0</v>
      </c>
      <c r="Q41" s="458">
        <v>0</v>
      </c>
      <c r="R41" s="458">
        <v>0</v>
      </c>
      <c r="S41" s="458">
        <v>0</v>
      </c>
      <c r="T41" s="458">
        <v>0</v>
      </c>
      <c r="U41" s="458">
        <v>0</v>
      </c>
      <c r="V41" s="458">
        <v>2.87</v>
      </c>
      <c r="W41" s="459">
        <v>0</v>
      </c>
      <c r="X41" s="306">
        <v>7.65</v>
      </c>
    </row>
    <row r="42" spans="1:24" ht="16.5" hidden="1" thickBot="1" x14ac:dyDescent="0.3">
      <c r="A42" s="156"/>
      <c r="B42" s="304" t="s">
        <v>263</v>
      </c>
      <c r="C42" s="305">
        <v>0</v>
      </c>
      <c r="D42" s="305">
        <v>0</v>
      </c>
      <c r="E42" s="305">
        <v>0</v>
      </c>
      <c r="F42" s="305">
        <v>0</v>
      </c>
      <c r="G42" s="305">
        <v>0</v>
      </c>
      <c r="H42" s="305">
        <v>0</v>
      </c>
      <c r="I42" s="305">
        <v>0</v>
      </c>
      <c r="J42" s="305">
        <v>0</v>
      </c>
      <c r="K42" s="305">
        <v>0</v>
      </c>
      <c r="L42" s="305">
        <v>0</v>
      </c>
      <c r="M42" s="305">
        <v>0</v>
      </c>
      <c r="N42" s="305">
        <v>0</v>
      </c>
      <c r="O42" s="305">
        <v>40.71</v>
      </c>
      <c r="P42" s="305">
        <v>0</v>
      </c>
      <c r="Q42" s="458">
        <v>0</v>
      </c>
      <c r="R42" s="458">
        <v>0</v>
      </c>
      <c r="S42" s="458">
        <v>3.11</v>
      </c>
      <c r="T42" s="458">
        <v>0</v>
      </c>
      <c r="U42" s="458">
        <v>0</v>
      </c>
      <c r="V42" s="458">
        <v>1.95</v>
      </c>
      <c r="W42" s="459">
        <v>0</v>
      </c>
      <c r="X42" s="306">
        <v>45.77</v>
      </c>
    </row>
    <row r="43" spans="1:24" ht="16.5" hidden="1" thickBot="1" x14ac:dyDescent="0.3">
      <c r="A43" s="156"/>
      <c r="B43" s="304" t="s">
        <v>264</v>
      </c>
      <c r="C43" s="305">
        <v>0</v>
      </c>
      <c r="D43" s="305">
        <v>0</v>
      </c>
      <c r="E43" s="305">
        <v>0</v>
      </c>
      <c r="F43" s="305">
        <v>0</v>
      </c>
      <c r="G43" s="305">
        <v>0</v>
      </c>
      <c r="H43" s="305">
        <v>0</v>
      </c>
      <c r="I43" s="305">
        <v>0</v>
      </c>
      <c r="J43" s="305">
        <v>0</v>
      </c>
      <c r="K43" s="305">
        <v>0</v>
      </c>
      <c r="L43" s="305">
        <v>0</v>
      </c>
      <c r="M43" s="305">
        <v>0</v>
      </c>
      <c r="N43" s="305">
        <v>1.88</v>
      </c>
      <c r="O43" s="305">
        <v>0</v>
      </c>
      <c r="P43" s="305">
        <v>0</v>
      </c>
      <c r="Q43" s="458">
        <v>0</v>
      </c>
      <c r="R43" s="458">
        <v>0</v>
      </c>
      <c r="S43" s="458">
        <v>0</v>
      </c>
      <c r="T43" s="458">
        <v>0</v>
      </c>
      <c r="U43" s="458">
        <v>0</v>
      </c>
      <c r="V43" s="458">
        <v>0</v>
      </c>
      <c r="W43" s="459">
        <v>0</v>
      </c>
      <c r="X43" s="306">
        <v>1.88</v>
      </c>
    </row>
    <row r="44" spans="1:24" ht="16.5" thickBot="1" x14ac:dyDescent="0.3">
      <c r="A44" s="156"/>
      <c r="B44" s="302" t="s">
        <v>166</v>
      </c>
      <c r="C44" s="307">
        <v>0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>
        <v>0</v>
      </c>
      <c r="N44" s="307">
        <v>123.76</v>
      </c>
      <c r="O44" s="307">
        <v>90.47</v>
      </c>
      <c r="P44" s="307">
        <v>4.75</v>
      </c>
      <c r="Q44" s="460">
        <v>0</v>
      </c>
      <c r="R44" s="460">
        <v>3.36</v>
      </c>
      <c r="S44" s="460">
        <v>3.11</v>
      </c>
      <c r="T44" s="460">
        <v>3.67</v>
      </c>
      <c r="U44" s="460">
        <v>3.05</v>
      </c>
      <c r="V44" s="460">
        <v>11.629999999999999</v>
      </c>
      <c r="W44" s="460">
        <v>0</v>
      </c>
      <c r="X44" s="307">
        <v>243.80000000000004</v>
      </c>
    </row>
    <row r="45" spans="1:24" ht="16.5" hidden="1" thickBot="1" x14ac:dyDescent="0.3">
      <c r="A45" s="156"/>
      <c r="B45" s="461" t="s">
        <v>244</v>
      </c>
      <c r="C45" s="300">
        <v>4.57</v>
      </c>
      <c r="D45" s="300">
        <v>6.5</v>
      </c>
      <c r="E45" s="300">
        <v>6.5299999999999994</v>
      </c>
      <c r="F45" s="300">
        <v>5.59</v>
      </c>
      <c r="G45" s="300">
        <v>5.7900000000000009</v>
      </c>
      <c r="H45" s="300">
        <v>5.42</v>
      </c>
      <c r="I45" s="300">
        <v>5.24</v>
      </c>
      <c r="J45" s="300">
        <v>5.5400000000000009</v>
      </c>
      <c r="K45" s="300">
        <v>5.33</v>
      </c>
      <c r="L45" s="300">
        <v>5.58</v>
      </c>
      <c r="M45" s="300">
        <v>5.25</v>
      </c>
      <c r="N45" s="300">
        <v>4.93</v>
      </c>
      <c r="O45" s="300">
        <v>4.76</v>
      </c>
      <c r="P45" s="300">
        <v>4.57</v>
      </c>
      <c r="Q45" s="300">
        <v>4.43</v>
      </c>
      <c r="R45" s="300">
        <v>3.7300000000000004</v>
      </c>
      <c r="S45" s="300">
        <v>3.48</v>
      </c>
      <c r="T45" s="300">
        <v>2.86</v>
      </c>
      <c r="U45" s="300">
        <v>2.56</v>
      </c>
      <c r="V45" s="300">
        <v>2.64</v>
      </c>
      <c r="W45" s="300">
        <v>56.09</v>
      </c>
      <c r="X45" s="300">
        <v>95.30000000000004</v>
      </c>
    </row>
    <row r="46" spans="1:24" ht="16.5" hidden="1" thickBot="1" x14ac:dyDescent="0.3">
      <c r="A46" s="156"/>
      <c r="B46" s="461" t="s">
        <v>245</v>
      </c>
      <c r="C46" s="300">
        <v>84.4</v>
      </c>
      <c r="D46" s="300">
        <v>57.6</v>
      </c>
      <c r="E46" s="300">
        <v>61.5</v>
      </c>
      <c r="F46" s="300">
        <v>59.4</v>
      </c>
      <c r="G46" s="300">
        <v>61.5</v>
      </c>
      <c r="H46" s="300">
        <v>58.400000000000006</v>
      </c>
      <c r="I46" s="300">
        <v>65.8</v>
      </c>
      <c r="J46" s="300">
        <v>65.7</v>
      </c>
      <c r="K46" s="300">
        <v>62.6</v>
      </c>
      <c r="L46" s="300">
        <v>64.700000000000017</v>
      </c>
      <c r="M46" s="300">
        <v>64.600000000000009</v>
      </c>
      <c r="N46" s="300">
        <v>60.70000000000001</v>
      </c>
      <c r="O46" s="300">
        <v>56.800000000000011</v>
      </c>
      <c r="P46" s="300">
        <v>56.999999999999993</v>
      </c>
      <c r="Q46" s="300">
        <v>59.000000000000007</v>
      </c>
      <c r="R46" s="300">
        <v>49.300000000000011</v>
      </c>
      <c r="S46" s="300">
        <v>43.900000000000006</v>
      </c>
      <c r="T46" s="300">
        <v>37.000000000000007</v>
      </c>
      <c r="U46" s="300">
        <v>34.200000000000003</v>
      </c>
      <c r="V46" s="300">
        <v>34.800000000000004</v>
      </c>
      <c r="W46" s="300">
        <v>641.6</v>
      </c>
      <c r="X46" s="300">
        <v>1138.9000000000001</v>
      </c>
    </row>
    <row r="47" spans="1:24" ht="16.5" hidden="1" thickBot="1" x14ac:dyDescent="0.3">
      <c r="A47" s="156"/>
      <c r="B47" s="461" t="s">
        <v>246</v>
      </c>
      <c r="C47" s="300">
        <v>7.5449999999999999</v>
      </c>
      <c r="D47" s="300">
        <v>10.210000000000001</v>
      </c>
      <c r="E47" s="300">
        <v>10.809999999999999</v>
      </c>
      <c r="F47" s="300">
        <v>10.28</v>
      </c>
      <c r="G47" s="300">
        <v>13.26</v>
      </c>
      <c r="H47" s="300">
        <v>13.489999999999998</v>
      </c>
      <c r="I47" s="300">
        <v>13.71</v>
      </c>
      <c r="J47" s="300">
        <v>13.75</v>
      </c>
      <c r="K47" s="300">
        <v>14.48</v>
      </c>
      <c r="L47" s="300">
        <v>13.88</v>
      </c>
      <c r="M47" s="300">
        <v>12.49</v>
      </c>
      <c r="N47" s="300">
        <v>11.32</v>
      </c>
      <c r="O47" s="300">
        <v>11.48</v>
      </c>
      <c r="P47" s="300">
        <v>11.030000000000001</v>
      </c>
      <c r="Q47" s="300">
        <v>10.64</v>
      </c>
      <c r="R47" s="300">
        <v>8.92</v>
      </c>
      <c r="S47" s="300">
        <v>7.62</v>
      </c>
      <c r="T47" s="300">
        <v>6.8900000000000006</v>
      </c>
      <c r="U47" s="300">
        <v>6.96</v>
      </c>
      <c r="V47" s="300">
        <v>6.98</v>
      </c>
      <c r="W47" s="308">
        <v>121.41500000000001</v>
      </c>
      <c r="X47" s="308">
        <v>215.745</v>
      </c>
    </row>
    <row r="48" spans="1:24" ht="16.5" thickBot="1" x14ac:dyDescent="0.3">
      <c r="A48" s="156"/>
      <c r="B48" s="302" t="s">
        <v>167</v>
      </c>
      <c r="C48" s="303">
        <v>96.515000000000001</v>
      </c>
      <c r="D48" s="303">
        <v>74.31</v>
      </c>
      <c r="E48" s="303">
        <v>78.84</v>
      </c>
      <c r="F48" s="303">
        <v>75.27</v>
      </c>
      <c r="G48" s="303">
        <v>80.550000000000011</v>
      </c>
      <c r="H48" s="303">
        <v>77.31</v>
      </c>
      <c r="I48" s="303">
        <v>84.75</v>
      </c>
      <c r="J48" s="303">
        <v>84.990000000000009</v>
      </c>
      <c r="K48" s="303">
        <v>82.410000000000011</v>
      </c>
      <c r="L48" s="303">
        <v>84.160000000000011</v>
      </c>
      <c r="M48" s="303">
        <v>82.34</v>
      </c>
      <c r="N48" s="303">
        <v>76.950000000000017</v>
      </c>
      <c r="O48" s="303">
        <v>73.040000000000006</v>
      </c>
      <c r="P48" s="303">
        <v>72.599999999999994</v>
      </c>
      <c r="Q48" s="303">
        <v>74.070000000000007</v>
      </c>
      <c r="R48" s="303">
        <v>61.950000000000017</v>
      </c>
      <c r="S48" s="303">
        <v>55</v>
      </c>
      <c r="T48" s="303">
        <v>46.750000000000007</v>
      </c>
      <c r="U48" s="303">
        <v>43.720000000000006</v>
      </c>
      <c r="V48" s="303">
        <v>44.42</v>
      </c>
      <c r="W48" s="303">
        <v>819.10500000000002</v>
      </c>
      <c r="X48" s="303">
        <v>1449.9450000000002</v>
      </c>
    </row>
    <row r="49" spans="1:24" ht="15.75" x14ac:dyDescent="0.25">
      <c r="A49" s="156"/>
      <c r="B49" s="325" t="s">
        <v>301</v>
      </c>
      <c r="C49" s="300">
        <v>0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00">
        <v>0</v>
      </c>
      <c r="J49" s="300">
        <v>0</v>
      </c>
      <c r="K49" s="300">
        <v>0</v>
      </c>
      <c r="L49" s="300">
        <v>27.126000000000001</v>
      </c>
      <c r="M49" s="300">
        <v>27.126000000000001</v>
      </c>
      <c r="N49" s="300">
        <v>300</v>
      </c>
      <c r="O49" s="300">
        <v>300</v>
      </c>
      <c r="P49" s="300">
        <v>290.67500000000001</v>
      </c>
      <c r="Q49" s="300">
        <v>300</v>
      </c>
      <c r="R49" s="300">
        <v>300</v>
      </c>
      <c r="S49" s="300">
        <v>300</v>
      </c>
      <c r="T49" s="300">
        <v>300</v>
      </c>
      <c r="U49" s="300">
        <v>300</v>
      </c>
      <c r="V49" s="300">
        <v>300</v>
      </c>
      <c r="W49" s="299">
        <v>2.7126000000000001</v>
      </c>
      <c r="X49" s="299">
        <v>137.24634999999998</v>
      </c>
    </row>
    <row r="50" spans="1:24" hidden="1" x14ac:dyDescent="0.2">
      <c r="A50" s="323" t="s">
        <v>168</v>
      </c>
      <c r="B50" s="449" t="s">
        <v>164</v>
      </c>
      <c r="C50" s="450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2"/>
      <c r="W50" s="450"/>
      <c r="X50" s="162"/>
    </row>
    <row r="51" spans="1:24" ht="15.75" hidden="1" x14ac:dyDescent="0.25">
      <c r="A51" s="155"/>
      <c r="B51" s="324" t="s">
        <v>302</v>
      </c>
      <c r="C51" s="299">
        <v>0</v>
      </c>
      <c r="D51" s="299">
        <v>0</v>
      </c>
      <c r="E51" s="299">
        <v>0</v>
      </c>
      <c r="F51" s="299">
        <v>0</v>
      </c>
      <c r="G51" s="299">
        <v>0</v>
      </c>
      <c r="H51" s="299">
        <v>0</v>
      </c>
      <c r="I51" s="299">
        <v>0</v>
      </c>
      <c r="J51" s="299">
        <v>0</v>
      </c>
      <c r="K51" s="299">
        <v>0</v>
      </c>
      <c r="L51" s="299">
        <v>0</v>
      </c>
      <c r="M51" s="299">
        <v>0</v>
      </c>
      <c r="N51" s="299">
        <v>0</v>
      </c>
      <c r="O51" s="299">
        <v>-354</v>
      </c>
      <c r="P51" s="299">
        <v>0</v>
      </c>
      <c r="Q51" s="299">
        <v>0</v>
      </c>
      <c r="R51" s="299">
        <v>0</v>
      </c>
      <c r="S51" s="299">
        <v>0</v>
      </c>
      <c r="T51" s="299">
        <v>0</v>
      </c>
      <c r="U51" s="299">
        <v>0</v>
      </c>
      <c r="V51" s="299">
        <v>0</v>
      </c>
      <c r="W51" s="299">
        <v>0</v>
      </c>
      <c r="X51" s="299">
        <v>-354</v>
      </c>
    </row>
    <row r="52" spans="1:24" ht="15.75" hidden="1" x14ac:dyDescent="0.25">
      <c r="A52" s="155"/>
      <c r="B52" s="324" t="s">
        <v>303</v>
      </c>
      <c r="C52" s="299">
        <v>0</v>
      </c>
      <c r="D52" s="299">
        <v>0</v>
      </c>
      <c r="E52" s="299">
        <v>0</v>
      </c>
      <c r="F52" s="299">
        <v>0</v>
      </c>
      <c r="G52" s="299">
        <v>0</v>
      </c>
      <c r="H52" s="299">
        <v>0</v>
      </c>
      <c r="I52" s="299">
        <v>0</v>
      </c>
      <c r="J52" s="299">
        <v>0</v>
      </c>
      <c r="K52" s="299">
        <v>0</v>
      </c>
      <c r="L52" s="299">
        <v>0</v>
      </c>
      <c r="M52" s="299">
        <v>0</v>
      </c>
      <c r="N52" s="299">
        <v>0</v>
      </c>
      <c r="O52" s="299">
        <v>0</v>
      </c>
      <c r="P52" s="299">
        <v>0</v>
      </c>
      <c r="Q52" s="299">
        <v>0</v>
      </c>
      <c r="R52" s="299">
        <v>0</v>
      </c>
      <c r="S52" s="299">
        <v>-359.3</v>
      </c>
      <c r="T52" s="299">
        <v>0</v>
      </c>
      <c r="U52" s="299">
        <v>0</v>
      </c>
      <c r="V52" s="299">
        <v>0</v>
      </c>
      <c r="W52" s="299">
        <v>0</v>
      </c>
      <c r="X52" s="299">
        <v>-359.3</v>
      </c>
    </row>
    <row r="53" spans="1:24" ht="15.75" hidden="1" x14ac:dyDescent="0.25">
      <c r="A53" s="155"/>
      <c r="B53" s="324" t="s">
        <v>288</v>
      </c>
      <c r="C53" s="299">
        <v>0</v>
      </c>
      <c r="D53" s="299">
        <v>0</v>
      </c>
      <c r="E53" s="300">
        <v>-311.5</v>
      </c>
      <c r="F53" s="299">
        <v>0</v>
      </c>
      <c r="G53" s="299">
        <v>0</v>
      </c>
      <c r="H53" s="299">
        <v>0</v>
      </c>
      <c r="I53" s="299">
        <v>0</v>
      </c>
      <c r="J53" s="299">
        <v>0</v>
      </c>
      <c r="K53" s="299">
        <v>0</v>
      </c>
      <c r="L53" s="299">
        <v>0</v>
      </c>
      <c r="M53" s="299">
        <v>0</v>
      </c>
      <c r="N53" s="299">
        <v>0</v>
      </c>
      <c r="O53" s="299">
        <v>0</v>
      </c>
      <c r="P53" s="299">
        <v>0</v>
      </c>
      <c r="Q53" s="299">
        <v>0</v>
      </c>
      <c r="R53" s="299">
        <v>0</v>
      </c>
      <c r="S53" s="299">
        <v>0</v>
      </c>
      <c r="T53" s="299">
        <v>0</v>
      </c>
      <c r="U53" s="299">
        <v>0</v>
      </c>
      <c r="V53" s="299">
        <v>0</v>
      </c>
      <c r="W53" s="299">
        <v>-311.5</v>
      </c>
      <c r="X53" s="299">
        <v>-311.5</v>
      </c>
    </row>
    <row r="54" spans="1:24" ht="15.75" hidden="1" x14ac:dyDescent="0.25">
      <c r="A54" s="155"/>
      <c r="B54" s="324" t="s">
        <v>304</v>
      </c>
      <c r="C54" s="300">
        <v>0</v>
      </c>
      <c r="D54" s="300">
        <v>0</v>
      </c>
      <c r="E54" s="300">
        <v>334.5</v>
      </c>
      <c r="F54" s="300">
        <v>0</v>
      </c>
      <c r="G54" s="300">
        <v>0</v>
      </c>
      <c r="H54" s="300">
        <v>0</v>
      </c>
      <c r="I54" s="300">
        <v>0</v>
      </c>
      <c r="J54" s="300">
        <v>0</v>
      </c>
      <c r="K54" s="300">
        <v>0</v>
      </c>
      <c r="L54" s="300">
        <v>0</v>
      </c>
      <c r="M54" s="300">
        <v>0</v>
      </c>
      <c r="N54" s="300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299">
        <v>334.5</v>
      </c>
      <c r="X54" s="299">
        <v>334.5</v>
      </c>
    </row>
    <row r="55" spans="1:24" x14ac:dyDescent="0.2">
      <c r="A55" s="462" t="s">
        <v>168</v>
      </c>
      <c r="B55" s="449" t="s">
        <v>165</v>
      </c>
      <c r="C55" s="450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2"/>
      <c r="W55" s="161"/>
      <c r="X55" s="162"/>
    </row>
    <row r="56" spans="1:24" ht="16.5" thickBot="1" x14ac:dyDescent="0.3">
      <c r="A56" s="327"/>
      <c r="B56" s="328" t="s">
        <v>305</v>
      </c>
      <c r="C56" s="300">
        <v>0</v>
      </c>
      <c r="D56" s="300">
        <v>0</v>
      </c>
      <c r="E56" s="300">
        <v>0</v>
      </c>
      <c r="F56" s="300">
        <v>0</v>
      </c>
      <c r="G56" s="300">
        <v>0</v>
      </c>
      <c r="H56" s="300">
        <v>0</v>
      </c>
      <c r="I56" s="300">
        <v>0</v>
      </c>
      <c r="J56" s="300">
        <v>0</v>
      </c>
      <c r="K56" s="300">
        <v>0</v>
      </c>
      <c r="L56" s="300">
        <v>0</v>
      </c>
      <c r="M56" s="300">
        <v>0</v>
      </c>
      <c r="N56" s="300">
        <v>0</v>
      </c>
      <c r="O56" s="300">
        <v>0</v>
      </c>
      <c r="P56" s="300">
        <v>436.35700000000003</v>
      </c>
      <c r="Q56" s="300">
        <v>0</v>
      </c>
      <c r="R56" s="300">
        <v>0</v>
      </c>
      <c r="S56" s="300">
        <v>0</v>
      </c>
      <c r="T56" s="300">
        <v>0</v>
      </c>
      <c r="U56" s="300">
        <v>0</v>
      </c>
      <c r="V56" s="300">
        <v>0</v>
      </c>
      <c r="W56" s="299">
        <v>0</v>
      </c>
      <c r="X56" s="299">
        <v>436.35700000000003</v>
      </c>
    </row>
    <row r="57" spans="1:24" ht="16.5" thickBot="1" x14ac:dyDescent="0.3">
      <c r="A57" s="156"/>
      <c r="B57" s="302" t="s">
        <v>243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303">
        <v>0</v>
      </c>
      <c r="I57" s="303">
        <v>0</v>
      </c>
      <c r="J57" s="303">
        <v>0</v>
      </c>
      <c r="K57" s="303">
        <v>0</v>
      </c>
      <c r="L57" s="303">
        <v>0</v>
      </c>
      <c r="M57" s="303">
        <v>0</v>
      </c>
      <c r="N57" s="303">
        <v>0</v>
      </c>
      <c r="O57" s="303">
        <v>0</v>
      </c>
      <c r="P57" s="303">
        <v>436.35700000000003</v>
      </c>
      <c r="Q57" s="303">
        <v>0</v>
      </c>
      <c r="R57" s="303">
        <v>0</v>
      </c>
      <c r="S57" s="303">
        <v>0</v>
      </c>
      <c r="T57" s="303">
        <v>0</v>
      </c>
      <c r="U57" s="303">
        <v>0</v>
      </c>
      <c r="V57" s="303">
        <v>0</v>
      </c>
      <c r="W57" s="303">
        <v>0</v>
      </c>
      <c r="X57" s="303">
        <v>436.35700000000003</v>
      </c>
    </row>
    <row r="58" spans="1:24" ht="16.5" thickBot="1" x14ac:dyDescent="0.3">
      <c r="A58" s="157"/>
      <c r="B58" s="326" t="s">
        <v>306</v>
      </c>
      <c r="C58" s="300">
        <v>0</v>
      </c>
      <c r="D58" s="300">
        <v>0</v>
      </c>
      <c r="E58" s="300">
        <v>0</v>
      </c>
      <c r="F58" s="300">
        <v>0</v>
      </c>
      <c r="G58" s="300">
        <v>0</v>
      </c>
      <c r="H58" s="300">
        <v>0</v>
      </c>
      <c r="I58" s="300">
        <v>0</v>
      </c>
      <c r="J58" s="300">
        <v>0</v>
      </c>
      <c r="K58" s="300">
        <v>0</v>
      </c>
      <c r="L58" s="300">
        <v>0</v>
      </c>
      <c r="M58" s="300">
        <v>0</v>
      </c>
      <c r="N58" s="300">
        <v>11.44</v>
      </c>
      <c r="O58" s="300">
        <v>96.875</v>
      </c>
      <c r="P58" s="300">
        <v>0</v>
      </c>
      <c r="Q58" s="300">
        <v>38.485999999999997</v>
      </c>
      <c r="R58" s="300">
        <v>70.004999999999995</v>
      </c>
      <c r="S58" s="300">
        <v>15.853999999999999</v>
      </c>
      <c r="T58" s="300">
        <v>7.5119999999999996</v>
      </c>
      <c r="U58" s="300">
        <v>0</v>
      </c>
      <c r="V58" s="300">
        <v>0</v>
      </c>
      <c r="W58" s="299">
        <v>0</v>
      </c>
      <c r="X58" s="299">
        <v>240.17199999999997</v>
      </c>
    </row>
    <row r="59" spans="1:24" ht="16.5" hidden="1" thickBot="1" x14ac:dyDescent="0.3">
      <c r="A59" s="157"/>
      <c r="B59" s="326" t="s">
        <v>307</v>
      </c>
      <c r="C59" s="305">
        <v>0</v>
      </c>
      <c r="D59" s="305">
        <v>0</v>
      </c>
      <c r="E59" s="305">
        <v>0</v>
      </c>
      <c r="F59" s="305">
        <v>0</v>
      </c>
      <c r="G59" s="305">
        <v>0</v>
      </c>
      <c r="H59" s="305">
        <v>0</v>
      </c>
      <c r="I59" s="305">
        <v>0</v>
      </c>
      <c r="J59" s="305">
        <v>0</v>
      </c>
      <c r="K59" s="305">
        <v>0</v>
      </c>
      <c r="L59" s="305">
        <v>0</v>
      </c>
      <c r="M59" s="305">
        <v>0</v>
      </c>
      <c r="N59" s="305">
        <v>2.41</v>
      </c>
      <c r="O59" s="305">
        <v>0</v>
      </c>
      <c r="P59" s="305">
        <v>0</v>
      </c>
      <c r="Q59" s="305">
        <v>0</v>
      </c>
      <c r="R59" s="305">
        <v>0</v>
      </c>
      <c r="S59" s="305">
        <v>0</v>
      </c>
      <c r="T59" s="305">
        <v>0</v>
      </c>
      <c r="U59" s="305">
        <v>0</v>
      </c>
      <c r="V59" s="305">
        <v>0</v>
      </c>
      <c r="W59" s="306">
        <v>0</v>
      </c>
      <c r="X59" s="306">
        <v>2.41</v>
      </c>
    </row>
    <row r="60" spans="1:24" ht="16.5" hidden="1" thickBot="1" x14ac:dyDescent="0.3">
      <c r="A60" s="157"/>
      <c r="B60" s="326" t="s">
        <v>308</v>
      </c>
      <c r="C60" s="305">
        <v>0</v>
      </c>
      <c r="D60" s="305">
        <v>0</v>
      </c>
      <c r="E60" s="305">
        <v>0</v>
      </c>
      <c r="F60" s="305">
        <v>0</v>
      </c>
      <c r="G60" s="305">
        <v>0</v>
      </c>
      <c r="H60" s="305">
        <v>0</v>
      </c>
      <c r="I60" s="305">
        <v>0</v>
      </c>
      <c r="J60" s="305">
        <v>0</v>
      </c>
      <c r="K60" s="305">
        <v>0</v>
      </c>
      <c r="L60" s="305">
        <v>0</v>
      </c>
      <c r="M60" s="305">
        <v>0</v>
      </c>
      <c r="N60" s="305">
        <v>1.21</v>
      </c>
      <c r="O60" s="305">
        <v>0</v>
      </c>
      <c r="P60" s="305">
        <v>0</v>
      </c>
      <c r="Q60" s="305">
        <v>0</v>
      </c>
      <c r="R60" s="305">
        <v>0</v>
      </c>
      <c r="S60" s="305">
        <v>0</v>
      </c>
      <c r="T60" s="305">
        <v>0</v>
      </c>
      <c r="U60" s="305">
        <v>0</v>
      </c>
      <c r="V60" s="305">
        <v>0</v>
      </c>
      <c r="W60" s="306">
        <v>0</v>
      </c>
      <c r="X60" s="306">
        <v>1.21</v>
      </c>
    </row>
    <row r="61" spans="1:24" ht="16.5" hidden="1" thickBot="1" x14ac:dyDescent="0.3">
      <c r="A61" s="156"/>
      <c r="B61" s="461" t="s">
        <v>265</v>
      </c>
      <c r="C61" s="305">
        <v>0</v>
      </c>
      <c r="D61" s="305">
        <v>0</v>
      </c>
      <c r="E61" s="305">
        <v>0</v>
      </c>
      <c r="F61" s="305">
        <v>0</v>
      </c>
      <c r="G61" s="305">
        <v>0</v>
      </c>
      <c r="H61" s="305">
        <v>0</v>
      </c>
      <c r="I61" s="305">
        <v>0</v>
      </c>
      <c r="J61" s="305">
        <v>0</v>
      </c>
      <c r="K61" s="305">
        <v>0</v>
      </c>
      <c r="L61" s="305">
        <v>0</v>
      </c>
      <c r="M61" s="305">
        <v>0</v>
      </c>
      <c r="N61" s="305">
        <v>3.69</v>
      </c>
      <c r="O61" s="305">
        <v>0</v>
      </c>
      <c r="P61" s="305">
        <v>0</v>
      </c>
      <c r="Q61" s="305">
        <v>0</v>
      </c>
      <c r="R61" s="305">
        <v>0</v>
      </c>
      <c r="S61" s="305">
        <v>0</v>
      </c>
      <c r="T61" s="305">
        <v>0</v>
      </c>
      <c r="U61" s="305">
        <v>0</v>
      </c>
      <c r="V61" s="305">
        <v>0</v>
      </c>
      <c r="W61" s="306">
        <v>0</v>
      </c>
      <c r="X61" s="306">
        <v>3.69</v>
      </c>
    </row>
    <row r="62" spans="1:24" ht="16.5" hidden="1" thickBot="1" x14ac:dyDescent="0.3">
      <c r="A62" s="156"/>
      <c r="B62" s="461" t="s">
        <v>309</v>
      </c>
      <c r="C62" s="305">
        <v>0</v>
      </c>
      <c r="D62" s="305">
        <v>0</v>
      </c>
      <c r="E62" s="305">
        <v>0</v>
      </c>
      <c r="F62" s="305">
        <v>0</v>
      </c>
      <c r="G62" s="305">
        <v>0</v>
      </c>
      <c r="H62" s="305">
        <v>0</v>
      </c>
      <c r="I62" s="305">
        <v>0</v>
      </c>
      <c r="J62" s="305">
        <v>0</v>
      </c>
      <c r="K62" s="305">
        <v>0</v>
      </c>
      <c r="L62" s="305">
        <v>0</v>
      </c>
      <c r="M62" s="305">
        <v>0</v>
      </c>
      <c r="N62" s="305">
        <v>0</v>
      </c>
      <c r="O62" s="305">
        <v>36.06</v>
      </c>
      <c r="P62" s="305">
        <v>0</v>
      </c>
      <c r="Q62" s="305">
        <v>3.34</v>
      </c>
      <c r="R62" s="305">
        <v>0</v>
      </c>
      <c r="S62" s="305">
        <v>0</v>
      </c>
      <c r="T62" s="305">
        <v>0</v>
      </c>
      <c r="U62" s="305">
        <v>0</v>
      </c>
      <c r="V62" s="305">
        <v>0</v>
      </c>
      <c r="W62" s="306">
        <v>0</v>
      </c>
      <c r="X62" s="306">
        <v>39.400000000000006</v>
      </c>
    </row>
    <row r="63" spans="1:24" ht="16.5" hidden="1" thickBot="1" x14ac:dyDescent="0.3">
      <c r="A63" s="156"/>
      <c r="B63" s="461" t="s">
        <v>247</v>
      </c>
      <c r="C63" s="305">
        <v>0</v>
      </c>
      <c r="D63" s="305">
        <v>0</v>
      </c>
      <c r="E63" s="305">
        <v>0</v>
      </c>
      <c r="F63" s="305">
        <v>0</v>
      </c>
      <c r="G63" s="305">
        <v>0</v>
      </c>
      <c r="H63" s="305">
        <v>0</v>
      </c>
      <c r="I63" s="305">
        <v>0</v>
      </c>
      <c r="J63" s="305">
        <v>0</v>
      </c>
      <c r="K63" s="305">
        <v>0</v>
      </c>
      <c r="L63" s="305">
        <v>0</v>
      </c>
      <c r="M63" s="305">
        <v>0</v>
      </c>
      <c r="N63" s="305">
        <v>35.04</v>
      </c>
      <c r="O63" s="305">
        <v>0</v>
      </c>
      <c r="P63" s="305">
        <v>0</v>
      </c>
      <c r="Q63" s="305">
        <v>0</v>
      </c>
      <c r="R63" s="305">
        <v>0</v>
      </c>
      <c r="S63" s="305">
        <v>0</v>
      </c>
      <c r="T63" s="305">
        <v>0</v>
      </c>
      <c r="U63" s="305">
        <v>0</v>
      </c>
      <c r="V63" s="305">
        <v>0</v>
      </c>
      <c r="W63" s="306">
        <v>0</v>
      </c>
      <c r="X63" s="306">
        <v>35.04</v>
      </c>
    </row>
    <row r="64" spans="1:24" ht="16.5" hidden="1" thickBot="1" x14ac:dyDescent="0.3">
      <c r="A64" s="156"/>
      <c r="B64" s="461" t="s">
        <v>248</v>
      </c>
      <c r="C64" s="305">
        <v>0</v>
      </c>
      <c r="D64" s="305">
        <v>0</v>
      </c>
      <c r="E64" s="305">
        <v>0</v>
      </c>
      <c r="F64" s="305">
        <v>0</v>
      </c>
      <c r="G64" s="305">
        <v>0</v>
      </c>
      <c r="H64" s="305">
        <v>0</v>
      </c>
      <c r="I64" s="305">
        <v>0</v>
      </c>
      <c r="J64" s="305">
        <v>0</v>
      </c>
      <c r="K64" s="305">
        <v>0</v>
      </c>
      <c r="L64" s="305">
        <v>0</v>
      </c>
      <c r="M64" s="305">
        <v>0</v>
      </c>
      <c r="N64" s="305">
        <v>12.829999999999998</v>
      </c>
      <c r="O64" s="305">
        <v>0</v>
      </c>
      <c r="P64" s="305">
        <v>0</v>
      </c>
      <c r="Q64" s="305">
        <v>0</v>
      </c>
      <c r="R64" s="305">
        <v>0</v>
      </c>
      <c r="S64" s="305">
        <v>0</v>
      </c>
      <c r="T64" s="305">
        <v>0</v>
      </c>
      <c r="U64" s="305">
        <v>0</v>
      </c>
      <c r="V64" s="305">
        <v>0</v>
      </c>
      <c r="W64" s="306">
        <v>0</v>
      </c>
      <c r="X64" s="306">
        <v>12.829999999999998</v>
      </c>
    </row>
    <row r="65" spans="1:24" ht="16.5" hidden="1" thickBot="1" x14ac:dyDescent="0.3">
      <c r="A65" s="156"/>
      <c r="B65" s="461" t="s">
        <v>310</v>
      </c>
      <c r="C65" s="305">
        <v>0</v>
      </c>
      <c r="D65" s="305">
        <v>0</v>
      </c>
      <c r="E65" s="305">
        <v>0</v>
      </c>
      <c r="F65" s="305">
        <v>0</v>
      </c>
      <c r="G65" s="305">
        <v>0</v>
      </c>
      <c r="H65" s="305">
        <v>0</v>
      </c>
      <c r="I65" s="305">
        <v>0</v>
      </c>
      <c r="J65" s="305">
        <v>0</v>
      </c>
      <c r="K65" s="305">
        <v>0</v>
      </c>
      <c r="L65" s="305">
        <v>0</v>
      </c>
      <c r="M65" s="305">
        <v>0</v>
      </c>
      <c r="N65" s="305">
        <v>0</v>
      </c>
      <c r="O65" s="305">
        <v>13.009999999999998</v>
      </c>
      <c r="P65" s="305">
        <v>0</v>
      </c>
      <c r="Q65" s="305">
        <v>0</v>
      </c>
      <c r="R65" s="305">
        <v>0</v>
      </c>
      <c r="S65" s="305">
        <v>0</v>
      </c>
      <c r="T65" s="305">
        <v>0</v>
      </c>
      <c r="U65" s="305">
        <v>0</v>
      </c>
      <c r="V65" s="305">
        <v>0</v>
      </c>
      <c r="W65" s="306">
        <v>0</v>
      </c>
      <c r="X65" s="306">
        <v>13.009999999999998</v>
      </c>
    </row>
    <row r="66" spans="1:24" ht="16.5" hidden="1" thickBot="1" x14ac:dyDescent="0.3">
      <c r="A66" s="156"/>
      <c r="B66" s="461" t="s">
        <v>266</v>
      </c>
      <c r="C66" s="305">
        <v>0</v>
      </c>
      <c r="D66" s="305">
        <v>0</v>
      </c>
      <c r="E66" s="305">
        <v>0</v>
      </c>
      <c r="F66" s="305">
        <v>0</v>
      </c>
      <c r="G66" s="305">
        <v>0</v>
      </c>
      <c r="H66" s="305">
        <v>0</v>
      </c>
      <c r="I66" s="305">
        <v>0</v>
      </c>
      <c r="J66" s="305">
        <v>0</v>
      </c>
      <c r="K66" s="305">
        <v>0</v>
      </c>
      <c r="L66" s="305">
        <v>0</v>
      </c>
      <c r="M66" s="305">
        <v>0</v>
      </c>
      <c r="N66" s="305">
        <v>9.06</v>
      </c>
      <c r="O66" s="305">
        <v>0</v>
      </c>
      <c r="P66" s="305">
        <v>0</v>
      </c>
      <c r="Q66" s="305">
        <v>0</v>
      </c>
      <c r="R66" s="305">
        <v>0</v>
      </c>
      <c r="S66" s="305">
        <v>0</v>
      </c>
      <c r="T66" s="305">
        <v>0</v>
      </c>
      <c r="U66" s="305">
        <v>0</v>
      </c>
      <c r="V66" s="305">
        <v>0</v>
      </c>
      <c r="W66" s="306">
        <v>0</v>
      </c>
      <c r="X66" s="306">
        <v>9.06</v>
      </c>
    </row>
    <row r="67" spans="1:24" ht="16.5" hidden="1" thickBot="1" x14ac:dyDescent="0.3">
      <c r="A67" s="156"/>
      <c r="B67" s="461" t="s">
        <v>267</v>
      </c>
      <c r="C67" s="305">
        <v>0</v>
      </c>
      <c r="D67" s="305">
        <v>0</v>
      </c>
      <c r="E67" s="305">
        <v>0</v>
      </c>
      <c r="F67" s="305">
        <v>0</v>
      </c>
      <c r="G67" s="305">
        <v>0</v>
      </c>
      <c r="H67" s="305">
        <v>0</v>
      </c>
      <c r="I67" s="305">
        <v>0</v>
      </c>
      <c r="J67" s="305">
        <v>0</v>
      </c>
      <c r="K67" s="305">
        <v>0</v>
      </c>
      <c r="L67" s="305">
        <v>0</v>
      </c>
      <c r="M67" s="305">
        <v>0</v>
      </c>
      <c r="N67" s="305">
        <v>4.8099999999999996</v>
      </c>
      <c r="O67" s="305">
        <v>0</v>
      </c>
      <c r="P67" s="305">
        <v>0</v>
      </c>
      <c r="Q67" s="305">
        <v>0</v>
      </c>
      <c r="R67" s="305">
        <v>0</v>
      </c>
      <c r="S67" s="305">
        <v>0</v>
      </c>
      <c r="T67" s="305">
        <v>0</v>
      </c>
      <c r="U67" s="305">
        <v>0</v>
      </c>
      <c r="V67" s="305">
        <v>0</v>
      </c>
      <c r="W67" s="306">
        <v>0</v>
      </c>
      <c r="X67" s="306">
        <v>4.8099999999999996</v>
      </c>
    </row>
    <row r="68" spans="1:24" ht="16.5" thickBot="1" x14ac:dyDescent="0.3">
      <c r="A68" s="156"/>
      <c r="B68" s="302" t="s">
        <v>169</v>
      </c>
      <c r="C68" s="307">
        <v>0</v>
      </c>
      <c r="D68" s="307">
        <v>0</v>
      </c>
      <c r="E68" s="307">
        <v>0</v>
      </c>
      <c r="F68" s="307">
        <v>0</v>
      </c>
      <c r="G68" s="307">
        <v>0</v>
      </c>
      <c r="H68" s="307">
        <v>0</v>
      </c>
      <c r="I68" s="307">
        <v>0</v>
      </c>
      <c r="J68" s="307">
        <v>0</v>
      </c>
      <c r="K68" s="307">
        <v>0</v>
      </c>
      <c r="L68" s="307">
        <v>0</v>
      </c>
      <c r="M68" s="307">
        <v>0</v>
      </c>
      <c r="N68" s="307">
        <v>69.05</v>
      </c>
      <c r="O68" s="307">
        <v>49.07</v>
      </c>
      <c r="P68" s="307">
        <v>0</v>
      </c>
      <c r="Q68" s="307">
        <v>3.34</v>
      </c>
      <c r="R68" s="307">
        <v>0</v>
      </c>
      <c r="S68" s="307">
        <v>0</v>
      </c>
      <c r="T68" s="307">
        <v>0</v>
      </c>
      <c r="U68" s="307">
        <v>0</v>
      </c>
      <c r="V68" s="307">
        <v>0</v>
      </c>
      <c r="W68" s="307">
        <v>0</v>
      </c>
      <c r="X68" s="307">
        <v>121.46000000000001</v>
      </c>
    </row>
    <row r="69" spans="1:24" ht="16.5" hidden="1" thickBot="1" x14ac:dyDescent="0.3">
      <c r="A69" s="157"/>
      <c r="B69" s="461" t="s">
        <v>249</v>
      </c>
      <c r="C69" s="300">
        <v>1.52</v>
      </c>
      <c r="D69" s="300">
        <v>1.74</v>
      </c>
      <c r="E69" s="300">
        <v>1.25</v>
      </c>
      <c r="F69" s="300">
        <v>1.28</v>
      </c>
      <c r="G69" s="300">
        <v>1.2800000000000002</v>
      </c>
      <c r="H69" s="300">
        <v>1.26</v>
      </c>
      <c r="I69" s="300">
        <v>1.2</v>
      </c>
      <c r="J69" s="300">
        <v>1.1299999999999999</v>
      </c>
      <c r="K69" s="300">
        <v>1.0900000000000001</v>
      </c>
      <c r="L69" s="300">
        <v>0.99</v>
      </c>
      <c r="M69" s="300">
        <v>1.25</v>
      </c>
      <c r="N69" s="300">
        <v>1.0999999999999999</v>
      </c>
      <c r="O69" s="300">
        <v>0.98</v>
      </c>
      <c r="P69" s="300">
        <v>1.07</v>
      </c>
      <c r="Q69" s="300">
        <v>0.98</v>
      </c>
      <c r="R69" s="300">
        <v>0.79</v>
      </c>
      <c r="S69" s="300">
        <v>0.7</v>
      </c>
      <c r="T69" s="300">
        <v>0.56999999999999995</v>
      </c>
      <c r="U69" s="300">
        <v>0.31</v>
      </c>
      <c r="V69" s="300">
        <v>0.25</v>
      </c>
      <c r="W69" s="300">
        <v>12.74</v>
      </c>
      <c r="X69" s="300">
        <v>20.74</v>
      </c>
    </row>
    <row r="70" spans="1:24" ht="16.5" hidden="1" thickBot="1" x14ac:dyDescent="0.3">
      <c r="A70" s="156"/>
      <c r="B70" s="461" t="s">
        <v>250</v>
      </c>
      <c r="C70" s="300">
        <v>45.756999999999998</v>
      </c>
      <c r="D70" s="300">
        <v>43.5</v>
      </c>
      <c r="E70" s="300">
        <v>42.4</v>
      </c>
      <c r="F70" s="300">
        <v>36.800000000000004</v>
      </c>
      <c r="G70" s="300">
        <v>31.200000000000003</v>
      </c>
      <c r="H70" s="300">
        <v>26.2</v>
      </c>
      <c r="I70" s="300">
        <v>23.1</v>
      </c>
      <c r="J70" s="300">
        <v>22.500000000000004</v>
      </c>
      <c r="K70" s="300">
        <v>19.700000000000003</v>
      </c>
      <c r="L70" s="300">
        <v>18.5</v>
      </c>
      <c r="M70" s="300">
        <v>18.3</v>
      </c>
      <c r="N70" s="300">
        <v>17.100000000000001</v>
      </c>
      <c r="O70" s="300">
        <v>16.5</v>
      </c>
      <c r="P70" s="300">
        <v>16.400000000000002</v>
      </c>
      <c r="Q70" s="300">
        <v>16.100000000000001</v>
      </c>
      <c r="R70" s="300">
        <v>16.600000000000001</v>
      </c>
      <c r="S70" s="300">
        <v>15.4</v>
      </c>
      <c r="T70" s="300">
        <v>15.3</v>
      </c>
      <c r="U70" s="300">
        <v>16.3</v>
      </c>
      <c r="V70" s="300">
        <v>16.2</v>
      </c>
      <c r="W70" s="300">
        <v>309.65700000000004</v>
      </c>
      <c r="X70" s="300">
        <v>473.85700000000008</v>
      </c>
    </row>
    <row r="71" spans="1:24" ht="16.5" hidden="1" thickBot="1" x14ac:dyDescent="0.3">
      <c r="A71" s="156"/>
      <c r="B71" s="461" t="s">
        <v>251</v>
      </c>
      <c r="C71" s="300">
        <v>9.98</v>
      </c>
      <c r="D71" s="300">
        <v>8.16</v>
      </c>
      <c r="E71" s="300">
        <v>8.7000000000000011</v>
      </c>
      <c r="F71" s="300">
        <v>8.23</v>
      </c>
      <c r="G71" s="300">
        <v>9.7200000000000006</v>
      </c>
      <c r="H71" s="300">
        <v>9.2900000000000009</v>
      </c>
      <c r="I71" s="300">
        <v>8.8100000000000023</v>
      </c>
      <c r="J71" s="300">
        <v>9.0300000000000011</v>
      </c>
      <c r="K71" s="300">
        <v>8.3800000000000008</v>
      </c>
      <c r="L71" s="300">
        <v>7.5699999999999994</v>
      </c>
      <c r="M71" s="300">
        <v>7.18</v>
      </c>
      <c r="N71" s="300">
        <v>6.5500000000000007</v>
      </c>
      <c r="O71" s="300">
        <v>5.8100000000000005</v>
      </c>
      <c r="P71" s="300">
        <v>5.2700000000000014</v>
      </c>
      <c r="Q71" s="300">
        <v>5.0500000000000016</v>
      </c>
      <c r="R71" s="300">
        <v>4.0200000000000005</v>
      </c>
      <c r="S71" s="300">
        <v>3.4499999999999997</v>
      </c>
      <c r="T71" s="300">
        <v>2.7100000000000004</v>
      </c>
      <c r="U71" s="300">
        <v>2.3999999999999995</v>
      </c>
      <c r="V71" s="300">
        <v>1.85</v>
      </c>
      <c r="W71" s="308">
        <v>87.87</v>
      </c>
      <c r="X71" s="308">
        <v>132.16</v>
      </c>
    </row>
    <row r="72" spans="1:24" ht="16.5" thickBot="1" x14ac:dyDescent="0.3">
      <c r="A72" s="156"/>
      <c r="B72" s="302" t="s">
        <v>170</v>
      </c>
      <c r="C72" s="303">
        <v>57.257000000000005</v>
      </c>
      <c r="D72" s="303">
        <v>53.400000000000006</v>
      </c>
      <c r="E72" s="303">
        <v>52.35</v>
      </c>
      <c r="F72" s="303">
        <v>46.31</v>
      </c>
      <c r="G72" s="303">
        <v>42.2</v>
      </c>
      <c r="H72" s="303">
        <v>36.75</v>
      </c>
      <c r="I72" s="303">
        <v>33.11</v>
      </c>
      <c r="J72" s="303">
        <v>32.660000000000004</v>
      </c>
      <c r="K72" s="303">
        <v>29.17</v>
      </c>
      <c r="L72" s="303">
        <v>27.06</v>
      </c>
      <c r="M72" s="303">
        <v>26.73</v>
      </c>
      <c r="N72" s="303">
        <v>24.750000000000004</v>
      </c>
      <c r="O72" s="303">
        <v>23.29</v>
      </c>
      <c r="P72" s="303">
        <v>22.740000000000002</v>
      </c>
      <c r="Q72" s="303">
        <v>22.130000000000003</v>
      </c>
      <c r="R72" s="303">
        <v>21.41</v>
      </c>
      <c r="S72" s="303">
        <v>19.55</v>
      </c>
      <c r="T72" s="303">
        <v>18.580000000000002</v>
      </c>
      <c r="U72" s="303">
        <v>19.009999999999998</v>
      </c>
      <c r="V72" s="303">
        <v>18.3</v>
      </c>
      <c r="W72" s="303">
        <v>410.26700000000005</v>
      </c>
      <c r="X72" s="303">
        <v>626.75700000000006</v>
      </c>
    </row>
    <row r="73" spans="1:24" ht="15.75" x14ac:dyDescent="0.25">
      <c r="A73" s="157"/>
      <c r="B73" s="326" t="s">
        <v>311</v>
      </c>
      <c r="C73" s="300">
        <v>0</v>
      </c>
      <c r="D73" s="300">
        <v>0</v>
      </c>
      <c r="E73" s="300">
        <v>0</v>
      </c>
      <c r="F73" s="300">
        <v>0</v>
      </c>
      <c r="G73" s="300">
        <v>0</v>
      </c>
      <c r="H73" s="300">
        <v>0</v>
      </c>
      <c r="I73" s="300">
        <v>0</v>
      </c>
      <c r="J73" s="300">
        <v>0</v>
      </c>
      <c r="K73" s="300">
        <v>0</v>
      </c>
      <c r="L73" s="300">
        <v>0</v>
      </c>
      <c r="M73" s="300">
        <v>0</v>
      </c>
      <c r="N73" s="300">
        <v>0</v>
      </c>
      <c r="O73" s="300">
        <v>30</v>
      </c>
      <c r="P73" s="300">
        <v>0</v>
      </c>
      <c r="Q73" s="300">
        <v>0</v>
      </c>
      <c r="R73" s="300">
        <v>0</v>
      </c>
      <c r="S73" s="300">
        <v>0</v>
      </c>
      <c r="T73" s="300">
        <v>0</v>
      </c>
      <c r="U73" s="300">
        <v>0</v>
      </c>
      <c r="V73" s="300">
        <v>0</v>
      </c>
      <c r="W73" s="299">
        <v>0</v>
      </c>
      <c r="X73" s="299">
        <v>30</v>
      </c>
    </row>
    <row r="74" spans="1:24" ht="15.75" x14ac:dyDescent="0.25">
      <c r="A74" s="157"/>
      <c r="B74" s="326" t="s">
        <v>312</v>
      </c>
      <c r="C74" s="300">
        <v>0</v>
      </c>
      <c r="D74" s="300">
        <v>0</v>
      </c>
      <c r="E74" s="300">
        <v>2.8730000000000002</v>
      </c>
      <c r="F74" s="300">
        <v>0</v>
      </c>
      <c r="G74" s="300">
        <v>0</v>
      </c>
      <c r="H74" s="300">
        <v>40.639000000000003</v>
      </c>
      <c r="I74" s="300">
        <v>0</v>
      </c>
      <c r="J74" s="300">
        <v>9.8089999999999993</v>
      </c>
      <c r="K74" s="300">
        <v>167.12899999999999</v>
      </c>
      <c r="L74" s="300">
        <v>76.040000000000006</v>
      </c>
      <c r="M74" s="300">
        <v>137.44200000000001</v>
      </c>
      <c r="N74" s="300">
        <v>400</v>
      </c>
      <c r="O74" s="300">
        <v>400</v>
      </c>
      <c r="P74" s="300">
        <v>400</v>
      </c>
      <c r="Q74" s="300">
        <v>400</v>
      </c>
      <c r="R74" s="300">
        <v>400</v>
      </c>
      <c r="S74" s="300">
        <v>400</v>
      </c>
      <c r="T74" s="300">
        <v>400</v>
      </c>
      <c r="U74" s="300">
        <v>400</v>
      </c>
      <c r="V74" s="300">
        <v>363.60700000000003</v>
      </c>
      <c r="W74" s="299">
        <v>29.649000000000001</v>
      </c>
      <c r="X74" s="299">
        <v>199.87694999999999</v>
      </c>
    </row>
    <row r="75" spans="1:24" ht="15.75" x14ac:dyDescent="0.25">
      <c r="A75" s="157"/>
      <c r="B75" s="326" t="s">
        <v>313</v>
      </c>
      <c r="C75" s="300">
        <v>400</v>
      </c>
      <c r="D75" s="300">
        <v>400</v>
      </c>
      <c r="E75" s="300">
        <v>400</v>
      </c>
      <c r="F75" s="300">
        <v>400</v>
      </c>
      <c r="G75" s="300">
        <v>400</v>
      </c>
      <c r="H75" s="300">
        <v>400</v>
      </c>
      <c r="I75" s="300">
        <v>400</v>
      </c>
      <c r="J75" s="300">
        <v>400</v>
      </c>
      <c r="K75" s="300">
        <v>400</v>
      </c>
      <c r="L75" s="300">
        <v>400</v>
      </c>
      <c r="M75" s="300">
        <v>400</v>
      </c>
      <c r="N75" s="300">
        <v>400</v>
      </c>
      <c r="O75" s="300">
        <v>400</v>
      </c>
      <c r="P75" s="300">
        <v>400</v>
      </c>
      <c r="Q75" s="300">
        <v>400</v>
      </c>
      <c r="R75" s="300">
        <v>400</v>
      </c>
      <c r="S75" s="300">
        <v>400</v>
      </c>
      <c r="T75" s="300">
        <v>400</v>
      </c>
      <c r="U75" s="300">
        <v>400</v>
      </c>
      <c r="V75" s="300">
        <v>400</v>
      </c>
      <c r="W75" s="299">
        <v>400</v>
      </c>
      <c r="X75" s="299">
        <v>400</v>
      </c>
    </row>
    <row r="76" spans="1:24" ht="15.75" x14ac:dyDescent="0.25">
      <c r="A76" s="157"/>
      <c r="B76" s="326" t="s">
        <v>314</v>
      </c>
      <c r="C76" s="300">
        <v>0</v>
      </c>
      <c r="D76" s="300">
        <v>21.074999999999999</v>
      </c>
      <c r="E76" s="300">
        <v>375</v>
      </c>
      <c r="F76" s="300">
        <v>307.39</v>
      </c>
      <c r="G76" s="300">
        <v>299.14100000000002</v>
      </c>
      <c r="H76" s="300">
        <v>375</v>
      </c>
      <c r="I76" s="300">
        <v>344.20600000000002</v>
      </c>
      <c r="J76" s="300">
        <v>375</v>
      </c>
      <c r="K76" s="300">
        <v>375</v>
      </c>
      <c r="L76" s="300">
        <v>375</v>
      </c>
      <c r="M76" s="300">
        <v>375</v>
      </c>
      <c r="N76" s="300">
        <v>375</v>
      </c>
      <c r="O76" s="300">
        <v>375</v>
      </c>
      <c r="P76" s="300">
        <v>375</v>
      </c>
      <c r="Q76" s="300">
        <v>375</v>
      </c>
      <c r="R76" s="300">
        <v>375</v>
      </c>
      <c r="S76" s="300">
        <v>375</v>
      </c>
      <c r="T76" s="300">
        <v>375</v>
      </c>
      <c r="U76" s="300">
        <v>375</v>
      </c>
      <c r="V76" s="300">
        <v>375</v>
      </c>
      <c r="W76" s="299">
        <v>284.68119999999999</v>
      </c>
      <c r="X76" s="299">
        <v>329.84059999999999</v>
      </c>
    </row>
    <row r="77" spans="1:24" ht="15.75" x14ac:dyDescent="0.25">
      <c r="A77" s="157"/>
      <c r="B77" s="326" t="s">
        <v>315</v>
      </c>
      <c r="C77" s="300">
        <v>100</v>
      </c>
      <c r="D77" s="300">
        <v>100</v>
      </c>
      <c r="E77" s="300">
        <v>100</v>
      </c>
      <c r="F77" s="300">
        <v>100</v>
      </c>
      <c r="G77" s="300">
        <v>100</v>
      </c>
      <c r="H77" s="300">
        <v>100</v>
      </c>
      <c r="I77" s="300">
        <v>100</v>
      </c>
      <c r="J77" s="300">
        <v>100</v>
      </c>
      <c r="K77" s="300">
        <v>100</v>
      </c>
      <c r="L77" s="300">
        <v>100</v>
      </c>
      <c r="M77" s="300">
        <v>100</v>
      </c>
      <c r="N77" s="300">
        <v>100</v>
      </c>
      <c r="O77" s="300">
        <v>100</v>
      </c>
      <c r="P77" s="300">
        <v>100</v>
      </c>
      <c r="Q77" s="300">
        <v>100</v>
      </c>
      <c r="R77" s="300">
        <v>100</v>
      </c>
      <c r="S77" s="300">
        <v>100</v>
      </c>
      <c r="T77" s="300">
        <v>100</v>
      </c>
      <c r="U77" s="300">
        <v>100</v>
      </c>
      <c r="V77" s="300">
        <v>100</v>
      </c>
      <c r="W77" s="299">
        <v>100</v>
      </c>
      <c r="X77" s="299">
        <v>100</v>
      </c>
    </row>
    <row r="78" spans="1:24" ht="15.75" x14ac:dyDescent="0.25">
      <c r="A78" s="463"/>
      <c r="B78" s="464" t="s">
        <v>316</v>
      </c>
      <c r="C78" s="465">
        <v>281.012</v>
      </c>
      <c r="D78" s="465">
        <v>332.17</v>
      </c>
      <c r="E78" s="465">
        <v>272.65499999999997</v>
      </c>
      <c r="F78" s="465">
        <v>307.34800000000001</v>
      </c>
      <c r="G78" s="465">
        <v>0</v>
      </c>
      <c r="H78" s="465">
        <v>307.57900000000001</v>
      </c>
      <c r="I78" s="465">
        <v>0</v>
      </c>
      <c r="J78" s="465">
        <v>287.03100000000001</v>
      </c>
      <c r="K78" s="465">
        <v>294.80599999999998</v>
      </c>
      <c r="L78" s="465">
        <v>0</v>
      </c>
      <c r="M78" s="465">
        <v>0</v>
      </c>
      <c r="N78" s="465">
        <v>0</v>
      </c>
      <c r="O78" s="465">
        <v>400</v>
      </c>
      <c r="P78" s="465">
        <v>40.570999999999998</v>
      </c>
      <c r="Q78" s="465">
        <v>390.202</v>
      </c>
      <c r="R78" s="465">
        <v>350.65800000000002</v>
      </c>
      <c r="S78" s="465">
        <v>0</v>
      </c>
      <c r="T78" s="465">
        <v>377.03399999999999</v>
      </c>
      <c r="U78" s="465">
        <v>4.4119999999999999</v>
      </c>
      <c r="V78" s="465">
        <v>291.37799999999999</v>
      </c>
      <c r="W78" s="466">
        <v>208.26009999999997</v>
      </c>
      <c r="X78" s="466">
        <v>196.84279999999998</v>
      </c>
    </row>
    <row r="79" spans="1:24" ht="15.75" x14ac:dyDescent="0.25">
      <c r="A79" s="463"/>
      <c r="B79" s="464" t="s">
        <v>317</v>
      </c>
      <c r="C79" s="465">
        <v>0</v>
      </c>
      <c r="D79" s="465">
        <v>0</v>
      </c>
      <c r="E79" s="465">
        <v>0</v>
      </c>
      <c r="F79" s="465">
        <v>0</v>
      </c>
      <c r="G79" s="465">
        <v>319.30799999999999</v>
      </c>
      <c r="H79" s="465">
        <v>0</v>
      </c>
      <c r="I79" s="465">
        <v>305.923</v>
      </c>
      <c r="J79" s="465">
        <v>0</v>
      </c>
      <c r="K79" s="465">
        <v>0</v>
      </c>
      <c r="L79" s="465">
        <v>297.07</v>
      </c>
      <c r="M79" s="465">
        <v>288.548</v>
      </c>
      <c r="N79" s="465">
        <v>312.488</v>
      </c>
      <c r="O79" s="465">
        <v>50.639000000000003</v>
      </c>
      <c r="P79" s="465">
        <v>375</v>
      </c>
      <c r="Q79" s="465">
        <v>0</v>
      </c>
      <c r="R79" s="465">
        <v>0</v>
      </c>
      <c r="S79" s="465">
        <v>336.584</v>
      </c>
      <c r="T79" s="465">
        <v>0</v>
      </c>
      <c r="U79" s="465">
        <v>375</v>
      </c>
      <c r="V79" s="465">
        <v>375</v>
      </c>
      <c r="W79" s="466">
        <v>92.230099999999993</v>
      </c>
      <c r="X79" s="466">
        <v>151.77799999999999</v>
      </c>
    </row>
    <row r="80" spans="1:24" ht="16.5" thickBot="1" x14ac:dyDescent="0.3">
      <c r="A80" s="467"/>
      <c r="B80" s="468" t="s">
        <v>318</v>
      </c>
      <c r="C80" s="469">
        <v>0</v>
      </c>
      <c r="D80" s="469">
        <v>0</v>
      </c>
      <c r="E80" s="469">
        <v>0</v>
      </c>
      <c r="F80" s="469">
        <v>0</v>
      </c>
      <c r="G80" s="469">
        <v>0</v>
      </c>
      <c r="H80" s="469">
        <v>0</v>
      </c>
      <c r="I80" s="469">
        <v>0</v>
      </c>
      <c r="J80" s="469">
        <v>0</v>
      </c>
      <c r="K80" s="469">
        <v>52.73</v>
      </c>
      <c r="L80" s="469">
        <v>54.026000000000003</v>
      </c>
      <c r="M80" s="469">
        <v>8.2089999999999996</v>
      </c>
      <c r="N80" s="469">
        <v>100</v>
      </c>
      <c r="O80" s="469">
        <v>100</v>
      </c>
      <c r="P80" s="469">
        <v>100</v>
      </c>
      <c r="Q80" s="469">
        <v>100</v>
      </c>
      <c r="R80" s="469">
        <v>100</v>
      </c>
      <c r="S80" s="469">
        <v>100</v>
      </c>
      <c r="T80" s="469">
        <v>100</v>
      </c>
      <c r="U80" s="469">
        <v>100</v>
      </c>
      <c r="V80" s="469">
        <v>100</v>
      </c>
      <c r="W80" s="466">
        <v>10.675599999999999</v>
      </c>
      <c r="X80" s="466">
        <v>50.748249999999999</v>
      </c>
    </row>
    <row r="81" spans="1:24" ht="17.25" thickTop="1" thickBot="1" x14ac:dyDescent="0.3">
      <c r="A81" s="329"/>
      <c r="B81" s="309" t="s">
        <v>164</v>
      </c>
      <c r="C81" s="310">
        <v>0</v>
      </c>
      <c r="D81" s="310">
        <v>0</v>
      </c>
      <c r="E81" s="310">
        <v>-256.5</v>
      </c>
      <c r="F81" s="310">
        <v>0</v>
      </c>
      <c r="G81" s="310">
        <v>-387</v>
      </c>
      <c r="H81" s="310">
        <v>0</v>
      </c>
      <c r="I81" s="310">
        <v>0</v>
      </c>
      <c r="J81" s="310">
        <v>0</v>
      </c>
      <c r="K81" s="310">
        <v>0</v>
      </c>
      <c r="L81" s="310">
        <v>-82.3</v>
      </c>
      <c r="M81" s="310">
        <v>0</v>
      </c>
      <c r="N81" s="310">
        <v>-762</v>
      </c>
      <c r="O81" s="310">
        <v>-354</v>
      </c>
      <c r="P81" s="310">
        <v>-357</v>
      </c>
      <c r="Q81" s="310">
        <v>-77.78</v>
      </c>
      <c r="R81" s="310">
        <v>0</v>
      </c>
      <c r="S81" s="310">
        <v>-716.8</v>
      </c>
      <c r="T81" s="310">
        <v>0</v>
      </c>
      <c r="U81" s="310">
        <v>-81.540000000000006</v>
      </c>
      <c r="V81" s="310">
        <v>0</v>
      </c>
      <c r="W81" s="330"/>
      <c r="X81" s="330"/>
    </row>
    <row r="82" spans="1:24" ht="16.5" thickTop="1" x14ac:dyDescent="0.25">
      <c r="A82" s="158"/>
      <c r="B82" s="159" t="s">
        <v>171</v>
      </c>
      <c r="C82" s="311">
        <v>153.77200000000005</v>
      </c>
      <c r="D82" s="311">
        <v>127.71000000000004</v>
      </c>
      <c r="E82" s="311">
        <v>131.18999999999983</v>
      </c>
      <c r="F82" s="311">
        <v>121.57999999999993</v>
      </c>
      <c r="G82" s="311">
        <v>1222.75</v>
      </c>
      <c r="H82" s="311">
        <v>114.05999999999995</v>
      </c>
      <c r="I82" s="311">
        <v>117.86000000000013</v>
      </c>
      <c r="J82" s="311">
        <v>117.64999999999986</v>
      </c>
      <c r="K82" s="311">
        <v>111.57999999999993</v>
      </c>
      <c r="L82" s="311">
        <v>111.22000000000003</v>
      </c>
      <c r="M82" s="311">
        <v>109.07000000000016</v>
      </c>
      <c r="N82" s="311">
        <v>305.95000000000005</v>
      </c>
      <c r="O82" s="311">
        <v>562.66900000000032</v>
      </c>
      <c r="P82" s="311">
        <v>536.44700000000057</v>
      </c>
      <c r="Q82" s="311">
        <v>302.96500000000015</v>
      </c>
      <c r="R82" s="311">
        <v>323.35000000000036</v>
      </c>
      <c r="S82" s="311">
        <v>980.00600000000009</v>
      </c>
      <c r="T82" s="311">
        <v>117.29099999999971</v>
      </c>
      <c r="U82" s="311">
        <v>356.35599999999931</v>
      </c>
      <c r="V82" s="311">
        <v>860.92700000000059</v>
      </c>
      <c r="W82" s="312"/>
      <c r="X82" s="312"/>
    </row>
    <row r="83" spans="1:24" ht="15.75" x14ac:dyDescent="0.25">
      <c r="A83" s="160"/>
      <c r="B83" s="470" t="s">
        <v>172</v>
      </c>
      <c r="C83" s="313">
        <v>781.01199999999994</v>
      </c>
      <c r="D83" s="313">
        <v>853.24500000000012</v>
      </c>
      <c r="E83" s="313">
        <v>1150.528</v>
      </c>
      <c r="F83" s="313">
        <v>1114.7380000000001</v>
      </c>
      <c r="G83" s="313">
        <v>1118.4490000000001</v>
      </c>
      <c r="H83" s="313">
        <v>1223.2180000000001</v>
      </c>
      <c r="I83" s="313">
        <v>1150.1289999999999</v>
      </c>
      <c r="J83" s="313">
        <v>1171.8399999999999</v>
      </c>
      <c r="K83" s="313">
        <v>1389.665</v>
      </c>
      <c r="L83" s="313">
        <v>1329.2619999999999</v>
      </c>
      <c r="M83" s="313">
        <v>1336.325</v>
      </c>
      <c r="N83" s="313">
        <v>1987.4880000000001</v>
      </c>
      <c r="O83" s="313">
        <v>2125.6390000000001</v>
      </c>
      <c r="P83" s="313">
        <v>2081.2460000000001</v>
      </c>
      <c r="Q83" s="313">
        <v>2065.2020000000002</v>
      </c>
      <c r="R83" s="313">
        <v>2025.6579999999999</v>
      </c>
      <c r="S83" s="313">
        <v>2011.5840000000001</v>
      </c>
      <c r="T83" s="313">
        <v>2052.0340000000001</v>
      </c>
      <c r="U83" s="313">
        <v>2054.4120000000003</v>
      </c>
      <c r="V83" s="313">
        <v>2304.9849999999997</v>
      </c>
      <c r="W83" s="312"/>
      <c r="X83" s="312"/>
    </row>
    <row r="84" spans="1:24" ht="15.75" x14ac:dyDescent="0.25">
      <c r="A84" s="160"/>
      <c r="B84" s="470" t="s">
        <v>173</v>
      </c>
      <c r="C84" s="313">
        <v>934.78399999999999</v>
      </c>
      <c r="D84" s="313">
        <v>980.95500000000015</v>
      </c>
      <c r="E84" s="313">
        <v>1281.7179999999998</v>
      </c>
      <c r="F84" s="313">
        <v>1236.318</v>
      </c>
      <c r="G84" s="313">
        <v>2341.1990000000001</v>
      </c>
      <c r="H84" s="313">
        <v>1337.278</v>
      </c>
      <c r="I84" s="313">
        <v>1267.989</v>
      </c>
      <c r="J84" s="313">
        <v>1289.4899999999998</v>
      </c>
      <c r="K84" s="313">
        <v>1501.2449999999999</v>
      </c>
      <c r="L84" s="313">
        <v>1440.482</v>
      </c>
      <c r="M84" s="313">
        <v>1445.3950000000002</v>
      </c>
      <c r="N84" s="313">
        <v>2293.4380000000001</v>
      </c>
      <c r="O84" s="313">
        <v>2688.3080000000004</v>
      </c>
      <c r="P84" s="313">
        <v>2617.6930000000007</v>
      </c>
      <c r="Q84" s="313">
        <v>2368.1670000000004</v>
      </c>
      <c r="R84" s="313">
        <v>2349.0080000000003</v>
      </c>
      <c r="S84" s="313">
        <v>2991.59</v>
      </c>
      <c r="T84" s="313">
        <v>2169.3249999999998</v>
      </c>
      <c r="U84" s="313">
        <v>2410.7679999999996</v>
      </c>
      <c r="V84" s="313">
        <v>3165.9120000000003</v>
      </c>
      <c r="W84" s="312"/>
      <c r="X84" s="312"/>
    </row>
    <row r="87" spans="1:24" x14ac:dyDescent="0.2">
      <c r="B87" t="s">
        <v>319</v>
      </c>
    </row>
  </sheetData>
  <conditionalFormatting sqref="A7:B7">
    <cfRule type="expression" dxfId="1" priority="2" stopIfTrue="1">
      <formula>ROUND($G$325,0)&lt;&gt;0</formula>
    </cfRule>
  </conditionalFormatting>
  <conditionalFormatting sqref="B24">
    <cfRule type="containsText" dxfId="0" priority="1" operator="containsText" text="Early">
      <formula>NOT(ISERROR(SEARCH("Early",B24)))</formula>
    </cfRule>
  </conditionalFormatting>
  <printOptions horizontalCentered="1"/>
  <pageMargins left="0.25" right="0.25" top="0.75" bottom="0.75" header="0.3" footer="0.3"/>
  <pageSetup scale="78" fitToHeight="0" orientation="landscape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48"/>
  <sheetViews>
    <sheetView zoomScaleNormal="100" workbookViewId="0">
      <selection activeCell="B30" sqref="B30:F30"/>
    </sheetView>
  </sheetViews>
  <sheetFormatPr defaultColWidth="8.83203125" defaultRowHeight="12.75" x14ac:dyDescent="0.2"/>
  <cols>
    <col min="1" max="1" width="2.1640625" style="32" customWidth="1"/>
    <col min="2" max="2" width="22" style="32" customWidth="1"/>
    <col min="3" max="6" width="16.33203125" style="32" customWidth="1"/>
    <col min="7" max="7" width="2.1640625" style="32" customWidth="1"/>
    <col min="8" max="8" width="10" style="32" customWidth="1"/>
    <col min="9" max="16384" width="8.83203125" style="32"/>
  </cols>
  <sheetData>
    <row r="1" spans="2:6" ht="15.75" x14ac:dyDescent="0.25">
      <c r="B1" s="20" t="s">
        <v>94</v>
      </c>
      <c r="C1" s="23"/>
      <c r="D1" s="23"/>
      <c r="E1" s="23"/>
      <c r="F1" s="23"/>
    </row>
    <row r="2" spans="2:6" ht="15.75" x14ac:dyDescent="0.25">
      <c r="B2" s="20" t="s">
        <v>108</v>
      </c>
      <c r="C2" s="23"/>
      <c r="D2" s="23"/>
      <c r="E2" s="23"/>
      <c r="F2" s="23"/>
    </row>
    <row r="3" spans="2:6" ht="15.75" x14ac:dyDescent="0.25">
      <c r="B3" s="20" t="s">
        <v>36</v>
      </c>
      <c r="C3" s="66"/>
      <c r="D3" s="66"/>
      <c r="E3" s="66"/>
      <c r="F3" s="66"/>
    </row>
    <row r="4" spans="2:6" ht="15.75" x14ac:dyDescent="0.25">
      <c r="B4" s="20"/>
      <c r="C4" s="66"/>
      <c r="D4" s="66"/>
      <c r="E4" s="66"/>
      <c r="F4" s="66"/>
    </row>
    <row r="5" spans="2:6" x14ac:dyDescent="0.2">
      <c r="B5" s="21"/>
      <c r="C5" s="24" t="s">
        <v>103</v>
      </c>
      <c r="D5" s="24"/>
      <c r="E5" s="24"/>
      <c r="F5" s="24"/>
    </row>
    <row r="6" spans="2:6" x14ac:dyDescent="0.2">
      <c r="B6" s="25" t="s">
        <v>2</v>
      </c>
      <c r="C6" s="24" t="s">
        <v>104</v>
      </c>
      <c r="D6" s="24"/>
      <c r="E6" s="24" t="s">
        <v>105</v>
      </c>
      <c r="F6" s="24"/>
    </row>
    <row r="7" spans="2:6" x14ac:dyDescent="0.2">
      <c r="B7" s="67"/>
      <c r="C7" s="24" t="s">
        <v>106</v>
      </c>
      <c r="D7" s="24" t="s">
        <v>107</v>
      </c>
      <c r="E7" s="24" t="s">
        <v>106</v>
      </c>
      <c r="F7" s="24" t="s">
        <v>107</v>
      </c>
    </row>
    <row r="8" spans="2:6" x14ac:dyDescent="0.2">
      <c r="C8" s="22" t="s">
        <v>19</v>
      </c>
      <c r="D8" s="22" t="s">
        <v>20</v>
      </c>
      <c r="E8" s="22" t="s">
        <v>21</v>
      </c>
      <c r="F8" s="22" t="s">
        <v>22</v>
      </c>
    </row>
    <row r="9" spans="2:6" x14ac:dyDescent="0.2">
      <c r="C9" s="68"/>
      <c r="D9" s="68"/>
      <c r="E9" s="68"/>
      <c r="F9" s="68"/>
    </row>
    <row r="10" spans="2:6" x14ac:dyDescent="0.2">
      <c r="B10" s="69">
        <f>'Tables 3 to 5'!$B$14</f>
        <v>2018</v>
      </c>
      <c r="C10" s="70">
        <f>VLOOKUP($B10,'OFPC Source'!$W$8:$AA$34,2,FALSE)</f>
        <v>24.29</v>
      </c>
      <c r="D10" s="70">
        <f>VLOOKUP($B10,'OFPC Source'!$W$8:$AA$34,3,FALSE)</f>
        <v>26.33</v>
      </c>
      <c r="E10" s="70">
        <f>VLOOKUP($B10,'OFPC Source'!$W$8:$AA$34,4,FALSE)</f>
        <v>18.489999999999998</v>
      </c>
      <c r="F10" s="70">
        <f>VLOOKUP($B10,'OFPC Source'!$W$8:$AA$34,5,FALSE)</f>
        <v>21.86</v>
      </c>
    </row>
    <row r="11" spans="2:6" x14ac:dyDescent="0.2">
      <c r="B11" s="69">
        <f>B10+1</f>
        <v>2019</v>
      </c>
      <c r="C11" s="70">
        <f>VLOOKUP($B11,'OFPC Source'!$W$8:$AA$34,2,FALSE)</f>
        <v>25.11</v>
      </c>
      <c r="D11" s="70">
        <f>VLOOKUP($B11,'OFPC Source'!$W$8:$AA$34,3,FALSE)</f>
        <v>27.03</v>
      </c>
      <c r="E11" s="70">
        <f>VLOOKUP($B11,'OFPC Source'!$W$8:$AA$34,4,FALSE)</f>
        <v>19.18</v>
      </c>
      <c r="F11" s="70">
        <f>VLOOKUP($B11,'OFPC Source'!$W$8:$AA$34,5,FALSE)</f>
        <v>21.46</v>
      </c>
    </row>
    <row r="12" spans="2:6" x14ac:dyDescent="0.2">
      <c r="B12" s="69">
        <f t="shared" ref="B12:B27" si="0">B11+1</f>
        <v>2020</v>
      </c>
      <c r="C12" s="70">
        <f>VLOOKUP($B12,'OFPC Source'!$W$8:$AA$34,2,FALSE)</f>
        <v>27.21</v>
      </c>
      <c r="D12" s="70">
        <f>VLOOKUP($B12,'OFPC Source'!$W$8:$AA$34,3,FALSE)</f>
        <v>28.64</v>
      </c>
      <c r="E12" s="70">
        <f>VLOOKUP($B12,'OFPC Source'!$W$8:$AA$34,4,FALSE)</f>
        <v>20.99</v>
      </c>
      <c r="F12" s="70">
        <f>VLOOKUP($B12,'OFPC Source'!$W$8:$AA$34,5,FALSE)</f>
        <v>22.01</v>
      </c>
    </row>
    <row r="13" spans="2:6" x14ac:dyDescent="0.2">
      <c r="B13" s="69">
        <f t="shared" si="0"/>
        <v>2021</v>
      </c>
      <c r="C13" s="70">
        <f>VLOOKUP($B13,'OFPC Source'!$W$8:$AA$34,2,FALSE)</f>
        <v>28.78</v>
      </c>
      <c r="D13" s="70">
        <f>VLOOKUP($B13,'OFPC Source'!$W$8:$AA$34,3,FALSE)</f>
        <v>30.1</v>
      </c>
      <c r="E13" s="70">
        <f>VLOOKUP($B13,'OFPC Source'!$W$8:$AA$34,4,FALSE)</f>
        <v>23.04</v>
      </c>
      <c r="F13" s="70">
        <f>VLOOKUP($B13,'OFPC Source'!$W$8:$AA$34,5,FALSE)</f>
        <v>23.79</v>
      </c>
    </row>
    <row r="14" spans="2:6" x14ac:dyDescent="0.2">
      <c r="B14" s="69">
        <f t="shared" si="0"/>
        <v>2022</v>
      </c>
      <c r="C14" s="70">
        <f>VLOOKUP($B14,'OFPC Source'!$W$8:$AA$34,2,FALSE)</f>
        <v>30.74</v>
      </c>
      <c r="D14" s="70">
        <f>VLOOKUP($B14,'OFPC Source'!$W$8:$AA$34,3,FALSE)</f>
        <v>31.49</v>
      </c>
      <c r="E14" s="70">
        <f>VLOOKUP($B14,'OFPC Source'!$W$8:$AA$34,4,FALSE)</f>
        <v>24.58</v>
      </c>
      <c r="F14" s="70">
        <f>VLOOKUP($B14,'OFPC Source'!$W$8:$AA$34,5,FALSE)</f>
        <v>25.76</v>
      </c>
    </row>
    <row r="15" spans="2:6" x14ac:dyDescent="0.2">
      <c r="B15" s="69">
        <f t="shared" si="0"/>
        <v>2023</v>
      </c>
      <c r="C15" s="70">
        <f>VLOOKUP($B15,'OFPC Source'!$W$8:$AA$34,2,FALSE)</f>
        <v>33.5</v>
      </c>
      <c r="D15" s="70">
        <f>VLOOKUP($B15,'OFPC Source'!$W$8:$AA$34,3,FALSE)</f>
        <v>33.869999999999997</v>
      </c>
      <c r="E15" s="70">
        <f>VLOOKUP($B15,'OFPC Source'!$W$8:$AA$34,4,FALSE)</f>
        <v>27.47</v>
      </c>
      <c r="F15" s="70">
        <f>VLOOKUP($B15,'OFPC Source'!$W$8:$AA$34,5,FALSE)</f>
        <v>28.81</v>
      </c>
    </row>
    <row r="16" spans="2:6" x14ac:dyDescent="0.2">
      <c r="B16" s="69">
        <f t="shared" si="0"/>
        <v>2024</v>
      </c>
      <c r="C16" s="70">
        <f>VLOOKUP($B16,'OFPC Source'!$W$8:$AA$34,2,FALSE)</f>
        <v>37.1</v>
      </c>
      <c r="D16" s="70">
        <f>VLOOKUP($B16,'OFPC Source'!$W$8:$AA$34,3,FALSE)</f>
        <v>36.76</v>
      </c>
      <c r="E16" s="70">
        <f>VLOOKUP($B16,'OFPC Source'!$W$8:$AA$34,4,FALSE)</f>
        <v>30.79</v>
      </c>
      <c r="F16" s="70">
        <f>VLOOKUP($B16,'OFPC Source'!$W$8:$AA$34,5,FALSE)</f>
        <v>32.08</v>
      </c>
    </row>
    <row r="17" spans="2:6" x14ac:dyDescent="0.2">
      <c r="B17" s="69">
        <f t="shared" si="0"/>
        <v>2025</v>
      </c>
      <c r="C17" s="70">
        <f>VLOOKUP($B17,'OFPC Source'!$W$8:$AA$34,2,FALSE)</f>
        <v>39.49</v>
      </c>
      <c r="D17" s="70">
        <f>VLOOKUP($B17,'OFPC Source'!$W$8:$AA$34,3,FALSE)</f>
        <v>39.08</v>
      </c>
      <c r="E17" s="70">
        <f>VLOOKUP($B17,'OFPC Source'!$W$8:$AA$34,4,FALSE)</f>
        <v>33.18</v>
      </c>
      <c r="F17" s="70">
        <f>VLOOKUP($B17,'OFPC Source'!$W$8:$AA$34,5,FALSE)</f>
        <v>33.950000000000003</v>
      </c>
    </row>
    <row r="18" spans="2:6" x14ac:dyDescent="0.2">
      <c r="B18" s="69">
        <f t="shared" si="0"/>
        <v>2026</v>
      </c>
      <c r="C18" s="70">
        <f>VLOOKUP($B18,'OFPC Source'!$W$8:$AA$34,2,FALSE)</f>
        <v>40.270000000000003</v>
      </c>
      <c r="D18" s="70">
        <f>VLOOKUP($B18,'OFPC Source'!$W$8:$AA$34,3,FALSE)</f>
        <v>39.840000000000003</v>
      </c>
      <c r="E18" s="70">
        <f>VLOOKUP($B18,'OFPC Source'!$W$8:$AA$34,4,FALSE)</f>
        <v>33.950000000000003</v>
      </c>
      <c r="F18" s="70">
        <f>VLOOKUP($B18,'OFPC Source'!$W$8:$AA$34,5,FALSE)</f>
        <v>34.69</v>
      </c>
    </row>
    <row r="19" spans="2:6" x14ac:dyDescent="0.2">
      <c r="B19" s="69">
        <f t="shared" si="0"/>
        <v>2027</v>
      </c>
      <c r="C19" s="70">
        <f>VLOOKUP($B19,'OFPC Source'!$W$8:$AA$34,2,FALSE)</f>
        <v>41.36</v>
      </c>
      <c r="D19" s="70">
        <f>VLOOKUP($B19,'OFPC Source'!$W$8:$AA$34,3,FALSE)</f>
        <v>40.83</v>
      </c>
      <c r="E19" s="70">
        <f>VLOOKUP($B19,'OFPC Source'!$W$8:$AA$34,4,FALSE)</f>
        <v>35.1</v>
      </c>
      <c r="F19" s="70">
        <f>VLOOKUP($B19,'OFPC Source'!$W$8:$AA$34,5,FALSE)</f>
        <v>35.89</v>
      </c>
    </row>
    <row r="20" spans="2:6" x14ac:dyDescent="0.2">
      <c r="B20" s="69">
        <f t="shared" si="0"/>
        <v>2028</v>
      </c>
      <c r="C20" s="70">
        <f>VLOOKUP($B20,'OFPC Source'!$W$8:$AA$34,2,FALSE)</f>
        <v>43.71</v>
      </c>
      <c r="D20" s="70">
        <f>VLOOKUP($B20,'OFPC Source'!$W$8:$AA$34,3,FALSE)</f>
        <v>42.66</v>
      </c>
      <c r="E20" s="70">
        <f>VLOOKUP($B20,'OFPC Source'!$W$8:$AA$34,4,FALSE)</f>
        <v>37.19</v>
      </c>
      <c r="F20" s="70">
        <f>VLOOKUP($B20,'OFPC Source'!$W$8:$AA$34,5,FALSE)</f>
        <v>37.74</v>
      </c>
    </row>
    <row r="21" spans="2:6" x14ac:dyDescent="0.2">
      <c r="B21" s="69">
        <f t="shared" si="0"/>
        <v>2029</v>
      </c>
      <c r="C21" s="70">
        <f>VLOOKUP($B21,'OFPC Source'!$W$8:$AA$34,2,FALSE)</f>
        <v>45.85</v>
      </c>
      <c r="D21" s="70">
        <f>VLOOKUP($B21,'OFPC Source'!$W$8:$AA$34,3,FALSE)</f>
        <v>44.88</v>
      </c>
      <c r="E21" s="70">
        <f>VLOOKUP($B21,'OFPC Source'!$W$8:$AA$34,4,FALSE)</f>
        <v>39.29</v>
      </c>
      <c r="F21" s="70">
        <f>VLOOKUP($B21,'OFPC Source'!$W$8:$AA$34,5,FALSE)</f>
        <v>40.020000000000003</v>
      </c>
    </row>
    <row r="22" spans="2:6" x14ac:dyDescent="0.2">
      <c r="B22" s="69">
        <f t="shared" si="0"/>
        <v>2030</v>
      </c>
      <c r="C22" s="70">
        <f>VLOOKUP($B22,'OFPC Source'!$W$8:$AA$34,2,FALSE)</f>
        <v>48.25</v>
      </c>
      <c r="D22" s="70">
        <f>VLOOKUP($B22,'OFPC Source'!$W$8:$AA$34,3,FALSE)</f>
        <v>47.33</v>
      </c>
      <c r="E22" s="70">
        <f>VLOOKUP($B22,'OFPC Source'!$W$8:$AA$34,4,FALSE)</f>
        <v>41.83</v>
      </c>
      <c r="F22" s="70">
        <f>VLOOKUP($B22,'OFPC Source'!$W$8:$AA$34,5,FALSE)</f>
        <v>42.63</v>
      </c>
    </row>
    <row r="23" spans="2:6" x14ac:dyDescent="0.2">
      <c r="B23" s="69">
        <f t="shared" si="0"/>
        <v>2031</v>
      </c>
      <c r="C23" s="70">
        <f>VLOOKUP($B23,'OFPC Source'!$W$8:$AA$34,2,FALSE)</f>
        <v>50.32</v>
      </c>
      <c r="D23" s="70">
        <f>VLOOKUP($B23,'OFPC Source'!$W$8:$AA$34,3,FALSE)</f>
        <v>49.33</v>
      </c>
      <c r="E23" s="70">
        <f>VLOOKUP($B23,'OFPC Source'!$W$8:$AA$34,4,FALSE)</f>
        <v>43.73</v>
      </c>
      <c r="F23" s="70">
        <f>VLOOKUP($B23,'OFPC Source'!$W$8:$AA$34,5,FALSE)</f>
        <v>44.41</v>
      </c>
    </row>
    <row r="24" spans="2:6" x14ac:dyDescent="0.2">
      <c r="B24" s="69">
        <f t="shared" si="0"/>
        <v>2032</v>
      </c>
      <c r="C24" s="70">
        <f>VLOOKUP($B24,'OFPC Source'!$W$8:$AA$34,2,FALSE)</f>
        <v>52.51</v>
      </c>
      <c r="D24" s="70">
        <f>VLOOKUP($B24,'OFPC Source'!$W$8:$AA$34,3,FALSE)</f>
        <v>51.66</v>
      </c>
      <c r="E24" s="70">
        <f>VLOOKUP($B24,'OFPC Source'!$W$8:$AA$34,4,FALSE)</f>
        <v>45.82</v>
      </c>
      <c r="F24" s="70">
        <f>VLOOKUP($B24,'OFPC Source'!$W$8:$AA$34,5,FALSE)</f>
        <v>46.63</v>
      </c>
    </row>
    <row r="25" spans="2:6" x14ac:dyDescent="0.2">
      <c r="B25" s="69">
        <f t="shared" si="0"/>
        <v>2033</v>
      </c>
      <c r="C25" s="70">
        <f>VLOOKUP($B25,'OFPC Source'!$W$8:$AA$34,2,FALSE)</f>
        <v>55.22</v>
      </c>
      <c r="D25" s="70">
        <f>VLOOKUP($B25,'OFPC Source'!$W$8:$AA$34,3,FALSE)</f>
        <v>54.43</v>
      </c>
      <c r="E25" s="70">
        <f>VLOOKUP($B25,'OFPC Source'!$W$8:$AA$34,4,FALSE)</f>
        <v>48.63</v>
      </c>
      <c r="F25" s="70">
        <f>VLOOKUP($B25,'OFPC Source'!$W$8:$AA$34,5,FALSE)</f>
        <v>49.46</v>
      </c>
    </row>
    <row r="26" spans="2:6" x14ac:dyDescent="0.2">
      <c r="B26" s="69">
        <f t="shared" si="0"/>
        <v>2034</v>
      </c>
      <c r="C26" s="70" t="e">
        <f>VLOOKUP($B26,'OFPC Source'!$W$8:$AA$34,2,FALSE)</f>
        <v>#N/A</v>
      </c>
      <c r="D26" s="70" t="e">
        <f>VLOOKUP($B26,'OFPC Source'!$W$8:$AA$34,3,FALSE)</f>
        <v>#N/A</v>
      </c>
      <c r="E26" s="70" t="e">
        <f>VLOOKUP($B26,'OFPC Source'!$W$8:$AA$34,4,FALSE)</f>
        <v>#N/A</v>
      </c>
      <c r="F26" s="70" t="e">
        <f>VLOOKUP($B26,'OFPC Source'!$W$8:$AA$34,5,FALSE)</f>
        <v>#N/A</v>
      </c>
    </row>
    <row r="27" spans="2:6" x14ac:dyDescent="0.2">
      <c r="B27" s="69">
        <f t="shared" si="0"/>
        <v>2035</v>
      </c>
      <c r="C27" s="70" t="e">
        <f>VLOOKUP($B27,'OFPC Source'!$W$8:$AA$34,2,FALSE)</f>
        <v>#N/A</v>
      </c>
      <c r="D27" s="70" t="e">
        <f>VLOOKUP($B27,'OFPC Source'!$W$8:$AA$34,3,FALSE)</f>
        <v>#N/A</v>
      </c>
      <c r="E27" s="70" t="e">
        <f>VLOOKUP($B27,'OFPC Source'!$W$8:$AA$34,4,FALSE)</f>
        <v>#N/A</v>
      </c>
      <c r="F27" s="70" t="e">
        <f>VLOOKUP($B27,'OFPC Source'!$W$8:$AA$34,5,FALSE)</f>
        <v>#N/A</v>
      </c>
    </row>
    <row r="29" spans="2:6" x14ac:dyDescent="0.2">
      <c r="B29" s="27" t="s">
        <v>95</v>
      </c>
    </row>
    <row r="30" spans="2:6" ht="25.5" customHeight="1" x14ac:dyDescent="0.2">
      <c r="B30" s="496" t="str">
        <f>'Table 8'!B33:D33</f>
        <v>Official Forward Price Curve dated   March 31 2017</v>
      </c>
      <c r="C30" s="496"/>
      <c r="D30" s="496"/>
      <c r="E30" s="496"/>
      <c r="F30" s="496"/>
    </row>
    <row r="33" spans="2:2" x14ac:dyDescent="0.2">
      <c r="B33" s="71"/>
    </row>
    <row r="34" spans="2:2" x14ac:dyDescent="0.2">
      <c r="B34" s="71"/>
    </row>
    <row r="48" spans="2:2" ht="24.75" customHeight="1" x14ac:dyDescent="0.2"/>
  </sheetData>
  <mergeCells count="1">
    <mergeCell ref="B30:F30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0"/>
  <sheetViews>
    <sheetView zoomScale="90" zoomScaleNormal="90" workbookViewId="0">
      <selection activeCell="G11" sqref="G11"/>
    </sheetView>
  </sheetViews>
  <sheetFormatPr defaultRowHeight="12.75" x14ac:dyDescent="0.2"/>
  <cols>
    <col min="1" max="1" width="2" customWidth="1"/>
    <col min="2" max="2" width="14.1640625" customWidth="1"/>
    <col min="3" max="7" width="19.6640625" customWidth="1"/>
    <col min="8" max="8" width="6.6640625" customWidth="1"/>
    <col min="9" max="10" width="9.33203125" style="476"/>
    <col min="14" max="14" width="21.5" customWidth="1"/>
    <col min="15" max="15" width="20.1640625" customWidth="1"/>
  </cols>
  <sheetData>
    <row r="1" spans="1:16" ht="15.75" x14ac:dyDescent="0.25">
      <c r="A1" s="32"/>
      <c r="B1" s="20" t="s">
        <v>102</v>
      </c>
      <c r="C1" s="23"/>
      <c r="D1" s="144"/>
      <c r="E1" s="144"/>
      <c r="F1" s="144"/>
      <c r="G1" s="144"/>
    </row>
    <row r="2" spans="1:16" ht="15.75" x14ac:dyDescent="0.25">
      <c r="A2" s="32"/>
      <c r="B2" s="20" t="s">
        <v>132</v>
      </c>
      <c r="C2" s="23"/>
      <c r="D2" s="144"/>
      <c r="E2" s="144"/>
      <c r="F2" s="144"/>
      <c r="G2" s="144"/>
      <c r="M2" s="497" t="s">
        <v>327</v>
      </c>
      <c r="N2" s="497"/>
      <c r="O2" s="497"/>
      <c r="P2" s="135"/>
    </row>
    <row r="3" spans="1:16" ht="15.75" x14ac:dyDescent="0.25">
      <c r="A3" s="32"/>
      <c r="B3" s="20" t="s">
        <v>117</v>
      </c>
      <c r="C3" s="66"/>
      <c r="D3" s="144"/>
      <c r="E3" s="144"/>
      <c r="F3" s="144"/>
      <c r="G3" s="144"/>
      <c r="M3" s="472" t="s">
        <v>328</v>
      </c>
      <c r="N3" s="472"/>
      <c r="O3" s="472"/>
      <c r="P3" s="135"/>
    </row>
    <row r="4" spans="1:16" ht="15.75" x14ac:dyDescent="0.25">
      <c r="A4" s="32"/>
      <c r="B4" s="20"/>
      <c r="C4" s="66"/>
      <c r="I4" s="477"/>
      <c r="J4" s="477"/>
      <c r="M4" s="472"/>
      <c r="N4" s="472" t="s">
        <v>329</v>
      </c>
      <c r="O4" s="472" t="s">
        <v>330</v>
      </c>
      <c r="P4" s="472" t="s">
        <v>15</v>
      </c>
    </row>
    <row r="5" spans="1:16" ht="38.25" x14ac:dyDescent="0.2">
      <c r="A5" s="32"/>
      <c r="B5" s="21" t="s">
        <v>2</v>
      </c>
      <c r="C5" s="133" t="s">
        <v>332</v>
      </c>
      <c r="D5" s="133" t="s">
        <v>179</v>
      </c>
      <c r="E5" s="133" t="s">
        <v>136</v>
      </c>
      <c r="F5" s="133" t="s">
        <v>334</v>
      </c>
      <c r="G5" s="133" t="s">
        <v>335</v>
      </c>
      <c r="I5" s="478" t="s">
        <v>349</v>
      </c>
      <c r="J5" s="478"/>
      <c r="M5" s="473" t="s">
        <v>129</v>
      </c>
      <c r="N5" s="474">
        <v>0.42889830042325666</v>
      </c>
      <c r="O5" s="474">
        <v>0.144532267904389</v>
      </c>
      <c r="P5" s="474">
        <v>0.57343056832764572</v>
      </c>
    </row>
    <row r="6" spans="1:16" x14ac:dyDescent="0.2">
      <c r="A6" s="32"/>
      <c r="B6" s="67"/>
      <c r="C6" s="134" t="s">
        <v>117</v>
      </c>
      <c r="D6" s="134" t="s">
        <v>117</v>
      </c>
      <c r="E6" s="134" t="s">
        <v>117</v>
      </c>
      <c r="F6" s="134" t="s">
        <v>117</v>
      </c>
      <c r="G6" s="134" t="s">
        <v>117</v>
      </c>
      <c r="I6" s="479" t="s">
        <v>2</v>
      </c>
      <c r="J6" s="480" t="s">
        <v>333</v>
      </c>
      <c r="M6" s="473" t="s">
        <v>146</v>
      </c>
      <c r="N6" s="474">
        <v>0.45801214757039699</v>
      </c>
      <c r="O6" s="474">
        <v>0.14453226790433146</v>
      </c>
      <c r="P6" s="474">
        <v>0.60254441547472848</v>
      </c>
    </row>
    <row r="7" spans="1:16" x14ac:dyDescent="0.2">
      <c r="A7" s="32"/>
      <c r="B7" s="32"/>
      <c r="C7" s="68" t="s">
        <v>19</v>
      </c>
      <c r="D7" s="68" t="s">
        <v>20</v>
      </c>
      <c r="E7" s="68" t="s">
        <v>137</v>
      </c>
      <c r="F7" s="68" t="s">
        <v>22</v>
      </c>
      <c r="G7" s="68" t="s">
        <v>336</v>
      </c>
      <c r="M7" t="s">
        <v>331</v>
      </c>
    </row>
    <row r="8" spans="1:16" x14ac:dyDescent="0.2">
      <c r="A8" s="32"/>
      <c r="B8" s="32"/>
      <c r="C8" s="68"/>
      <c r="D8" s="68"/>
      <c r="E8" s="68"/>
      <c r="F8" s="68"/>
      <c r="G8" s="68"/>
    </row>
    <row r="9" spans="1:16" x14ac:dyDescent="0.2">
      <c r="A9" s="32"/>
      <c r="B9" s="69">
        <v>2016</v>
      </c>
      <c r="C9" s="475">
        <f>$O$5</f>
        <v>0.144532267904389</v>
      </c>
      <c r="D9" s="475">
        <f>$N$5</f>
        <v>0.42889830042325666</v>
      </c>
      <c r="E9" s="475">
        <f>C9+D9</f>
        <v>0.57343056832764572</v>
      </c>
      <c r="F9" s="475">
        <f>$N$6</f>
        <v>0.45801214757039699</v>
      </c>
      <c r="G9" s="475">
        <f>C9+F9</f>
        <v>0.60254441547478599</v>
      </c>
      <c r="I9" s="431">
        <f>B9</f>
        <v>2016</v>
      </c>
      <c r="J9" s="409"/>
    </row>
    <row r="10" spans="1:16" x14ac:dyDescent="0.2">
      <c r="A10" s="32"/>
      <c r="B10" s="69">
        <f>B9+1</f>
        <v>2017</v>
      </c>
      <c r="C10" s="475">
        <f>C9*(1+$J10)</f>
        <v>0.14772534160477011</v>
      </c>
      <c r="D10" s="475">
        <f>D9*(1+$J10)</f>
        <v>0.43837372001693253</v>
      </c>
      <c r="E10" s="475">
        <f>E9*(1+$J10)</f>
        <v>0.58609906162170267</v>
      </c>
      <c r="F10" s="475">
        <f>F9*(1+$J10)</f>
        <v>0.46813076373872253</v>
      </c>
      <c r="G10" s="475">
        <f t="shared" ref="G10:G33" si="0">C10+F10</f>
        <v>0.61585610534349267</v>
      </c>
      <c r="I10" s="431">
        <f t="shared" ref="I10:I16" si="1">I9+1</f>
        <v>2017</v>
      </c>
      <c r="J10" s="409">
        <v>2.2092462442320437E-2</v>
      </c>
    </row>
    <row r="11" spans="1:16" x14ac:dyDescent="0.2">
      <c r="A11" s="32"/>
      <c r="B11" s="69">
        <f t="shared" ref="B11:B33" si="2">B10+1</f>
        <v>2018</v>
      </c>
      <c r="C11" s="475">
        <f t="shared" ref="C11:C31" si="3">C10*(1+$J11)</f>
        <v>0.15092862831656034</v>
      </c>
      <c r="D11" s="475">
        <f t="shared" ref="D11:D31" si="4">D10*(1+$J11)</f>
        <v>0.44787944663684615</v>
      </c>
      <c r="E11" s="475">
        <f t="shared" ref="E11:E31" si="5">E10*(1+$J11)</f>
        <v>0.59880807495340649</v>
      </c>
      <c r="F11" s="475">
        <f t="shared" ref="F11:F33" si="6">F10*(1+$J11)</f>
        <v>0.47828174419051556</v>
      </c>
      <c r="G11" s="475">
        <f t="shared" si="0"/>
        <v>0.6292103725070759</v>
      </c>
      <c r="I11" s="431">
        <f t="shared" si="1"/>
        <v>2018</v>
      </c>
      <c r="J11" s="409">
        <v>2.1684070430924685E-2</v>
      </c>
    </row>
    <row r="12" spans="1:16" x14ac:dyDescent="0.2">
      <c r="A12" s="32"/>
      <c r="B12" s="69">
        <f t="shared" si="2"/>
        <v>2019</v>
      </c>
      <c r="C12" s="475">
        <f t="shared" si="3"/>
        <v>0.15395073944817789</v>
      </c>
      <c r="D12" s="475">
        <f t="shared" si="4"/>
        <v>0.45684753623257862</v>
      </c>
      <c r="E12" s="475">
        <f t="shared" si="5"/>
        <v>0.61079827568075651</v>
      </c>
      <c r="F12" s="475">
        <f t="shared" si="6"/>
        <v>0.4878585925279692</v>
      </c>
      <c r="G12" s="475">
        <f t="shared" si="0"/>
        <v>0.64180933197614709</v>
      </c>
      <c r="I12" s="431">
        <f t="shared" si="1"/>
        <v>2019</v>
      </c>
      <c r="J12" s="409">
        <v>2.0023445288848141E-2</v>
      </c>
    </row>
    <row r="13" spans="1:16" x14ac:dyDescent="0.2">
      <c r="A13" s="32"/>
      <c r="B13" s="69">
        <f t="shared" si="2"/>
        <v>2020</v>
      </c>
      <c r="C13" s="475">
        <f t="shared" si="3"/>
        <v>0.15724892611042726</v>
      </c>
      <c r="D13" s="475">
        <f t="shared" si="4"/>
        <v>0.46663487766454992</v>
      </c>
      <c r="E13" s="475">
        <f t="shared" si="5"/>
        <v>0.62388380377497721</v>
      </c>
      <c r="F13" s="475">
        <f t="shared" si="6"/>
        <v>0.49831030395661824</v>
      </c>
      <c r="G13" s="475">
        <f t="shared" si="0"/>
        <v>0.65555923006704553</v>
      </c>
      <c r="I13" s="431">
        <f t="shared" si="1"/>
        <v>2020</v>
      </c>
      <c r="J13" s="409">
        <v>2.1423649370385656E-2</v>
      </c>
    </row>
    <row r="14" spans="1:16" x14ac:dyDescent="0.2">
      <c r="A14" s="32"/>
      <c r="B14" s="69">
        <f t="shared" si="2"/>
        <v>2021</v>
      </c>
      <c r="C14" s="475">
        <f t="shared" si="3"/>
        <v>0.16077831589762503</v>
      </c>
      <c r="D14" s="475">
        <f t="shared" si="4"/>
        <v>0.47710831244287705</v>
      </c>
      <c r="E14" s="475">
        <f t="shared" si="5"/>
        <v>0.63788662834050203</v>
      </c>
      <c r="F14" s="475">
        <f t="shared" si="6"/>
        <v>0.50949468111671936</v>
      </c>
      <c r="G14" s="475">
        <f t="shared" si="0"/>
        <v>0.6702729970143444</v>
      </c>
      <c r="I14" s="431">
        <f t="shared" si="1"/>
        <v>2021</v>
      </c>
      <c r="J14" s="409">
        <v>2.2444603435442634E-2</v>
      </c>
    </row>
    <row r="15" spans="1:16" x14ac:dyDescent="0.2">
      <c r="A15" s="32"/>
      <c r="B15" s="69">
        <f t="shared" si="2"/>
        <v>2022</v>
      </c>
      <c r="C15" s="475">
        <f t="shared" si="3"/>
        <v>0.16440536152724949</v>
      </c>
      <c r="D15" s="475">
        <f t="shared" si="4"/>
        <v>0.48787154011970701</v>
      </c>
      <c r="E15" s="475">
        <f t="shared" si="5"/>
        <v>0.65227690164695651</v>
      </c>
      <c r="F15" s="475">
        <f t="shared" si="6"/>
        <v>0.52098852247302507</v>
      </c>
      <c r="G15" s="475">
        <f t="shared" si="0"/>
        <v>0.68539388400027457</v>
      </c>
      <c r="I15" s="431">
        <f t="shared" si="1"/>
        <v>2022</v>
      </c>
      <c r="J15" s="409">
        <v>2.2559296067847567E-2</v>
      </c>
    </row>
    <row r="16" spans="1:16" x14ac:dyDescent="0.2">
      <c r="A16" s="32"/>
      <c r="B16" s="69">
        <f t="shared" si="2"/>
        <v>2023</v>
      </c>
      <c r="C16" s="475">
        <f t="shared" si="3"/>
        <v>0.16819179497937375</v>
      </c>
      <c r="D16" s="475">
        <f t="shared" si="4"/>
        <v>0.49910774983141076</v>
      </c>
      <c r="E16" s="475">
        <f t="shared" si="5"/>
        <v>0.66729954481078457</v>
      </c>
      <c r="F16" s="475">
        <f t="shared" si="6"/>
        <v>0.53298745213893928</v>
      </c>
      <c r="G16" s="475">
        <f t="shared" si="0"/>
        <v>0.70117924711831303</v>
      </c>
      <c r="I16" s="431">
        <f t="shared" si="1"/>
        <v>2023</v>
      </c>
      <c r="J16" s="409">
        <v>2.3031082544693549E-2</v>
      </c>
    </row>
    <row r="17" spans="1:10" x14ac:dyDescent="0.2">
      <c r="A17" s="32"/>
      <c r="B17" s="69">
        <f t="shared" si="2"/>
        <v>2024</v>
      </c>
      <c r="C17" s="475">
        <f t="shared" si="3"/>
        <v>0.17208279021497278</v>
      </c>
      <c r="D17" s="475">
        <f t="shared" si="4"/>
        <v>0.510654245764121</v>
      </c>
      <c r="E17" s="475">
        <f t="shared" si="5"/>
        <v>0.68273703597909385</v>
      </c>
      <c r="F17" s="475">
        <f t="shared" si="6"/>
        <v>0.54531773042130738</v>
      </c>
      <c r="G17" s="475">
        <f t="shared" si="0"/>
        <v>0.71740052063628013</v>
      </c>
      <c r="I17" s="431">
        <f>I16+1</f>
        <v>2024</v>
      </c>
      <c r="J17" s="409">
        <v>2.3134274986934988E-2</v>
      </c>
    </row>
    <row r="18" spans="1:10" x14ac:dyDescent="0.2">
      <c r="A18" s="32"/>
      <c r="B18" s="69">
        <f t="shared" si="2"/>
        <v>2025</v>
      </c>
      <c r="C18" s="475">
        <f t="shared" si="3"/>
        <v>0.17606806937812056</v>
      </c>
      <c r="D18" s="475">
        <f t="shared" si="4"/>
        <v>0.52248052846603654</v>
      </c>
      <c r="E18" s="475">
        <f t="shared" si="5"/>
        <v>0.69854859784415724</v>
      </c>
      <c r="F18" s="475">
        <f t="shared" si="6"/>
        <v>0.55794678754914784</v>
      </c>
      <c r="G18" s="475">
        <f t="shared" si="0"/>
        <v>0.73401485692726842</v>
      </c>
      <c r="I18" s="431">
        <f t="shared" ref="I18:I25" si="7">I17+1</f>
        <v>2025</v>
      </c>
      <c r="J18" s="409">
        <v>2.3159080336675242E-2</v>
      </c>
    </row>
    <row r="19" spans="1:10" x14ac:dyDescent="0.2">
      <c r="A19" s="32"/>
      <c r="B19" s="69">
        <f t="shared" si="2"/>
        <v>2026</v>
      </c>
      <c r="C19" s="475">
        <f t="shared" si="3"/>
        <v>0.18010778551319206</v>
      </c>
      <c r="D19" s="475">
        <f t="shared" si="4"/>
        <v>0.53446835242843882</v>
      </c>
      <c r="E19" s="475">
        <f t="shared" si="5"/>
        <v>0.714576137941631</v>
      </c>
      <c r="F19" s="475">
        <f t="shared" si="6"/>
        <v>0.57074835144505831</v>
      </c>
      <c r="G19" s="475">
        <f t="shared" si="0"/>
        <v>0.75085613695825038</v>
      </c>
      <c r="I19" s="431">
        <f t="shared" si="7"/>
        <v>2026</v>
      </c>
      <c r="J19" s="409">
        <v>2.2944058791238842E-2</v>
      </c>
    </row>
    <row r="20" spans="1:10" x14ac:dyDescent="0.2">
      <c r="A20" s="32"/>
      <c r="B20" s="69">
        <f t="shared" si="2"/>
        <v>2027</v>
      </c>
      <c r="C20" s="475">
        <f t="shared" si="3"/>
        <v>0.1842798168849645</v>
      </c>
      <c r="D20" s="475">
        <f t="shared" si="4"/>
        <v>0.54684882075298913</v>
      </c>
      <c r="E20" s="475">
        <f t="shared" si="5"/>
        <v>0.73112863763795377</v>
      </c>
      <c r="F20" s="475">
        <f t="shared" si="6"/>
        <v>0.58396921261344892</v>
      </c>
      <c r="G20" s="475">
        <f t="shared" si="0"/>
        <v>0.76824902949841345</v>
      </c>
      <c r="I20" s="431">
        <f t="shared" si="7"/>
        <v>2027</v>
      </c>
      <c r="J20" s="409">
        <v>2.3164081218836952E-2</v>
      </c>
    </row>
    <row r="21" spans="1:10" x14ac:dyDescent="0.2">
      <c r="A21" s="32"/>
      <c r="B21" s="69">
        <f t="shared" si="2"/>
        <v>2028</v>
      </c>
      <c r="C21" s="475">
        <f t="shared" si="3"/>
        <v>0.18856791929504144</v>
      </c>
      <c r="D21" s="475">
        <f t="shared" si="4"/>
        <v>0.55957372891633095</v>
      </c>
      <c r="E21" s="475">
        <f t="shared" si="5"/>
        <v>0.74814164821137252</v>
      </c>
      <c r="F21" s="475">
        <f t="shared" si="6"/>
        <v>0.59755789438200979</v>
      </c>
      <c r="G21" s="475">
        <f t="shared" si="0"/>
        <v>0.78612581367705126</v>
      </c>
      <c r="I21" s="431">
        <f t="shared" si="7"/>
        <v>2028</v>
      </c>
      <c r="J21" s="409">
        <v>2.3269517424980624E-2</v>
      </c>
    </row>
    <row r="22" spans="1:10" x14ac:dyDescent="0.2">
      <c r="A22" s="32"/>
      <c r="B22" s="69">
        <f t="shared" si="2"/>
        <v>2029</v>
      </c>
      <c r="C22" s="475">
        <f t="shared" si="3"/>
        <v>0.19302944802261651</v>
      </c>
      <c r="D22" s="475">
        <f t="shared" si="4"/>
        <v>0.57281327823145223</v>
      </c>
      <c r="E22" s="475">
        <f t="shared" si="5"/>
        <v>0.76584272625406891</v>
      </c>
      <c r="F22" s="475">
        <f t="shared" si="6"/>
        <v>0.61169615142033051</v>
      </c>
      <c r="G22" s="475">
        <f t="shared" si="0"/>
        <v>0.80472559944294697</v>
      </c>
      <c r="I22" s="431">
        <f t="shared" si="7"/>
        <v>2029</v>
      </c>
      <c r="J22" s="409">
        <v>2.3660062349176059E-2</v>
      </c>
    </row>
    <row r="23" spans="1:10" x14ac:dyDescent="0.2">
      <c r="A23" s="32"/>
      <c r="B23" s="69">
        <f t="shared" si="2"/>
        <v>2030</v>
      </c>
      <c r="C23" s="475">
        <f t="shared" si="3"/>
        <v>0.19762316223730875</v>
      </c>
      <c r="D23" s="475">
        <f t="shared" si="4"/>
        <v>0.58644508687791308</v>
      </c>
      <c r="E23" s="475">
        <f t="shared" si="5"/>
        <v>0.78406824911522199</v>
      </c>
      <c r="F23" s="475">
        <f t="shared" si="6"/>
        <v>0.62625329456422463</v>
      </c>
      <c r="G23" s="475">
        <f t="shared" si="0"/>
        <v>0.82387645680153332</v>
      </c>
      <c r="I23" s="431">
        <f t="shared" si="7"/>
        <v>2030</v>
      </c>
      <c r="J23" s="409">
        <v>2.3797996946838929E-2</v>
      </c>
    </row>
    <row r="24" spans="1:10" x14ac:dyDescent="0.2">
      <c r="A24" s="32"/>
      <c r="B24" s="69">
        <f t="shared" si="2"/>
        <v>2031</v>
      </c>
      <c r="C24" s="475">
        <f t="shared" si="3"/>
        <v>0.20236888487968796</v>
      </c>
      <c r="D24" s="475">
        <f t="shared" si="4"/>
        <v>0.60052797926664314</v>
      </c>
      <c r="E24" s="475">
        <f t="shared" si="5"/>
        <v>0.80289686414633132</v>
      </c>
      <c r="F24" s="475">
        <f t="shared" si="6"/>
        <v>0.64129214125725131</v>
      </c>
      <c r="G24" s="475">
        <f t="shared" si="0"/>
        <v>0.84366102613693927</v>
      </c>
      <c r="I24" s="431">
        <f t="shared" si="7"/>
        <v>2031</v>
      </c>
      <c r="J24" s="409">
        <v>2.4014000123530499E-2</v>
      </c>
    </row>
    <row r="25" spans="1:10" x14ac:dyDescent="0.2">
      <c r="A25" s="32"/>
      <c r="B25" s="69">
        <f t="shared" si="2"/>
        <v>2032</v>
      </c>
      <c r="C25" s="475">
        <f t="shared" si="3"/>
        <v>0.20724093401197152</v>
      </c>
      <c r="D25" s="475">
        <f t="shared" si="4"/>
        <v>0.61498574446131471</v>
      </c>
      <c r="E25" s="475">
        <f t="shared" si="5"/>
        <v>0.82222667847328645</v>
      </c>
      <c r="F25" s="475">
        <f t="shared" si="6"/>
        <v>0.65673130732376483</v>
      </c>
      <c r="G25" s="475">
        <f t="shared" si="0"/>
        <v>0.86397224133573636</v>
      </c>
      <c r="I25" s="431">
        <f t="shared" si="7"/>
        <v>2032</v>
      </c>
      <c r="J25" s="409">
        <v>2.4075090077113837E-2</v>
      </c>
    </row>
    <row r="26" spans="1:10" x14ac:dyDescent="0.2">
      <c r="A26" s="32"/>
      <c r="B26" s="69">
        <f t="shared" si="2"/>
        <v>2033</v>
      </c>
      <c r="C26" s="475">
        <f t="shared" si="3"/>
        <v>0.21225431517702106</v>
      </c>
      <c r="D26" s="475">
        <f t="shared" si="4"/>
        <v>0.62986291128530814</v>
      </c>
      <c r="E26" s="475">
        <f t="shared" si="5"/>
        <v>0.84211722646232945</v>
      </c>
      <c r="F26" s="475">
        <f t="shared" si="6"/>
        <v>0.67261834422760902</v>
      </c>
      <c r="G26" s="475">
        <f t="shared" si="0"/>
        <v>0.88487265940463011</v>
      </c>
      <c r="I26" s="431">
        <f>I25+1</f>
        <v>2033</v>
      </c>
      <c r="J26" s="409">
        <v>2.4191075903759129E-2</v>
      </c>
    </row>
    <row r="27" spans="1:10" x14ac:dyDescent="0.2">
      <c r="A27" s="32"/>
      <c r="B27" s="69">
        <f t="shared" si="2"/>
        <v>2034</v>
      </c>
      <c r="C27" s="475">
        <f t="shared" si="3"/>
        <v>0.21739499933151038</v>
      </c>
      <c r="D27" s="475">
        <f t="shared" si="4"/>
        <v>0.64511784866947608</v>
      </c>
      <c r="E27" s="475">
        <f t="shared" si="5"/>
        <v>0.86251284800098671</v>
      </c>
      <c r="F27" s="475">
        <f t="shared" si="6"/>
        <v>0.68890879496028767</v>
      </c>
      <c r="G27" s="475">
        <f t="shared" si="0"/>
        <v>0.90630379429179808</v>
      </c>
      <c r="I27" s="431">
        <f t="shared" ref="I27:I33" si="8">I26+1</f>
        <v>2034</v>
      </c>
      <c r="J27" s="409">
        <v>2.4219456505286896E-2</v>
      </c>
    </row>
    <row r="28" spans="1:10" x14ac:dyDescent="0.2">
      <c r="A28" s="32"/>
      <c r="B28" s="69">
        <f t="shared" si="2"/>
        <v>2035</v>
      </c>
      <c r="C28" s="475">
        <f t="shared" si="3"/>
        <v>0.22265045473140108</v>
      </c>
      <c r="D28" s="475">
        <f t="shared" si="4"/>
        <v>0.66071336876782838</v>
      </c>
      <c r="E28" s="475">
        <f t="shared" si="5"/>
        <v>0.88336382349922971</v>
      </c>
      <c r="F28" s="475">
        <f t="shared" si="6"/>
        <v>0.70556294734483815</v>
      </c>
      <c r="G28" s="475">
        <f t="shared" si="0"/>
        <v>0.92821340207623926</v>
      </c>
      <c r="I28" s="431">
        <f t="shared" si="8"/>
        <v>2035</v>
      </c>
      <c r="J28" s="409">
        <v>2.4174683944208519E-2</v>
      </c>
    </row>
    <row r="29" spans="1:10" x14ac:dyDescent="0.2">
      <c r="A29" s="32"/>
      <c r="B29" s="69">
        <f t="shared" si="2"/>
        <v>2036</v>
      </c>
      <c r="C29" s="475">
        <f t="shared" si="3"/>
        <v>0.22806341950636191</v>
      </c>
      <c r="D29" s="475">
        <f t="shared" si="4"/>
        <v>0.67677629662396255</v>
      </c>
      <c r="E29" s="475">
        <f t="shared" si="5"/>
        <v>0.90483971613032466</v>
      </c>
      <c r="F29" s="475">
        <f t="shared" si="6"/>
        <v>0.72271623537698026</v>
      </c>
      <c r="G29" s="475">
        <f t="shared" si="0"/>
        <v>0.95077965488334215</v>
      </c>
      <c r="I29" s="431">
        <f t="shared" si="8"/>
        <v>2036</v>
      </c>
      <c r="J29" s="409">
        <v>2.4311492116604327E-2</v>
      </c>
    </row>
    <row r="30" spans="1:10" x14ac:dyDescent="0.2">
      <c r="A30" s="32"/>
      <c r="B30" s="69">
        <f t="shared" si="2"/>
        <v>2037</v>
      </c>
      <c r="C30" s="475">
        <f t="shared" si="3"/>
        <v>0.23360020442241941</v>
      </c>
      <c r="D30" s="475">
        <f t="shared" si="4"/>
        <v>0.69320665971684026</v>
      </c>
      <c r="E30" s="475">
        <f t="shared" si="5"/>
        <v>0.92680686413925983</v>
      </c>
      <c r="F30" s="475">
        <f t="shared" si="6"/>
        <v>0.74026190034721673</v>
      </c>
      <c r="G30" s="475">
        <f t="shared" si="0"/>
        <v>0.97386210476963608</v>
      </c>
      <c r="I30" s="431">
        <f t="shared" si="8"/>
        <v>2037</v>
      </c>
      <c r="J30" s="409">
        <v>2.4277391473133791E-2</v>
      </c>
    </row>
    <row r="31" spans="1:10" hidden="1" x14ac:dyDescent="0.2">
      <c r="A31" s="32"/>
      <c r="B31" s="69">
        <f t="shared" si="2"/>
        <v>2038</v>
      </c>
      <c r="C31" s="475">
        <f t="shared" si="3"/>
        <v>0.23930442645882419</v>
      </c>
      <c r="D31" s="475">
        <f t="shared" si="4"/>
        <v>0.71013389106886837</v>
      </c>
      <c r="E31" s="475">
        <f t="shared" si="5"/>
        <v>0.9494383175276927</v>
      </c>
      <c r="F31" s="475">
        <f t="shared" si="6"/>
        <v>0.75833816126108011</v>
      </c>
      <c r="G31" s="475">
        <f t="shared" si="0"/>
        <v>0.99764258771990433</v>
      </c>
      <c r="I31" s="431">
        <f t="shared" si="8"/>
        <v>2038</v>
      </c>
      <c r="J31" s="409">
        <v>2.4418737348747444E-2</v>
      </c>
    </row>
    <row r="32" spans="1:10" hidden="1" x14ac:dyDescent="0.2">
      <c r="A32" s="32"/>
      <c r="B32" s="69">
        <f t="shared" si="2"/>
        <v>2039</v>
      </c>
      <c r="C32" s="475">
        <f t="shared" ref="C32:C33" si="9">C31*(1+$J32)</f>
        <v>0.24516518137076368</v>
      </c>
      <c r="D32" s="475">
        <f t="shared" ref="D32:D33" si="10">D31*(1+$J32)</f>
        <v>0.72752563242444535</v>
      </c>
      <c r="E32" s="475">
        <f t="shared" ref="E32:E33" si="11">E31*(1+$J32)</f>
        <v>0.97269081379520916</v>
      </c>
      <c r="F32" s="475">
        <f t="shared" si="6"/>
        <v>0.7769104633671875</v>
      </c>
      <c r="G32" s="475">
        <f t="shared" si="0"/>
        <v>1.0220756447379511</v>
      </c>
      <c r="I32" s="431">
        <f t="shared" si="8"/>
        <v>2039</v>
      </c>
      <c r="J32" s="409">
        <v>2.4490791911648602E-2</v>
      </c>
    </row>
    <row r="33" spans="1:10" hidden="1" x14ac:dyDescent="0.2">
      <c r="A33" s="32"/>
      <c r="B33" s="69">
        <f t="shared" si="2"/>
        <v>2040</v>
      </c>
      <c r="C33" s="475">
        <f t="shared" si="9"/>
        <v>0.25115323927214295</v>
      </c>
      <c r="D33" s="475">
        <f t="shared" si="10"/>
        <v>0.74529514434019672</v>
      </c>
      <c r="E33" s="475">
        <f t="shared" si="11"/>
        <v>0.99644838361233978</v>
      </c>
      <c r="F33" s="475">
        <f t="shared" si="6"/>
        <v>0.79588617930212935</v>
      </c>
      <c r="G33" s="475">
        <f t="shared" si="0"/>
        <v>1.0470394185742724</v>
      </c>
      <c r="I33" s="431">
        <f t="shared" si="8"/>
        <v>2040</v>
      </c>
      <c r="J33" s="409">
        <v>2.442458536688985E-2</v>
      </c>
    </row>
    <row r="34" spans="1:10" x14ac:dyDescent="0.2">
      <c r="I34" s="431"/>
      <c r="J34" s="409"/>
    </row>
    <row r="35" spans="1:10" x14ac:dyDescent="0.2">
      <c r="B35" s="135" t="s">
        <v>80</v>
      </c>
      <c r="C35" s="135"/>
      <c r="D35" s="135"/>
      <c r="E35" s="135"/>
      <c r="F35" s="135"/>
      <c r="G35" s="135"/>
      <c r="I35" s="431"/>
      <c r="J35" s="409"/>
    </row>
    <row r="36" spans="1:10" x14ac:dyDescent="0.2">
      <c r="B36" s="135" t="s">
        <v>188</v>
      </c>
      <c r="C36" s="135"/>
      <c r="D36" s="135"/>
      <c r="E36" s="135"/>
      <c r="F36" s="135"/>
      <c r="G36" s="135"/>
    </row>
    <row r="37" spans="1:10" x14ac:dyDescent="0.2">
      <c r="B37" s="135" t="s">
        <v>269</v>
      </c>
      <c r="C37" s="135"/>
      <c r="D37" s="136"/>
      <c r="E37" s="136"/>
      <c r="F37" s="136"/>
      <c r="G37" s="136"/>
    </row>
    <row r="38" spans="1:10" x14ac:dyDescent="0.2">
      <c r="B38" s="135"/>
      <c r="C38" s="135"/>
      <c r="D38" s="136"/>
      <c r="E38" s="136"/>
      <c r="F38" s="136"/>
      <c r="G38" s="136"/>
    </row>
    <row r="39" spans="1:10" x14ac:dyDescent="0.2">
      <c r="B39" s="135" t="s">
        <v>189</v>
      </c>
      <c r="C39" s="135"/>
      <c r="D39" s="135"/>
      <c r="E39" s="135"/>
      <c r="F39" s="135"/>
      <c r="G39" s="135"/>
      <c r="I39" s="431"/>
      <c r="J39" s="409"/>
    </row>
    <row r="40" spans="1:10" x14ac:dyDescent="0.2">
      <c r="B40" s="135" t="s">
        <v>133</v>
      </c>
      <c r="C40" s="135"/>
      <c r="D40" s="135"/>
      <c r="E40" s="135"/>
      <c r="F40" s="135"/>
      <c r="G40" s="135"/>
      <c r="I40" s="431"/>
      <c r="J40" s="409"/>
    </row>
    <row r="41" spans="1:10" x14ac:dyDescent="0.2">
      <c r="B41" s="135" t="s">
        <v>158</v>
      </c>
      <c r="C41" s="135"/>
      <c r="D41" s="135"/>
      <c r="E41" s="135"/>
      <c r="F41" s="135"/>
      <c r="G41" s="135"/>
      <c r="I41" s="431"/>
      <c r="J41" s="409"/>
    </row>
    <row r="42" spans="1:10" x14ac:dyDescent="0.2">
      <c r="B42" s="135" t="s">
        <v>159</v>
      </c>
      <c r="C42" s="135"/>
      <c r="D42" s="135"/>
      <c r="E42" s="135"/>
      <c r="F42" s="135"/>
      <c r="G42" s="135"/>
    </row>
    <row r="43" spans="1:10" x14ac:dyDescent="0.2">
      <c r="B43" s="135" t="s">
        <v>160</v>
      </c>
      <c r="C43" s="135"/>
      <c r="D43" s="135"/>
      <c r="E43" s="135"/>
      <c r="F43" s="135"/>
      <c r="G43" s="135"/>
    </row>
    <row r="44" spans="1:10" x14ac:dyDescent="0.2">
      <c r="B44" s="135"/>
      <c r="C44" s="135"/>
      <c r="D44" s="135"/>
      <c r="E44" s="135"/>
      <c r="F44" s="135"/>
      <c r="G44" s="135"/>
    </row>
    <row r="45" spans="1:10" x14ac:dyDescent="0.2">
      <c r="B45" s="137">
        <v>2.1800000000000002</v>
      </c>
      <c r="C45" s="135" t="s">
        <v>134</v>
      </c>
      <c r="D45" s="135"/>
      <c r="E45" s="135"/>
      <c r="F45" s="135"/>
      <c r="G45" s="135"/>
    </row>
    <row r="46" spans="1:10" x14ac:dyDescent="0.2">
      <c r="B46" s="137">
        <v>2.83</v>
      </c>
      <c r="C46" s="135" t="s">
        <v>135</v>
      </c>
      <c r="D46" s="135"/>
      <c r="E46" s="135"/>
      <c r="F46" s="135"/>
      <c r="G46" s="135"/>
    </row>
    <row r="56" spans="9:10" x14ac:dyDescent="0.2">
      <c r="I56" s="481"/>
      <c r="J56" s="481"/>
    </row>
    <row r="57" spans="9:10" x14ac:dyDescent="0.2">
      <c r="I57" s="481"/>
      <c r="J57" s="481"/>
    </row>
    <row r="58" spans="9:10" x14ac:dyDescent="0.2">
      <c r="I58" s="481"/>
      <c r="J58" s="481"/>
    </row>
    <row r="59" spans="9:10" x14ac:dyDescent="0.2">
      <c r="I59" s="481"/>
      <c r="J59" s="481"/>
    </row>
    <row r="60" spans="9:10" x14ac:dyDescent="0.2">
      <c r="I60" s="481"/>
      <c r="J60" s="481"/>
    </row>
  </sheetData>
  <mergeCells count="1">
    <mergeCell ref="M2:O2"/>
  </mergeCells>
  <hyperlinks>
    <hyperlink ref="C38" display="www.pacificorp.com/content/dam/pacificorp/doc/Energy_Sources/Integrated_Resource_Plan/Wind_Integration/PacifiCorp_2010WindIntegrationStudy_090110.pdf"/>
  </hyperlinks>
  <printOptions horizontalCentered="1"/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6"/>
  <sheetViews>
    <sheetView showGridLines="0" zoomScale="80" zoomScaleNormal="80" workbookViewId="0">
      <selection activeCell="B9" sqref="B9"/>
    </sheetView>
  </sheetViews>
  <sheetFormatPr defaultRowHeight="12" x14ac:dyDescent="0.2"/>
  <cols>
    <col min="1" max="1" width="2.83203125" style="112" customWidth="1"/>
    <col min="2" max="2" width="24.5" style="112" customWidth="1"/>
    <col min="3" max="6" width="18.83203125" style="112" customWidth="1"/>
    <col min="7" max="7" width="17" style="112" customWidth="1"/>
    <col min="8" max="8" width="9.33203125" style="112"/>
    <col min="9" max="9" width="19" style="112" customWidth="1"/>
    <col min="10" max="10" width="20.1640625" style="112" customWidth="1"/>
    <col min="11" max="11" width="19" style="112" customWidth="1"/>
    <col min="12" max="12" width="26.83203125" style="112" customWidth="1"/>
    <col min="13" max="13" width="12.83203125" style="112" customWidth="1"/>
    <col min="14" max="14" width="16.6640625" style="112" customWidth="1"/>
    <col min="15" max="16384" width="9.33203125" style="112"/>
  </cols>
  <sheetData>
    <row r="1" spans="1:14" x14ac:dyDescent="0.2">
      <c r="A1" s="2"/>
      <c r="B1" s="2"/>
      <c r="C1" s="2"/>
      <c r="D1" s="2"/>
      <c r="E1" s="2"/>
      <c r="F1" s="2"/>
      <c r="G1" s="2"/>
    </row>
    <row r="2" spans="1:14" x14ac:dyDescent="0.2">
      <c r="A2" s="2"/>
      <c r="B2" s="2" t="s">
        <v>101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">
      <c r="B3" s="142" t="s">
        <v>148</v>
      </c>
      <c r="I3" s="2"/>
      <c r="J3" s="2"/>
      <c r="K3" s="2"/>
      <c r="L3" s="2"/>
      <c r="M3" s="2"/>
      <c r="N3" s="2"/>
    </row>
    <row r="4" spans="1:14" x14ac:dyDescent="0.2">
      <c r="A4" s="113"/>
      <c r="C4" s="113"/>
      <c r="D4" s="113"/>
      <c r="E4" s="113"/>
      <c r="F4" s="113"/>
      <c r="G4" s="113"/>
      <c r="L4" s="316" t="s">
        <v>222</v>
      </c>
      <c r="M4" s="316"/>
    </row>
    <row r="5" spans="1:14" x14ac:dyDescent="0.2">
      <c r="A5" s="113"/>
      <c r="B5" s="113"/>
    </row>
    <row r="6" spans="1:14" x14ac:dyDescent="0.2">
      <c r="A6" s="113"/>
      <c r="B6" s="114" t="s">
        <v>123</v>
      </c>
      <c r="C6" s="115" t="s">
        <v>223</v>
      </c>
      <c r="D6" s="115"/>
      <c r="E6" s="165" t="s">
        <v>122</v>
      </c>
      <c r="F6" s="115"/>
      <c r="G6" s="115"/>
    </row>
    <row r="7" spans="1:14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  <c r="G7" s="116"/>
    </row>
    <row r="8" spans="1:14" x14ac:dyDescent="0.2">
      <c r="A8" s="117"/>
      <c r="B8" s="118"/>
      <c r="C8" s="119"/>
      <c r="D8" s="119"/>
      <c r="E8" s="119"/>
      <c r="F8" s="119"/>
      <c r="G8" s="119"/>
    </row>
    <row r="9" spans="1:14" x14ac:dyDescent="0.2">
      <c r="A9" s="117"/>
      <c r="B9" s="331">
        <v>2017</v>
      </c>
      <c r="C9" s="120">
        <f>ROUND(INDEX('Table 2A BaseLoad'!$C$88:$C$101,MATCH($B9,'Table 2A BaseLoad'!$A$88:$A$101,0))/10,3)</f>
        <v>2.427</v>
      </c>
      <c r="D9" s="120">
        <f>ROUND(INDEX('Table 2A BaseLoad'!$G$88:$G$101,MATCH($B9,'Table 2A BaseLoad'!$A$88:$A$101,0))/10,3)</f>
        <v>2.4369999999999998</v>
      </c>
      <c r="E9" s="120">
        <f>ROUND(INDEX('Table 2A BaseLoad'!$D$88:$D$101,MATCH($B9,'Table 2A BaseLoad'!$A$88:$A$101,0))/10,3)</f>
        <v>2.2010000000000001</v>
      </c>
      <c r="F9" s="120">
        <f>ROUND(INDEX('Table 2A BaseLoad'!$H$88:$H$101,MATCH($B9,'Table 2A BaseLoad'!$A$88:$A$101,0))/10,3)</f>
        <v>1.7709999999999999</v>
      </c>
      <c r="G9" s="119"/>
      <c r="H9" s="317"/>
    </row>
    <row r="10" spans="1:14" x14ac:dyDescent="0.2">
      <c r="A10" s="117"/>
      <c r="B10" s="331">
        <v>2018</v>
      </c>
      <c r="C10" s="120">
        <f>ROUND(INDEX('Table 2A BaseLoad'!$C$89:$C$101,MATCH($B10,'Table 2A BaseLoad'!$A$89:$A$101,0))/10,3)</f>
        <v>2.1779999999999999</v>
      </c>
      <c r="D10" s="120">
        <f>ROUND(INDEX('Table 2A BaseLoad'!$G$89:$G$101,MATCH($B10,'Table 2A BaseLoad'!$A$89:$A$101,0))/10,3)</f>
        <v>2.2330000000000001</v>
      </c>
      <c r="E10" s="120">
        <f>ROUND(INDEX('Table 2A BaseLoad'!$D$89:$D$101,MATCH($B10,'Table 2A BaseLoad'!$A$89:$A$101,0))/10,3)</f>
        <v>1.9430000000000001</v>
      </c>
      <c r="F10" s="120">
        <f>ROUND(INDEX('Table 2A BaseLoad'!$H$89:$H$101,MATCH($B10,'Table 2A BaseLoad'!$A$89:$A$101,0))/10,3)</f>
        <v>1.63</v>
      </c>
      <c r="G10" s="119"/>
      <c r="H10" s="317"/>
    </row>
    <row r="11" spans="1:14" x14ac:dyDescent="0.2">
      <c r="A11" s="117"/>
      <c r="B11" s="331">
        <f>B10+1</f>
        <v>2019</v>
      </c>
      <c r="C11" s="120">
        <f>ROUND(INDEX('Table 2A BaseLoad'!$C$89:$C$101,MATCH($B11,'Table 2A BaseLoad'!$A$89:$A$101,0))/10,3)</f>
        <v>2.0179999999999998</v>
      </c>
      <c r="D11" s="120">
        <f>ROUND(INDEX('Table 2A BaseLoad'!$G$89:$G$101,MATCH($B11,'Table 2A BaseLoad'!$A$89:$A$101,0))/10,3)</f>
        <v>2.4590000000000001</v>
      </c>
      <c r="E11" s="120">
        <f>ROUND(INDEX('Table 2A BaseLoad'!$D$89:$D$101,MATCH($B11,'Table 2A BaseLoad'!$A$89:$A$101,0))/10,3)</f>
        <v>1.702</v>
      </c>
      <c r="F11" s="120">
        <f>ROUND(INDEX('Table 2A BaseLoad'!$H$89:$H$101,MATCH($B11,'Table 2A BaseLoad'!$A$89:$A$101,0))/10,3)</f>
        <v>1.6819999999999999</v>
      </c>
      <c r="G11" s="119"/>
      <c r="H11" s="317"/>
    </row>
    <row r="12" spans="1:14" x14ac:dyDescent="0.2">
      <c r="A12" s="117"/>
      <c r="B12" s="331">
        <f>B11+1</f>
        <v>2020</v>
      </c>
      <c r="C12" s="120">
        <f>ROUND(INDEX('Table 2A BaseLoad'!$C$89:$C$101,MATCH($B12,'Table 2A BaseLoad'!$A$89:$A$101,0))/10,3)</f>
        <v>1.863</v>
      </c>
      <c r="D12" s="120">
        <f>ROUND(INDEX('Table 2A BaseLoad'!$G$89:$G$101,MATCH($B12,'Table 2A BaseLoad'!$A$89:$A$101,0))/10,3)</f>
        <v>2.48</v>
      </c>
      <c r="E12" s="120">
        <f>ROUND(INDEX('Table 2A BaseLoad'!$D$89:$D$101,MATCH($B12,'Table 2A BaseLoad'!$A$89:$A$101,0))/10,3)</f>
        <v>1.5680000000000001</v>
      </c>
      <c r="F12" s="120">
        <f>ROUND(INDEX('Table 2A BaseLoad'!$H$89:$H$101,MATCH($B12,'Table 2A BaseLoad'!$A$89:$A$101,0))/10,3)</f>
        <v>1.5660000000000001</v>
      </c>
      <c r="G12" s="119"/>
      <c r="H12" s="317"/>
    </row>
    <row r="13" spans="1:14" x14ac:dyDescent="0.2">
      <c r="A13" s="117"/>
      <c r="B13" s="331">
        <f t="shared" ref="B13:B29" si="0">B12+1</f>
        <v>2021</v>
      </c>
      <c r="C13" s="120">
        <f>ROUND(INDEX('Table 2A BaseLoad'!$C$89:$C$101,MATCH($B13,'Table 2A BaseLoad'!$A$89:$A$101,0))/10,3)</f>
        <v>1.905</v>
      </c>
      <c r="D13" s="120">
        <f>ROUND(INDEX('Table 2A BaseLoad'!$G$89:$G$101,MATCH($B13,'Table 2A BaseLoad'!$A$89:$A$101,0))/10,3)</f>
        <v>2.4119999999999999</v>
      </c>
      <c r="E13" s="120">
        <f>ROUND(INDEX('Table 2A BaseLoad'!$D$89:$D$101,MATCH($B13,'Table 2A BaseLoad'!$A$89:$A$101,0))/10,3)</f>
        <v>1.663</v>
      </c>
      <c r="F13" s="120">
        <f>ROUND(INDEX('Table 2A BaseLoad'!$H$89:$H$101,MATCH($B13,'Table 2A BaseLoad'!$A$89:$A$101,0))/10,3)</f>
        <v>1.5620000000000001</v>
      </c>
      <c r="G13" s="119"/>
      <c r="H13" s="317"/>
    </row>
    <row r="14" spans="1:14" x14ac:dyDescent="0.2">
      <c r="A14" s="117"/>
      <c r="B14" s="331">
        <f t="shared" si="0"/>
        <v>2022</v>
      </c>
      <c r="C14" s="120">
        <f>ROUND(INDEX('Table 2A BaseLoad'!$C$89:$C$101,MATCH($B14,'Table 2A BaseLoad'!$A$89:$A$101,0))/10,3)</f>
        <v>2.0409999999999999</v>
      </c>
      <c r="D14" s="120">
        <f>ROUND(INDEX('Table 2A BaseLoad'!$G$89:$G$101,MATCH($B14,'Table 2A BaseLoad'!$A$89:$A$101,0))/10,3)</f>
        <v>2.59</v>
      </c>
      <c r="E14" s="120">
        <f>ROUND(INDEX('Table 2A BaseLoad'!$D$89:$D$101,MATCH($B14,'Table 2A BaseLoad'!$A$89:$A$101,0))/10,3)</f>
        <v>1.827</v>
      </c>
      <c r="F14" s="120">
        <f>ROUND(INDEX('Table 2A BaseLoad'!$H$89:$H$101,MATCH($B14,'Table 2A BaseLoad'!$A$89:$A$101,0))/10,3)</f>
        <v>1.782</v>
      </c>
      <c r="G14" s="119"/>
      <c r="H14" s="317"/>
    </row>
    <row r="15" spans="1:14" x14ac:dyDescent="0.2">
      <c r="A15" s="117"/>
      <c r="B15" s="331">
        <f t="shared" si="0"/>
        <v>2023</v>
      </c>
      <c r="C15" s="120">
        <f>ROUND(INDEX('Table 2A BaseLoad'!$C$89:$C$101,MATCH($B15,'Table 2A BaseLoad'!$A$89:$A$101,0))/10,3)</f>
        <v>2.145</v>
      </c>
      <c r="D15" s="120">
        <f>ROUND(INDEX('Table 2A BaseLoad'!$G$89:$G$101,MATCH($B15,'Table 2A BaseLoad'!$A$89:$A$101,0))/10,3)</f>
        <v>2.746</v>
      </c>
      <c r="E15" s="120">
        <f>ROUND(INDEX('Table 2A BaseLoad'!$D$89:$D$101,MATCH($B15,'Table 2A BaseLoad'!$A$89:$A$101,0))/10,3)</f>
        <v>1.9450000000000001</v>
      </c>
      <c r="F15" s="120">
        <f>ROUND(INDEX('Table 2A BaseLoad'!$H$89:$H$101,MATCH($B15,'Table 2A BaseLoad'!$A$89:$A$101,0))/10,3)</f>
        <v>2.0590000000000002</v>
      </c>
      <c r="G15" s="119"/>
      <c r="H15" s="317"/>
    </row>
    <row r="16" spans="1:14" x14ac:dyDescent="0.2">
      <c r="A16" s="117"/>
      <c r="B16" s="331">
        <f t="shared" si="0"/>
        <v>2024</v>
      </c>
      <c r="C16" s="120">
        <f>ROUND(INDEX('Table 2A BaseLoad'!$C$89:$C$101,MATCH($B16,'Table 2A BaseLoad'!$A$89:$A$101,0))/10,3)</f>
        <v>2.4780000000000002</v>
      </c>
      <c r="D16" s="120">
        <f>ROUND(INDEX('Table 2A BaseLoad'!$G$89:$G$101,MATCH($B16,'Table 2A BaseLoad'!$A$89:$A$101,0))/10,3)</f>
        <v>2.9820000000000002</v>
      </c>
      <c r="E16" s="120">
        <f>ROUND(INDEX('Table 2A BaseLoad'!$D$89:$D$101,MATCH($B16,'Table 2A BaseLoad'!$A$89:$A$101,0))/10,3)</f>
        <v>2.25</v>
      </c>
      <c r="F16" s="120">
        <f>ROUND(INDEX('Table 2A BaseLoad'!$H$89:$H$101,MATCH($B16,'Table 2A BaseLoad'!$A$89:$A$101,0))/10,3)</f>
        <v>2.42</v>
      </c>
      <c r="G16" s="119"/>
      <c r="H16" s="317"/>
    </row>
    <row r="17" spans="1:8" x14ac:dyDescent="0.2">
      <c r="A17" s="117"/>
      <c r="B17" s="331">
        <f t="shared" si="0"/>
        <v>2025</v>
      </c>
      <c r="C17" s="120">
        <f>ROUND(INDEX('Table 2A BaseLoad'!$C$89:$C$101,MATCH($B17,'Table 2A BaseLoad'!$A$89:$A$101,0))/10,3)</f>
        <v>2.665</v>
      </c>
      <c r="D17" s="120">
        <f>ROUND(INDEX('Table 2A BaseLoad'!$G$89:$G$101,MATCH($B17,'Table 2A BaseLoad'!$A$89:$A$101,0))/10,3)</f>
        <v>3.419</v>
      </c>
      <c r="E17" s="120">
        <f>ROUND(INDEX('Table 2A BaseLoad'!$D$89:$D$101,MATCH($B17,'Table 2A BaseLoad'!$A$89:$A$101,0))/10,3)</f>
        <v>2.42</v>
      </c>
      <c r="F17" s="120">
        <f>ROUND(INDEX('Table 2A BaseLoad'!$H$89:$H$101,MATCH($B17,'Table 2A BaseLoad'!$A$89:$A$101,0))/10,3)</f>
        <v>2.7210000000000001</v>
      </c>
      <c r="G17" s="119"/>
      <c r="H17" s="317"/>
    </row>
    <row r="18" spans="1:8" x14ac:dyDescent="0.2">
      <c r="A18" s="117"/>
      <c r="B18" s="331">
        <f t="shared" si="0"/>
        <v>2026</v>
      </c>
      <c r="C18" s="120">
        <f>ROUND(INDEX('Table 2A BaseLoad'!$C$89:$C$101,MATCH($B18,'Table 2A BaseLoad'!$A$89:$A$101,0))/10,3)</f>
        <v>3.1720000000000002</v>
      </c>
      <c r="D18" s="120">
        <f>ROUND(INDEX('Table 2A BaseLoad'!$G$89:$G$101,MATCH($B18,'Table 2A BaseLoad'!$A$89:$A$101,0))/10,3)</f>
        <v>3.3340000000000001</v>
      </c>
      <c r="E18" s="120">
        <f>ROUND(INDEX('Table 2A BaseLoad'!$D$89:$D$101,MATCH($B18,'Table 2A BaseLoad'!$A$89:$A$101,0))/10,3)</f>
        <v>2.8849999999999998</v>
      </c>
      <c r="F18" s="120">
        <f>ROUND(INDEX('Table 2A BaseLoad'!$H$89:$H$101,MATCH($B18,'Table 2A BaseLoad'!$A$89:$A$101,0))/10,3)</f>
        <v>2.6680000000000001</v>
      </c>
      <c r="G18" s="119"/>
      <c r="H18" s="317"/>
    </row>
    <row r="19" spans="1:8" x14ac:dyDescent="0.2">
      <c r="A19" s="117"/>
      <c r="B19" s="331">
        <f t="shared" si="0"/>
        <v>2027</v>
      </c>
      <c r="C19" s="120">
        <f>ROUND(INDEX('Table 2A BaseLoad'!$C$89:$C$101,MATCH($B19,'Table 2A BaseLoad'!$A$89:$A$101,0))/10,3)</f>
        <v>2.7610000000000001</v>
      </c>
      <c r="D19" s="120">
        <f>ROUND(INDEX('Table 2A BaseLoad'!$G$89:$G$101,MATCH($B19,'Table 2A BaseLoad'!$A$89:$A$101,0))/10,3)</f>
        <v>3.4529999999999998</v>
      </c>
      <c r="E19" s="120">
        <f>ROUND(INDEX('Table 2A BaseLoad'!$D$89:$D$101,MATCH($B19,'Table 2A BaseLoad'!$A$89:$A$101,0))/10,3)</f>
        <v>2.5299999999999998</v>
      </c>
      <c r="F19" s="120">
        <f>ROUND(INDEX('Table 2A BaseLoad'!$H$89:$H$101,MATCH($B19,'Table 2A BaseLoad'!$A$89:$A$101,0))/10,3)</f>
        <v>2.802</v>
      </c>
      <c r="G19" s="119"/>
      <c r="H19" s="176"/>
    </row>
    <row r="20" spans="1:8" x14ac:dyDescent="0.2">
      <c r="A20" s="117"/>
      <c r="B20" s="485">
        <f t="shared" si="0"/>
        <v>2028</v>
      </c>
      <c r="C20" s="486">
        <f>ROUND(INDEX('Table 2A BaseLoad'!$C$89:$C$101,MATCH($B20,'Table 2A BaseLoad'!$A$89:$A$101,0))/10,3)</f>
        <v>3.3679999999999999</v>
      </c>
      <c r="D20" s="486">
        <f>ROUND(INDEX('Table 2A BaseLoad'!$G$89:$G$101,MATCH($B20,'Table 2A BaseLoad'!$A$89:$A$101,0))/10,3)</f>
        <v>4.149</v>
      </c>
      <c r="E20" s="486">
        <f>ROUND(INDEX('Table 2A BaseLoad'!$D$89:$D$101,MATCH($B20,'Table 2A BaseLoad'!$A$89:$A$101,0))/10,3)</f>
        <v>3.1</v>
      </c>
      <c r="F20" s="486">
        <f>ROUND(INDEX('Table 2A BaseLoad'!$H$89:$H$101,MATCH($B20,'Table 2A BaseLoad'!$A$89:$A$101,0))/10,3)</f>
        <v>3.399</v>
      </c>
      <c r="G20" s="119"/>
      <c r="H20" s="176"/>
    </row>
    <row r="21" spans="1:8" x14ac:dyDescent="0.2">
      <c r="A21" s="117"/>
      <c r="B21" s="331">
        <f t="shared" si="0"/>
        <v>2029</v>
      </c>
      <c r="C21" s="120">
        <f>ROUND(INDEX('Tables 3 to 5'!S:S,MATCH(B21,'Tables 3 to 5'!B:B,0))/10,3)</f>
        <v>6.9710000000000001</v>
      </c>
      <c r="D21" s="120">
        <f t="shared" ref="D21" si="1">C21</f>
        <v>6.9710000000000001</v>
      </c>
      <c r="E21" s="120">
        <f>ROUND(INDEX('Tables 3 to 5'!T:T,MATCH(B21,'Tables 3 to 5'!B:B,0))/10,3)</f>
        <v>3.4420000000000002</v>
      </c>
      <c r="F21" s="120">
        <f t="shared" ref="F21" si="2">E21</f>
        <v>3.4420000000000002</v>
      </c>
      <c r="G21" s="120"/>
      <c r="H21" s="176"/>
    </row>
    <row r="22" spans="1:8" x14ac:dyDescent="0.2">
      <c r="A22" s="117"/>
      <c r="B22" s="331">
        <f t="shared" si="0"/>
        <v>2030</v>
      </c>
      <c r="C22" s="120">
        <f>ROUND(INDEX('Tables 3 to 5'!S:S,MATCH(B22,'Tables 3 to 5'!B:B,0))/10,3)</f>
        <v>7.3040000000000003</v>
      </c>
      <c r="D22" s="120">
        <f t="shared" ref="D22:D27" si="3">C22</f>
        <v>7.3040000000000003</v>
      </c>
      <c r="E22" s="120">
        <f>ROUND(INDEX('Tables 3 to 5'!T:T,MATCH(B22,'Tables 3 to 5'!B:B,0))/10,3)</f>
        <v>3.6920000000000002</v>
      </c>
      <c r="F22" s="120">
        <f t="shared" ref="F22:F29" si="4">E22</f>
        <v>3.6920000000000002</v>
      </c>
      <c r="G22" s="120"/>
      <c r="H22" s="176"/>
    </row>
    <row r="23" spans="1:8" x14ac:dyDescent="0.2">
      <c r="A23" s="117"/>
      <c r="B23" s="331">
        <f t="shared" si="0"/>
        <v>2031</v>
      </c>
      <c r="C23" s="120">
        <f>ROUND(INDEX('Tables 3 to 5'!S:S,MATCH(B23,'Tables 3 to 5'!B:B,0))/10,3)</f>
        <v>7.5540000000000003</v>
      </c>
      <c r="D23" s="120">
        <f t="shared" si="3"/>
        <v>7.5540000000000003</v>
      </c>
      <c r="E23" s="120">
        <f>ROUND(INDEX('Tables 3 to 5'!T:T,MATCH(B23,'Tables 3 to 5'!B:B,0))/10,3)</f>
        <v>3.8540000000000001</v>
      </c>
      <c r="F23" s="120">
        <f t="shared" si="4"/>
        <v>3.8540000000000001</v>
      </c>
      <c r="G23" s="120"/>
      <c r="H23" s="176"/>
    </row>
    <row r="24" spans="1:8" x14ac:dyDescent="0.2">
      <c r="A24" s="117"/>
      <c r="B24" s="331">
        <f t="shared" si="0"/>
        <v>2032</v>
      </c>
      <c r="C24" s="120">
        <f>ROUND(INDEX('Tables 3 to 5'!S:S,MATCH(B24,'Tables 3 to 5'!B:B,0))/10,3)</f>
        <v>7.83</v>
      </c>
      <c r="D24" s="120">
        <f t="shared" si="3"/>
        <v>7.83</v>
      </c>
      <c r="E24" s="120">
        <f>ROUND(INDEX('Tables 3 to 5'!T:T,MATCH(B24,'Tables 3 to 5'!B:B,0))/10,3)</f>
        <v>4.0410000000000004</v>
      </c>
      <c r="F24" s="120">
        <f t="shared" si="4"/>
        <v>4.0410000000000004</v>
      </c>
      <c r="G24" s="120"/>
      <c r="H24" s="176"/>
    </row>
    <row r="25" spans="1:8" x14ac:dyDescent="0.2">
      <c r="A25" s="117"/>
      <c r="B25" s="331">
        <f t="shared" si="0"/>
        <v>2033</v>
      </c>
      <c r="C25" s="120">
        <f>ROUND(INDEX('Tables 3 to 5'!S:S,MATCH(B25,'Tables 3 to 5'!B:B,0))/10,3)</f>
        <v>8.1780000000000008</v>
      </c>
      <c r="D25" s="120">
        <f t="shared" si="3"/>
        <v>8.1780000000000008</v>
      </c>
      <c r="E25" s="120">
        <f>ROUND(INDEX('Tables 3 to 5'!T:T,MATCH(B25,'Tables 3 to 5'!B:B,0))/10,3)</f>
        <v>4.298</v>
      </c>
      <c r="F25" s="120">
        <f t="shared" si="4"/>
        <v>4.298</v>
      </c>
      <c r="G25" s="120"/>
      <c r="H25" s="176"/>
    </row>
    <row r="26" spans="1:8" x14ac:dyDescent="0.2">
      <c r="A26" s="117"/>
      <c r="B26" s="331">
        <f t="shared" si="0"/>
        <v>2034</v>
      </c>
      <c r="C26" s="120">
        <f>ROUND(INDEX('Tables 3 to 5'!S:S,MATCH(B26,'Tables 3 to 5'!B:B,0))/10,3)</f>
        <v>8.4540000000000006</v>
      </c>
      <c r="D26" s="120">
        <f t="shared" si="3"/>
        <v>8.4540000000000006</v>
      </c>
      <c r="E26" s="120">
        <f>ROUND(INDEX('Tables 3 to 5'!T:T,MATCH(B26,'Tables 3 to 5'!B:B,0))/10,3)</f>
        <v>4.4800000000000004</v>
      </c>
      <c r="F26" s="120">
        <f t="shared" si="4"/>
        <v>4.4800000000000004</v>
      </c>
      <c r="G26" s="120"/>
      <c r="H26" s="176"/>
    </row>
    <row r="27" spans="1:8" x14ac:dyDescent="0.2">
      <c r="A27" s="117"/>
      <c r="B27" s="331">
        <f t="shared" si="0"/>
        <v>2035</v>
      </c>
      <c r="C27" s="120">
        <f>ROUND(INDEX('Tables 3 to 5'!S:S,MATCH(B27,'Tables 3 to 5'!B:B,0))/10,3)</f>
        <v>8.7379999999999995</v>
      </c>
      <c r="D27" s="120">
        <f t="shared" si="3"/>
        <v>8.7379999999999995</v>
      </c>
      <c r="E27" s="120">
        <f>ROUND(INDEX('Tables 3 to 5'!T:T,MATCH(B27,'Tables 3 to 5'!B:B,0))/10,3)</f>
        <v>4.6680000000000001</v>
      </c>
      <c r="F27" s="120">
        <f t="shared" si="4"/>
        <v>4.6680000000000001</v>
      </c>
      <c r="G27" s="120"/>
      <c r="H27" s="176"/>
    </row>
    <row r="28" spans="1:8" x14ac:dyDescent="0.2">
      <c r="A28" s="117"/>
      <c r="B28" s="118">
        <f t="shared" si="0"/>
        <v>2036</v>
      </c>
      <c r="C28" s="120">
        <f>ROUND(INDEX('Tables 3 to 5'!S:S,MATCH(B28,'Tables 3 to 5'!B:B,0))/10,3)</f>
        <v>9.1790000000000003</v>
      </c>
      <c r="D28" s="120">
        <f t="shared" ref="D28:D29" si="5">C28</f>
        <v>9.1790000000000003</v>
      </c>
      <c r="E28" s="120">
        <f>ROUND(INDEX('Tables 3 to 5'!T:T,MATCH(B28,'Tables 3 to 5'!B:B,0))/10,3)</f>
        <v>5.01</v>
      </c>
      <c r="F28" s="120">
        <f t="shared" si="4"/>
        <v>5.01</v>
      </c>
      <c r="G28" s="120"/>
      <c r="H28" s="317"/>
    </row>
    <row r="29" spans="1:8" x14ac:dyDescent="0.2">
      <c r="A29" s="117"/>
      <c r="B29" s="118">
        <f t="shared" si="0"/>
        <v>2037</v>
      </c>
      <c r="C29" s="120">
        <f>ROUND(INDEX('Tables 3 to 5'!S:S,MATCH(B29,'Tables 3 to 5'!B:B,0))/10,3)</f>
        <v>9.4559999999999995</v>
      </c>
      <c r="D29" s="120">
        <f t="shared" si="5"/>
        <v>9.4559999999999995</v>
      </c>
      <c r="E29" s="120">
        <f>ROUND(INDEX('Tables 3 to 5'!T:T,MATCH(B29,'Tables 3 to 5'!B:B,0))/10,3)</f>
        <v>5.1859999999999999</v>
      </c>
      <c r="F29" s="120">
        <f t="shared" si="4"/>
        <v>5.1859999999999999</v>
      </c>
      <c r="G29" s="120"/>
      <c r="H29" s="317"/>
    </row>
    <row r="30" spans="1:8" x14ac:dyDescent="0.2">
      <c r="A30" s="117"/>
      <c r="B30" s="118"/>
      <c r="C30" s="120"/>
      <c r="D30" s="119"/>
      <c r="E30" s="120"/>
      <c r="F30" s="120"/>
      <c r="G30" s="120"/>
      <c r="H30" s="317"/>
    </row>
    <row r="31" spans="1:8" x14ac:dyDescent="0.2">
      <c r="A31" s="117"/>
      <c r="B31" s="118"/>
      <c r="C31" s="120"/>
      <c r="D31" s="119"/>
      <c r="E31" s="120"/>
      <c r="F31" s="120"/>
      <c r="G31" s="120"/>
      <c r="H31" s="317"/>
    </row>
    <row r="32" spans="1:8" x14ac:dyDescent="0.2">
      <c r="A32" s="117"/>
      <c r="B32" s="118"/>
      <c r="C32" s="120"/>
      <c r="D32" s="119"/>
      <c r="E32" s="120"/>
      <c r="F32" s="120"/>
      <c r="G32" s="120"/>
      <c r="H32" s="317"/>
    </row>
    <row r="33" spans="1:14" x14ac:dyDescent="0.2">
      <c r="A33" s="117"/>
      <c r="B33" s="118"/>
      <c r="C33" s="117"/>
      <c r="D33" s="117"/>
      <c r="E33" s="117"/>
      <c r="F33" s="117"/>
      <c r="G33" s="117"/>
      <c r="H33" s="317"/>
      <c r="I33" s="118"/>
      <c r="J33" s="118"/>
      <c r="K33" s="118"/>
      <c r="L33" s="318"/>
      <c r="M33" s="318"/>
      <c r="N33" s="318"/>
    </row>
    <row r="34" spans="1:14" x14ac:dyDescent="0.2">
      <c r="A34" s="117"/>
      <c r="C34" s="115" t="s">
        <v>223</v>
      </c>
      <c r="D34" s="115"/>
      <c r="E34" s="165" t="s">
        <v>122</v>
      </c>
      <c r="F34" s="165"/>
      <c r="G34" s="115"/>
      <c r="H34" s="317"/>
      <c r="I34" s="118"/>
      <c r="J34" s="118"/>
      <c r="K34" s="118"/>
      <c r="M34" s="318"/>
      <c r="N34" s="117"/>
    </row>
    <row r="35" spans="1:14" ht="14.25" x14ac:dyDescent="0.35">
      <c r="A35" s="117"/>
      <c r="B35" s="123"/>
      <c r="C35" s="116" t="s">
        <v>58</v>
      </c>
      <c r="D35" s="116" t="s">
        <v>59</v>
      </c>
      <c r="E35" s="116" t="s">
        <v>58</v>
      </c>
      <c r="F35" s="116" t="s">
        <v>59</v>
      </c>
      <c r="G35" s="116"/>
      <c r="H35" s="317"/>
      <c r="L35" s="318"/>
      <c r="M35" s="318"/>
      <c r="N35" s="117"/>
    </row>
    <row r="36" spans="1:14" ht="24" x14ac:dyDescent="0.35">
      <c r="A36" s="117"/>
      <c r="B36" s="124" t="s">
        <v>339</v>
      </c>
      <c r="C36" s="125">
        <f>-PMT('Table 6'!$P$40,COUNT(C10:C24),NPV('Table 6'!$P$40,C10:C24))</f>
        <v>3.2534604526321815</v>
      </c>
      <c r="D36" s="125">
        <f>-PMT('Table 6'!$P$40,COUNT(D10:D24),NPV('Table 6'!$P$40,D10:D24))</f>
        <v>3.6566326293882496</v>
      </c>
      <c r="E36" s="125">
        <f>-PMT('Table 6'!$P$40,COUNT(E10:E24),NPV('Table 6'!$P$40,E10:E24))</f>
        <v>2.3845259234431091</v>
      </c>
      <c r="F36" s="125">
        <f>-PMT('Table 6'!$P$40,COUNT(F10:F24),NPV('Table 6'!$P$40,F10:F24))</f>
        <v>2.3966702489375127</v>
      </c>
      <c r="G36" s="116"/>
      <c r="H36" s="317"/>
      <c r="L36" s="318"/>
      <c r="M36" s="318"/>
      <c r="N36" s="117"/>
    </row>
    <row r="37" spans="1:14" ht="36" customHeight="1" x14ac:dyDescent="0.2">
      <c r="B37" s="124" t="s">
        <v>337</v>
      </c>
      <c r="C37" s="125">
        <f>-PMT('Table 6'!$P$40,COUNT(C11:C25),NPV('Table 6'!$P$40,C11:C25))</f>
        <v>3.570907473989879</v>
      </c>
      <c r="D37" s="125">
        <f>-PMT('Table 6'!$P$40,COUNT(D11:D25),NPV('Table 6'!$P$40,D11:D25))</f>
        <v>3.9946923277873068</v>
      </c>
      <c r="E37" s="125">
        <f>-PMT('Table 6'!$P$40,COUNT(E11:E25),NPV('Table 6'!$P$40,E11:E25))</f>
        <v>2.5103989649390783</v>
      </c>
      <c r="F37" s="125">
        <f>-PMT('Table 6'!$P$40,COUNT(F11:F25),NPV('Table 6'!$P$40,F11:F25))</f>
        <v>2.5567794461836284</v>
      </c>
      <c r="G37" s="125"/>
    </row>
    <row r="38" spans="1:14" ht="36" customHeight="1" x14ac:dyDescent="0.2">
      <c r="B38" s="124" t="s">
        <v>340</v>
      </c>
      <c r="C38" s="125">
        <f>-PMT('Table 6'!$P$40,COUNT(C12:C26),NPV('Table 6'!$P$40,C12:C26))</f>
        <v>3.9376561182431487</v>
      </c>
      <c r="D38" s="125">
        <f>-PMT('Table 6'!$P$40,COUNT(D12:D26),NPV('Table 6'!$P$40,D12:D26))</f>
        <v>4.3421709256180137</v>
      </c>
      <c r="E38" s="125">
        <f>-PMT('Table 6'!$P$40,COUNT(E12:E26),NPV('Table 6'!$P$40,E12:E26))</f>
        <v>2.6777742087695273</v>
      </c>
      <c r="F38" s="125">
        <f>-PMT('Table 6'!$P$40,COUNT(F12:F26),NPV('Table 6'!$P$40,F12:F26))</f>
        <v>2.7293385185305765</v>
      </c>
      <c r="G38" s="125"/>
    </row>
    <row r="39" spans="1:14" x14ac:dyDescent="0.2">
      <c r="A39" s="123"/>
    </row>
    <row r="40" spans="1:14" x14ac:dyDescent="0.2">
      <c r="A40" s="126"/>
    </row>
    <row r="41" spans="1:14" x14ac:dyDescent="0.2">
      <c r="A41" s="127"/>
    </row>
    <row r="42" spans="1:14" ht="12.75" x14ac:dyDescent="0.2">
      <c r="A42" s="127"/>
      <c r="B42" s="35"/>
      <c r="C42" s="35"/>
      <c r="D42" s="35"/>
      <c r="E42" s="35"/>
      <c r="F42" s="128"/>
      <c r="G42" s="128"/>
      <c r="I42" s="113"/>
      <c r="J42" s="113"/>
      <c r="K42" s="113"/>
      <c r="M42" s="127"/>
      <c r="N42" s="127"/>
    </row>
    <row r="43" spans="1:14" ht="12.75" x14ac:dyDescent="0.2">
      <c r="A43" s="127"/>
      <c r="B43" s="163"/>
      <c r="C43" s="163"/>
      <c r="D43" s="131"/>
      <c r="E43" s="131"/>
      <c r="F43" s="128"/>
      <c r="G43" s="128"/>
      <c r="I43" s="113"/>
      <c r="J43" s="113"/>
      <c r="K43" s="113"/>
      <c r="M43" s="127"/>
      <c r="N43" s="127"/>
    </row>
    <row r="44" spans="1:14" ht="12.75" x14ac:dyDescent="0.2">
      <c r="A44" s="117"/>
      <c r="B44" s="163"/>
      <c r="C44" s="163"/>
      <c r="D44" s="131"/>
      <c r="E44" s="131"/>
      <c r="F44" s="117"/>
      <c r="G44" s="117"/>
      <c r="I44" s="123"/>
      <c r="J44" s="123"/>
      <c r="K44" s="123"/>
      <c r="L44" s="117"/>
      <c r="M44" s="117"/>
      <c r="N44" s="117"/>
    </row>
    <row r="45" spans="1:14" ht="12.75" x14ac:dyDescent="0.2">
      <c r="A45" s="126"/>
      <c r="B45" s="163"/>
      <c r="C45" s="163"/>
      <c r="D45" s="131"/>
      <c r="E45" s="131"/>
      <c r="L45" s="318"/>
      <c r="N45" s="126"/>
    </row>
    <row r="46" spans="1:14" ht="12.75" x14ac:dyDescent="0.2">
      <c r="A46" s="126"/>
      <c r="B46" s="163"/>
      <c r="C46" s="163"/>
      <c r="D46" s="131"/>
      <c r="E46" s="131"/>
      <c r="N46" s="126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AA46"/>
  <sheetViews>
    <sheetView showGridLines="0" zoomScale="80" zoomScaleNormal="80" workbookViewId="0">
      <selection activeCell="B48" sqref="B48"/>
    </sheetView>
  </sheetViews>
  <sheetFormatPr defaultRowHeight="12" x14ac:dyDescent="0.2"/>
  <cols>
    <col min="1" max="1" width="2.83203125" style="112" customWidth="1"/>
    <col min="2" max="2" width="21.83203125" style="112" customWidth="1"/>
    <col min="3" max="5" width="18.83203125" style="112" customWidth="1"/>
    <col min="6" max="6" width="15" style="112" customWidth="1"/>
    <col min="7" max="7" width="6.5" style="112" customWidth="1"/>
    <col min="8" max="8" width="9.33203125" style="183"/>
    <col min="9" max="9" width="11.6640625" style="183" customWidth="1"/>
    <col min="10" max="10" width="3.5" style="183" customWidth="1"/>
    <col min="11" max="11" width="17.1640625" style="183" customWidth="1"/>
    <col min="12" max="12" width="12.5" style="183" customWidth="1"/>
    <col min="13" max="13" width="11" style="183" customWidth="1"/>
    <col min="14" max="14" width="3.83203125" style="183" customWidth="1"/>
    <col min="15" max="16" width="12.5" style="183" customWidth="1"/>
    <col min="17" max="17" width="3.83203125" style="183" customWidth="1"/>
    <col min="18" max="19" width="12.5" style="183" customWidth="1"/>
    <col min="20" max="20" width="3.33203125" style="183" customWidth="1"/>
    <col min="21" max="22" width="12.5" style="183" customWidth="1"/>
    <col min="23" max="23" width="9.33203125" style="112" customWidth="1"/>
    <col min="24" max="26" width="5" style="167" customWidth="1"/>
    <col min="27" max="27" width="10.5" style="167" customWidth="1"/>
    <col min="28" max="16384" width="9.33203125" style="112"/>
  </cols>
  <sheetData>
    <row r="1" spans="1:26" x14ac:dyDescent="0.2">
      <c r="A1" s="2"/>
      <c r="B1" s="2"/>
      <c r="C1" s="2"/>
      <c r="D1" s="2"/>
      <c r="E1" s="2"/>
      <c r="F1" s="2"/>
      <c r="G1" s="2"/>
      <c r="I1" s="182"/>
      <c r="J1" s="182"/>
      <c r="X1" s="173"/>
      <c r="Y1" s="173"/>
      <c r="Z1" s="173"/>
    </row>
    <row r="2" spans="1:26" x14ac:dyDescent="0.2">
      <c r="A2" s="2"/>
      <c r="B2" s="2" t="s">
        <v>101</v>
      </c>
      <c r="C2" s="2"/>
      <c r="D2" s="2"/>
      <c r="E2" s="2"/>
      <c r="F2" s="2"/>
      <c r="G2" s="2"/>
      <c r="I2" s="182"/>
      <c r="J2" s="182"/>
      <c r="X2" s="173"/>
      <c r="Y2" s="173"/>
      <c r="Z2" s="173"/>
    </row>
    <row r="3" spans="1:26" x14ac:dyDescent="0.2">
      <c r="I3" s="182"/>
      <c r="J3" s="182"/>
    </row>
    <row r="4" spans="1:26" x14ac:dyDescent="0.2">
      <c r="A4" s="113"/>
      <c r="B4" s="142" t="s">
        <v>181</v>
      </c>
      <c r="C4" s="113"/>
      <c r="D4" s="113"/>
      <c r="E4" s="113"/>
      <c r="F4" s="113"/>
      <c r="G4" s="113"/>
      <c r="I4" s="184"/>
      <c r="J4" s="184"/>
      <c r="L4" s="185"/>
      <c r="O4" s="185"/>
      <c r="R4" s="185"/>
      <c r="U4" s="185"/>
      <c r="X4" s="113"/>
      <c r="Y4" s="113"/>
      <c r="Z4" s="113"/>
    </row>
    <row r="5" spans="1:26" x14ac:dyDescent="0.2">
      <c r="A5" s="113"/>
      <c r="B5" s="113"/>
    </row>
    <row r="6" spans="1:26" x14ac:dyDescent="0.2">
      <c r="A6" s="113"/>
      <c r="B6" s="114" t="s">
        <v>123</v>
      </c>
      <c r="C6" s="115" t="s">
        <v>224</v>
      </c>
      <c r="D6" s="115"/>
      <c r="E6" s="165" t="s">
        <v>149</v>
      </c>
      <c r="F6" s="115"/>
      <c r="G6" s="115"/>
      <c r="J6" s="186"/>
      <c r="L6" s="183" t="s">
        <v>195</v>
      </c>
      <c r="O6" s="183" t="s">
        <v>196</v>
      </c>
      <c r="R6" s="183" t="s">
        <v>197</v>
      </c>
      <c r="U6" s="183" t="s">
        <v>198</v>
      </c>
      <c r="X6" s="115"/>
      <c r="Y6" s="115"/>
      <c r="Z6" s="115"/>
    </row>
    <row r="7" spans="1:26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  <c r="G7" s="116"/>
      <c r="J7" s="186"/>
      <c r="L7" s="183" t="s">
        <v>195</v>
      </c>
      <c r="O7" s="183" t="s">
        <v>196</v>
      </c>
      <c r="R7" s="183" t="s">
        <v>197</v>
      </c>
      <c r="U7" s="183" t="s">
        <v>198</v>
      </c>
      <c r="X7" s="116"/>
      <c r="Y7" s="116"/>
      <c r="Z7" s="116"/>
    </row>
    <row r="8" spans="1:26" ht="14.25" x14ac:dyDescent="0.35">
      <c r="A8" s="117"/>
      <c r="B8" s="118"/>
      <c r="C8" s="119"/>
      <c r="D8" s="119"/>
      <c r="E8" s="119"/>
      <c r="F8" s="119"/>
      <c r="G8" s="119"/>
      <c r="I8" s="187" t="s">
        <v>199</v>
      </c>
      <c r="J8" s="188"/>
      <c r="K8" s="189" t="s">
        <v>191</v>
      </c>
      <c r="L8" s="189" t="s">
        <v>190</v>
      </c>
      <c r="M8" s="183" t="s">
        <v>192</v>
      </c>
      <c r="O8" s="189" t="s">
        <v>190</v>
      </c>
      <c r="P8" s="183" t="s">
        <v>192</v>
      </c>
      <c r="R8" s="189" t="s">
        <v>190</v>
      </c>
      <c r="S8" s="183" t="s">
        <v>192</v>
      </c>
      <c r="U8" s="189" t="s">
        <v>190</v>
      </c>
      <c r="V8" s="183" t="s">
        <v>192</v>
      </c>
      <c r="X8" s="120"/>
      <c r="Y8" s="120"/>
      <c r="Z8" s="120"/>
    </row>
    <row r="9" spans="1:26" x14ac:dyDescent="0.2">
      <c r="A9" s="117"/>
      <c r="B9" s="118"/>
      <c r="C9" s="119"/>
      <c r="D9" s="119"/>
      <c r="E9" s="119"/>
      <c r="F9" s="119"/>
      <c r="G9" s="119"/>
      <c r="I9" s="190"/>
      <c r="J9" s="191"/>
      <c r="L9" s="192"/>
      <c r="O9" s="192"/>
      <c r="R9" s="192"/>
      <c r="U9" s="192"/>
      <c r="X9" s="120"/>
      <c r="Y9" s="120"/>
      <c r="Z9" s="120"/>
    </row>
    <row r="10" spans="1:26" x14ac:dyDescent="0.2">
      <c r="A10" s="117"/>
      <c r="B10" s="331">
        <v>2017</v>
      </c>
      <c r="C10" s="119">
        <f>ROUND(INDEX('Table 2C SolarFixed'!$C$69:$C$82,MATCH($B10,'Table 2C SolarFixed'!$A$69:$A$82,0))/10,3)</f>
        <v>2.3650000000000002</v>
      </c>
      <c r="D10" s="119">
        <f>ROUND(INDEX('Table 2C SolarFixed'!$G$69:$G$82,MATCH($B10,'Table 2C SolarFixed'!$A$69:$A$82,0))/10,3)</f>
        <v>2.3759999999999999</v>
      </c>
      <c r="E10" s="119">
        <f>ROUND(INDEX('Table 2C SolarFixed'!$D$69:$D$82,MATCH($B10,'Table 2C SolarFixed'!$A$69:$A$82,0))/10,3)</f>
        <v>2.14</v>
      </c>
      <c r="F10" s="119">
        <f>ROUND(INDEX('Table 2C SolarFixed'!$H$69:$H$82,MATCH($B10,'Table 2C SolarFixed'!$A$69:$A$82,0))/10,3)</f>
        <v>1.71</v>
      </c>
      <c r="G10" s="119"/>
      <c r="I10" s="190">
        <v>1</v>
      </c>
      <c r="J10" s="191"/>
      <c r="K10" s="183">
        <f t="shared" ref="K10:K30" si="0">1*8760*$I10</f>
        <v>8760</v>
      </c>
      <c r="L10" s="192">
        <f t="shared" ref="L10" si="1">C10*1*8760*$I10</f>
        <v>20717.400000000001</v>
      </c>
      <c r="M10" s="183">
        <f t="shared" ref="M10" si="2">K10*$M$37</f>
        <v>0</v>
      </c>
      <c r="O10" s="192">
        <f t="shared" ref="O10" si="3">D10*1*8760*$I10</f>
        <v>20813.759999999998</v>
      </c>
      <c r="P10" s="183">
        <f t="shared" ref="P10" si="4">K10*$P$37</f>
        <v>0</v>
      </c>
      <c r="R10" s="192">
        <f t="shared" ref="R10" si="5">E10*1*8760*$I10</f>
        <v>18746.400000000001</v>
      </c>
      <c r="S10" s="183">
        <f t="shared" ref="S10" si="6">K10*$S$37</f>
        <v>0</v>
      </c>
      <c r="U10" s="192">
        <f t="shared" ref="U10" si="7">F10*1*8760*$I10</f>
        <v>14979.6</v>
      </c>
      <c r="V10" s="183">
        <f t="shared" ref="V10" si="8">K10*$V$37</f>
        <v>0</v>
      </c>
      <c r="X10" s="120"/>
      <c r="Y10" s="120"/>
      <c r="Z10" s="120"/>
    </row>
    <row r="11" spans="1:26" x14ac:dyDescent="0.2">
      <c r="A11" s="117"/>
      <c r="B11" s="331">
        <v>2018</v>
      </c>
      <c r="C11" s="119">
        <f>ROUND(INDEX('Table 2C SolarFixed'!$C$70:$C$82,MATCH($B11,'Table 2C SolarFixed'!$A$70:$A$82,0))/10,3)</f>
        <v>2.1150000000000002</v>
      </c>
      <c r="D11" s="119">
        <f>ROUND(INDEX('Table 2C SolarFixed'!$G$70:$G$82,MATCH($B11,'Table 2C SolarFixed'!$A$70:$A$82,0))/10,3)</f>
        <v>2.17</v>
      </c>
      <c r="E11" s="119">
        <f>ROUND(INDEX('Table 2C SolarFixed'!$D$70:$D$82,MATCH($B11,'Table 2C SolarFixed'!$A$70:$A$82,0))/10,3)</f>
        <v>1.88</v>
      </c>
      <c r="F11" s="119">
        <f>ROUND(INDEX('Table 2C SolarFixed'!$H$70:$H$82,MATCH($B11,'Table 2C SolarFixed'!$A$70:$A$82,0))/10,3)</f>
        <v>1.5669999999999999</v>
      </c>
      <c r="G11" s="119"/>
      <c r="I11" s="191">
        <f t="shared" ref="I11:I30" si="9">I10-0.007</f>
        <v>0.99299999999999999</v>
      </c>
      <c r="J11" s="191"/>
      <c r="K11" s="183">
        <f t="shared" si="0"/>
        <v>8698.68</v>
      </c>
      <c r="L11" s="192">
        <f t="shared" ref="L11:L28" si="10">C11*1*8760*$I11</f>
        <v>18397.708200000001</v>
      </c>
      <c r="M11" s="183">
        <f t="shared" ref="M11:M28" si="11">K11*$M$37</f>
        <v>0</v>
      </c>
      <c r="O11" s="192">
        <f t="shared" ref="O11:O28" si="12">D11*1*8760*$I11</f>
        <v>18876.135600000001</v>
      </c>
      <c r="P11" s="183">
        <f t="shared" ref="P11:P28" si="13">K11*$P$37</f>
        <v>0</v>
      </c>
      <c r="R11" s="192">
        <f t="shared" ref="R11:R28" si="14">E11*1*8760*$I11</f>
        <v>16353.518399999999</v>
      </c>
      <c r="S11" s="183">
        <f t="shared" ref="S11:S28" si="15">K11*$S$37</f>
        <v>0</v>
      </c>
      <c r="U11" s="192">
        <f t="shared" ref="U11:U28" si="16">F11*1*8760*$I11</f>
        <v>13630.831560000001</v>
      </c>
      <c r="V11" s="183">
        <f t="shared" ref="V11:V28" si="17">K11*$V$37</f>
        <v>0</v>
      </c>
      <c r="X11" s="120"/>
      <c r="Y11" s="120"/>
      <c r="Z11" s="120"/>
    </row>
    <row r="12" spans="1:26" x14ac:dyDescent="0.2">
      <c r="A12" s="117"/>
      <c r="B12" s="331">
        <f>B11+1</f>
        <v>2019</v>
      </c>
      <c r="C12" s="119">
        <f>ROUND(INDEX('Table 2C SolarFixed'!$C$70:$C$82,MATCH($B12,'Table 2C SolarFixed'!$A$70:$A$82,0))/10,3)</f>
        <v>1.954</v>
      </c>
      <c r="D12" s="119">
        <f>ROUND(INDEX('Table 2C SolarFixed'!$G$70:$G$82,MATCH($B12,'Table 2C SolarFixed'!$A$70:$A$82,0))/10,3)</f>
        <v>2.395</v>
      </c>
      <c r="E12" s="119">
        <f>ROUND(INDEX('Table 2C SolarFixed'!$D$70:$D$82,MATCH($B12,'Table 2C SolarFixed'!$A$70:$A$82,0))/10,3)</f>
        <v>1.6379999999999999</v>
      </c>
      <c r="F12" s="119">
        <f>ROUND(INDEX('Table 2C SolarFixed'!$H$70:$H$82,MATCH($B12,'Table 2C SolarFixed'!$A$70:$A$82,0))/10,3)</f>
        <v>1.617</v>
      </c>
      <c r="G12" s="119"/>
      <c r="I12" s="191">
        <f t="shared" si="9"/>
        <v>0.98599999999999999</v>
      </c>
      <c r="J12" s="191"/>
      <c r="K12" s="183">
        <f t="shared" si="0"/>
        <v>8637.36</v>
      </c>
      <c r="L12" s="192">
        <f t="shared" si="10"/>
        <v>16877.401440000001</v>
      </c>
      <c r="M12" s="183">
        <f t="shared" si="11"/>
        <v>0</v>
      </c>
      <c r="O12" s="192">
        <f t="shared" si="12"/>
        <v>20686.477200000001</v>
      </c>
      <c r="P12" s="183">
        <f t="shared" si="13"/>
        <v>0</v>
      </c>
      <c r="R12" s="192">
        <f t="shared" si="14"/>
        <v>14147.995679999998</v>
      </c>
      <c r="S12" s="183">
        <f t="shared" si="15"/>
        <v>0</v>
      </c>
      <c r="U12" s="192">
        <f t="shared" si="16"/>
        <v>13966.61112</v>
      </c>
      <c r="V12" s="183">
        <f t="shared" si="17"/>
        <v>0</v>
      </c>
      <c r="X12" s="120"/>
      <c r="Y12" s="120"/>
      <c r="Z12" s="120"/>
    </row>
    <row r="13" spans="1:26" x14ac:dyDescent="0.2">
      <c r="A13" s="117"/>
      <c r="B13" s="331">
        <f>B12+1</f>
        <v>2020</v>
      </c>
      <c r="C13" s="119">
        <f>ROUND(INDEX('Table 2C SolarFixed'!$C$70:$C$82,MATCH($B13,'Table 2C SolarFixed'!$A$70:$A$82,0))/10,3)</f>
        <v>1.798</v>
      </c>
      <c r="D13" s="119">
        <f>ROUND(INDEX('Table 2C SolarFixed'!$G$70:$G$82,MATCH($B13,'Table 2C SolarFixed'!$A$70:$A$82,0))/10,3)</f>
        <v>2.4140000000000001</v>
      </c>
      <c r="E13" s="119">
        <f>ROUND(INDEX('Table 2C SolarFixed'!$D$70:$D$82,MATCH($B13,'Table 2C SolarFixed'!$A$70:$A$82,0))/10,3)</f>
        <v>1.502</v>
      </c>
      <c r="F13" s="119">
        <f>ROUND(INDEX('Table 2C SolarFixed'!$H$70:$H$82,MATCH($B13,'Table 2C SolarFixed'!$A$70:$A$82,0))/10,3)</f>
        <v>1.5009999999999999</v>
      </c>
      <c r="G13" s="119"/>
      <c r="I13" s="191">
        <f t="shared" si="9"/>
        <v>0.97899999999999998</v>
      </c>
      <c r="J13" s="191"/>
      <c r="K13" s="183">
        <f t="shared" si="0"/>
        <v>8576.0399999999991</v>
      </c>
      <c r="L13" s="192">
        <f t="shared" si="10"/>
        <v>15419.71992</v>
      </c>
      <c r="M13" s="183">
        <f t="shared" si="11"/>
        <v>0</v>
      </c>
      <c r="O13" s="192">
        <f t="shared" si="12"/>
        <v>20702.560560000002</v>
      </c>
      <c r="P13" s="183">
        <f t="shared" si="13"/>
        <v>0</v>
      </c>
      <c r="R13" s="192">
        <f t="shared" si="14"/>
        <v>12881.212079999999</v>
      </c>
      <c r="S13" s="183">
        <f t="shared" si="15"/>
        <v>0</v>
      </c>
      <c r="U13" s="192">
        <f t="shared" si="16"/>
        <v>12872.636039999998</v>
      </c>
      <c r="V13" s="183">
        <f t="shared" si="17"/>
        <v>0</v>
      </c>
      <c r="X13" s="120"/>
      <c r="Y13" s="120"/>
      <c r="Z13" s="120"/>
    </row>
    <row r="14" spans="1:26" x14ac:dyDescent="0.2">
      <c r="A14" s="117"/>
      <c r="B14" s="331">
        <f t="shared" ref="B14:B30" si="18">B13+1</f>
        <v>2021</v>
      </c>
      <c r="C14" s="119">
        <f>ROUND(INDEX('Table 2C SolarFixed'!$C$70:$C$82,MATCH($B14,'Table 2C SolarFixed'!$A$70:$A$82,0))/10,3)</f>
        <v>1.8380000000000001</v>
      </c>
      <c r="D14" s="119">
        <f>ROUND(INDEX('Table 2C SolarFixed'!$G$70:$G$82,MATCH($B14,'Table 2C SolarFixed'!$A$70:$A$82,0))/10,3)</f>
        <v>2.3450000000000002</v>
      </c>
      <c r="E14" s="119">
        <f>ROUND(INDEX('Table 2C SolarFixed'!$D$70:$D$82,MATCH($B14,'Table 2C SolarFixed'!$A$70:$A$82,0))/10,3)</f>
        <v>1.5960000000000001</v>
      </c>
      <c r="F14" s="119">
        <f>ROUND(INDEX('Table 2C SolarFixed'!$H$70:$H$82,MATCH($B14,'Table 2C SolarFixed'!$A$70:$A$82,0))/10,3)</f>
        <v>1.4950000000000001</v>
      </c>
      <c r="G14" s="119"/>
      <c r="I14" s="191">
        <f t="shared" si="9"/>
        <v>0.97199999999999998</v>
      </c>
      <c r="J14" s="191"/>
      <c r="K14" s="183">
        <f t="shared" si="0"/>
        <v>8514.7199999999993</v>
      </c>
      <c r="L14" s="192">
        <f t="shared" si="10"/>
        <v>15650.05536</v>
      </c>
      <c r="M14" s="183">
        <f t="shared" si="11"/>
        <v>0</v>
      </c>
      <c r="O14" s="192">
        <f t="shared" si="12"/>
        <v>19967.018400000001</v>
      </c>
      <c r="P14" s="183">
        <f t="shared" si="13"/>
        <v>0</v>
      </c>
      <c r="R14" s="192">
        <f t="shared" si="14"/>
        <v>13589.493120000001</v>
      </c>
      <c r="S14" s="183">
        <f t="shared" si="15"/>
        <v>0</v>
      </c>
      <c r="U14" s="192">
        <f t="shared" si="16"/>
        <v>12729.5064</v>
      </c>
      <c r="V14" s="183">
        <f t="shared" si="17"/>
        <v>0</v>
      </c>
      <c r="X14" s="120"/>
      <c r="Y14" s="120"/>
      <c r="Z14" s="120"/>
    </row>
    <row r="15" spans="1:26" x14ac:dyDescent="0.2">
      <c r="A15" s="117"/>
      <c r="B15" s="331">
        <f t="shared" si="18"/>
        <v>2022</v>
      </c>
      <c r="C15" s="119">
        <f>ROUND(INDEX('Table 2C SolarFixed'!$C$70:$C$82,MATCH($B15,'Table 2C SolarFixed'!$A$70:$A$82,0))/10,3)</f>
        <v>1.972</v>
      </c>
      <c r="D15" s="119">
        <f>ROUND(INDEX('Table 2C SolarFixed'!$G$70:$G$82,MATCH($B15,'Table 2C SolarFixed'!$A$70:$A$82,0))/10,3)</f>
        <v>2.5209999999999999</v>
      </c>
      <c r="E15" s="119">
        <f>ROUND(INDEX('Table 2C SolarFixed'!$D$70:$D$82,MATCH($B15,'Table 2C SolarFixed'!$A$70:$A$82,0))/10,3)</f>
        <v>1.7589999999999999</v>
      </c>
      <c r="F15" s="119">
        <f>ROUND(INDEX('Table 2C SolarFixed'!$H$70:$H$82,MATCH($B15,'Table 2C SolarFixed'!$A$70:$A$82,0))/10,3)</f>
        <v>1.7130000000000001</v>
      </c>
      <c r="G15" s="119"/>
      <c r="I15" s="191">
        <f t="shared" si="9"/>
        <v>0.96499999999999997</v>
      </c>
      <c r="J15" s="191"/>
      <c r="K15" s="183">
        <f t="shared" si="0"/>
        <v>8453.4</v>
      </c>
      <c r="L15" s="192">
        <f t="shared" si="10"/>
        <v>16670.104800000001</v>
      </c>
      <c r="M15" s="183">
        <f t="shared" si="11"/>
        <v>0</v>
      </c>
      <c r="O15" s="192">
        <f t="shared" si="12"/>
        <v>21311.021399999998</v>
      </c>
      <c r="P15" s="183">
        <f t="shared" si="13"/>
        <v>0</v>
      </c>
      <c r="R15" s="192">
        <f t="shared" si="14"/>
        <v>14869.530599999998</v>
      </c>
      <c r="S15" s="183">
        <f t="shared" si="15"/>
        <v>0</v>
      </c>
      <c r="U15" s="192">
        <f t="shared" si="16"/>
        <v>14480.674200000001</v>
      </c>
      <c r="V15" s="183">
        <f t="shared" si="17"/>
        <v>0</v>
      </c>
      <c r="X15" s="120"/>
      <c r="Y15" s="120"/>
      <c r="Z15" s="120"/>
    </row>
    <row r="16" spans="1:26" x14ac:dyDescent="0.2">
      <c r="A16" s="117"/>
      <c r="B16" s="331">
        <f t="shared" si="18"/>
        <v>2023</v>
      </c>
      <c r="C16" s="119">
        <f>ROUND(INDEX('Table 2C SolarFixed'!$C$70:$C$82,MATCH($B16,'Table 2C SolarFixed'!$A$70:$A$82,0))/10,3)</f>
        <v>2.0750000000000002</v>
      </c>
      <c r="D16" s="119">
        <f>ROUND(INDEX('Table 2C SolarFixed'!$G$70:$G$82,MATCH($B16,'Table 2C SolarFixed'!$A$70:$A$82,0))/10,3)</f>
        <v>2.6760000000000002</v>
      </c>
      <c r="E16" s="119">
        <f>ROUND(INDEX('Table 2C SolarFixed'!$D$70:$D$82,MATCH($B16,'Table 2C SolarFixed'!$A$70:$A$82,0))/10,3)</f>
        <v>1.875</v>
      </c>
      <c r="F16" s="119">
        <f>ROUND(INDEX('Table 2C SolarFixed'!$H$70:$H$82,MATCH($B16,'Table 2C SolarFixed'!$A$70:$A$82,0))/10,3)</f>
        <v>1.9890000000000001</v>
      </c>
      <c r="G16" s="119"/>
      <c r="I16" s="191">
        <f t="shared" si="9"/>
        <v>0.95799999999999996</v>
      </c>
      <c r="J16" s="191"/>
      <c r="K16" s="183">
        <f t="shared" si="0"/>
        <v>8392.08</v>
      </c>
      <c r="L16" s="192">
        <f t="shared" si="10"/>
        <v>17413.565999999999</v>
      </c>
      <c r="M16" s="183">
        <f t="shared" si="11"/>
        <v>0</v>
      </c>
      <c r="O16" s="192">
        <f t="shared" si="12"/>
        <v>22457.20608</v>
      </c>
      <c r="P16" s="183">
        <f t="shared" si="13"/>
        <v>0</v>
      </c>
      <c r="R16" s="192">
        <f t="shared" si="14"/>
        <v>15735.15</v>
      </c>
      <c r="S16" s="183">
        <f t="shared" si="15"/>
        <v>0</v>
      </c>
      <c r="U16" s="192">
        <f t="shared" si="16"/>
        <v>16691.847119999999</v>
      </c>
      <c r="V16" s="183">
        <f t="shared" si="17"/>
        <v>0</v>
      </c>
      <c r="X16" s="120"/>
      <c r="Y16" s="120"/>
      <c r="Z16" s="120"/>
    </row>
    <row r="17" spans="1:26" x14ac:dyDescent="0.2">
      <c r="A17" s="117"/>
      <c r="B17" s="331">
        <f t="shared" si="18"/>
        <v>2024</v>
      </c>
      <c r="C17" s="119">
        <f>ROUND(INDEX('Table 2C SolarFixed'!$C$70:$C$82,MATCH($B17,'Table 2C SolarFixed'!$A$70:$A$82,0))/10,3)</f>
        <v>2.4060000000000001</v>
      </c>
      <c r="D17" s="119">
        <f>ROUND(INDEX('Table 2C SolarFixed'!$G$70:$G$82,MATCH($B17,'Table 2C SolarFixed'!$A$70:$A$82,0))/10,3)</f>
        <v>2.91</v>
      </c>
      <c r="E17" s="119">
        <f>ROUND(INDEX('Table 2C SolarFixed'!$D$70:$D$82,MATCH($B17,'Table 2C SolarFixed'!$A$70:$A$82,0))/10,3)</f>
        <v>2.1779999999999999</v>
      </c>
      <c r="F17" s="119">
        <f>ROUND(INDEX('Table 2C SolarFixed'!$H$70:$H$82,MATCH($B17,'Table 2C SolarFixed'!$A$70:$A$82,0))/10,3)</f>
        <v>2.3479999999999999</v>
      </c>
      <c r="G17" s="119"/>
      <c r="I17" s="191">
        <f t="shared" si="9"/>
        <v>0.95099999999999996</v>
      </c>
      <c r="J17" s="191"/>
      <c r="K17" s="183">
        <f t="shared" si="0"/>
        <v>8330.76</v>
      </c>
      <c r="L17" s="192">
        <f t="shared" si="10"/>
        <v>20043.808560000001</v>
      </c>
      <c r="M17" s="183">
        <f t="shared" si="11"/>
        <v>0</v>
      </c>
      <c r="O17" s="192">
        <f t="shared" si="12"/>
        <v>24242.511600000002</v>
      </c>
      <c r="P17" s="183">
        <f t="shared" si="13"/>
        <v>0</v>
      </c>
      <c r="R17" s="192">
        <f t="shared" si="14"/>
        <v>18144.395279999997</v>
      </c>
      <c r="S17" s="183">
        <f t="shared" si="15"/>
        <v>0</v>
      </c>
      <c r="U17" s="192">
        <f t="shared" si="16"/>
        <v>19560.624479999999</v>
      </c>
      <c r="V17" s="183">
        <f t="shared" si="17"/>
        <v>0</v>
      </c>
      <c r="X17" s="120"/>
      <c r="Y17" s="120"/>
      <c r="Z17" s="120"/>
    </row>
    <row r="18" spans="1:26" x14ac:dyDescent="0.2">
      <c r="A18" s="117"/>
      <c r="B18" s="331">
        <f t="shared" si="18"/>
        <v>2025</v>
      </c>
      <c r="C18" s="119">
        <f>ROUND(INDEX('Table 2C SolarFixed'!$C$70:$C$82,MATCH($B18,'Table 2C SolarFixed'!$A$70:$A$82,0))/10,3)</f>
        <v>2.5920000000000001</v>
      </c>
      <c r="D18" s="119">
        <f>ROUND(INDEX('Table 2C SolarFixed'!$G$70:$G$82,MATCH($B18,'Table 2C SolarFixed'!$A$70:$A$82,0))/10,3)</f>
        <v>3.3460000000000001</v>
      </c>
      <c r="E18" s="119">
        <f>ROUND(INDEX('Table 2C SolarFixed'!$D$70:$D$82,MATCH($B18,'Table 2C SolarFixed'!$A$70:$A$82,0))/10,3)</f>
        <v>2.347</v>
      </c>
      <c r="F18" s="119">
        <f>ROUND(INDEX('Table 2C SolarFixed'!$H$70:$H$82,MATCH($B18,'Table 2C SolarFixed'!$A$70:$A$82,0))/10,3)</f>
        <v>2.6480000000000001</v>
      </c>
      <c r="G18" s="119"/>
      <c r="I18" s="191">
        <f t="shared" si="9"/>
        <v>0.94399999999999995</v>
      </c>
      <c r="J18" s="191"/>
      <c r="K18" s="183">
        <f t="shared" si="0"/>
        <v>8269.4399999999987</v>
      </c>
      <c r="L18" s="192">
        <f t="shared" si="10"/>
        <v>21434.388480000001</v>
      </c>
      <c r="M18" s="183">
        <f t="shared" si="11"/>
        <v>0</v>
      </c>
      <c r="O18" s="192">
        <f t="shared" si="12"/>
        <v>27669.546239999996</v>
      </c>
      <c r="P18" s="183">
        <f t="shared" si="13"/>
        <v>0</v>
      </c>
      <c r="R18" s="192">
        <f t="shared" si="14"/>
        <v>19408.375680000001</v>
      </c>
      <c r="S18" s="183">
        <f t="shared" si="15"/>
        <v>0</v>
      </c>
      <c r="U18" s="192">
        <f t="shared" si="16"/>
        <v>21897.47712</v>
      </c>
      <c r="V18" s="183">
        <f t="shared" si="17"/>
        <v>0</v>
      </c>
      <c r="X18" s="120"/>
      <c r="Y18" s="120"/>
      <c r="Z18" s="120"/>
    </row>
    <row r="19" spans="1:26" x14ac:dyDescent="0.2">
      <c r="A19" s="117"/>
      <c r="B19" s="331">
        <f t="shared" si="18"/>
        <v>2026</v>
      </c>
      <c r="C19" s="119">
        <f>ROUND(INDEX('Table 2C SolarFixed'!$C$70:$C$82,MATCH($B19,'Table 2C SolarFixed'!$A$70:$A$82,0))/10,3)</f>
        <v>3.097</v>
      </c>
      <c r="D19" s="119">
        <f>ROUND(INDEX('Table 2C SolarFixed'!$G$70:$G$82,MATCH($B19,'Table 2C SolarFixed'!$A$70:$A$82,0))/10,3)</f>
        <v>3.2589999999999999</v>
      </c>
      <c r="E19" s="119">
        <f>ROUND(INDEX('Table 2C SolarFixed'!$D$70:$D$82,MATCH($B19,'Table 2C SolarFixed'!$A$70:$A$82,0))/10,3)</f>
        <v>2.81</v>
      </c>
      <c r="F19" s="119">
        <f>ROUND(INDEX('Table 2C SolarFixed'!$H$70:$H$82,MATCH($B19,'Table 2C SolarFixed'!$A$70:$A$82,0))/10,3)</f>
        <v>2.593</v>
      </c>
      <c r="G19" s="119"/>
      <c r="I19" s="191">
        <f t="shared" si="9"/>
        <v>0.93699999999999994</v>
      </c>
      <c r="J19" s="191"/>
      <c r="K19" s="183">
        <f t="shared" si="0"/>
        <v>8208.119999999999</v>
      </c>
      <c r="L19" s="192">
        <f t="shared" si="10"/>
        <v>25420.547640000001</v>
      </c>
      <c r="M19" s="183">
        <f t="shared" si="11"/>
        <v>0</v>
      </c>
      <c r="O19" s="192">
        <f t="shared" si="12"/>
        <v>26750.263079999997</v>
      </c>
      <c r="P19" s="183">
        <f t="shared" si="13"/>
        <v>0</v>
      </c>
      <c r="R19" s="192">
        <f t="shared" si="14"/>
        <v>23064.817200000001</v>
      </c>
      <c r="S19" s="183">
        <f t="shared" si="15"/>
        <v>0</v>
      </c>
      <c r="U19" s="192">
        <f t="shared" si="16"/>
        <v>21283.655159999998</v>
      </c>
      <c r="V19" s="183">
        <f t="shared" si="17"/>
        <v>0</v>
      </c>
      <c r="X19" s="120"/>
      <c r="Y19" s="120"/>
      <c r="Z19" s="120"/>
    </row>
    <row r="20" spans="1:26" x14ac:dyDescent="0.2">
      <c r="A20" s="117"/>
      <c r="B20" s="331">
        <f t="shared" si="18"/>
        <v>2027</v>
      </c>
      <c r="C20" s="119">
        <f>ROUND(INDEX('Table 2C SolarFixed'!$C$70:$C$82,MATCH($B20,'Table 2C SolarFixed'!$A$70:$A$82,0))/10,3)</f>
        <v>2.6840000000000002</v>
      </c>
      <c r="D20" s="119">
        <f>ROUND(INDEX('Table 2C SolarFixed'!$G$70:$G$82,MATCH($B20,'Table 2C SolarFixed'!$A$70:$A$82,0))/10,3)</f>
        <v>3.3759999999999999</v>
      </c>
      <c r="E20" s="119">
        <f>ROUND(INDEX('Table 2C SolarFixed'!$D$70:$D$82,MATCH($B20,'Table 2C SolarFixed'!$A$70:$A$82,0))/10,3)</f>
        <v>2.4529999999999998</v>
      </c>
      <c r="F20" s="119">
        <f>ROUND(INDEX('Table 2C SolarFixed'!$H$70:$H$82,MATCH($B20,'Table 2C SolarFixed'!$A$70:$A$82,0))/10,3)</f>
        <v>2.7250000000000001</v>
      </c>
      <c r="G20" s="119"/>
      <c r="I20" s="191">
        <f t="shared" si="9"/>
        <v>0.92999999999999994</v>
      </c>
      <c r="J20" s="191"/>
      <c r="K20" s="183">
        <f t="shared" si="0"/>
        <v>8146.7999999999993</v>
      </c>
      <c r="L20" s="192">
        <f t="shared" si="10"/>
        <v>21866.011199999997</v>
      </c>
      <c r="M20" s="183">
        <f t="shared" si="11"/>
        <v>0</v>
      </c>
      <c r="O20" s="192">
        <f t="shared" si="12"/>
        <v>27503.596799999996</v>
      </c>
      <c r="P20" s="183">
        <f t="shared" si="13"/>
        <v>0</v>
      </c>
      <c r="R20" s="192">
        <f t="shared" si="14"/>
        <v>19984.100399999999</v>
      </c>
      <c r="S20" s="183">
        <f t="shared" si="15"/>
        <v>0</v>
      </c>
      <c r="U20" s="192">
        <f t="shared" si="16"/>
        <v>22200.03</v>
      </c>
      <c r="V20" s="183">
        <f t="shared" si="17"/>
        <v>0</v>
      </c>
      <c r="X20" s="120"/>
      <c r="Y20" s="120"/>
      <c r="Z20" s="120"/>
    </row>
    <row r="21" spans="1:26" x14ac:dyDescent="0.2">
      <c r="A21" s="117"/>
      <c r="B21" s="485">
        <f t="shared" si="18"/>
        <v>2028</v>
      </c>
      <c r="C21" s="486">
        <f>ROUND(INDEX('Table 2C SolarFixed'!$C$70:$C$82,MATCH($B21,'Table 2C SolarFixed'!$A$70:$A$82,0))/10,3)</f>
        <v>3.2890000000000001</v>
      </c>
      <c r="D21" s="486">
        <f>ROUND(INDEX('Table 2C SolarFixed'!$G$70:$G$82,MATCH($B21,'Table 2C SolarFixed'!$A$70:$A$82,0))/10,3)</f>
        <v>4.0709999999999997</v>
      </c>
      <c r="E21" s="486">
        <f>ROUND(INDEX('Table 2C SolarFixed'!$D$70:$D$82,MATCH($B21,'Table 2C SolarFixed'!$A$70:$A$82,0))/10,3)</f>
        <v>3.0209999999999999</v>
      </c>
      <c r="F21" s="486">
        <f>ROUND(INDEX('Table 2C SolarFixed'!$H$70:$H$82,MATCH($B21,'Table 2C SolarFixed'!$A$70:$A$82,0))/10,3)</f>
        <v>3.3210000000000002</v>
      </c>
      <c r="G21" s="119"/>
      <c r="H21" s="193"/>
      <c r="I21" s="191">
        <f t="shared" si="9"/>
        <v>0.92299999999999993</v>
      </c>
      <c r="J21" s="191"/>
      <c r="K21" s="183">
        <f t="shared" si="0"/>
        <v>8085.48</v>
      </c>
      <c r="L21" s="192">
        <f t="shared" si="10"/>
        <v>26593.14372</v>
      </c>
      <c r="M21" s="183">
        <f t="shared" si="11"/>
        <v>0</v>
      </c>
      <c r="O21" s="192">
        <f t="shared" si="12"/>
        <v>32915.989079999999</v>
      </c>
      <c r="P21" s="183">
        <f t="shared" si="13"/>
        <v>0</v>
      </c>
      <c r="R21" s="192">
        <f t="shared" si="14"/>
        <v>24426.235079999999</v>
      </c>
      <c r="S21" s="183">
        <f t="shared" si="15"/>
        <v>0</v>
      </c>
      <c r="U21" s="192">
        <f t="shared" si="16"/>
        <v>26851.879079999999</v>
      </c>
      <c r="V21" s="183">
        <f t="shared" si="17"/>
        <v>0</v>
      </c>
      <c r="W21" s="121"/>
      <c r="X21" s="120"/>
      <c r="Y21" s="120"/>
      <c r="Z21" s="120"/>
    </row>
    <row r="22" spans="1:26" x14ac:dyDescent="0.2">
      <c r="A22" s="117"/>
      <c r="B22" s="331">
        <f t="shared" ref="B22" si="19">B21+1</f>
        <v>2029</v>
      </c>
      <c r="C22" s="120">
        <f>ROUND(INDEX('Tables 3 to 5'!AI:AI,MATCH(B22,'Tables 3 to 5'!B:B,0))/10,3)</f>
        <v>4.6989999999999998</v>
      </c>
      <c r="D22" s="120">
        <f t="shared" ref="D22" si="20">C22</f>
        <v>4.6989999999999998</v>
      </c>
      <c r="E22" s="120">
        <f>ROUND(INDEX('Tables 3 to 5'!AJ:AJ,MATCH(B22,'Tables 3 to 5'!B:B,0))/10,3)</f>
        <v>3.3610000000000002</v>
      </c>
      <c r="F22" s="120">
        <f t="shared" ref="F22" si="21">E22</f>
        <v>3.3610000000000002</v>
      </c>
      <c r="G22" s="119"/>
      <c r="I22" s="191">
        <f t="shared" si="9"/>
        <v>0.91599999999999993</v>
      </c>
      <c r="J22" s="191"/>
      <c r="K22" s="183">
        <f t="shared" si="0"/>
        <v>8024.1599999999989</v>
      </c>
      <c r="L22" s="192">
        <f t="shared" si="10"/>
        <v>37705.527839999995</v>
      </c>
      <c r="M22" s="183">
        <f t="shared" si="11"/>
        <v>0</v>
      </c>
      <c r="O22" s="192">
        <f t="shared" si="12"/>
        <v>37705.527839999995</v>
      </c>
      <c r="P22" s="183">
        <f t="shared" si="13"/>
        <v>0</v>
      </c>
      <c r="R22" s="192">
        <f t="shared" si="14"/>
        <v>26969.20176</v>
      </c>
      <c r="S22" s="183">
        <f t="shared" si="15"/>
        <v>0</v>
      </c>
      <c r="U22" s="192">
        <f t="shared" si="16"/>
        <v>26969.20176</v>
      </c>
      <c r="V22" s="183">
        <f t="shared" si="17"/>
        <v>0</v>
      </c>
      <c r="X22" s="120"/>
      <c r="Y22" s="120"/>
      <c r="Z22" s="120"/>
    </row>
    <row r="23" spans="1:26" x14ac:dyDescent="0.2">
      <c r="A23" s="117"/>
      <c r="B23" s="331">
        <f t="shared" si="18"/>
        <v>2030</v>
      </c>
      <c r="C23" s="120">
        <f>ROUND(INDEX('Tables 3 to 5'!AI:AI,MATCH(B23,'Tables 3 to 5'!B:B,0))/10,3)</f>
        <v>4.9790000000000001</v>
      </c>
      <c r="D23" s="120">
        <f t="shared" ref="D23:D28" si="22">C23</f>
        <v>4.9790000000000001</v>
      </c>
      <c r="E23" s="120">
        <f>ROUND(INDEX('Tables 3 to 5'!AJ:AJ,MATCH(B23,'Tables 3 to 5'!B:B,0))/10,3)</f>
        <v>3.61</v>
      </c>
      <c r="F23" s="120">
        <f t="shared" ref="F23:F28" si="23">E23</f>
        <v>3.61</v>
      </c>
      <c r="G23" s="120"/>
      <c r="I23" s="191">
        <f t="shared" si="9"/>
        <v>0.90899999999999992</v>
      </c>
      <c r="J23" s="191"/>
      <c r="K23" s="183">
        <f t="shared" si="0"/>
        <v>7962.8399999999992</v>
      </c>
      <c r="L23" s="192">
        <f t="shared" si="10"/>
        <v>39646.980359999994</v>
      </c>
      <c r="M23" s="183">
        <f t="shared" si="11"/>
        <v>0</v>
      </c>
      <c r="O23" s="192">
        <f t="shared" si="12"/>
        <v>39646.980359999994</v>
      </c>
      <c r="P23" s="183">
        <f t="shared" si="13"/>
        <v>0</v>
      </c>
      <c r="R23" s="192">
        <f t="shared" si="14"/>
        <v>28745.852399999996</v>
      </c>
      <c r="S23" s="183">
        <f t="shared" si="15"/>
        <v>0</v>
      </c>
      <c r="U23" s="192">
        <f t="shared" si="16"/>
        <v>28745.852399999996</v>
      </c>
      <c r="V23" s="183">
        <f t="shared" si="17"/>
        <v>0</v>
      </c>
      <c r="X23" s="120"/>
      <c r="Y23" s="120"/>
      <c r="Z23" s="120"/>
    </row>
    <row r="24" spans="1:26" x14ac:dyDescent="0.2">
      <c r="A24" s="117"/>
      <c r="B24" s="331">
        <f t="shared" si="18"/>
        <v>2031</v>
      </c>
      <c r="C24" s="120">
        <f>ROUND(INDEX('Tables 3 to 5'!AI:AI,MATCH(B24,'Tables 3 to 5'!B:B,0))/10,3)</f>
        <v>5.1719999999999997</v>
      </c>
      <c r="D24" s="119">
        <f t="shared" si="22"/>
        <v>5.1719999999999997</v>
      </c>
      <c r="E24" s="120">
        <f>ROUND(INDEX('Tables 3 to 5'!AJ:AJ,MATCH(B24,'Tables 3 to 5'!B:B,0))/10,3)</f>
        <v>3.7690000000000001</v>
      </c>
      <c r="F24" s="120">
        <f t="shared" si="23"/>
        <v>3.7690000000000001</v>
      </c>
      <c r="G24" s="120"/>
      <c r="I24" s="191">
        <f t="shared" si="9"/>
        <v>0.90199999999999991</v>
      </c>
      <c r="J24" s="191"/>
      <c r="K24" s="183">
        <f t="shared" si="0"/>
        <v>7901.5199999999995</v>
      </c>
      <c r="L24" s="192">
        <f t="shared" si="10"/>
        <v>40866.661439999989</v>
      </c>
      <c r="M24" s="183">
        <f t="shared" si="11"/>
        <v>0</v>
      </c>
      <c r="O24" s="192">
        <f t="shared" si="12"/>
        <v>40866.661439999989</v>
      </c>
      <c r="P24" s="183">
        <f t="shared" si="13"/>
        <v>0</v>
      </c>
      <c r="R24" s="192">
        <f t="shared" si="14"/>
        <v>29780.828880000001</v>
      </c>
      <c r="S24" s="183">
        <f t="shared" si="15"/>
        <v>0</v>
      </c>
      <c r="U24" s="192">
        <f t="shared" si="16"/>
        <v>29780.828880000001</v>
      </c>
      <c r="V24" s="183">
        <f t="shared" si="17"/>
        <v>0</v>
      </c>
      <c r="X24" s="120"/>
      <c r="Y24" s="120"/>
      <c r="Z24" s="120"/>
    </row>
    <row r="25" spans="1:26" x14ac:dyDescent="0.2">
      <c r="A25" s="117"/>
      <c r="B25" s="331">
        <f t="shared" si="18"/>
        <v>2032</v>
      </c>
      <c r="C25" s="120">
        <f>ROUND(INDEX('Tables 3 to 5'!AI:AI,MATCH(B25,'Tables 3 to 5'!B:B,0))/10,3)</f>
        <v>5.391</v>
      </c>
      <c r="D25" s="119">
        <f t="shared" si="22"/>
        <v>5.391</v>
      </c>
      <c r="E25" s="120">
        <f>ROUND(INDEX('Tables 3 to 5'!AJ:AJ,MATCH(B25,'Tables 3 to 5'!B:B,0))/10,3)</f>
        <v>3.9540000000000002</v>
      </c>
      <c r="F25" s="120">
        <f t="shared" si="23"/>
        <v>3.9540000000000002</v>
      </c>
      <c r="G25" s="120"/>
      <c r="I25" s="191">
        <f t="shared" si="9"/>
        <v>0.89499999999999991</v>
      </c>
      <c r="J25" s="191"/>
      <c r="K25" s="183">
        <f t="shared" si="0"/>
        <v>7840.1999999999989</v>
      </c>
      <c r="L25" s="192">
        <f t="shared" si="10"/>
        <v>42266.518199999999</v>
      </c>
      <c r="M25" s="183">
        <f t="shared" si="11"/>
        <v>0</v>
      </c>
      <c r="O25" s="192">
        <f t="shared" si="12"/>
        <v>42266.518199999999</v>
      </c>
      <c r="P25" s="183">
        <f t="shared" si="13"/>
        <v>0</v>
      </c>
      <c r="R25" s="192">
        <f t="shared" si="14"/>
        <v>31000.150799999996</v>
      </c>
      <c r="S25" s="183">
        <f t="shared" si="15"/>
        <v>0</v>
      </c>
      <c r="U25" s="192">
        <f t="shared" si="16"/>
        <v>31000.150799999996</v>
      </c>
      <c r="V25" s="183">
        <f t="shared" si="17"/>
        <v>0</v>
      </c>
      <c r="X25" s="120"/>
      <c r="Y25" s="120"/>
      <c r="Z25" s="120"/>
    </row>
    <row r="26" spans="1:26" x14ac:dyDescent="0.2">
      <c r="A26" s="117"/>
      <c r="B26" s="331">
        <f t="shared" si="18"/>
        <v>2033</v>
      </c>
      <c r="C26" s="120">
        <f>ROUND(INDEX('Tables 3 to 5'!AI:AI,MATCH(B26,'Tables 3 to 5'!B:B,0))/10,3)</f>
        <v>5.681</v>
      </c>
      <c r="D26" s="119">
        <f t="shared" si="22"/>
        <v>5.681</v>
      </c>
      <c r="E26" s="120">
        <f>ROUND(INDEX('Tables 3 to 5'!AJ:AJ,MATCH(B26,'Tables 3 to 5'!B:B,0))/10,3)</f>
        <v>4.21</v>
      </c>
      <c r="F26" s="120">
        <f t="shared" si="23"/>
        <v>4.21</v>
      </c>
      <c r="G26" s="120"/>
      <c r="I26" s="191">
        <f t="shared" si="9"/>
        <v>0.8879999999999999</v>
      </c>
      <c r="J26" s="191"/>
      <c r="K26" s="183">
        <f t="shared" si="0"/>
        <v>7778.8799999999992</v>
      </c>
      <c r="L26" s="192">
        <f t="shared" si="10"/>
        <v>44191.817279999996</v>
      </c>
      <c r="M26" s="183">
        <f t="shared" si="11"/>
        <v>0</v>
      </c>
      <c r="O26" s="192">
        <f t="shared" si="12"/>
        <v>44191.817279999996</v>
      </c>
      <c r="P26" s="183">
        <f t="shared" si="13"/>
        <v>0</v>
      </c>
      <c r="R26" s="192">
        <f t="shared" si="14"/>
        <v>32749.084799999993</v>
      </c>
      <c r="S26" s="183">
        <f t="shared" si="15"/>
        <v>0</v>
      </c>
      <c r="U26" s="192">
        <f t="shared" si="16"/>
        <v>32749.084799999993</v>
      </c>
      <c r="V26" s="183">
        <f t="shared" si="17"/>
        <v>0</v>
      </c>
      <c r="X26" s="120"/>
      <c r="Y26" s="120"/>
      <c r="Z26" s="120"/>
    </row>
    <row r="27" spans="1:26" x14ac:dyDescent="0.2">
      <c r="A27" s="117"/>
      <c r="B27" s="331">
        <f t="shared" si="18"/>
        <v>2034</v>
      </c>
      <c r="C27" s="120">
        <f>ROUND(INDEX('Tables 3 to 5'!AI:AI,MATCH(B27,'Tables 3 to 5'!B:B,0))/10,3)</f>
        <v>5.8959999999999999</v>
      </c>
      <c r="D27" s="119">
        <f t="shared" si="22"/>
        <v>5.8959999999999999</v>
      </c>
      <c r="E27" s="120">
        <f>ROUND(INDEX('Tables 3 to 5'!AJ:AJ,MATCH(B27,'Tables 3 to 5'!B:B,0))/10,3)</f>
        <v>4.3890000000000002</v>
      </c>
      <c r="F27" s="120">
        <f>E27</f>
        <v>4.3890000000000002</v>
      </c>
      <c r="G27" s="120"/>
      <c r="I27" s="191">
        <f t="shared" si="9"/>
        <v>0.88099999999999989</v>
      </c>
      <c r="J27" s="191"/>
      <c r="K27" s="183">
        <f t="shared" si="0"/>
        <v>7717.5599999999995</v>
      </c>
      <c r="L27" s="192">
        <f t="shared" si="10"/>
        <v>45502.733759999996</v>
      </c>
      <c r="M27" s="183">
        <f t="shared" si="11"/>
        <v>0</v>
      </c>
      <c r="O27" s="192">
        <f t="shared" si="12"/>
        <v>45502.733759999996</v>
      </c>
      <c r="P27" s="183">
        <f t="shared" si="13"/>
        <v>0</v>
      </c>
      <c r="R27" s="192">
        <f t="shared" si="14"/>
        <v>33872.370839999996</v>
      </c>
      <c r="S27" s="183">
        <f t="shared" si="15"/>
        <v>0</v>
      </c>
      <c r="U27" s="192">
        <f t="shared" si="16"/>
        <v>33872.370839999996</v>
      </c>
      <c r="V27" s="183">
        <f t="shared" si="17"/>
        <v>0</v>
      </c>
      <c r="X27" s="120"/>
      <c r="Y27" s="120"/>
      <c r="Z27" s="120"/>
    </row>
    <row r="28" spans="1:26" x14ac:dyDescent="0.2">
      <c r="A28" s="117"/>
      <c r="B28" s="331">
        <f t="shared" si="18"/>
        <v>2035</v>
      </c>
      <c r="C28" s="120">
        <f>ROUND(INDEX('Tables 3 to 5'!AI:AI,MATCH(B28,'Tables 3 to 5'!B:B,0))/10,3)</f>
        <v>6.1180000000000003</v>
      </c>
      <c r="D28" s="119">
        <f t="shared" si="22"/>
        <v>6.1180000000000003</v>
      </c>
      <c r="E28" s="120">
        <f>ROUND(INDEX('Tables 3 to 5'!AJ:AJ,MATCH(B28,'Tables 3 to 5'!B:B,0))/10,3)</f>
        <v>4.5750000000000002</v>
      </c>
      <c r="F28" s="120">
        <f t="shared" si="23"/>
        <v>4.5750000000000002</v>
      </c>
      <c r="G28" s="120"/>
      <c r="I28" s="191">
        <f t="shared" si="9"/>
        <v>0.87399999999999989</v>
      </c>
      <c r="J28" s="191"/>
      <c r="K28" s="183">
        <f t="shared" si="0"/>
        <v>7656.2399999999989</v>
      </c>
      <c r="L28" s="192">
        <f t="shared" si="10"/>
        <v>46840.876319999996</v>
      </c>
      <c r="M28" s="183">
        <f t="shared" si="11"/>
        <v>0</v>
      </c>
      <c r="O28" s="192">
        <f t="shared" si="12"/>
        <v>46840.876319999996</v>
      </c>
      <c r="P28" s="183">
        <f t="shared" si="13"/>
        <v>0</v>
      </c>
      <c r="R28" s="192">
        <f t="shared" si="14"/>
        <v>35027.297999999995</v>
      </c>
      <c r="S28" s="183">
        <f t="shared" si="15"/>
        <v>0</v>
      </c>
      <c r="U28" s="192">
        <f t="shared" si="16"/>
        <v>35027.297999999995</v>
      </c>
      <c r="V28" s="183">
        <f t="shared" si="17"/>
        <v>0</v>
      </c>
      <c r="X28" s="120"/>
      <c r="Y28" s="120"/>
      <c r="Z28" s="120"/>
    </row>
    <row r="29" spans="1:26" x14ac:dyDescent="0.2">
      <c r="A29" s="117"/>
      <c r="B29" s="118">
        <f t="shared" si="18"/>
        <v>2036</v>
      </c>
      <c r="C29" s="120">
        <f>ROUND(INDEX('Tables 3 to 5'!AI:AI,MATCH(B29,'Tables 3 to 5'!B:B,0))/10,3)</f>
        <v>6.4950000000000001</v>
      </c>
      <c r="D29" s="119">
        <f t="shared" ref="D29:D30" si="24">C29</f>
        <v>6.4950000000000001</v>
      </c>
      <c r="E29" s="120">
        <f>ROUND(INDEX('Tables 3 to 5'!AJ:AJ,MATCH(B29,'Tables 3 to 5'!B:B,0))/10,3)</f>
        <v>4.915</v>
      </c>
      <c r="F29" s="120">
        <f t="shared" ref="F29:F30" si="25">E29</f>
        <v>4.915</v>
      </c>
      <c r="G29" s="120"/>
      <c r="I29" s="191">
        <f t="shared" si="9"/>
        <v>0.86699999999999988</v>
      </c>
      <c r="J29" s="191"/>
      <c r="K29" s="183">
        <f t="shared" si="0"/>
        <v>7594.9199999999992</v>
      </c>
      <c r="L29" s="192">
        <f t="shared" ref="L29:L30" si="26">C29*1*8760*$I29</f>
        <v>49329.005399999995</v>
      </c>
      <c r="M29" s="183">
        <f t="shared" ref="M29:M30" si="27">K29*$M$37</f>
        <v>0</v>
      </c>
      <c r="O29" s="192">
        <f t="shared" ref="O29:O30" si="28">D29*1*8760*$I29</f>
        <v>49329.005399999995</v>
      </c>
      <c r="P29" s="183">
        <f t="shared" ref="P29:P30" si="29">K29*$P$37</f>
        <v>0</v>
      </c>
      <c r="R29" s="192">
        <f t="shared" ref="R29:R30" si="30">E29*1*8760*$I29</f>
        <v>37329.031799999997</v>
      </c>
      <c r="S29" s="183">
        <f t="shared" ref="S29:S30" si="31">K29*$S$37</f>
        <v>0</v>
      </c>
      <c r="U29" s="192">
        <f t="shared" ref="U29:U30" si="32">F29*1*8760*$I29</f>
        <v>37329.031799999997</v>
      </c>
      <c r="V29" s="183">
        <f t="shared" ref="V29:V30" si="33">K29*$V$37</f>
        <v>0</v>
      </c>
      <c r="X29" s="120"/>
      <c r="Y29" s="120"/>
      <c r="Z29" s="120"/>
    </row>
    <row r="30" spans="1:26" x14ac:dyDescent="0.2">
      <c r="A30" s="117"/>
      <c r="B30" s="118">
        <f t="shared" si="18"/>
        <v>2037</v>
      </c>
      <c r="C30" s="120">
        <f>ROUND(INDEX('Tables 3 to 5'!AI:AI,MATCH(B30,'Tables 3 to 5'!B:B,0))/10,3)</f>
        <v>6.7080000000000002</v>
      </c>
      <c r="D30" s="119">
        <f t="shared" si="24"/>
        <v>6.7080000000000002</v>
      </c>
      <c r="E30" s="120">
        <f>ROUND(INDEX('Tables 3 to 5'!AJ:AJ,MATCH(B30,'Tables 3 to 5'!B:B,0))/10,3)</f>
        <v>5.0890000000000004</v>
      </c>
      <c r="F30" s="120">
        <f t="shared" si="25"/>
        <v>5.0890000000000004</v>
      </c>
      <c r="G30" s="120"/>
      <c r="H30" s="183" t="str">
        <f>'Table 6'!$P$39</f>
        <v>Discount Rate - 2017 IRP</v>
      </c>
      <c r="I30" s="191">
        <f t="shared" si="9"/>
        <v>0.85999999999999988</v>
      </c>
      <c r="J30" s="191"/>
      <c r="K30" s="183">
        <f t="shared" si="0"/>
        <v>7533.5999999999985</v>
      </c>
      <c r="L30" s="192">
        <f t="shared" si="26"/>
        <v>50535.388799999993</v>
      </c>
      <c r="M30" s="183">
        <f t="shared" si="27"/>
        <v>0</v>
      </c>
      <c r="O30" s="192">
        <f t="shared" si="28"/>
        <v>50535.388799999993</v>
      </c>
      <c r="P30" s="183">
        <f t="shared" si="29"/>
        <v>0</v>
      </c>
      <c r="R30" s="192">
        <f t="shared" si="30"/>
        <v>38338.490400000002</v>
      </c>
      <c r="S30" s="183">
        <f t="shared" si="31"/>
        <v>0</v>
      </c>
      <c r="U30" s="192">
        <f t="shared" si="32"/>
        <v>38338.490400000002</v>
      </c>
      <c r="V30" s="183">
        <f t="shared" si="33"/>
        <v>0</v>
      </c>
      <c r="X30" s="120"/>
      <c r="Y30" s="120"/>
      <c r="Z30" s="120"/>
    </row>
    <row r="31" spans="1:26" ht="12.75" customHeight="1" x14ac:dyDescent="0.2">
      <c r="A31" s="117"/>
      <c r="B31" s="118"/>
      <c r="C31" s="120"/>
      <c r="D31" s="119"/>
      <c r="E31" s="120"/>
      <c r="F31" s="120"/>
      <c r="G31" s="120"/>
      <c r="H31" s="194">
        <f>'Table 6'!$P$40</f>
        <v>6.5699999999999995E-2</v>
      </c>
      <c r="I31" s="191"/>
      <c r="J31" s="191"/>
      <c r="L31" s="192"/>
      <c r="O31" s="192"/>
      <c r="R31" s="192"/>
      <c r="U31" s="192"/>
      <c r="W31" s="122"/>
      <c r="X31" s="120"/>
      <c r="Y31" s="120"/>
      <c r="Z31" s="120"/>
    </row>
    <row r="32" spans="1:26" x14ac:dyDescent="0.2">
      <c r="A32" s="117"/>
      <c r="B32" s="118"/>
      <c r="C32" s="120"/>
      <c r="D32" s="119"/>
      <c r="E32" s="120"/>
      <c r="F32" s="120"/>
      <c r="G32" s="120"/>
      <c r="I32" s="191"/>
      <c r="J32" s="191"/>
      <c r="L32" s="192"/>
      <c r="O32" s="192"/>
      <c r="R32" s="192"/>
      <c r="U32" s="192"/>
      <c r="X32" s="120"/>
      <c r="Y32" s="120"/>
      <c r="Z32" s="120"/>
    </row>
    <row r="33" spans="1:27" hidden="1" x14ac:dyDescent="0.2">
      <c r="A33" s="117"/>
      <c r="B33" s="118"/>
      <c r="C33" s="120"/>
      <c r="D33" s="119"/>
      <c r="E33" s="120"/>
      <c r="F33" s="120"/>
      <c r="G33" s="120"/>
      <c r="I33" s="191"/>
      <c r="J33" s="191"/>
      <c r="L33" s="192"/>
      <c r="O33" s="192"/>
      <c r="R33" s="192"/>
      <c r="U33" s="192"/>
      <c r="X33" s="120"/>
      <c r="Y33" s="120"/>
      <c r="Z33" s="120"/>
    </row>
    <row r="34" spans="1:27" hidden="1" x14ac:dyDescent="0.2">
      <c r="A34" s="117"/>
      <c r="B34" s="118"/>
      <c r="C34" s="117"/>
      <c r="D34" s="117"/>
      <c r="E34" s="117"/>
      <c r="F34" s="117"/>
      <c r="G34" s="117"/>
      <c r="I34" s="191"/>
      <c r="J34" s="191"/>
      <c r="L34" s="192"/>
      <c r="O34" s="192"/>
      <c r="R34" s="192"/>
      <c r="U34" s="192"/>
      <c r="X34" s="164"/>
      <c r="Y34" s="164"/>
      <c r="Z34" s="164"/>
    </row>
    <row r="35" spans="1:27" hidden="1" x14ac:dyDescent="0.2">
      <c r="A35" s="117"/>
      <c r="C35" s="115" t="s">
        <v>223</v>
      </c>
      <c r="D35" s="115"/>
      <c r="E35" s="115" t="s">
        <v>122</v>
      </c>
      <c r="F35" s="115"/>
      <c r="G35" s="115"/>
      <c r="L35" s="192"/>
      <c r="O35" s="192"/>
      <c r="R35" s="192"/>
      <c r="U35" s="192"/>
      <c r="X35" s="115"/>
      <c r="Y35" s="115"/>
      <c r="Z35" s="115"/>
    </row>
    <row r="36" spans="1:27" ht="14.25" hidden="1" x14ac:dyDescent="0.35">
      <c r="A36" s="117"/>
      <c r="B36" s="123"/>
      <c r="C36" s="116" t="s">
        <v>58</v>
      </c>
      <c r="D36" s="116" t="s">
        <v>59</v>
      </c>
      <c r="E36" s="116" t="s">
        <v>58</v>
      </c>
      <c r="F36" s="116" t="s">
        <v>59</v>
      </c>
      <c r="G36" s="116"/>
      <c r="I36" s="195"/>
      <c r="J36" s="196" t="s">
        <v>193</v>
      </c>
      <c r="K36" s="197">
        <f>NPV($H$31,K11:K25)</f>
        <v>78077.952544142769</v>
      </c>
      <c r="L36" s="197">
        <f>NPV($H$31,L11:L25)</f>
        <v>213798.38291219965</v>
      </c>
      <c r="M36" s="197">
        <f>NPV($H$31,M11:M25)</f>
        <v>0</v>
      </c>
      <c r="N36" s="197"/>
      <c r="O36" s="197">
        <f>NPV($H$31,O11:O25)</f>
        <v>245442.84175378541</v>
      </c>
      <c r="P36" s="197">
        <f>NPV($H$31,P11:P25)</f>
        <v>0</v>
      </c>
      <c r="Q36" s="197"/>
      <c r="R36" s="197">
        <f>NPV($H$31,R11:R25)</f>
        <v>178835.2073237029</v>
      </c>
      <c r="S36" s="197">
        <f>NPV($H$31,S11:S25)</f>
        <v>0</v>
      </c>
      <c r="T36" s="197"/>
      <c r="U36" s="197">
        <f>NPV($H$31,U11:U25)</f>
        <v>179593.07401129973</v>
      </c>
      <c r="V36" s="197">
        <f>NPV($H$31,V11:V25)</f>
        <v>0</v>
      </c>
      <c r="X36" s="116"/>
      <c r="Y36" s="116"/>
      <c r="Z36" s="116"/>
    </row>
    <row r="37" spans="1:27" ht="28.5" hidden="1" customHeight="1" x14ac:dyDescent="0.2">
      <c r="B37" s="124" t="s">
        <v>339</v>
      </c>
      <c r="C37" s="125">
        <f>-PMT('Table 6'!$P$40,COUNT(C11:C25),NPV('Table 6'!$P$40,C11:C25))</f>
        <v>2.7702440450153234</v>
      </c>
      <c r="D37" s="125">
        <f>-PMT('Table 6'!$P$40,COUNT(D11:D25),NPV('Table 6'!$P$40,D11:D25))</f>
        <v>3.1733810091377266</v>
      </c>
      <c r="E37" s="125">
        <f>-PMT('Table 6'!$P$40,COUNT(E11:E25),NPV('Table 6'!$P$40,E11:E25))</f>
        <v>2.3125800615157868</v>
      </c>
      <c r="F37" s="125">
        <f>-PMT('Table 6'!$P$40,COUNT(F11:F25),NPV('Table 6'!$P$40,F11:F25))</f>
        <v>2.3246939229733474</v>
      </c>
      <c r="G37" s="125"/>
      <c r="I37" s="198"/>
      <c r="J37" s="198"/>
      <c r="K37" s="196"/>
      <c r="X37" s="125"/>
      <c r="Y37" s="125"/>
      <c r="Z37" s="125"/>
    </row>
    <row r="38" spans="1:27" hidden="1" x14ac:dyDescent="0.2">
      <c r="A38" s="123"/>
      <c r="I38" s="199"/>
      <c r="J38" s="199" t="s">
        <v>268</v>
      </c>
      <c r="K38" s="200">
        <f>-PMT($H$31,COUNT(K11:K25),NPV($H$31,K11:K25))</f>
        <v>8341.188295779446</v>
      </c>
      <c r="L38" s="200">
        <f>-PMT($H$31,COUNT(L11:L25),NPV($H$31,L11:L25))</f>
        <v>22840.411551462916</v>
      </c>
      <c r="M38" s="202">
        <f>L38/K38</f>
        <v>2.7382683068094655</v>
      </c>
      <c r="N38" s="201"/>
      <c r="O38" s="200">
        <f>-PMT($H$31,COUNT(O11:O25),NPV($H$31,O11:O25))</f>
        <v>26221.037978193039</v>
      </c>
      <c r="P38" s="202">
        <f>O38/K38</f>
        <v>3.1435614505262528</v>
      </c>
      <c r="Q38" s="201"/>
      <c r="R38" s="200">
        <f>-PMT($H$31,COUNT(R11:R25),NPV($H$31,R11:R25))</f>
        <v>19105.241487453233</v>
      </c>
      <c r="S38" s="202">
        <f>R38/K38</f>
        <v>2.2904699918020417</v>
      </c>
      <c r="T38" s="201"/>
      <c r="U38" s="200">
        <f>-PMT($H$31,COUNT(U11:U25),NPV($H$31,U11:U25))</f>
        <v>19186.205556545206</v>
      </c>
      <c r="V38" s="202">
        <f>U38/K38</f>
        <v>2.3001765307532054</v>
      </c>
    </row>
    <row r="39" spans="1:27" hidden="1" x14ac:dyDescent="0.2">
      <c r="K39" s="203"/>
      <c r="L39" s="204"/>
      <c r="M39" s="205"/>
      <c r="O39" s="204"/>
      <c r="P39" s="205"/>
      <c r="R39" s="204"/>
      <c r="S39" s="205"/>
      <c r="U39" s="204"/>
      <c r="V39" s="205"/>
    </row>
    <row r="40" spans="1:27" x14ac:dyDescent="0.2">
      <c r="C40" s="115" t="s">
        <v>223</v>
      </c>
      <c r="D40" s="115"/>
      <c r="E40" s="115" t="s">
        <v>122</v>
      </c>
      <c r="F40" s="115"/>
      <c r="L40" s="206"/>
      <c r="O40" s="206"/>
      <c r="R40" s="206"/>
      <c r="U40" s="206"/>
    </row>
    <row r="41" spans="1:27" ht="36" x14ac:dyDescent="0.35">
      <c r="A41" s="127"/>
      <c r="B41" s="124" t="s">
        <v>341</v>
      </c>
      <c r="C41" s="116" t="s">
        <v>58</v>
      </c>
      <c r="D41" s="116" t="s">
        <v>59</v>
      </c>
      <c r="E41" s="116" t="s">
        <v>58</v>
      </c>
      <c r="F41" s="116" t="s">
        <v>59</v>
      </c>
      <c r="G41" s="125"/>
      <c r="X41" s="125"/>
      <c r="Y41" s="125"/>
      <c r="Z41" s="125"/>
    </row>
    <row r="42" spans="1:27" x14ac:dyDescent="0.2">
      <c r="A42" s="127"/>
      <c r="B42" s="125"/>
      <c r="C42" s="125">
        <f>M38</f>
        <v>2.7382683068094655</v>
      </c>
      <c r="D42" s="125">
        <f>P38</f>
        <v>3.1435614505262528</v>
      </c>
      <c r="E42" s="125">
        <f>S38</f>
        <v>2.2904699918020417</v>
      </c>
      <c r="F42" s="125">
        <f>V38</f>
        <v>2.3001765307532054</v>
      </c>
    </row>
    <row r="43" spans="1:27" x14ac:dyDescent="0.2">
      <c r="A43" s="117"/>
      <c r="AA43" s="170"/>
    </row>
    <row r="44" spans="1:27" x14ac:dyDescent="0.2">
      <c r="A44" s="126"/>
      <c r="B44" s="143" t="s">
        <v>346</v>
      </c>
      <c r="G44" s="115"/>
      <c r="X44" s="115"/>
      <c r="Y44" s="115"/>
      <c r="Z44" s="115"/>
    </row>
    <row r="45" spans="1:27" ht="14.25" x14ac:dyDescent="0.35">
      <c r="A45" s="127"/>
      <c r="B45" s="143" t="s">
        <v>180</v>
      </c>
      <c r="G45" s="116"/>
      <c r="X45" s="116"/>
      <c r="Y45" s="116"/>
      <c r="Z45" s="116"/>
    </row>
    <row r="46" spans="1:27" x14ac:dyDescent="0.2">
      <c r="B46" s="143" t="s">
        <v>194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AI46"/>
  <sheetViews>
    <sheetView showGridLines="0" topLeftCell="A5" zoomScale="90" zoomScaleNormal="90" workbookViewId="0">
      <selection activeCell="B44" sqref="B44"/>
    </sheetView>
  </sheetViews>
  <sheetFormatPr defaultRowHeight="12" x14ac:dyDescent="0.2"/>
  <cols>
    <col min="1" max="1" width="2.83203125" style="112" customWidth="1"/>
    <col min="2" max="2" width="24" style="112" customWidth="1"/>
    <col min="3" max="6" width="18.83203125" style="112" customWidth="1"/>
    <col min="7" max="7" width="4.6640625" style="112" customWidth="1"/>
    <col min="8" max="8" width="9.33203125" style="207"/>
    <col min="9" max="9" width="11.6640625" style="183" customWidth="1"/>
    <col min="10" max="10" width="3.5" style="183" customWidth="1"/>
    <col min="11" max="11" width="17.1640625" style="183" customWidth="1"/>
    <col min="12" max="12" width="12.5" style="183" customWidth="1"/>
    <col min="13" max="13" width="11" style="183" customWidth="1"/>
    <col min="14" max="14" width="3.83203125" style="183" customWidth="1"/>
    <col min="15" max="16" width="12.5" style="183" customWidth="1"/>
    <col min="17" max="17" width="3.83203125" style="183" customWidth="1"/>
    <col min="18" max="19" width="12.5" style="183" customWidth="1"/>
    <col min="20" max="20" width="3.33203125" style="183" customWidth="1"/>
    <col min="21" max="22" width="12.5" style="183" customWidth="1"/>
    <col min="23" max="25" width="4.6640625" style="167" customWidth="1"/>
    <col min="26" max="34" width="5.83203125" style="167" customWidth="1"/>
    <col min="35" max="35" width="9.33203125" style="167"/>
    <col min="36" max="16384" width="9.33203125" style="112"/>
  </cols>
  <sheetData>
    <row r="1" spans="1:31" x14ac:dyDescent="0.2">
      <c r="A1" s="2"/>
      <c r="B1" s="2"/>
      <c r="C1" s="2"/>
      <c r="D1" s="2"/>
      <c r="E1" s="2"/>
      <c r="F1" s="2"/>
      <c r="G1" s="114"/>
      <c r="I1" s="182"/>
      <c r="J1" s="182"/>
      <c r="W1" s="113"/>
      <c r="X1" s="113"/>
      <c r="Y1" s="113"/>
      <c r="Z1" s="113"/>
      <c r="AA1" s="113"/>
    </row>
    <row r="2" spans="1:31" x14ac:dyDescent="0.2">
      <c r="A2" s="2"/>
      <c r="B2" s="2" t="s">
        <v>101</v>
      </c>
      <c r="C2" s="2"/>
      <c r="D2" s="2"/>
      <c r="E2" s="2"/>
      <c r="F2" s="2"/>
      <c r="G2" s="114"/>
      <c r="I2" s="182"/>
      <c r="J2" s="182"/>
      <c r="W2" s="113"/>
      <c r="X2" s="113"/>
      <c r="Y2" s="113"/>
      <c r="Z2" s="113"/>
      <c r="AA2" s="113"/>
    </row>
    <row r="3" spans="1:31" x14ac:dyDescent="0.2">
      <c r="G3" s="114"/>
      <c r="I3" s="182"/>
      <c r="J3" s="182"/>
      <c r="W3" s="113"/>
      <c r="X3" s="113"/>
      <c r="Y3" s="113"/>
      <c r="Z3" s="113"/>
      <c r="AA3" s="113"/>
    </row>
    <row r="4" spans="1:31" x14ac:dyDescent="0.2">
      <c r="A4" s="113"/>
      <c r="B4" s="142" t="s">
        <v>183</v>
      </c>
      <c r="C4" s="113"/>
      <c r="D4" s="113"/>
      <c r="E4" s="113"/>
      <c r="F4" s="113"/>
      <c r="G4" s="114"/>
      <c r="I4" s="184"/>
      <c r="J4" s="184"/>
      <c r="L4" s="185"/>
      <c r="O4" s="185"/>
      <c r="R4" s="185"/>
      <c r="U4" s="185"/>
      <c r="W4" s="113"/>
      <c r="X4" s="113"/>
      <c r="Y4" s="113"/>
      <c r="Z4" s="175"/>
      <c r="AA4" s="175"/>
    </row>
    <row r="5" spans="1:31" x14ac:dyDescent="0.2">
      <c r="A5" s="113"/>
      <c r="B5" s="113"/>
    </row>
    <row r="6" spans="1:31" x14ac:dyDescent="0.2">
      <c r="A6" s="113"/>
      <c r="B6" s="114" t="s">
        <v>123</v>
      </c>
      <c r="C6" s="115" t="s">
        <v>224</v>
      </c>
      <c r="D6" s="115"/>
      <c r="E6" s="115" t="s">
        <v>149</v>
      </c>
      <c r="F6" s="115"/>
      <c r="AA6" s="115"/>
      <c r="AB6" s="115"/>
    </row>
    <row r="7" spans="1:31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  <c r="J7" s="186"/>
      <c r="L7" s="183" t="s">
        <v>195</v>
      </c>
      <c r="O7" s="183" t="s">
        <v>196</v>
      </c>
      <c r="R7" s="183" t="s">
        <v>197</v>
      </c>
      <c r="U7" s="183" t="s">
        <v>198</v>
      </c>
      <c r="AA7" s="116"/>
      <c r="AC7" s="166"/>
      <c r="AD7" s="166"/>
      <c r="AE7" s="166"/>
    </row>
    <row r="8" spans="1:31" ht="14.25" x14ac:dyDescent="0.35">
      <c r="A8" s="117"/>
      <c r="B8" s="118"/>
      <c r="C8" s="119"/>
      <c r="D8" s="119"/>
      <c r="E8" s="119"/>
      <c r="F8" s="119"/>
      <c r="I8" s="187" t="s">
        <v>199</v>
      </c>
      <c r="J8" s="188"/>
      <c r="K8" s="189" t="s">
        <v>191</v>
      </c>
      <c r="L8" s="189" t="s">
        <v>190</v>
      </c>
      <c r="M8" s="183" t="s">
        <v>192</v>
      </c>
      <c r="O8" s="189" t="s">
        <v>190</v>
      </c>
      <c r="P8" s="183" t="s">
        <v>192</v>
      </c>
      <c r="R8" s="189" t="s">
        <v>190</v>
      </c>
      <c r="S8" s="183" t="s">
        <v>192</v>
      </c>
      <c r="U8" s="189" t="s">
        <v>190</v>
      </c>
      <c r="V8" s="183" t="s">
        <v>192</v>
      </c>
      <c r="Z8" s="176"/>
      <c r="AA8" s="177"/>
      <c r="AB8" s="178"/>
      <c r="AC8" s="178"/>
    </row>
    <row r="9" spans="1:31" x14ac:dyDescent="0.2">
      <c r="A9" s="117"/>
      <c r="B9" s="118"/>
      <c r="C9" s="119"/>
      <c r="D9" s="119"/>
      <c r="E9" s="119"/>
      <c r="F9" s="119"/>
      <c r="I9" s="190"/>
      <c r="J9" s="191"/>
      <c r="L9" s="192"/>
      <c r="O9" s="192"/>
      <c r="R9" s="192"/>
      <c r="U9" s="192"/>
      <c r="Z9" s="177"/>
      <c r="AA9" s="177"/>
      <c r="AB9" s="178"/>
      <c r="AC9" s="178"/>
    </row>
    <row r="10" spans="1:31" x14ac:dyDescent="0.2">
      <c r="A10" s="117"/>
      <c r="B10" s="331">
        <v>2017</v>
      </c>
      <c r="C10" s="120">
        <f>ROUND(INDEX('Table 2D SolarTracking'!$C$69:$C$82,MATCH($B10,'Table 2D SolarTracking'!$A$69:$A$82,0))/10,3)</f>
        <v>2.3650000000000002</v>
      </c>
      <c r="D10" s="120">
        <f>ROUND(INDEX('Table 2D SolarTracking'!$G$69:$G$82,MATCH($B10,'Table 2D SolarTracking'!$A$69:$A$82,0))/10,3)</f>
        <v>2.3759999999999999</v>
      </c>
      <c r="E10" s="120">
        <f>ROUND(INDEX('Table 2D SolarTracking'!$D$69:$D$82,MATCH($B10,'Table 2D SolarTracking'!$A$69:$A$82,0))/10,3)</f>
        <v>2.14</v>
      </c>
      <c r="F10" s="120">
        <f>ROUND(INDEX('Table 2D SolarTracking'!$H$69:$H$82,MATCH($B10,'Table 2D SolarTracking'!$A$69:$A$82,0))/10,3)</f>
        <v>1.71</v>
      </c>
      <c r="I10" s="190">
        <v>1</v>
      </c>
      <c r="J10" s="191"/>
      <c r="K10" s="183">
        <f t="shared" ref="K10:K28" si="0">1*8760*$I10</f>
        <v>8760</v>
      </c>
      <c r="L10" s="192">
        <f>C10*1*8760*$I10</f>
        <v>20717.400000000001</v>
      </c>
      <c r="M10" s="183">
        <f t="shared" ref="M10" si="1">K10*$M$38</f>
        <v>25188.355473110259</v>
      </c>
      <c r="O10" s="192">
        <f>D10*1*8760*$I10</f>
        <v>20813.759999999998</v>
      </c>
      <c r="P10" s="183">
        <f t="shared" ref="P10" si="2">K10*$P$38</f>
        <v>28738.723412069321</v>
      </c>
      <c r="R10" s="192">
        <f>E10*1*8760*$I10</f>
        <v>18746.400000000001</v>
      </c>
      <c r="S10" s="183">
        <f t="shared" ref="S10" si="3">K10*$S$38</f>
        <v>20064.517128185886</v>
      </c>
      <c r="U10" s="192">
        <f>F10*1*8760*$I10</f>
        <v>14979.6</v>
      </c>
      <c r="V10" s="183">
        <f t="shared" ref="V10" si="4">K10*$V$38</f>
        <v>20149.546409398081</v>
      </c>
      <c r="Z10" s="177"/>
      <c r="AA10" s="177"/>
      <c r="AB10" s="178"/>
      <c r="AC10" s="178"/>
    </row>
    <row r="11" spans="1:31" x14ac:dyDescent="0.2">
      <c r="A11" s="117"/>
      <c r="B11" s="331">
        <v>2018</v>
      </c>
      <c r="C11" s="120">
        <f>ROUND(INDEX('Table 2D SolarTracking'!$C$70:$C$82,MATCH($B11,'Table 2D SolarTracking'!$A$70:$A$82,0))/10,3)</f>
        <v>2.1150000000000002</v>
      </c>
      <c r="D11" s="120">
        <f>ROUND(INDEX('Table 2D SolarTracking'!$G$70:$G$82,MATCH($B11,'Table 2D SolarTracking'!$A$70:$A$82,0))/10,3)</f>
        <v>2.17</v>
      </c>
      <c r="E11" s="120">
        <f>ROUND(INDEX('Table 2D SolarTracking'!$D$70:$D$82,MATCH($B11,'Table 2D SolarTracking'!$A$70:$A$82,0))/10,3)</f>
        <v>1.88</v>
      </c>
      <c r="F11" s="120">
        <f>ROUND(INDEX('Table 2D SolarTracking'!$H$70:$H$82,MATCH($B11,'Table 2D SolarTracking'!$A$70:$A$82,0))/10,3)</f>
        <v>1.5669999999999999</v>
      </c>
      <c r="I11" s="191">
        <f t="shared" ref="I11:I28" si="5">I10-0.007</f>
        <v>0.99299999999999999</v>
      </c>
      <c r="J11" s="191"/>
      <c r="K11" s="183">
        <f t="shared" si="0"/>
        <v>8698.68</v>
      </c>
      <c r="L11" s="192">
        <f>C11*1*8760*$I11</f>
        <v>18397.708200000001</v>
      </c>
      <c r="M11" s="183">
        <f t="shared" ref="M11:M28" si="6">K11*$M$38</f>
        <v>25012.036984798488</v>
      </c>
      <c r="O11" s="192">
        <f>D11*1*8760*$I11</f>
        <v>18876.135600000001</v>
      </c>
      <c r="P11" s="183">
        <f t="shared" ref="P11:P28" si="7">K11*$P$38</f>
        <v>28537.552348184836</v>
      </c>
      <c r="R11" s="192">
        <f>E11*1*8760*$I11</f>
        <v>16353.518399999999</v>
      </c>
      <c r="S11" s="183">
        <f t="shared" ref="S11:S28" si="8">K11*$S$38</f>
        <v>19924.065508288586</v>
      </c>
      <c r="U11" s="192">
        <f>F11*1*8760*$I11</f>
        <v>13630.831560000001</v>
      </c>
      <c r="V11" s="183">
        <f t="shared" ref="V11:V28" si="9">K11*$V$38</f>
        <v>20008.499584532292</v>
      </c>
      <c r="Z11" s="177"/>
      <c r="AA11" s="177"/>
      <c r="AB11" s="178"/>
      <c r="AC11" s="178"/>
    </row>
    <row r="12" spans="1:31" x14ac:dyDescent="0.2">
      <c r="A12" s="117"/>
      <c r="B12" s="331">
        <v>2019</v>
      </c>
      <c r="C12" s="120">
        <f>ROUND(INDEX('Table 2D SolarTracking'!$C$70:$C$82,MATCH($B12,'Table 2D SolarTracking'!$A$70:$A$82,0))/10,3)</f>
        <v>1.954</v>
      </c>
      <c r="D12" s="120">
        <f>ROUND(INDEX('Table 2D SolarTracking'!$G$70:$G$82,MATCH($B12,'Table 2D SolarTracking'!$A$70:$A$82,0))/10,3)</f>
        <v>2.395</v>
      </c>
      <c r="E12" s="120">
        <f>ROUND(INDEX('Table 2D SolarTracking'!$D$70:$D$82,MATCH($B12,'Table 2D SolarTracking'!$A$70:$A$82,0))/10,3)</f>
        <v>1.6379999999999999</v>
      </c>
      <c r="F12" s="120">
        <f>ROUND(INDEX('Table 2D SolarTracking'!$H$70:$H$82,MATCH($B12,'Table 2D SolarTracking'!$A$70:$A$82,0))/10,3)</f>
        <v>1.617</v>
      </c>
      <c r="I12" s="191">
        <f t="shared" si="5"/>
        <v>0.98599999999999999</v>
      </c>
      <c r="J12" s="191"/>
      <c r="K12" s="183">
        <f t="shared" si="0"/>
        <v>8637.36</v>
      </c>
      <c r="L12" s="192">
        <f t="shared" ref="L12:L28" si="10">C12*1*8760*$I12</f>
        <v>16877.401440000001</v>
      </c>
      <c r="M12" s="183">
        <f t="shared" si="6"/>
        <v>24835.718496486716</v>
      </c>
      <c r="O12" s="192">
        <f t="shared" ref="O12:O28" si="11">D12*1*8760*$I12</f>
        <v>20686.477200000001</v>
      </c>
      <c r="P12" s="183">
        <f t="shared" si="7"/>
        <v>28336.381284300351</v>
      </c>
      <c r="R12" s="192">
        <f t="shared" ref="R12:R28" si="12">E12*1*8760*$I12</f>
        <v>14147.995679999998</v>
      </c>
      <c r="S12" s="183">
        <f t="shared" si="8"/>
        <v>19783.613888391283</v>
      </c>
      <c r="U12" s="192">
        <f t="shared" ref="U12:U28" si="13">F12*1*8760*$I12</f>
        <v>13966.61112</v>
      </c>
      <c r="V12" s="183">
        <f t="shared" si="9"/>
        <v>19867.452759666507</v>
      </c>
      <c r="Z12" s="177"/>
      <c r="AA12" s="177"/>
      <c r="AB12" s="178"/>
      <c r="AC12" s="178"/>
    </row>
    <row r="13" spans="1:31" x14ac:dyDescent="0.2">
      <c r="A13" s="117"/>
      <c r="B13" s="331">
        <v>2020</v>
      </c>
      <c r="C13" s="120">
        <f>ROUND(INDEX('Table 2D SolarTracking'!$C$70:$C$82,MATCH($B13,'Table 2D SolarTracking'!$A$70:$A$82,0))/10,3)</f>
        <v>1.798</v>
      </c>
      <c r="D13" s="120">
        <f>ROUND(INDEX('Table 2D SolarTracking'!$G$70:$G$82,MATCH($B13,'Table 2D SolarTracking'!$A$70:$A$82,0))/10,3)</f>
        <v>2.4140000000000001</v>
      </c>
      <c r="E13" s="120">
        <f>ROUND(INDEX('Table 2D SolarTracking'!$D$70:$D$82,MATCH($B13,'Table 2D SolarTracking'!$A$70:$A$82,0))/10,3)</f>
        <v>1.502</v>
      </c>
      <c r="F13" s="120">
        <f>ROUND(INDEX('Table 2D SolarTracking'!$H$70:$H$82,MATCH($B13,'Table 2D SolarTracking'!$A$70:$A$82,0))/10,3)</f>
        <v>1.5009999999999999</v>
      </c>
      <c r="I13" s="191">
        <f t="shared" si="5"/>
        <v>0.97899999999999998</v>
      </c>
      <c r="J13" s="191"/>
      <c r="K13" s="183">
        <f t="shared" si="0"/>
        <v>8576.0399999999991</v>
      </c>
      <c r="L13" s="192">
        <f t="shared" si="10"/>
        <v>15419.71992</v>
      </c>
      <c r="M13" s="183">
        <f t="shared" si="6"/>
        <v>24659.40000817494</v>
      </c>
      <c r="O13" s="192">
        <f t="shared" si="11"/>
        <v>20702.560560000002</v>
      </c>
      <c r="P13" s="183">
        <f t="shared" si="7"/>
        <v>28135.210220415862</v>
      </c>
      <c r="R13" s="192">
        <f t="shared" si="12"/>
        <v>12881.212079999999</v>
      </c>
      <c r="S13" s="183">
        <f t="shared" si="8"/>
        <v>19643.162268493979</v>
      </c>
      <c r="U13" s="192">
        <f t="shared" si="13"/>
        <v>12872.636039999998</v>
      </c>
      <c r="V13" s="183">
        <f t="shared" si="9"/>
        <v>19726.405934800718</v>
      </c>
      <c r="Z13" s="177"/>
      <c r="AA13" s="177"/>
      <c r="AB13" s="178"/>
      <c r="AC13" s="178"/>
    </row>
    <row r="14" spans="1:31" x14ac:dyDescent="0.2">
      <c r="A14" s="117"/>
      <c r="B14" s="331">
        <v>2021</v>
      </c>
      <c r="C14" s="120">
        <f>ROUND(INDEX('Table 2D SolarTracking'!$C$70:$C$82,MATCH($B14,'Table 2D SolarTracking'!$A$70:$A$82,0))/10,3)</f>
        <v>1.8380000000000001</v>
      </c>
      <c r="D14" s="120">
        <f>ROUND(INDEX('Table 2D SolarTracking'!$G$70:$G$82,MATCH($B14,'Table 2D SolarTracking'!$A$70:$A$82,0))/10,3)</f>
        <v>2.3450000000000002</v>
      </c>
      <c r="E14" s="120">
        <f>ROUND(INDEX('Table 2D SolarTracking'!$D$70:$D$82,MATCH($B14,'Table 2D SolarTracking'!$A$70:$A$82,0))/10,3)</f>
        <v>1.5960000000000001</v>
      </c>
      <c r="F14" s="120">
        <f>ROUND(INDEX('Table 2D SolarTracking'!$H$70:$H$82,MATCH($B14,'Table 2D SolarTracking'!$A$70:$A$82,0))/10,3)</f>
        <v>1.4950000000000001</v>
      </c>
      <c r="I14" s="191">
        <f t="shared" si="5"/>
        <v>0.97199999999999998</v>
      </c>
      <c r="J14" s="191"/>
      <c r="K14" s="183">
        <f t="shared" si="0"/>
        <v>8514.7199999999993</v>
      </c>
      <c r="L14" s="192">
        <f t="shared" si="10"/>
        <v>15650.05536</v>
      </c>
      <c r="M14" s="183">
        <f t="shared" si="6"/>
        <v>24483.081519863172</v>
      </c>
      <c r="O14" s="192">
        <f t="shared" si="11"/>
        <v>19967.018400000001</v>
      </c>
      <c r="P14" s="183">
        <f t="shared" si="7"/>
        <v>27934.039156531377</v>
      </c>
      <c r="R14" s="192">
        <f t="shared" si="12"/>
        <v>13589.493120000001</v>
      </c>
      <c r="S14" s="183">
        <f t="shared" si="8"/>
        <v>19502.71064859668</v>
      </c>
      <c r="U14" s="192">
        <f t="shared" si="13"/>
        <v>12729.5064</v>
      </c>
      <c r="V14" s="183">
        <f t="shared" si="9"/>
        <v>19585.359109934932</v>
      </c>
      <c r="Z14" s="177"/>
      <c r="AA14" s="177"/>
      <c r="AB14" s="178"/>
      <c r="AC14" s="178"/>
    </row>
    <row r="15" spans="1:31" x14ac:dyDescent="0.2">
      <c r="A15" s="117"/>
      <c r="B15" s="331">
        <v>2022</v>
      </c>
      <c r="C15" s="120">
        <f>ROUND(INDEX('Table 2D SolarTracking'!$C$70:$C$82,MATCH($B15,'Table 2D SolarTracking'!$A$70:$A$82,0))/10,3)</f>
        <v>1.972</v>
      </c>
      <c r="D15" s="120">
        <f>ROUND(INDEX('Table 2D SolarTracking'!$G$70:$G$82,MATCH($B15,'Table 2D SolarTracking'!$A$70:$A$82,0))/10,3)</f>
        <v>2.5209999999999999</v>
      </c>
      <c r="E15" s="120">
        <f>ROUND(INDEX('Table 2D SolarTracking'!$D$70:$D$82,MATCH($B15,'Table 2D SolarTracking'!$A$70:$A$82,0))/10,3)</f>
        <v>1.7589999999999999</v>
      </c>
      <c r="F15" s="120">
        <f>ROUND(INDEX('Table 2D SolarTracking'!$H$70:$H$82,MATCH($B15,'Table 2D SolarTracking'!$A$70:$A$82,0))/10,3)</f>
        <v>1.7130000000000001</v>
      </c>
      <c r="I15" s="191">
        <f t="shared" si="5"/>
        <v>0.96499999999999997</v>
      </c>
      <c r="J15" s="191"/>
      <c r="K15" s="183">
        <f t="shared" si="0"/>
        <v>8453.4</v>
      </c>
      <c r="L15" s="192">
        <f t="shared" si="10"/>
        <v>16670.104800000001</v>
      </c>
      <c r="M15" s="183">
        <f t="shared" si="6"/>
        <v>24306.7630315514</v>
      </c>
      <c r="O15" s="192">
        <f t="shared" si="11"/>
        <v>21311.021399999998</v>
      </c>
      <c r="P15" s="183">
        <f t="shared" si="7"/>
        <v>27732.868092646891</v>
      </c>
      <c r="R15" s="192">
        <f t="shared" si="12"/>
        <v>14869.530599999998</v>
      </c>
      <c r="S15" s="183">
        <f t="shared" si="8"/>
        <v>19362.25902869938</v>
      </c>
      <c r="U15" s="192">
        <f t="shared" si="13"/>
        <v>14480.674200000001</v>
      </c>
      <c r="V15" s="183">
        <f t="shared" si="9"/>
        <v>19444.312285069147</v>
      </c>
      <c r="Z15" s="177"/>
      <c r="AA15" s="177"/>
      <c r="AB15" s="178"/>
      <c r="AC15" s="178"/>
    </row>
    <row r="16" spans="1:31" x14ac:dyDescent="0.2">
      <c r="A16" s="117"/>
      <c r="B16" s="331">
        <v>2023</v>
      </c>
      <c r="C16" s="120">
        <f>ROUND(INDEX('Table 2D SolarTracking'!$C$70:$C$82,MATCH($B16,'Table 2D SolarTracking'!$A$70:$A$82,0))/10,3)</f>
        <v>2.0750000000000002</v>
      </c>
      <c r="D16" s="120">
        <f>ROUND(INDEX('Table 2D SolarTracking'!$G$70:$G$82,MATCH($B16,'Table 2D SolarTracking'!$A$70:$A$82,0))/10,3)</f>
        <v>2.6760000000000002</v>
      </c>
      <c r="E16" s="120">
        <f>ROUND(INDEX('Table 2D SolarTracking'!$D$70:$D$82,MATCH($B16,'Table 2D SolarTracking'!$A$70:$A$82,0))/10,3)</f>
        <v>1.875</v>
      </c>
      <c r="F16" s="120">
        <f>ROUND(INDEX('Table 2D SolarTracking'!$H$70:$H$82,MATCH($B16,'Table 2D SolarTracking'!$A$70:$A$82,0))/10,3)</f>
        <v>1.9890000000000001</v>
      </c>
      <c r="I16" s="191">
        <f t="shared" si="5"/>
        <v>0.95799999999999996</v>
      </c>
      <c r="J16" s="191"/>
      <c r="K16" s="183">
        <f t="shared" si="0"/>
        <v>8392.08</v>
      </c>
      <c r="L16" s="192">
        <f t="shared" si="10"/>
        <v>17413.565999999999</v>
      </c>
      <c r="M16" s="183">
        <f t="shared" si="6"/>
        <v>24130.444543239628</v>
      </c>
      <c r="O16" s="192">
        <f t="shared" si="11"/>
        <v>22457.20608</v>
      </c>
      <c r="P16" s="183">
        <f t="shared" si="7"/>
        <v>27531.697028762406</v>
      </c>
      <c r="R16" s="192">
        <f t="shared" si="12"/>
        <v>15735.15</v>
      </c>
      <c r="S16" s="183">
        <f t="shared" si="8"/>
        <v>19221.807408802077</v>
      </c>
      <c r="U16" s="192">
        <f t="shared" si="13"/>
        <v>16691.847119999999</v>
      </c>
      <c r="V16" s="183">
        <f t="shared" si="9"/>
        <v>19303.265460203358</v>
      </c>
      <c r="Z16" s="177"/>
      <c r="AA16" s="177"/>
      <c r="AB16" s="178"/>
      <c r="AC16" s="178"/>
    </row>
    <row r="17" spans="1:29" x14ac:dyDescent="0.2">
      <c r="A17" s="117"/>
      <c r="B17" s="331">
        <v>2024</v>
      </c>
      <c r="C17" s="120">
        <f>ROUND(INDEX('Table 2D SolarTracking'!$C$70:$C$82,MATCH($B17,'Table 2D SolarTracking'!$A$70:$A$82,0))/10,3)</f>
        <v>2.4060000000000001</v>
      </c>
      <c r="D17" s="120">
        <f>ROUND(INDEX('Table 2D SolarTracking'!$G$70:$G$82,MATCH($B17,'Table 2D SolarTracking'!$A$70:$A$82,0))/10,3)</f>
        <v>2.91</v>
      </c>
      <c r="E17" s="120">
        <f>ROUND(INDEX('Table 2D SolarTracking'!$D$70:$D$82,MATCH($B17,'Table 2D SolarTracking'!$A$70:$A$82,0))/10,3)</f>
        <v>2.1779999999999999</v>
      </c>
      <c r="F17" s="120">
        <f>ROUND(INDEX('Table 2D SolarTracking'!$H$70:$H$82,MATCH($B17,'Table 2D SolarTracking'!$A$70:$A$82,0))/10,3)</f>
        <v>2.3479999999999999</v>
      </c>
      <c r="I17" s="191">
        <f t="shared" si="5"/>
        <v>0.95099999999999996</v>
      </c>
      <c r="J17" s="191"/>
      <c r="K17" s="183">
        <f t="shared" si="0"/>
        <v>8330.76</v>
      </c>
      <c r="L17" s="192">
        <f t="shared" si="10"/>
        <v>20043.808560000001</v>
      </c>
      <c r="M17" s="183">
        <f t="shared" si="6"/>
        <v>23954.126054927856</v>
      </c>
      <c r="O17" s="192">
        <f t="shared" si="11"/>
        <v>24242.511600000002</v>
      </c>
      <c r="P17" s="183">
        <f t="shared" si="7"/>
        <v>27330.525964877925</v>
      </c>
      <c r="R17" s="192">
        <f t="shared" si="12"/>
        <v>18144.395279999997</v>
      </c>
      <c r="S17" s="183">
        <f t="shared" si="8"/>
        <v>19081.355788904777</v>
      </c>
      <c r="U17" s="192">
        <f t="shared" si="13"/>
        <v>19560.624479999999</v>
      </c>
      <c r="V17" s="183">
        <f t="shared" si="9"/>
        <v>19162.218635337573</v>
      </c>
      <c r="Z17" s="177"/>
      <c r="AA17" s="177"/>
      <c r="AB17" s="178"/>
      <c r="AC17" s="178"/>
    </row>
    <row r="18" spans="1:29" x14ac:dyDescent="0.2">
      <c r="A18" s="117"/>
      <c r="B18" s="331">
        <v>2025</v>
      </c>
      <c r="C18" s="120">
        <f>ROUND(INDEX('Table 2D SolarTracking'!$C$70:$C$82,MATCH($B18,'Table 2D SolarTracking'!$A$70:$A$82,0))/10,3)</f>
        <v>2.5920000000000001</v>
      </c>
      <c r="D18" s="120">
        <f>ROUND(INDEX('Table 2D SolarTracking'!$G$70:$G$82,MATCH($B18,'Table 2D SolarTracking'!$A$70:$A$82,0))/10,3)</f>
        <v>3.3460000000000001</v>
      </c>
      <c r="E18" s="120">
        <f>ROUND(INDEX('Table 2D SolarTracking'!$D$70:$D$82,MATCH($B18,'Table 2D SolarTracking'!$A$70:$A$82,0))/10,3)</f>
        <v>2.347</v>
      </c>
      <c r="F18" s="120">
        <f>ROUND(INDEX('Table 2D SolarTracking'!$H$70:$H$82,MATCH($B18,'Table 2D SolarTracking'!$A$70:$A$82,0))/10,3)</f>
        <v>2.6480000000000001</v>
      </c>
      <c r="I18" s="191">
        <f t="shared" si="5"/>
        <v>0.94399999999999995</v>
      </c>
      <c r="J18" s="191"/>
      <c r="K18" s="183">
        <f t="shared" si="0"/>
        <v>8269.4399999999987</v>
      </c>
      <c r="L18" s="192">
        <f t="shared" si="10"/>
        <v>21434.388480000001</v>
      </c>
      <c r="M18" s="183">
        <f t="shared" si="6"/>
        <v>23777.80756661608</v>
      </c>
      <c r="O18" s="192">
        <f t="shared" si="11"/>
        <v>27669.546239999996</v>
      </c>
      <c r="P18" s="183">
        <f t="shared" si="7"/>
        <v>27129.354900993432</v>
      </c>
      <c r="R18" s="192">
        <f t="shared" si="12"/>
        <v>19408.375680000001</v>
      </c>
      <c r="S18" s="183">
        <f t="shared" si="8"/>
        <v>18940.904169007474</v>
      </c>
      <c r="U18" s="192">
        <f t="shared" si="13"/>
        <v>21897.47712</v>
      </c>
      <c r="V18" s="183">
        <f t="shared" si="9"/>
        <v>19021.171810471784</v>
      </c>
      <c r="Z18" s="177"/>
      <c r="AA18" s="177"/>
      <c r="AB18" s="178"/>
      <c r="AC18" s="178"/>
    </row>
    <row r="19" spans="1:29" x14ac:dyDescent="0.2">
      <c r="A19" s="117"/>
      <c r="B19" s="331">
        <v>2026</v>
      </c>
      <c r="C19" s="120">
        <f>ROUND(INDEX('Table 2D SolarTracking'!$C$70:$C$82,MATCH($B19,'Table 2D SolarTracking'!$A$70:$A$82,0))/10,3)</f>
        <v>3.097</v>
      </c>
      <c r="D19" s="120">
        <f>ROUND(INDEX('Table 2D SolarTracking'!$G$70:$G$82,MATCH($B19,'Table 2D SolarTracking'!$A$70:$A$82,0))/10,3)</f>
        <v>3.2589999999999999</v>
      </c>
      <c r="E19" s="120">
        <f>ROUND(INDEX('Table 2D SolarTracking'!$D$70:$D$82,MATCH($B19,'Table 2D SolarTracking'!$A$70:$A$82,0))/10,3)</f>
        <v>2.81</v>
      </c>
      <c r="F19" s="120">
        <f>ROUND(INDEX('Table 2D SolarTracking'!$H$70:$H$82,MATCH($B19,'Table 2D SolarTracking'!$A$70:$A$82,0))/10,3)</f>
        <v>2.593</v>
      </c>
      <c r="I19" s="191">
        <f t="shared" si="5"/>
        <v>0.93699999999999994</v>
      </c>
      <c r="J19" s="191"/>
      <c r="K19" s="183">
        <f t="shared" si="0"/>
        <v>8208.119999999999</v>
      </c>
      <c r="L19" s="192">
        <f t="shared" si="10"/>
        <v>25420.547640000001</v>
      </c>
      <c r="M19" s="183">
        <f t="shared" si="6"/>
        <v>23601.489078304308</v>
      </c>
      <c r="O19" s="192">
        <f t="shared" si="11"/>
        <v>26750.263079999997</v>
      </c>
      <c r="P19" s="183">
        <f t="shared" si="7"/>
        <v>26928.183837108951</v>
      </c>
      <c r="R19" s="192">
        <f t="shared" si="12"/>
        <v>23064.817200000001</v>
      </c>
      <c r="S19" s="183">
        <f t="shared" si="8"/>
        <v>18800.45254911017</v>
      </c>
      <c r="U19" s="192">
        <f t="shared" si="13"/>
        <v>21283.655159999998</v>
      </c>
      <c r="V19" s="183">
        <f t="shared" si="9"/>
        <v>18880.124985605999</v>
      </c>
      <c r="Z19" s="177"/>
      <c r="AA19" s="177"/>
      <c r="AB19" s="178"/>
      <c r="AC19" s="178"/>
    </row>
    <row r="20" spans="1:29" x14ac:dyDescent="0.2">
      <c r="A20" s="117"/>
      <c r="B20" s="331">
        <v>2027</v>
      </c>
      <c r="C20" s="120">
        <f>ROUND(INDEX('Table 2D SolarTracking'!$C$70:$C$82,MATCH($B20,'Table 2D SolarTracking'!$A$70:$A$82,0))/10,3)</f>
        <v>2.6840000000000002</v>
      </c>
      <c r="D20" s="120">
        <f>ROUND(INDEX('Table 2D SolarTracking'!$G$70:$G$82,MATCH($B20,'Table 2D SolarTracking'!$A$70:$A$82,0))/10,3)</f>
        <v>3.3759999999999999</v>
      </c>
      <c r="E20" s="120">
        <f>ROUND(INDEX('Table 2D SolarTracking'!$D$70:$D$82,MATCH($B20,'Table 2D SolarTracking'!$A$70:$A$82,0))/10,3)</f>
        <v>2.4529999999999998</v>
      </c>
      <c r="F20" s="120">
        <f>ROUND(INDEX('Table 2D SolarTracking'!$H$70:$H$82,MATCH($B20,'Table 2D SolarTracking'!$A$70:$A$82,0))/10,3)</f>
        <v>2.7250000000000001</v>
      </c>
      <c r="I20" s="191">
        <f t="shared" si="5"/>
        <v>0.92999999999999994</v>
      </c>
      <c r="J20" s="191"/>
      <c r="K20" s="183">
        <f t="shared" si="0"/>
        <v>8146.7999999999993</v>
      </c>
      <c r="L20" s="192">
        <f t="shared" si="10"/>
        <v>21866.011199999997</v>
      </c>
      <c r="M20" s="183">
        <f t="shared" si="6"/>
        <v>23425.17058999254</v>
      </c>
      <c r="O20" s="192">
        <f t="shared" si="11"/>
        <v>27503.596799999996</v>
      </c>
      <c r="P20" s="183">
        <f t="shared" si="7"/>
        <v>26727.012773224465</v>
      </c>
      <c r="R20" s="192">
        <f t="shared" si="12"/>
        <v>19984.100399999999</v>
      </c>
      <c r="S20" s="183">
        <f t="shared" si="8"/>
        <v>18660.000929212871</v>
      </c>
      <c r="U20" s="192">
        <f t="shared" si="13"/>
        <v>22200.03</v>
      </c>
      <c r="V20" s="183">
        <f t="shared" si="9"/>
        <v>18739.078160740213</v>
      </c>
      <c r="Z20" s="177"/>
      <c r="AA20" s="177"/>
      <c r="AB20" s="178"/>
      <c r="AC20" s="178"/>
    </row>
    <row r="21" spans="1:29" x14ac:dyDescent="0.2">
      <c r="A21" s="117"/>
      <c r="B21" s="485">
        <v>2028</v>
      </c>
      <c r="C21" s="486">
        <f>ROUND(INDEX('Table 2D SolarTracking'!$C$70:$C$82,MATCH($B21,'Table 2D SolarTracking'!$A$70:$A$82,0))/10,3)</f>
        <v>3.2890000000000001</v>
      </c>
      <c r="D21" s="486">
        <f>ROUND(INDEX('Table 2D SolarTracking'!$G$70:$G$82,MATCH($B21,'Table 2D SolarTracking'!$A$70:$A$82,0))/10,3)</f>
        <v>4.0709999999999997</v>
      </c>
      <c r="E21" s="486">
        <f>ROUND(INDEX('Table 2D SolarTracking'!$D$70:$D$82,MATCH($B21,'Table 2D SolarTracking'!$A$70:$A$82,0))/10,3)</f>
        <v>3.0209999999999999</v>
      </c>
      <c r="F21" s="486">
        <f>ROUND(INDEX('Table 2D SolarTracking'!$H$70:$H$82,MATCH($B21,'Table 2D SolarTracking'!$A$70:$A$82,0))/10,3)</f>
        <v>3.3210000000000002</v>
      </c>
      <c r="I21" s="191">
        <f t="shared" si="5"/>
        <v>0.92299999999999993</v>
      </c>
      <c r="J21" s="191"/>
      <c r="K21" s="183">
        <f t="shared" si="0"/>
        <v>8085.48</v>
      </c>
      <c r="L21" s="192">
        <f t="shared" si="10"/>
        <v>26593.14372</v>
      </c>
      <c r="M21" s="183">
        <f t="shared" si="6"/>
        <v>23248.852101680768</v>
      </c>
      <c r="O21" s="192">
        <f t="shared" si="11"/>
        <v>32915.989079999999</v>
      </c>
      <c r="P21" s="183">
        <f t="shared" si="7"/>
        <v>26525.84170933998</v>
      </c>
      <c r="R21" s="192">
        <f t="shared" si="12"/>
        <v>24426.235079999999</v>
      </c>
      <c r="S21" s="183">
        <f t="shared" si="8"/>
        <v>18519.549309315571</v>
      </c>
      <c r="U21" s="192">
        <f t="shared" si="13"/>
        <v>26851.879079999999</v>
      </c>
      <c r="V21" s="183">
        <f t="shared" si="9"/>
        <v>18598.031335874424</v>
      </c>
      <c r="Z21" s="177"/>
      <c r="AA21" s="177"/>
      <c r="AB21" s="178"/>
      <c r="AC21" s="178"/>
    </row>
    <row r="22" spans="1:29" x14ac:dyDescent="0.2">
      <c r="A22" s="117"/>
      <c r="B22" s="331">
        <v>2029</v>
      </c>
      <c r="C22" s="120">
        <f>ROUND(INDEX('Tables 3 to 5'!AQ:AQ,MATCH(B22,'Tables 3 to 5'!B:B,0))/10,3)</f>
        <v>5.4669999999999996</v>
      </c>
      <c r="D22" s="120">
        <f t="shared" ref="D22" si="14">C22</f>
        <v>5.4669999999999996</v>
      </c>
      <c r="E22" s="120">
        <f>ROUND(INDEX('Tables 3 to 5'!AR:AR,MATCH(B22,'Tables 3 to 5'!B:B,0))/10,3)</f>
        <v>3.3610000000000002</v>
      </c>
      <c r="F22" s="120">
        <f t="shared" ref="F22" si="15">E22</f>
        <v>3.3610000000000002</v>
      </c>
      <c r="I22" s="191">
        <f t="shared" si="5"/>
        <v>0.91599999999999993</v>
      </c>
      <c r="J22" s="191"/>
      <c r="K22" s="183">
        <f t="shared" si="0"/>
        <v>8024.1599999999989</v>
      </c>
      <c r="L22" s="192">
        <f t="shared" si="10"/>
        <v>43868.082719999991</v>
      </c>
      <c r="M22" s="183">
        <f t="shared" si="6"/>
        <v>23072.533613368996</v>
      </c>
      <c r="O22" s="192">
        <f t="shared" si="11"/>
        <v>43868.082719999991</v>
      </c>
      <c r="P22" s="183">
        <f t="shared" si="7"/>
        <v>26324.670645455491</v>
      </c>
      <c r="R22" s="192">
        <f t="shared" si="12"/>
        <v>26969.20176</v>
      </c>
      <c r="S22" s="183">
        <f t="shared" si="8"/>
        <v>18379.097689418268</v>
      </c>
      <c r="U22" s="192">
        <f t="shared" si="13"/>
        <v>26969.20176</v>
      </c>
      <c r="V22" s="183">
        <f t="shared" si="9"/>
        <v>18456.984511008639</v>
      </c>
      <c r="Z22" s="177"/>
      <c r="AA22" s="177"/>
      <c r="AB22" s="178"/>
      <c r="AC22" s="178"/>
    </row>
    <row r="23" spans="1:29" x14ac:dyDescent="0.2">
      <c r="A23" s="117"/>
      <c r="B23" s="331">
        <v>2030</v>
      </c>
      <c r="C23" s="120">
        <f>ROUND(INDEX('Tables 3 to 5'!AQ:AQ,MATCH(B23,'Tables 3 to 5'!B:B,0))/10,3)</f>
        <v>5.7649999999999997</v>
      </c>
      <c r="D23" s="120">
        <f t="shared" ref="D23:D28" si="16">C23</f>
        <v>5.7649999999999997</v>
      </c>
      <c r="E23" s="120">
        <f>ROUND(INDEX('Tables 3 to 5'!AR:AR,MATCH(B23,'Tables 3 to 5'!B:B,0))/10,3)</f>
        <v>3.61</v>
      </c>
      <c r="F23" s="120">
        <f t="shared" ref="F23:F28" si="17">E23</f>
        <v>3.61</v>
      </c>
      <c r="I23" s="191">
        <f t="shared" si="5"/>
        <v>0.90899999999999992</v>
      </c>
      <c r="J23" s="191"/>
      <c r="K23" s="183">
        <f t="shared" si="0"/>
        <v>7962.8399999999992</v>
      </c>
      <c r="L23" s="192">
        <f t="shared" si="10"/>
        <v>45905.772599999989</v>
      </c>
      <c r="M23" s="183">
        <f t="shared" si="6"/>
        <v>22896.215125057224</v>
      </c>
      <c r="O23" s="192">
        <f t="shared" si="11"/>
        <v>45905.772599999989</v>
      </c>
      <c r="P23" s="183">
        <f t="shared" si="7"/>
        <v>26123.49958157101</v>
      </c>
      <c r="R23" s="192">
        <f t="shared" si="12"/>
        <v>28745.852399999996</v>
      </c>
      <c r="S23" s="183">
        <f t="shared" si="8"/>
        <v>18238.646069520968</v>
      </c>
      <c r="U23" s="192">
        <f t="shared" si="13"/>
        <v>28745.852399999996</v>
      </c>
      <c r="V23" s="183">
        <f t="shared" si="9"/>
        <v>18315.937686142854</v>
      </c>
      <c r="Z23" s="177"/>
      <c r="AA23" s="177"/>
      <c r="AB23" s="178"/>
      <c r="AC23" s="178"/>
    </row>
    <row r="24" spans="1:29" x14ac:dyDescent="0.2">
      <c r="A24" s="117"/>
      <c r="B24" s="331">
        <v>2031</v>
      </c>
      <c r="C24" s="120">
        <f>ROUND(INDEX('Tables 3 to 5'!AQ:AQ,MATCH(B24,'Tables 3 to 5'!B:B,0))/10,3)</f>
        <v>5.9770000000000003</v>
      </c>
      <c r="D24" s="120">
        <f t="shared" si="16"/>
        <v>5.9770000000000003</v>
      </c>
      <c r="E24" s="120">
        <f>ROUND(INDEX('Tables 3 to 5'!AR:AR,MATCH(B24,'Tables 3 to 5'!B:B,0))/10,3)</f>
        <v>3.7690000000000001</v>
      </c>
      <c r="F24" s="120">
        <f t="shared" si="17"/>
        <v>3.7690000000000001</v>
      </c>
      <c r="I24" s="191">
        <f t="shared" si="5"/>
        <v>0.90199999999999991</v>
      </c>
      <c r="J24" s="191"/>
      <c r="K24" s="183">
        <f t="shared" si="0"/>
        <v>7901.5199999999995</v>
      </c>
      <c r="L24" s="192">
        <f t="shared" si="10"/>
        <v>47227.385040000001</v>
      </c>
      <c r="M24" s="183">
        <f t="shared" si="6"/>
        <v>22719.896636745452</v>
      </c>
      <c r="O24" s="192">
        <f t="shared" si="11"/>
        <v>47227.385040000001</v>
      </c>
      <c r="P24" s="183">
        <f t="shared" si="7"/>
        <v>25922.328517686525</v>
      </c>
      <c r="R24" s="192">
        <f t="shared" si="12"/>
        <v>29780.828880000001</v>
      </c>
      <c r="S24" s="183">
        <f t="shared" si="8"/>
        <v>18098.194449623668</v>
      </c>
      <c r="U24" s="192">
        <f t="shared" si="13"/>
        <v>29780.828880000001</v>
      </c>
      <c r="V24" s="183">
        <f t="shared" si="9"/>
        <v>18174.890861277065</v>
      </c>
      <c r="Z24" s="177"/>
      <c r="AA24" s="177"/>
      <c r="AB24" s="178"/>
      <c r="AC24" s="178"/>
    </row>
    <row r="25" spans="1:29" x14ac:dyDescent="0.2">
      <c r="A25" s="117"/>
      <c r="B25" s="331">
        <v>2032</v>
      </c>
      <c r="C25" s="120">
        <f>ROUND(INDEX('Tables 3 to 5'!AQ:AQ,MATCH(B25,'Tables 3 to 5'!B:B,0))/10,3)</f>
        <v>6.2149999999999999</v>
      </c>
      <c r="D25" s="120">
        <f t="shared" si="16"/>
        <v>6.2149999999999999</v>
      </c>
      <c r="E25" s="120">
        <f>ROUND(INDEX('Tables 3 to 5'!AR:AR,MATCH(B25,'Tables 3 to 5'!B:B,0))/10,3)</f>
        <v>3.9540000000000002</v>
      </c>
      <c r="F25" s="120">
        <f t="shared" si="17"/>
        <v>3.9540000000000002</v>
      </c>
      <c r="I25" s="191">
        <f t="shared" si="5"/>
        <v>0.89499999999999991</v>
      </c>
      <c r="J25" s="191"/>
      <c r="K25" s="183">
        <f t="shared" si="0"/>
        <v>7840.1999999999989</v>
      </c>
      <c r="L25" s="192">
        <f t="shared" si="10"/>
        <v>48726.842999999993</v>
      </c>
      <c r="M25" s="183">
        <f t="shared" si="6"/>
        <v>22543.57814843368</v>
      </c>
      <c r="O25" s="192">
        <f t="shared" si="11"/>
        <v>48726.842999999993</v>
      </c>
      <c r="P25" s="183">
        <f t="shared" si="7"/>
        <v>25721.157453802036</v>
      </c>
      <c r="R25" s="192">
        <f t="shared" si="12"/>
        <v>31000.150799999996</v>
      </c>
      <c r="S25" s="183">
        <f t="shared" si="8"/>
        <v>17957.742829726365</v>
      </c>
      <c r="U25" s="192">
        <f t="shared" si="13"/>
        <v>31000.150799999996</v>
      </c>
      <c r="V25" s="183">
        <f t="shared" si="9"/>
        <v>18033.844036411279</v>
      </c>
      <c r="Z25" s="177"/>
      <c r="AA25" s="177"/>
      <c r="AB25" s="178"/>
      <c r="AC25" s="178"/>
    </row>
    <row r="26" spans="1:29" x14ac:dyDescent="0.2">
      <c r="A26" s="117"/>
      <c r="B26" s="331">
        <v>2033</v>
      </c>
      <c r="C26" s="120">
        <f>ROUND(INDEX('Tables 3 to 5'!AQ:AQ,MATCH(B26,'Tables 3 to 5'!B:B,0))/10,3)</f>
        <v>6.5250000000000004</v>
      </c>
      <c r="D26" s="120">
        <f t="shared" si="16"/>
        <v>6.5250000000000004</v>
      </c>
      <c r="E26" s="120">
        <f>ROUND(INDEX('Tables 3 to 5'!AR:AR,MATCH(B26,'Tables 3 to 5'!B:B,0))/10,3)</f>
        <v>4.21</v>
      </c>
      <c r="F26" s="120">
        <f t="shared" si="17"/>
        <v>4.21</v>
      </c>
      <c r="I26" s="191">
        <f t="shared" si="5"/>
        <v>0.8879999999999999</v>
      </c>
      <c r="J26" s="191"/>
      <c r="K26" s="183">
        <f t="shared" si="0"/>
        <v>7778.8799999999992</v>
      </c>
      <c r="L26" s="192">
        <f t="shared" si="10"/>
        <v>50757.191999999995</v>
      </c>
      <c r="M26" s="183">
        <f t="shared" si="6"/>
        <v>22367.259660121908</v>
      </c>
      <c r="O26" s="192">
        <f t="shared" si="11"/>
        <v>50757.191999999995</v>
      </c>
      <c r="P26" s="183">
        <f t="shared" si="7"/>
        <v>25519.986389917554</v>
      </c>
      <c r="R26" s="192">
        <f t="shared" si="12"/>
        <v>32749.084799999993</v>
      </c>
      <c r="S26" s="183">
        <f t="shared" si="8"/>
        <v>17817.291209829065</v>
      </c>
      <c r="U26" s="192">
        <f t="shared" si="13"/>
        <v>32749.084799999993</v>
      </c>
      <c r="V26" s="183">
        <f t="shared" si="9"/>
        <v>17892.797211545494</v>
      </c>
      <c r="Z26" s="177"/>
      <c r="AA26" s="177"/>
      <c r="AB26" s="178"/>
      <c r="AC26" s="178"/>
    </row>
    <row r="27" spans="1:29" x14ac:dyDescent="0.2">
      <c r="A27" s="117"/>
      <c r="B27" s="331">
        <v>2034</v>
      </c>
      <c r="C27" s="120">
        <f>ROUND(INDEX('Tables 3 to 5'!AQ:AQ,MATCH(B27,'Tables 3 to 5'!B:B,0))/10,3)</f>
        <v>6.7610000000000001</v>
      </c>
      <c r="D27" s="120">
        <f t="shared" si="16"/>
        <v>6.7610000000000001</v>
      </c>
      <c r="E27" s="120">
        <f>ROUND(INDEX('Tables 3 to 5'!AR:AR,MATCH(B27,'Tables 3 to 5'!B:B,0))/10,3)</f>
        <v>4.3890000000000002</v>
      </c>
      <c r="F27" s="120">
        <f t="shared" si="17"/>
        <v>4.3890000000000002</v>
      </c>
      <c r="I27" s="191">
        <f t="shared" si="5"/>
        <v>0.88099999999999989</v>
      </c>
      <c r="J27" s="191"/>
      <c r="K27" s="183">
        <f t="shared" si="0"/>
        <v>7717.5599999999995</v>
      </c>
      <c r="L27" s="192">
        <f t="shared" si="10"/>
        <v>52178.423159999991</v>
      </c>
      <c r="M27" s="183">
        <f t="shared" si="6"/>
        <v>22190.941171810136</v>
      </c>
      <c r="O27" s="192">
        <f t="shared" si="11"/>
        <v>52178.423159999991</v>
      </c>
      <c r="P27" s="183">
        <f t="shared" si="7"/>
        <v>25318.815326033069</v>
      </c>
      <c r="R27" s="192">
        <f t="shared" si="12"/>
        <v>33872.370839999996</v>
      </c>
      <c r="S27" s="183">
        <f t="shared" si="8"/>
        <v>17676.839589931762</v>
      </c>
      <c r="U27" s="192">
        <f t="shared" si="13"/>
        <v>33872.370839999996</v>
      </c>
      <c r="V27" s="183">
        <f t="shared" si="9"/>
        <v>17751.750386679705</v>
      </c>
      <c r="Z27" s="177"/>
      <c r="AA27" s="177"/>
      <c r="AB27" s="178"/>
      <c r="AC27" s="178"/>
    </row>
    <row r="28" spans="1:29" x14ac:dyDescent="0.2">
      <c r="A28" s="117"/>
      <c r="B28" s="331">
        <v>2035</v>
      </c>
      <c r="C28" s="120">
        <f>ROUND(INDEX('Tables 3 to 5'!AQ:AQ,MATCH(B28,'Tables 3 to 5'!B:B,0))/10,3)</f>
        <v>7.0039999999999996</v>
      </c>
      <c r="D28" s="120">
        <f t="shared" si="16"/>
        <v>7.0039999999999996</v>
      </c>
      <c r="E28" s="120">
        <f>ROUND(INDEX('Tables 3 to 5'!AR:AR,MATCH(B28,'Tables 3 to 5'!B:B,0))/10,3)</f>
        <v>4.5750000000000002</v>
      </c>
      <c r="F28" s="120">
        <f t="shared" si="17"/>
        <v>4.5750000000000002</v>
      </c>
      <c r="I28" s="191">
        <f t="shared" si="5"/>
        <v>0.87399999999999989</v>
      </c>
      <c r="J28" s="191"/>
      <c r="K28" s="183">
        <f t="shared" si="0"/>
        <v>7656.2399999999989</v>
      </c>
      <c r="L28" s="192">
        <f t="shared" si="10"/>
        <v>53624.304959999987</v>
      </c>
      <c r="M28" s="183">
        <f t="shared" si="6"/>
        <v>22014.622683498364</v>
      </c>
      <c r="O28" s="192">
        <f t="shared" si="11"/>
        <v>53624.304959999987</v>
      </c>
      <c r="P28" s="183">
        <f t="shared" si="7"/>
        <v>25117.64426214858</v>
      </c>
      <c r="R28" s="192">
        <f t="shared" si="12"/>
        <v>35027.297999999995</v>
      </c>
      <c r="S28" s="183">
        <f t="shared" si="8"/>
        <v>17536.387970034462</v>
      </c>
      <c r="U28" s="192">
        <f t="shared" si="13"/>
        <v>35027.297999999995</v>
      </c>
      <c r="V28" s="183">
        <f t="shared" si="9"/>
        <v>17610.70356181392</v>
      </c>
      <c r="Z28" s="177"/>
      <c r="AA28" s="177"/>
      <c r="AB28" s="178"/>
      <c r="AC28" s="178"/>
    </row>
    <row r="29" spans="1:29" x14ac:dyDescent="0.2">
      <c r="A29" s="117"/>
      <c r="B29" s="118">
        <v>2036</v>
      </c>
      <c r="C29" s="120">
        <f>ROUND(INDEX('Tables 3 to 5'!AQ:AQ,MATCH(B29,'Tables 3 to 5'!B:B,0))/10,3)</f>
        <v>7.4020000000000001</v>
      </c>
      <c r="D29" s="120">
        <f t="shared" ref="D29:D30" si="18">C29</f>
        <v>7.4020000000000001</v>
      </c>
      <c r="E29" s="120">
        <f>ROUND(INDEX('Tables 3 to 5'!AR:AR,MATCH(B29,'Tables 3 to 5'!B:B,0))/10,3)</f>
        <v>4.915</v>
      </c>
      <c r="F29" s="120">
        <f t="shared" ref="F29:F30" si="19">E29</f>
        <v>4.915</v>
      </c>
      <c r="I29" s="191"/>
      <c r="J29" s="191"/>
      <c r="L29" s="192"/>
      <c r="O29" s="192"/>
      <c r="R29" s="192"/>
      <c r="U29" s="192"/>
      <c r="Z29" s="177"/>
      <c r="AA29" s="177"/>
      <c r="AB29" s="178"/>
      <c r="AC29" s="178"/>
    </row>
    <row r="30" spans="1:29" x14ac:dyDescent="0.2">
      <c r="A30" s="117"/>
      <c r="B30" s="118">
        <v>2037</v>
      </c>
      <c r="C30" s="120">
        <f>ROUND(INDEX('Tables 3 to 5'!AQ:AQ,MATCH(B30,'Tables 3 to 5'!B:B,0))/10,3)</f>
        <v>7.6369999999999996</v>
      </c>
      <c r="D30" s="120">
        <f t="shared" si="18"/>
        <v>7.6369999999999996</v>
      </c>
      <c r="E30" s="120">
        <f>ROUND(INDEX('Tables 3 to 5'!AR:AR,MATCH(B30,'Tables 3 to 5'!B:B,0))/10,3)</f>
        <v>5.0890000000000004</v>
      </c>
      <c r="F30" s="120">
        <f t="shared" si="19"/>
        <v>5.0890000000000004</v>
      </c>
      <c r="H30" s="183" t="str">
        <f>'Table 6'!$P$39</f>
        <v>Discount Rate - 2017 IRP</v>
      </c>
      <c r="I30" s="191"/>
      <c r="J30" s="191"/>
      <c r="L30" s="192"/>
      <c r="O30" s="192"/>
      <c r="R30" s="192"/>
      <c r="U30" s="192"/>
      <c r="Z30" s="177"/>
      <c r="AA30" s="177"/>
      <c r="AB30" s="178"/>
      <c r="AC30" s="178"/>
    </row>
    <row r="31" spans="1:29" x14ac:dyDescent="0.2">
      <c r="A31" s="117"/>
      <c r="B31" s="118"/>
      <c r="C31" s="120"/>
      <c r="D31" s="119"/>
      <c r="E31" s="120"/>
      <c r="F31" s="120"/>
      <c r="H31" s="194">
        <f>'Table 6'!$P$40</f>
        <v>6.5699999999999995E-2</v>
      </c>
      <c r="I31" s="191"/>
      <c r="J31" s="191"/>
      <c r="L31" s="192"/>
      <c r="O31" s="192"/>
      <c r="R31" s="192"/>
      <c r="U31" s="192"/>
      <c r="Z31" s="177"/>
      <c r="AA31" s="177"/>
      <c r="AB31" s="178"/>
      <c r="AC31" s="178"/>
    </row>
    <row r="32" spans="1:29" x14ac:dyDescent="0.2">
      <c r="A32" s="117"/>
      <c r="B32" s="118"/>
      <c r="C32" s="120"/>
      <c r="D32" s="119"/>
      <c r="E32" s="120"/>
      <c r="F32" s="120"/>
      <c r="I32" s="191"/>
      <c r="J32" s="191"/>
      <c r="L32" s="192"/>
      <c r="O32" s="192"/>
      <c r="R32" s="192"/>
      <c r="U32" s="192"/>
      <c r="Z32" s="177"/>
      <c r="AA32" s="177"/>
      <c r="AB32" s="178"/>
      <c r="AC32" s="178"/>
    </row>
    <row r="33" spans="1:34" hidden="1" x14ac:dyDescent="0.2">
      <c r="A33" s="117"/>
      <c r="B33" s="118"/>
      <c r="C33" s="120"/>
      <c r="D33" s="119"/>
      <c r="E33" s="120"/>
      <c r="F33" s="120"/>
      <c r="I33" s="191"/>
      <c r="J33" s="191"/>
      <c r="L33" s="192"/>
      <c r="O33" s="192"/>
      <c r="R33" s="192"/>
      <c r="U33" s="192"/>
      <c r="Z33" s="177"/>
      <c r="AA33" s="177"/>
      <c r="AB33" s="178"/>
      <c r="AC33" s="178"/>
    </row>
    <row r="34" spans="1:34" ht="15.75" hidden="1" customHeight="1" x14ac:dyDescent="0.2">
      <c r="A34" s="117"/>
      <c r="B34" s="118"/>
      <c r="C34" s="117"/>
      <c r="D34" s="117"/>
      <c r="E34" s="117"/>
      <c r="F34" s="117"/>
      <c r="I34" s="191"/>
      <c r="J34" s="191"/>
      <c r="L34" s="192"/>
      <c r="O34" s="192"/>
      <c r="R34" s="192"/>
      <c r="U34" s="192"/>
      <c r="AB34" s="178"/>
      <c r="AC34" s="178"/>
    </row>
    <row r="35" spans="1:34" hidden="1" x14ac:dyDescent="0.2">
      <c r="A35" s="117"/>
      <c r="C35" s="115" t="s">
        <v>223</v>
      </c>
      <c r="D35" s="115"/>
      <c r="E35" s="115" t="s">
        <v>122</v>
      </c>
      <c r="F35" s="115"/>
      <c r="L35" s="192"/>
      <c r="O35" s="192"/>
      <c r="R35" s="192"/>
      <c r="U35" s="192"/>
    </row>
    <row r="36" spans="1:34" ht="14.25" hidden="1" x14ac:dyDescent="0.35">
      <c r="A36" s="117"/>
      <c r="B36" s="123"/>
      <c r="C36" s="116" t="s">
        <v>58</v>
      </c>
      <c r="D36" s="116" t="s">
        <v>59</v>
      </c>
      <c r="E36" s="116" t="s">
        <v>58</v>
      </c>
      <c r="F36" s="116" t="s">
        <v>59</v>
      </c>
      <c r="I36" s="195"/>
      <c r="J36" s="196" t="s">
        <v>193</v>
      </c>
      <c r="K36" s="197">
        <f>NPV($H$31,K11:K25)</f>
        <v>78077.952544142769</v>
      </c>
      <c r="L36" s="197">
        <f>NPV($H$31,L11:L25)</f>
        <v>224504.02092402987</v>
      </c>
      <c r="M36" s="197">
        <f>NPV($H$31,M11:M25)</f>
        <v>224504.02092402984</v>
      </c>
      <c r="N36" s="197"/>
      <c r="O36" s="197">
        <f>NPV($H$31,O11:O25)</f>
        <v>256148.47976561563</v>
      </c>
      <c r="P36" s="197">
        <f>NPV($H$31,P11:P25)</f>
        <v>256148.47976561563</v>
      </c>
      <c r="Q36" s="197"/>
      <c r="R36" s="197">
        <f>NPV($H$31,R11:R25)</f>
        <v>178835.2073237029</v>
      </c>
      <c r="S36" s="197">
        <f>NPV($H$31,S11:S25)</f>
        <v>178835.20732370284</v>
      </c>
      <c r="T36" s="197"/>
      <c r="U36" s="197">
        <f>NPV($H$31,U11:U25)</f>
        <v>179593.07401129973</v>
      </c>
      <c r="V36" s="197">
        <f>NPV($H$31,V11:V25)</f>
        <v>179593.07401129964</v>
      </c>
    </row>
    <row r="37" spans="1:34" ht="33.75" hidden="1" customHeight="1" x14ac:dyDescent="0.2">
      <c r="B37" s="124" t="s">
        <v>342</v>
      </c>
      <c r="C37" s="125">
        <f>-PMT('Table 6'!$P$40,COUNT(C11:C25),NPV('Table 6'!$P$40,C11:C25))</f>
        <v>2.9143729868996817</v>
      </c>
      <c r="D37" s="125">
        <f>-PMT('Table 6'!$P$40,COUNT(D11:D25),NPV('Table 6'!$P$40,D11:D25))</f>
        <v>3.3175099510220845</v>
      </c>
      <c r="E37" s="125">
        <f>-PMT('Table 6'!$P$40,COUNT(E11:E25),NPV('Table 6'!$P$40,E11:E25))</f>
        <v>2.3125800615157868</v>
      </c>
      <c r="F37" s="125">
        <f>-PMT('Table 6'!$P$40,COUNT(F11:F25),NPV('Table 6'!$P$40,F11:F25))</f>
        <v>2.3246939229733474</v>
      </c>
      <c r="I37" s="198"/>
      <c r="J37" s="198"/>
      <c r="K37" s="196"/>
      <c r="Z37" s="125"/>
    </row>
    <row r="38" spans="1:34" hidden="1" x14ac:dyDescent="0.2">
      <c r="A38" s="123"/>
      <c r="I38" s="199"/>
      <c r="J38" s="199" t="s">
        <v>268</v>
      </c>
      <c r="K38" s="200">
        <f>-PMT($H$31,COUNT(K11:K25),NPV($H$31,K11:K25))</f>
        <v>8341.188295779446</v>
      </c>
      <c r="L38" s="200">
        <f>-PMT($H$31,COUNT(L11:L25),NPV($H$31,L11:L25))</f>
        <v>23984.111399799021</v>
      </c>
      <c r="M38" s="202">
        <f>L38/K38</f>
        <v>2.8753830448756004</v>
      </c>
      <c r="N38" s="201"/>
      <c r="O38" s="200">
        <f>-PMT($H$31,COUNT(O11:O25),NPV($H$31,O11:O25))</f>
        <v>27364.737826529148</v>
      </c>
      <c r="P38" s="202">
        <f>O38/K38</f>
        <v>3.2806761885923881</v>
      </c>
      <c r="Q38" s="201"/>
      <c r="R38" s="200">
        <f>-PMT($H$31,COUNT(R11:R25),NPV($H$31,R11:R25))</f>
        <v>19105.241487453233</v>
      </c>
      <c r="S38" s="202">
        <f>R38/K38</f>
        <v>2.2904699918020417</v>
      </c>
      <c r="T38" s="201"/>
      <c r="U38" s="200">
        <f>-PMT($H$31,COUNT(U11:U25),NPV($H$31,U11:U25))</f>
        <v>19186.205556545206</v>
      </c>
      <c r="V38" s="202">
        <f>U38/K38</f>
        <v>2.3001765307532054</v>
      </c>
    </row>
    <row r="39" spans="1:34" hidden="1" x14ac:dyDescent="0.2">
      <c r="K39" s="203"/>
      <c r="L39" s="204"/>
      <c r="M39" s="205"/>
      <c r="O39" s="204"/>
      <c r="P39" s="205"/>
      <c r="R39" s="204"/>
      <c r="S39" s="205"/>
      <c r="U39" s="204"/>
      <c r="V39" s="205"/>
    </row>
    <row r="40" spans="1:34" x14ac:dyDescent="0.2">
      <c r="C40" s="115" t="s">
        <v>223</v>
      </c>
      <c r="D40" s="115"/>
      <c r="E40" s="115" t="s">
        <v>122</v>
      </c>
      <c r="F40" s="115"/>
      <c r="L40" s="206"/>
      <c r="O40" s="206"/>
      <c r="R40" s="206"/>
      <c r="U40" s="206"/>
    </row>
    <row r="41" spans="1:34" ht="33" customHeight="1" x14ac:dyDescent="0.35">
      <c r="A41" s="127"/>
      <c r="B41" s="124" t="s">
        <v>270</v>
      </c>
      <c r="C41" s="116" t="s">
        <v>58</v>
      </c>
      <c r="D41" s="116" t="s">
        <v>59</v>
      </c>
      <c r="E41" s="116" t="s">
        <v>58</v>
      </c>
      <c r="F41" s="116" t="s">
        <v>59</v>
      </c>
      <c r="AB41" s="168"/>
      <c r="AC41" s="178"/>
      <c r="AD41" s="178"/>
      <c r="AE41" s="179"/>
      <c r="AF41" s="179"/>
      <c r="AG41" s="178"/>
    </row>
    <row r="42" spans="1:34" x14ac:dyDescent="0.2">
      <c r="A42" s="127"/>
      <c r="B42" s="125"/>
      <c r="C42" s="125">
        <f>M38</f>
        <v>2.8753830448756004</v>
      </c>
      <c r="D42" s="125">
        <f>P38</f>
        <v>3.2806761885923881</v>
      </c>
      <c r="E42" s="125">
        <f>S38</f>
        <v>2.2904699918020417</v>
      </c>
      <c r="F42" s="125">
        <f>V38</f>
        <v>2.3001765307532054</v>
      </c>
      <c r="AB42" s="168"/>
    </row>
    <row r="43" spans="1:34" x14ac:dyDescent="0.2">
      <c r="A43" s="117"/>
      <c r="B43" s="123"/>
      <c r="C43" s="117"/>
      <c r="D43" s="117"/>
      <c r="E43" s="117"/>
      <c r="F43" s="117"/>
      <c r="AB43" s="174"/>
      <c r="AC43" s="170"/>
      <c r="AD43" s="170"/>
      <c r="AE43" s="169"/>
      <c r="AF43" s="171"/>
      <c r="AG43" s="170"/>
      <c r="AH43" s="170"/>
    </row>
    <row r="44" spans="1:34" x14ac:dyDescent="0.2">
      <c r="A44" s="126"/>
      <c r="B44" s="143" t="s">
        <v>347</v>
      </c>
      <c r="AB44" s="180"/>
      <c r="AC44" s="180"/>
      <c r="AD44" s="172"/>
      <c r="AE44" s="180"/>
      <c r="AF44" s="181"/>
    </row>
    <row r="45" spans="1:34" x14ac:dyDescent="0.2">
      <c r="A45" s="127"/>
      <c r="B45" s="143" t="s">
        <v>182</v>
      </c>
    </row>
    <row r="46" spans="1:34" x14ac:dyDescent="0.2">
      <c r="B46" s="143" t="s">
        <v>194</v>
      </c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H44"/>
  <sheetViews>
    <sheetView showGridLines="0" topLeftCell="A2" workbookViewId="0">
      <selection activeCell="B38" sqref="B38"/>
    </sheetView>
  </sheetViews>
  <sheetFormatPr defaultRowHeight="12" x14ac:dyDescent="0.2"/>
  <cols>
    <col min="1" max="1" width="2.83203125" style="112" customWidth="1"/>
    <col min="2" max="2" width="19.6640625" style="112" customWidth="1"/>
    <col min="3" max="6" width="18.83203125" style="112" customWidth="1"/>
    <col min="7" max="7" width="4.6640625" style="112" customWidth="1"/>
    <col min="8" max="16384" width="9.33203125" style="112"/>
  </cols>
  <sheetData>
    <row r="1" spans="1:7" x14ac:dyDescent="0.2">
      <c r="A1" s="2"/>
      <c r="B1" s="2"/>
      <c r="C1" s="2"/>
      <c r="D1" s="2"/>
      <c r="E1" s="2"/>
      <c r="F1" s="2"/>
      <c r="G1" s="114"/>
    </row>
    <row r="2" spans="1:7" x14ac:dyDescent="0.2">
      <c r="A2" s="2"/>
      <c r="B2" s="2" t="s">
        <v>101</v>
      </c>
      <c r="C2" s="2"/>
      <c r="D2" s="2"/>
      <c r="E2" s="2"/>
      <c r="F2" s="2"/>
      <c r="G2" s="114"/>
    </row>
    <row r="3" spans="1:7" x14ac:dyDescent="0.2">
      <c r="G3" s="114"/>
    </row>
    <row r="4" spans="1:7" x14ac:dyDescent="0.2">
      <c r="A4" s="113"/>
      <c r="B4" s="142" t="s">
        <v>147</v>
      </c>
      <c r="C4" s="113"/>
      <c r="D4" s="113"/>
      <c r="E4" s="113"/>
      <c r="F4" s="113"/>
      <c r="G4" s="114"/>
    </row>
    <row r="5" spans="1:7" x14ac:dyDescent="0.2">
      <c r="A5" s="113"/>
      <c r="B5" s="113"/>
    </row>
    <row r="6" spans="1:7" x14ac:dyDescent="0.2">
      <c r="A6" s="113"/>
      <c r="B6" s="114" t="s">
        <v>123</v>
      </c>
      <c r="C6" s="115" t="s">
        <v>224</v>
      </c>
      <c r="D6" s="115"/>
      <c r="E6" s="115" t="s">
        <v>149</v>
      </c>
      <c r="F6" s="115"/>
    </row>
    <row r="7" spans="1:7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</row>
    <row r="8" spans="1:7" x14ac:dyDescent="0.2">
      <c r="A8" s="117"/>
      <c r="B8" s="118"/>
      <c r="C8" s="119"/>
      <c r="D8" s="119"/>
      <c r="E8" s="119"/>
      <c r="F8" s="119"/>
    </row>
    <row r="9" spans="1:7" ht="11.25" customHeight="1" x14ac:dyDescent="0.2">
      <c r="A9" s="117"/>
      <c r="B9" s="331">
        <v>2017</v>
      </c>
      <c r="C9" s="120">
        <f>ROUND(INDEX('Table 2B Wind'!$C$69:$C$82,MATCH($B9,'Table 2B Wind'!$A$69:$A$82,0))/10,3)</f>
        <v>2.3679999999999999</v>
      </c>
      <c r="D9" s="120">
        <f>ROUND(INDEX('Table 2B Wind'!$G$69:$G$82,MATCH($B9,'Table 2B Wind'!$A$69:$A$82,0))/10,3)</f>
        <v>2.3780000000000001</v>
      </c>
      <c r="E9" s="120">
        <f>ROUND(INDEX('Table 2B Wind'!$D$69:$D$82,MATCH($B9,'Table 2B Wind'!$A$69:$A$82,0))/10,3)</f>
        <v>2.1429999999999998</v>
      </c>
      <c r="F9" s="120">
        <f>ROUND(INDEX('Table 2B Wind'!$H$69:$H$82,MATCH($B9,'Table 2B Wind'!$A$69:$A$82,0))/10,3)</f>
        <v>1.7130000000000001</v>
      </c>
    </row>
    <row r="10" spans="1:7" ht="11.25" customHeight="1" x14ac:dyDescent="0.2">
      <c r="A10" s="117"/>
      <c r="B10" s="331">
        <v>2018</v>
      </c>
      <c r="C10" s="120">
        <f>ROUND(INDEX('Table 2B Wind'!$C$70:$C$82,MATCH($B10,'Table 2B Wind'!$A$70:$A$82,0))/10,3)</f>
        <v>2.1179999999999999</v>
      </c>
      <c r="D10" s="120">
        <f>ROUND(INDEX('Table 2B Wind'!$G$70:$G$82,MATCH($B10,'Table 2B Wind'!$A$70:$A$82,0))/10,3)</f>
        <v>2.173</v>
      </c>
      <c r="E10" s="120">
        <f>ROUND(INDEX('Table 2B Wind'!$D$70:$D$82,MATCH($B10,'Table 2B Wind'!$A$70:$A$82,0))/10,3)</f>
        <v>1.883</v>
      </c>
      <c r="F10" s="120">
        <f>ROUND(INDEX('Table 2B Wind'!$H$70:$H$82,MATCH($B10,'Table 2B Wind'!$A$70:$A$82,0))/10,3)</f>
        <v>1.57</v>
      </c>
    </row>
    <row r="11" spans="1:7" x14ac:dyDescent="0.2">
      <c r="A11" s="117"/>
      <c r="B11" s="331">
        <v>2019</v>
      </c>
      <c r="C11" s="120">
        <f>ROUND(INDEX('Table 2B Wind'!$C$70:$C$82,MATCH($B11,'Table 2B Wind'!$A$70:$A$82,0))/10,3)</f>
        <v>1.9570000000000001</v>
      </c>
      <c r="D11" s="120">
        <f>ROUND(INDEX('Table 2B Wind'!$G$70:$G$82,MATCH($B11,'Table 2B Wind'!$A$70:$A$82,0))/10,3)</f>
        <v>2.3980000000000001</v>
      </c>
      <c r="E11" s="120">
        <f>ROUND(INDEX('Table 2B Wind'!$D$70:$D$82,MATCH($B11,'Table 2B Wind'!$A$70:$A$82,0))/10,3)</f>
        <v>1.641</v>
      </c>
      <c r="F11" s="120">
        <f>ROUND(INDEX('Table 2B Wind'!$H$70:$H$82,MATCH($B11,'Table 2B Wind'!$A$70:$A$82,0))/10,3)</f>
        <v>1.621</v>
      </c>
    </row>
    <row r="12" spans="1:7" x14ac:dyDescent="0.2">
      <c r="A12" s="117"/>
      <c r="B12" s="331">
        <v>2020</v>
      </c>
      <c r="C12" s="120">
        <f>ROUND(INDEX('Table 2B Wind'!$C$70:$C$82,MATCH($B12,'Table 2B Wind'!$A$70:$A$82,0))/10,3)</f>
        <v>1.8009999999999999</v>
      </c>
      <c r="D12" s="120">
        <f>ROUND(INDEX('Table 2B Wind'!$G$70:$G$82,MATCH($B12,'Table 2B Wind'!$A$70:$A$82,0))/10,3)</f>
        <v>2.4169999999999998</v>
      </c>
      <c r="E12" s="120">
        <f>ROUND(INDEX('Table 2B Wind'!$D$70:$D$82,MATCH($B12,'Table 2B Wind'!$A$70:$A$82,0))/10,3)</f>
        <v>1.506</v>
      </c>
      <c r="F12" s="120">
        <f>ROUND(INDEX('Table 2B Wind'!$H$70:$H$82,MATCH($B12,'Table 2B Wind'!$A$70:$A$82,0))/10,3)</f>
        <v>1.504</v>
      </c>
    </row>
    <row r="13" spans="1:7" x14ac:dyDescent="0.2">
      <c r="A13" s="117"/>
      <c r="B13" s="331">
        <v>2021</v>
      </c>
      <c r="C13" s="120">
        <f>ROUND(INDEX('Table 2B Wind'!$C$70:$C$82,MATCH($B13,'Table 2B Wind'!$A$70:$A$82,0))/10,3)</f>
        <v>1.841</v>
      </c>
      <c r="D13" s="120">
        <f>ROUND(INDEX('Table 2B Wind'!$G$70:$G$82,MATCH($B13,'Table 2B Wind'!$A$70:$A$82,0))/10,3)</f>
        <v>2.3479999999999999</v>
      </c>
      <c r="E13" s="120">
        <f>ROUND(INDEX('Table 2B Wind'!$D$70:$D$82,MATCH($B13,'Table 2B Wind'!$A$70:$A$82,0))/10,3)</f>
        <v>1.599</v>
      </c>
      <c r="F13" s="120">
        <f>ROUND(INDEX('Table 2B Wind'!$H$70:$H$82,MATCH($B13,'Table 2B Wind'!$A$70:$A$82,0))/10,3)</f>
        <v>1.498</v>
      </c>
    </row>
    <row r="14" spans="1:7" x14ac:dyDescent="0.2">
      <c r="A14" s="117"/>
      <c r="B14" s="331">
        <v>2022</v>
      </c>
      <c r="C14" s="120">
        <f>ROUND(INDEX('Table 2B Wind'!$C$70:$C$82,MATCH($B14,'Table 2B Wind'!$A$70:$A$82,0))/10,3)</f>
        <v>1.976</v>
      </c>
      <c r="D14" s="120">
        <f>ROUND(INDEX('Table 2B Wind'!$G$70:$G$82,MATCH($B14,'Table 2B Wind'!$A$70:$A$82,0))/10,3)</f>
        <v>2.5249999999999999</v>
      </c>
      <c r="E14" s="120">
        <f>ROUND(INDEX('Table 2B Wind'!$D$70:$D$82,MATCH($B14,'Table 2B Wind'!$A$70:$A$82,0))/10,3)</f>
        <v>1.762</v>
      </c>
      <c r="F14" s="120">
        <f>ROUND(INDEX('Table 2B Wind'!$H$70:$H$82,MATCH($B14,'Table 2B Wind'!$A$70:$A$82,0))/10,3)</f>
        <v>1.7170000000000001</v>
      </c>
    </row>
    <row r="15" spans="1:7" x14ac:dyDescent="0.2">
      <c r="A15" s="117"/>
      <c r="B15" s="331">
        <v>2023</v>
      </c>
      <c r="C15" s="120">
        <f>ROUND(INDEX('Table 2B Wind'!$C$70:$C$82,MATCH($B15,'Table 2B Wind'!$A$70:$A$82,0))/10,3)</f>
        <v>2.0779999999999998</v>
      </c>
      <c r="D15" s="120">
        <f>ROUND(INDEX('Table 2B Wind'!$G$70:$G$82,MATCH($B15,'Table 2B Wind'!$A$70:$A$82,0))/10,3)</f>
        <v>2.6789999999999998</v>
      </c>
      <c r="E15" s="120">
        <f>ROUND(INDEX('Table 2B Wind'!$D$70:$D$82,MATCH($B15,'Table 2B Wind'!$A$70:$A$82,0))/10,3)</f>
        <v>1.879</v>
      </c>
      <c r="F15" s="120">
        <f>ROUND(INDEX('Table 2B Wind'!$H$70:$H$82,MATCH($B15,'Table 2B Wind'!$A$70:$A$82,0))/10,3)</f>
        <v>1.992</v>
      </c>
    </row>
    <row r="16" spans="1:7" x14ac:dyDescent="0.2">
      <c r="A16" s="117"/>
      <c r="B16" s="331">
        <v>2024</v>
      </c>
      <c r="C16" s="120">
        <f>ROUND(INDEX('Table 2B Wind'!$C$70:$C$82,MATCH($B16,'Table 2B Wind'!$A$70:$A$82,0))/10,3)</f>
        <v>2.41</v>
      </c>
      <c r="D16" s="120">
        <f>ROUND(INDEX('Table 2B Wind'!$G$70:$G$82,MATCH($B16,'Table 2B Wind'!$A$70:$A$82,0))/10,3)</f>
        <v>2.9140000000000001</v>
      </c>
      <c r="E16" s="120">
        <f>ROUND(INDEX('Table 2B Wind'!$D$70:$D$82,MATCH($B16,'Table 2B Wind'!$A$70:$A$82,0))/10,3)</f>
        <v>2.1819999999999999</v>
      </c>
      <c r="F16" s="120">
        <f>ROUND(INDEX('Table 2B Wind'!$H$70:$H$82,MATCH($B16,'Table 2B Wind'!$A$70:$A$82,0))/10,3)</f>
        <v>2.3519999999999999</v>
      </c>
    </row>
    <row r="17" spans="1:8" x14ac:dyDescent="0.2">
      <c r="A17" s="117"/>
      <c r="B17" s="331">
        <v>2025</v>
      </c>
      <c r="C17" s="120">
        <f>ROUND(INDEX('Table 2B Wind'!$C$70:$C$82,MATCH($B17,'Table 2B Wind'!$A$70:$A$82,0))/10,3)</f>
        <v>2.5950000000000002</v>
      </c>
      <c r="D17" s="120">
        <f>ROUND(INDEX('Table 2B Wind'!$G$70:$G$82,MATCH($B17,'Table 2B Wind'!$A$70:$A$82,0))/10,3)</f>
        <v>3.3490000000000002</v>
      </c>
      <c r="E17" s="120">
        <f>ROUND(INDEX('Table 2B Wind'!$D$70:$D$82,MATCH($B17,'Table 2B Wind'!$A$70:$A$82,0))/10,3)</f>
        <v>2.35</v>
      </c>
      <c r="F17" s="120">
        <f>ROUND(INDEX('Table 2B Wind'!$H$70:$H$82,MATCH($B17,'Table 2B Wind'!$A$70:$A$82,0))/10,3)</f>
        <v>2.6509999999999998</v>
      </c>
    </row>
    <row r="18" spans="1:8" x14ac:dyDescent="0.2">
      <c r="A18" s="117"/>
      <c r="B18" s="331">
        <v>2026</v>
      </c>
      <c r="C18" s="120">
        <f>ROUND(INDEX('Table 2B Wind'!$C$70:$C$82,MATCH($B18,'Table 2B Wind'!$A$70:$A$82,0))/10,3)</f>
        <v>3.101</v>
      </c>
      <c r="D18" s="120">
        <f>ROUND(INDEX('Table 2B Wind'!$G$70:$G$82,MATCH($B18,'Table 2B Wind'!$A$70:$A$82,0))/10,3)</f>
        <v>3.262</v>
      </c>
      <c r="E18" s="120">
        <f>ROUND(INDEX('Table 2B Wind'!$D$70:$D$82,MATCH($B18,'Table 2B Wind'!$A$70:$A$82,0))/10,3)</f>
        <v>2.8130000000000002</v>
      </c>
      <c r="F18" s="120">
        <f>ROUND(INDEX('Table 2B Wind'!$H$70:$H$82,MATCH($B18,'Table 2B Wind'!$A$70:$A$82,0))/10,3)</f>
        <v>2.597</v>
      </c>
    </row>
    <row r="19" spans="1:8" x14ac:dyDescent="0.2">
      <c r="A19" s="117"/>
      <c r="B19" s="331">
        <v>2027</v>
      </c>
      <c r="C19" s="120">
        <f>ROUND(INDEX('Table 2B Wind'!$C$70:$C$82,MATCH($B19,'Table 2B Wind'!$A$70:$A$82,0))/10,3)</f>
        <v>2.6880000000000002</v>
      </c>
      <c r="D19" s="120">
        <f>ROUND(INDEX('Table 2B Wind'!$G$70:$G$82,MATCH($B19,'Table 2B Wind'!$A$70:$A$82,0))/10,3)</f>
        <v>3.38</v>
      </c>
      <c r="E19" s="120">
        <f>ROUND(INDEX('Table 2B Wind'!$D$70:$D$82,MATCH($B19,'Table 2B Wind'!$A$70:$A$82,0))/10,3)</f>
        <v>2.4569999999999999</v>
      </c>
      <c r="F19" s="120">
        <f>ROUND(INDEX('Table 2B Wind'!$H$70:$H$82,MATCH($B19,'Table 2B Wind'!$A$70:$A$82,0))/10,3)</f>
        <v>2.7290000000000001</v>
      </c>
    </row>
    <row r="20" spans="1:8" x14ac:dyDescent="0.2">
      <c r="A20" s="117"/>
      <c r="B20" s="485">
        <v>2028</v>
      </c>
      <c r="C20" s="486">
        <f>ROUND(INDEX('Table 2B Wind'!$C$70:$C$82,MATCH($B20,'Table 2B Wind'!$A$70:$A$82,0))/10,3)</f>
        <v>3.2930000000000001</v>
      </c>
      <c r="D20" s="486">
        <f>ROUND(INDEX('Table 2B Wind'!$G$70:$G$82,MATCH($B20,'Table 2B Wind'!$A$70:$A$82,0))/10,3)</f>
        <v>4.0750000000000002</v>
      </c>
      <c r="E20" s="486">
        <f>ROUND(INDEX('Table 2B Wind'!$D$70:$D$82,MATCH($B20,'Table 2B Wind'!$A$70:$A$82,0))/10,3)</f>
        <v>3.0249999999999999</v>
      </c>
      <c r="F20" s="486">
        <f>ROUND(INDEX('Table 2B Wind'!$H$70:$H$82,MATCH($B20,'Table 2B Wind'!$A$70:$A$82,0))/10,3)</f>
        <v>3.3250000000000002</v>
      </c>
      <c r="H20" s="121"/>
    </row>
    <row r="21" spans="1:8" x14ac:dyDescent="0.2">
      <c r="A21" s="117"/>
      <c r="B21" s="331">
        <v>2029</v>
      </c>
      <c r="C21" s="120">
        <f>ROUND(INDEX('Tables 3 to 5'!AA:AA,MATCH(B21,'Tables 3 to 5'!B:B,0))/10,3)</f>
        <v>3.923</v>
      </c>
      <c r="D21" s="120">
        <f t="shared" ref="D21" si="0">C21</f>
        <v>3.923</v>
      </c>
      <c r="E21" s="120">
        <f>ROUND(INDEX('Tables 3 to 5'!AB:AB,MATCH(B21,'Tables 3 to 5'!B:B,0))/10,3)</f>
        <v>3.3650000000000002</v>
      </c>
      <c r="F21" s="120">
        <f t="shared" ref="F21" si="1">E21</f>
        <v>3.3650000000000002</v>
      </c>
    </row>
    <row r="22" spans="1:8" x14ac:dyDescent="0.2">
      <c r="A22" s="117"/>
      <c r="B22" s="331">
        <v>2030</v>
      </c>
      <c r="C22" s="120">
        <f>ROUND(INDEX('Tables 3 to 5'!AA:AA,MATCH(B22,'Tables 3 to 5'!B:B,0))/10,3)</f>
        <v>4.1840000000000002</v>
      </c>
      <c r="D22" s="120">
        <f t="shared" ref="D22:D27" si="2">C22</f>
        <v>4.1840000000000002</v>
      </c>
      <c r="E22" s="120">
        <f>ROUND(INDEX('Tables 3 to 5'!AB:AB,MATCH(B22,'Tables 3 to 5'!B:B,0))/10,3)</f>
        <v>3.6139999999999999</v>
      </c>
      <c r="F22" s="120">
        <f t="shared" ref="F22:F27" si="3">E22</f>
        <v>3.6139999999999999</v>
      </c>
    </row>
    <row r="23" spans="1:8" x14ac:dyDescent="0.2">
      <c r="A23" s="117"/>
      <c r="B23" s="331">
        <v>2031</v>
      </c>
      <c r="C23" s="120">
        <f>ROUND(INDEX('Tables 3 to 5'!AA:AA,MATCH(B23,'Tables 3 to 5'!B:B,0))/10,3)</f>
        <v>4.3579999999999997</v>
      </c>
      <c r="D23" s="120">
        <f t="shared" si="2"/>
        <v>4.3579999999999997</v>
      </c>
      <c r="E23" s="120">
        <f>ROUND(INDEX('Tables 3 to 5'!AB:AB,MATCH(B23,'Tables 3 to 5'!B:B,0))/10,3)</f>
        <v>3.7730000000000001</v>
      </c>
      <c r="F23" s="120">
        <f t="shared" si="3"/>
        <v>3.7730000000000001</v>
      </c>
    </row>
    <row r="24" spans="1:8" x14ac:dyDescent="0.2">
      <c r="A24" s="117"/>
      <c r="B24" s="331">
        <v>2032</v>
      </c>
      <c r="C24" s="120">
        <f>ROUND(INDEX('Tables 3 to 5'!AA:AA,MATCH(B24,'Tables 3 to 5'!B:B,0))/10,3)</f>
        <v>4.5570000000000004</v>
      </c>
      <c r="D24" s="120">
        <f t="shared" si="2"/>
        <v>4.5570000000000004</v>
      </c>
      <c r="E24" s="120">
        <f>ROUND(INDEX('Tables 3 to 5'!AB:AB,MATCH(B24,'Tables 3 to 5'!B:B,0))/10,3)</f>
        <v>3.9580000000000002</v>
      </c>
      <c r="F24" s="120">
        <f t="shared" si="3"/>
        <v>3.9580000000000002</v>
      </c>
    </row>
    <row r="25" spans="1:8" x14ac:dyDescent="0.2">
      <c r="A25" s="117"/>
      <c r="B25" s="331">
        <v>2033</v>
      </c>
      <c r="C25" s="120">
        <f>ROUND(INDEX('Tables 3 to 5'!AA:AA,MATCH(B25,'Tables 3 to 5'!B:B,0))/10,3)</f>
        <v>4.827</v>
      </c>
      <c r="D25" s="120">
        <f t="shared" si="2"/>
        <v>4.827</v>
      </c>
      <c r="E25" s="120">
        <f>ROUND(INDEX('Tables 3 to 5'!AB:AB,MATCH(B25,'Tables 3 to 5'!B:B,0))/10,3)</f>
        <v>4.2140000000000004</v>
      </c>
      <c r="F25" s="120">
        <f t="shared" si="3"/>
        <v>4.2140000000000004</v>
      </c>
    </row>
    <row r="26" spans="1:8" x14ac:dyDescent="0.2">
      <c r="A26" s="117"/>
      <c r="B26" s="331">
        <v>2034</v>
      </c>
      <c r="C26" s="120">
        <f>ROUND(INDEX('Tables 3 to 5'!AA:AA,MATCH(B26,'Tables 3 to 5'!B:B,0))/10,3)</f>
        <v>5.0209999999999999</v>
      </c>
      <c r="D26" s="120">
        <f t="shared" si="2"/>
        <v>5.0209999999999999</v>
      </c>
      <c r="E26" s="120">
        <f>ROUND(INDEX('Tables 3 to 5'!AB:AB,MATCH(B26,'Tables 3 to 5'!B:B,0))/10,3)</f>
        <v>4.3940000000000001</v>
      </c>
      <c r="F26" s="120">
        <f t="shared" si="3"/>
        <v>4.3940000000000001</v>
      </c>
    </row>
    <row r="27" spans="1:8" x14ac:dyDescent="0.2">
      <c r="A27" s="117"/>
      <c r="B27" s="331">
        <v>2035</v>
      </c>
      <c r="C27" s="120">
        <f>ROUND(INDEX('Tables 3 to 5'!AA:AA,MATCH(B27,'Tables 3 to 5'!B:B,0))/10,3)</f>
        <v>5.2229999999999999</v>
      </c>
      <c r="D27" s="120">
        <f t="shared" si="2"/>
        <v>5.2229999999999999</v>
      </c>
      <c r="E27" s="120">
        <f>ROUND(INDEX('Tables 3 to 5'!AB:AB,MATCH(B27,'Tables 3 to 5'!B:B,0))/10,3)</f>
        <v>4.58</v>
      </c>
      <c r="F27" s="120">
        <f t="shared" si="3"/>
        <v>4.58</v>
      </c>
    </row>
    <row r="28" spans="1:8" x14ac:dyDescent="0.2">
      <c r="A28" s="117"/>
      <c r="B28" s="118">
        <v>2036</v>
      </c>
      <c r="C28" s="120">
        <f>ROUND(INDEX('Tables 3 to 5'!AA:AA,MATCH(B28,'Tables 3 to 5'!B:B,0))/10,3)</f>
        <v>5.5780000000000003</v>
      </c>
      <c r="D28" s="120">
        <f t="shared" ref="D28:D29" si="4">C28</f>
        <v>5.5780000000000003</v>
      </c>
      <c r="E28" s="120">
        <f>ROUND(INDEX('Tables 3 to 5'!AB:AB,MATCH(B28,'Tables 3 to 5'!B:B,0))/10,3)</f>
        <v>4.9189999999999996</v>
      </c>
      <c r="F28" s="120">
        <f t="shared" ref="F28:F29" si="5">E28</f>
        <v>4.9189999999999996</v>
      </c>
    </row>
    <row r="29" spans="1:8" x14ac:dyDescent="0.2">
      <c r="A29" s="117"/>
      <c r="B29" s="118">
        <v>2037</v>
      </c>
      <c r="C29" s="120">
        <f>ROUND(INDEX('Tables 3 to 5'!AA:AA,MATCH(B29,'Tables 3 to 5'!B:B,0))/10,3)</f>
        <v>5.7679999999999998</v>
      </c>
      <c r="D29" s="120">
        <f t="shared" si="4"/>
        <v>5.7679999999999998</v>
      </c>
      <c r="E29" s="120">
        <f>ROUND(INDEX('Tables 3 to 5'!AB:AB,MATCH(B29,'Tables 3 to 5'!B:B,0))/10,3)</f>
        <v>5.093</v>
      </c>
      <c r="F29" s="120">
        <f t="shared" si="5"/>
        <v>5.093</v>
      </c>
      <c r="H29" s="112" t="str">
        <f>'Table 6'!$P$39</f>
        <v>Discount Rate - 2017 IRP</v>
      </c>
    </row>
    <row r="30" spans="1:8" hidden="1" x14ac:dyDescent="0.2">
      <c r="A30" s="117"/>
      <c r="B30" s="118"/>
      <c r="C30" s="120"/>
      <c r="D30" s="119"/>
      <c r="E30" s="120"/>
      <c r="F30" s="120"/>
      <c r="H30" s="122">
        <f>'Table 6'!$P$40</f>
        <v>6.5699999999999995E-2</v>
      </c>
    </row>
    <row r="31" spans="1:8" hidden="1" x14ac:dyDescent="0.2">
      <c r="A31" s="117"/>
      <c r="B31" s="118"/>
      <c r="C31" s="120"/>
      <c r="D31" s="119"/>
      <c r="E31" s="120"/>
      <c r="F31" s="120"/>
    </row>
    <row r="32" spans="1:8" x14ac:dyDescent="0.2">
      <c r="A32" s="117"/>
      <c r="B32" s="118"/>
      <c r="C32" s="120"/>
      <c r="D32" s="119"/>
      <c r="E32" s="120"/>
      <c r="F32" s="120"/>
    </row>
    <row r="33" spans="1:6" x14ac:dyDescent="0.2">
      <c r="A33" s="117"/>
      <c r="B33" s="118"/>
      <c r="C33" s="117"/>
      <c r="D33" s="117"/>
      <c r="E33" s="117"/>
      <c r="F33" s="117"/>
    </row>
    <row r="34" spans="1:6" x14ac:dyDescent="0.2">
      <c r="A34" s="117"/>
      <c r="C34" s="115" t="s">
        <v>223</v>
      </c>
      <c r="D34" s="115"/>
      <c r="E34" s="115" t="s">
        <v>122</v>
      </c>
      <c r="F34" s="115"/>
    </row>
    <row r="35" spans="1:6" ht="14.25" x14ac:dyDescent="0.35">
      <c r="A35" s="117"/>
      <c r="B35" s="123"/>
      <c r="C35" s="116" t="s">
        <v>58</v>
      </c>
      <c r="D35" s="116" t="s">
        <v>59</v>
      </c>
      <c r="E35" s="116" t="s">
        <v>58</v>
      </c>
      <c r="F35" s="116" t="s">
        <v>59</v>
      </c>
    </row>
    <row r="36" spans="1:6" ht="24" x14ac:dyDescent="0.2">
      <c r="B36" s="124" t="s">
        <v>339</v>
      </c>
      <c r="C36" s="125">
        <f>-PMT('Table 6'!$P$40,COUNT(C10:C24),NPV('Table 6'!$P$40,C10:C24))</f>
        <v>2.6272622060768396</v>
      </c>
      <c r="D36" s="125">
        <f>-PMT('Table 6'!$P$40,COUNT(D10:D24),NPV('Table 6'!$P$40,D10:D24))</f>
        <v>3.0303389163471612</v>
      </c>
      <c r="E36" s="125">
        <f>-PMT('Table 6'!$P$40,COUNT(E10:E24),NPV('Table 6'!$P$40,E10:E24))</f>
        <v>2.3161007411787495</v>
      </c>
      <c r="F36" s="125">
        <f>-PMT('Table 6'!$P$40,COUNT(F10:F24),NPV('Table 6'!$P$40,F10:F24))</f>
        <v>2.3282854468991281</v>
      </c>
    </row>
    <row r="37" spans="1:6" x14ac:dyDescent="0.2">
      <c r="A37" s="123"/>
    </row>
    <row r="38" spans="1:6" x14ac:dyDescent="0.2">
      <c r="A38" s="126"/>
      <c r="B38" s="143" t="s">
        <v>345</v>
      </c>
    </row>
    <row r="39" spans="1:6" x14ac:dyDescent="0.2">
      <c r="A39" s="127"/>
      <c r="B39" s="143" t="s">
        <v>180</v>
      </c>
    </row>
    <row r="40" spans="1:6" x14ac:dyDescent="0.2">
      <c r="A40" s="127"/>
      <c r="B40" s="117"/>
      <c r="C40" s="128"/>
      <c r="D40" s="128"/>
      <c r="E40" s="128"/>
      <c r="F40" s="128"/>
    </row>
    <row r="41" spans="1:6" x14ac:dyDescent="0.2">
      <c r="A41" s="127"/>
      <c r="B41" s="124"/>
      <c r="C41" s="128"/>
      <c r="D41" s="128"/>
      <c r="E41" s="128"/>
      <c r="F41" s="128"/>
    </row>
    <row r="42" spans="1:6" x14ac:dyDescent="0.2">
      <c r="A42" s="117"/>
      <c r="B42" s="123"/>
      <c r="C42" s="117"/>
      <c r="D42" s="117"/>
      <c r="E42" s="117"/>
      <c r="F42" s="117"/>
    </row>
    <row r="43" spans="1:6" x14ac:dyDescent="0.2">
      <c r="A43" s="126"/>
    </row>
    <row r="44" spans="1:6" x14ac:dyDescent="0.2">
      <c r="A44" s="126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  <pageSetUpPr fitToPage="1"/>
  </sheetPr>
  <dimension ref="B1:AO276"/>
  <sheetViews>
    <sheetView zoomScale="90" zoomScaleNormal="90" workbookViewId="0">
      <selection activeCell="C20" sqref="C20"/>
    </sheetView>
  </sheetViews>
  <sheetFormatPr defaultColWidth="8.83203125" defaultRowHeight="12.75" x14ac:dyDescent="0.2"/>
  <cols>
    <col min="1" max="1" width="1.5" style="211" customWidth="1"/>
    <col min="2" max="2" width="25.83203125" style="211" bestFit="1" customWidth="1"/>
    <col min="3" max="4" width="18.83203125" style="211" customWidth="1"/>
    <col min="5" max="5" width="7.83203125" style="211" bestFit="1" customWidth="1"/>
    <col min="6" max="6" width="3" style="211" customWidth="1"/>
    <col min="7" max="7" width="8.1640625" style="211" customWidth="1"/>
    <col min="8" max="9" width="21.1640625" style="211" customWidth="1"/>
    <col min="10" max="12" width="8.83203125" style="211"/>
    <col min="13" max="13" width="14" style="263" bestFit="1" customWidth="1"/>
    <col min="14" max="14" width="9" style="266" bestFit="1" customWidth="1"/>
    <col min="15" max="15" width="7.83203125" style="266" bestFit="1" customWidth="1"/>
    <col min="16" max="16" width="9" style="266" bestFit="1" customWidth="1"/>
    <col min="17" max="17" width="10.33203125" style="266" customWidth="1"/>
    <col min="18" max="18" width="3.1640625" style="211" customWidth="1"/>
    <col min="19" max="19" width="10" style="130" customWidth="1"/>
    <col min="20" max="20" width="10.83203125" style="211" customWidth="1"/>
    <col min="21" max="21" width="10.1640625" style="211" customWidth="1"/>
    <col min="22" max="22" width="3.1640625" style="211" customWidth="1"/>
    <col min="23" max="23" width="8.83203125" style="211"/>
    <col min="24" max="24" width="10.1640625" style="211" customWidth="1"/>
    <col min="25" max="25" width="9.6640625" style="211" customWidth="1"/>
    <col min="26" max="26" width="8.83203125" style="211"/>
    <col min="27" max="27" width="9.83203125" style="211" customWidth="1"/>
    <col min="28" max="28" width="8.83203125" style="211"/>
    <col min="29" max="29" width="10.5" style="211" customWidth="1"/>
    <col min="30" max="16384" width="8.83203125" style="211"/>
  </cols>
  <sheetData>
    <row r="1" spans="2:41" ht="15.75" x14ac:dyDescent="0.25">
      <c r="B1" s="1" t="s">
        <v>203</v>
      </c>
      <c r="C1" s="210"/>
      <c r="D1" s="210"/>
      <c r="E1" s="210"/>
      <c r="F1" s="210"/>
      <c r="G1" s="210"/>
      <c r="H1" s="210"/>
      <c r="I1" s="210"/>
      <c r="M1" s="212" t="s">
        <v>204</v>
      </c>
      <c r="N1" s="213"/>
      <c r="O1" s="212"/>
      <c r="P1" s="213"/>
      <c r="Q1" s="214"/>
    </row>
    <row r="2" spans="2:41" ht="15.75" x14ac:dyDescent="0.25">
      <c r="B2" s="1" t="s">
        <v>205</v>
      </c>
      <c r="C2" s="210"/>
      <c r="D2" s="210"/>
      <c r="E2" s="210"/>
      <c r="F2" s="210"/>
      <c r="G2" s="210"/>
      <c r="H2" s="210"/>
      <c r="I2" s="210"/>
      <c r="M2" s="215"/>
      <c r="N2" s="216"/>
      <c r="O2" s="216"/>
      <c r="P2" s="216"/>
      <c r="Q2" s="216"/>
    </row>
    <row r="3" spans="2:41" x14ac:dyDescent="0.2">
      <c r="B3" s="210"/>
      <c r="C3" s="210"/>
      <c r="D3" s="210"/>
      <c r="E3" s="210"/>
      <c r="F3" s="210"/>
      <c r="G3" s="210"/>
      <c r="H3" s="210"/>
      <c r="I3" s="210"/>
      <c r="M3" s="217" t="str">
        <f>"Official Forward Price Curve dated "&amp;TEXT(C4,"mmmm YYYY")</f>
        <v>Official Forward Price Curve dated March 2017</v>
      </c>
      <c r="N3" s="218"/>
      <c r="O3" s="218"/>
      <c r="P3" s="218"/>
      <c r="Q3" s="218"/>
    </row>
    <row r="4" spans="2:41" ht="13.5" thickBot="1" x14ac:dyDescent="0.25">
      <c r="B4" s="219" t="s">
        <v>206</v>
      </c>
      <c r="C4" s="220">
        <v>42825</v>
      </c>
      <c r="D4" s="220"/>
      <c r="E4" s="210"/>
      <c r="F4" s="221"/>
      <c r="G4" s="210"/>
      <c r="H4" s="210"/>
      <c r="I4" s="210"/>
      <c r="M4" s="222"/>
      <c r="N4" s="223"/>
      <c r="O4" s="223"/>
      <c r="P4" s="223"/>
      <c r="Q4" s="223"/>
    </row>
    <row r="5" spans="2:41" ht="13.5" thickBot="1" x14ac:dyDescent="0.25">
      <c r="B5" s="219"/>
      <c r="C5" s="224"/>
      <c r="D5" s="224"/>
      <c r="F5" s="221"/>
      <c r="G5" s="440"/>
      <c r="H5" s="441" t="s">
        <v>283</v>
      </c>
      <c r="I5" s="442"/>
      <c r="M5" s="225"/>
      <c r="N5" s="226" t="s">
        <v>204</v>
      </c>
      <c r="O5" s="226"/>
      <c r="P5" s="226"/>
      <c r="Q5" s="226"/>
      <c r="W5" s="225"/>
      <c r="X5" s="226" t="s">
        <v>204</v>
      </c>
      <c r="Y5" s="226"/>
      <c r="Z5" s="226"/>
      <c r="AA5" s="226"/>
      <c r="AD5" s="211" t="s">
        <v>44</v>
      </c>
      <c r="AE5" s="211" t="s">
        <v>45</v>
      </c>
      <c r="AF5" s="211" t="s">
        <v>46</v>
      </c>
      <c r="AG5" s="211" t="s">
        <v>47</v>
      </c>
      <c r="AH5" s="211" t="s">
        <v>48</v>
      </c>
      <c r="AI5" s="211" t="s">
        <v>49</v>
      </c>
      <c r="AJ5" s="211" t="s">
        <v>50</v>
      </c>
      <c r="AK5" s="211" t="s">
        <v>51</v>
      </c>
      <c r="AL5" s="211" t="s">
        <v>52</v>
      </c>
      <c r="AM5" s="211" t="s">
        <v>53</v>
      </c>
      <c r="AN5" s="211" t="s">
        <v>54</v>
      </c>
      <c r="AO5" s="211" t="s">
        <v>55</v>
      </c>
    </row>
    <row r="6" spans="2:41" x14ac:dyDescent="0.2">
      <c r="B6" s="227" t="s">
        <v>207</v>
      </c>
      <c r="G6" s="228" t="s">
        <v>2</v>
      </c>
      <c r="H6" s="229" t="str">
        <f>C7</f>
        <v>IRP - Wyo NE</v>
      </c>
      <c r="I6" s="229" t="str">
        <f>D7</f>
        <v>Pacific NW</v>
      </c>
      <c r="M6" s="230"/>
      <c r="N6" s="226" t="s">
        <v>104</v>
      </c>
      <c r="O6" s="226"/>
      <c r="P6" s="226" t="s">
        <v>105</v>
      </c>
      <c r="Q6" s="226"/>
      <c r="W6" s="230"/>
      <c r="X6" s="226" t="s">
        <v>104</v>
      </c>
      <c r="Y6" s="226"/>
      <c r="Z6" s="226" t="s">
        <v>105</v>
      </c>
      <c r="AA6" s="226"/>
      <c r="AC6" s="211" t="s">
        <v>216</v>
      </c>
      <c r="AD6" s="211">
        <v>1</v>
      </c>
      <c r="AE6" s="211">
        <v>2</v>
      </c>
      <c r="AF6" s="211">
        <v>3</v>
      </c>
      <c r="AG6" s="211">
        <v>4</v>
      </c>
      <c r="AH6" s="211">
        <v>5</v>
      </c>
      <c r="AI6" s="211">
        <v>6</v>
      </c>
      <c r="AJ6" s="211">
        <v>7</v>
      </c>
      <c r="AK6" s="211">
        <v>8</v>
      </c>
      <c r="AL6" s="211">
        <v>9</v>
      </c>
      <c r="AM6" s="211">
        <v>10</v>
      </c>
      <c r="AN6" s="211">
        <v>11</v>
      </c>
      <c r="AO6" s="211">
        <v>12</v>
      </c>
    </row>
    <row r="7" spans="2:41" ht="39" thickBot="1" x14ac:dyDescent="0.25">
      <c r="B7" s="231" t="s">
        <v>113</v>
      </c>
      <c r="C7" s="232" t="str">
        <f>C273</f>
        <v>IRP - Wyo NE</v>
      </c>
      <c r="D7" s="232" t="str">
        <f>D273</f>
        <v>Pacific NW</v>
      </c>
      <c r="E7" s="233" t="s">
        <v>2</v>
      </c>
      <c r="G7" s="234"/>
      <c r="H7" s="235" t="s">
        <v>37</v>
      </c>
      <c r="I7" s="235" t="s">
        <v>37</v>
      </c>
      <c r="K7" s="211" t="s">
        <v>113</v>
      </c>
      <c r="L7" s="211" t="s">
        <v>2</v>
      </c>
      <c r="M7" s="236" t="s">
        <v>208</v>
      </c>
      <c r="N7" s="237" t="s">
        <v>209</v>
      </c>
      <c r="O7" s="237" t="s">
        <v>210</v>
      </c>
      <c r="P7" s="237" t="s">
        <v>209</v>
      </c>
      <c r="Q7" s="238" t="s">
        <v>210</v>
      </c>
      <c r="S7" s="130" t="s">
        <v>214</v>
      </c>
      <c r="T7" s="270" t="s">
        <v>213</v>
      </c>
      <c r="U7" s="270" t="s">
        <v>215</v>
      </c>
      <c r="V7" s="270"/>
      <c r="W7" s="236" t="s">
        <v>2</v>
      </c>
      <c r="X7" s="237" t="s">
        <v>209</v>
      </c>
      <c r="Y7" s="237" t="s">
        <v>210</v>
      </c>
      <c r="Z7" s="237" t="s">
        <v>209</v>
      </c>
      <c r="AA7" s="238" t="s">
        <v>210</v>
      </c>
      <c r="AD7" s="211" t="s">
        <v>44</v>
      </c>
      <c r="AE7" s="211" t="s">
        <v>45</v>
      </c>
      <c r="AF7" s="211" t="s">
        <v>46</v>
      </c>
      <c r="AG7" s="211" t="s">
        <v>47</v>
      </c>
      <c r="AH7" s="211" t="s">
        <v>48</v>
      </c>
      <c r="AI7" s="211" t="s">
        <v>49</v>
      </c>
      <c r="AJ7" s="211" t="s">
        <v>50</v>
      </c>
      <c r="AK7" s="211" t="s">
        <v>51</v>
      </c>
      <c r="AL7" s="211" t="s">
        <v>52</v>
      </c>
      <c r="AM7" s="211" t="s">
        <v>53</v>
      </c>
      <c r="AN7" s="211" t="s">
        <v>54</v>
      </c>
      <c r="AO7" s="211" t="s">
        <v>55</v>
      </c>
    </row>
    <row r="8" spans="2:41" x14ac:dyDescent="0.2">
      <c r="B8" s="239">
        <v>42370</v>
      </c>
      <c r="C8" s="240">
        <v>2.2757987901986261</v>
      </c>
      <c r="D8" s="240">
        <v>2.3298075132707226</v>
      </c>
      <c r="E8" s="241">
        <f t="shared" ref="E8:E71" si="0">YEAR(B8)</f>
        <v>2016</v>
      </c>
      <c r="G8" s="242">
        <f>YEAR(B8)</f>
        <v>2016</v>
      </c>
      <c r="H8" s="243">
        <f>ROUND(AVERAGEIF($E$8:$E$271,$G8,$C$8:$C$271),2)</f>
        <v>2.35</v>
      </c>
      <c r="I8" s="243">
        <f>ROUND(AVERAGEIF($E$8:$E$271,$G8,$D$8:$D$271),2)</f>
        <v>2.29</v>
      </c>
      <c r="K8" s="35">
        <f>MONTH(M8)</f>
        <v>1</v>
      </c>
      <c r="L8" s="272">
        <f>YEAR(M8)</f>
        <v>2016</v>
      </c>
      <c r="M8" s="244">
        <f t="shared" ref="M8:M71" si="1">B8</f>
        <v>42370</v>
      </c>
      <c r="N8" s="245">
        <v>22.762000000000008</v>
      </c>
      <c r="O8" s="245">
        <v>21.312800000000003</v>
      </c>
      <c r="P8" s="245">
        <v>21.876976744186056</v>
      </c>
      <c r="Q8" s="246">
        <v>19.874418604651169</v>
      </c>
      <c r="S8" s="269">
        <v>20.647741935483875</v>
      </c>
      <c r="T8" s="271">
        <f>O8/S8</f>
        <v>1.0322097237845269</v>
      </c>
      <c r="U8" s="271">
        <f>Q8/S8</f>
        <v>0.96254683280868969</v>
      </c>
      <c r="W8" s="242">
        <f>G8</f>
        <v>2016</v>
      </c>
      <c r="X8" s="247">
        <f t="shared" ref="X8:X25" si="2">ROUND(AVERAGEIF($E$8:$E$223,$W8,N$8:N$223),2)</f>
        <v>22.59</v>
      </c>
      <c r="Y8" s="247">
        <f t="shared" ref="Y8:Y25" si="3">ROUND(AVERAGEIF($E$8:$E$223,$W8,O$8:O$223),2)</f>
        <v>25.29</v>
      </c>
      <c r="Z8" s="247">
        <f t="shared" ref="Z8:Z25" si="4">ROUND(AVERAGEIF($E$8:$E$223,$W8,P$8:P$223),2)</f>
        <v>17.2</v>
      </c>
      <c r="AA8" s="247">
        <f t="shared" ref="AA8:AA25" si="5">ROUND(AVERAGEIF($E$8:$E$223,$W8,Q$8:Q$223),2)</f>
        <v>19.87</v>
      </c>
      <c r="AC8" s="211">
        <v>2015</v>
      </c>
      <c r="AD8" s="258">
        <f t="shared" ref="AD8:AO21" si="6">SUMIFS($T:$T,$L:$L,$AC8,$K:$K,AD$6)</f>
        <v>0</v>
      </c>
      <c r="AE8" s="258">
        <f t="shared" si="6"/>
        <v>0</v>
      </c>
      <c r="AF8" s="258">
        <f t="shared" si="6"/>
        <v>0</v>
      </c>
      <c r="AG8" s="258">
        <f t="shared" si="6"/>
        <v>0</v>
      </c>
      <c r="AH8" s="258">
        <f t="shared" si="6"/>
        <v>0</v>
      </c>
      <c r="AI8" s="258">
        <f t="shared" si="6"/>
        <v>0</v>
      </c>
      <c r="AJ8" s="258">
        <f t="shared" si="6"/>
        <v>0</v>
      </c>
      <c r="AK8" s="258">
        <f t="shared" si="6"/>
        <v>0</v>
      </c>
      <c r="AL8" s="258">
        <f t="shared" si="6"/>
        <v>0</v>
      </c>
      <c r="AM8" s="258">
        <f t="shared" si="6"/>
        <v>0</v>
      </c>
      <c r="AN8" s="258">
        <f t="shared" si="6"/>
        <v>0</v>
      </c>
      <c r="AO8" s="258">
        <f t="shared" si="6"/>
        <v>0</v>
      </c>
    </row>
    <row r="9" spans="2:41" x14ac:dyDescent="0.2">
      <c r="B9" s="248">
        <f t="shared" ref="B9:B72" si="7">EDATE(B8,1)</f>
        <v>42401</v>
      </c>
      <c r="C9" s="240">
        <v>1.8289735727586562</v>
      </c>
      <c r="D9" s="240">
        <v>1.7801560017459626</v>
      </c>
      <c r="E9" s="249">
        <f t="shared" si="0"/>
        <v>2016</v>
      </c>
      <c r="G9" s="242">
        <f t="shared" ref="G9:G29" si="8">G8+1</f>
        <v>2017</v>
      </c>
      <c r="H9" s="243">
        <f t="shared" ref="H9:H29" si="9">ROUND(AVERAGEIF($E$8:$E$271,$G9,$C$8:$C$271),2)</f>
        <v>2.97</v>
      </c>
      <c r="I9" s="243">
        <f t="shared" ref="I9:I29" si="10">ROUND(AVERAGEIF($E$8:$E$271,$G9,$D$8:$D$271),2)</f>
        <v>2.97</v>
      </c>
      <c r="K9" s="35">
        <f t="shared" ref="K9:K72" si="11">MONTH(M9)</f>
        <v>2</v>
      </c>
      <c r="L9" s="272">
        <f t="shared" ref="L9:L72" si="12">YEAR(M9)</f>
        <v>2016</v>
      </c>
      <c r="M9" s="244">
        <f t="shared" si="1"/>
        <v>42401</v>
      </c>
      <c r="N9" s="245">
        <v>16.699199999999998</v>
      </c>
      <c r="O9" s="245">
        <v>18.904399999999999</v>
      </c>
      <c r="P9" s="245">
        <v>15.720540540540544</v>
      </c>
      <c r="Q9" s="246">
        <v>16.943513513513512</v>
      </c>
      <c r="S9" s="269">
        <v>18.07045977011494</v>
      </c>
      <c r="T9" s="271">
        <f t="shared" ref="T9:T72" si="13">O9/S9</f>
        <v>1.0461493642383264</v>
      </c>
      <c r="U9" s="271">
        <f t="shared" ref="U9:U72" si="14">Q9/S9</f>
        <v>0.93763599427253197</v>
      </c>
      <c r="W9" s="242">
        <f t="shared" ref="W9:W25" si="15">W8+1</f>
        <v>2017</v>
      </c>
      <c r="X9" s="247">
        <f t="shared" si="2"/>
        <v>22.9</v>
      </c>
      <c r="Y9" s="247">
        <f t="shared" si="3"/>
        <v>27.13</v>
      </c>
      <c r="Z9" s="247">
        <f t="shared" si="4"/>
        <v>15.62</v>
      </c>
      <c r="AA9" s="247">
        <f t="shared" si="5"/>
        <v>22.19</v>
      </c>
      <c r="AC9" s="211">
        <f>AC8+1</f>
        <v>2016</v>
      </c>
      <c r="AD9" s="258">
        <f t="shared" si="6"/>
        <v>1.0322097237845269</v>
      </c>
      <c r="AE9" s="258">
        <f t="shared" si="6"/>
        <v>1.0461493642383264</v>
      </c>
      <c r="AF9" s="258">
        <f t="shared" si="6"/>
        <v>1.0582872078986791</v>
      </c>
      <c r="AG9" s="258">
        <f t="shared" si="6"/>
        <v>1.0598535572136416</v>
      </c>
      <c r="AH9" s="258">
        <f t="shared" si="6"/>
        <v>1.090888355645365</v>
      </c>
      <c r="AI9" s="258">
        <f t="shared" si="6"/>
        <v>1.1825927692019103</v>
      </c>
      <c r="AJ9" s="258">
        <f t="shared" si="6"/>
        <v>1.2497040083354163</v>
      </c>
      <c r="AK9" s="258">
        <f t="shared" si="6"/>
        <v>1.1770087157039755</v>
      </c>
      <c r="AL9" s="258">
        <f t="shared" si="6"/>
        <v>1.0731044780146881</v>
      </c>
      <c r="AM9" s="258">
        <f t="shared" si="6"/>
        <v>1.0617535855678759</v>
      </c>
      <c r="AN9" s="258">
        <f t="shared" si="6"/>
        <v>1.0431658975961671</v>
      </c>
      <c r="AO9" s="258">
        <f t="shared" si="6"/>
        <v>1.0344417590574111</v>
      </c>
    </row>
    <row r="10" spans="2:41" x14ac:dyDescent="0.2">
      <c r="B10" s="248">
        <f t="shared" si="7"/>
        <v>42430</v>
      </c>
      <c r="C10" s="240">
        <v>1.5765269848510393</v>
      </c>
      <c r="D10" s="240">
        <v>1.4752546345447117</v>
      </c>
      <c r="E10" s="249">
        <f t="shared" si="0"/>
        <v>2016</v>
      </c>
      <c r="G10" s="242">
        <f t="shared" si="8"/>
        <v>2018</v>
      </c>
      <c r="H10" s="243">
        <f t="shared" si="9"/>
        <v>2.7</v>
      </c>
      <c r="I10" s="243">
        <f t="shared" si="10"/>
        <v>2.72</v>
      </c>
      <c r="K10" s="35">
        <f t="shared" si="11"/>
        <v>3</v>
      </c>
      <c r="L10" s="272">
        <f t="shared" si="12"/>
        <v>2016</v>
      </c>
      <c r="M10" s="244">
        <f t="shared" si="1"/>
        <v>42430</v>
      </c>
      <c r="N10" s="245">
        <v>13.031851851851851</v>
      </c>
      <c r="O10" s="245">
        <v>17.09888888888889</v>
      </c>
      <c r="P10" s="245">
        <v>9.3648717948717941</v>
      </c>
      <c r="Q10" s="246">
        <v>14.848974358974358</v>
      </c>
      <c r="S10" s="269">
        <v>16.157134624012148</v>
      </c>
      <c r="T10" s="271">
        <f t="shared" si="13"/>
        <v>1.0582872078986791</v>
      </c>
      <c r="U10" s="271">
        <f t="shared" si="14"/>
        <v>0.91903513243656154</v>
      </c>
      <c r="W10" s="242">
        <f t="shared" si="15"/>
        <v>2018</v>
      </c>
      <c r="X10" s="247">
        <f t="shared" si="2"/>
        <v>24.29</v>
      </c>
      <c r="Y10" s="247">
        <f t="shared" si="3"/>
        <v>26.33</v>
      </c>
      <c r="Z10" s="247">
        <f t="shared" si="4"/>
        <v>18.489999999999998</v>
      </c>
      <c r="AA10" s="247">
        <f t="shared" si="5"/>
        <v>21.86</v>
      </c>
      <c r="AC10" s="211">
        <f t="shared" ref="AC10:AC21" si="16">AC9+1</f>
        <v>2017</v>
      </c>
      <c r="AD10" s="258">
        <f t="shared" si="6"/>
        <v>1.0469368779574213</v>
      </c>
      <c r="AE10" s="258">
        <f t="shared" si="6"/>
        <v>1.0206114370736361</v>
      </c>
      <c r="AF10" s="258">
        <f t="shared" si="6"/>
        <v>1.0497826037249922</v>
      </c>
      <c r="AG10" s="258">
        <f t="shared" si="6"/>
        <v>1.1014925373134326</v>
      </c>
      <c r="AH10" s="258">
        <f t="shared" si="6"/>
        <v>1.1059979317476731</v>
      </c>
      <c r="AI10" s="258">
        <f t="shared" si="6"/>
        <v>1.1407221267028169</v>
      </c>
      <c r="AJ10" s="258">
        <f t="shared" si="6"/>
        <v>1.1783349821170384</v>
      </c>
      <c r="AK10" s="258">
        <f t="shared" si="6"/>
        <v>1.1451838064215913</v>
      </c>
      <c r="AL10" s="258">
        <f t="shared" si="6"/>
        <v>1.0753473835367657</v>
      </c>
      <c r="AM10" s="258">
        <f t="shared" si="6"/>
        <v>1.0429724347552667</v>
      </c>
      <c r="AN10" s="258">
        <f t="shared" si="6"/>
        <v>1.0525547445255474</v>
      </c>
      <c r="AO10" s="258">
        <f t="shared" si="6"/>
        <v>1.0365141704702261</v>
      </c>
    </row>
    <row r="11" spans="2:41" x14ac:dyDescent="0.2">
      <c r="B11" s="248">
        <f t="shared" si="7"/>
        <v>42461</v>
      </c>
      <c r="C11" s="240">
        <v>1.7513146360624383</v>
      </c>
      <c r="D11" s="240">
        <v>1.582454852320675</v>
      </c>
      <c r="E11" s="249">
        <f t="shared" si="0"/>
        <v>2016</v>
      </c>
      <c r="G11" s="242">
        <f t="shared" si="8"/>
        <v>2019</v>
      </c>
      <c r="H11" s="243">
        <f t="shared" si="9"/>
        <v>2.48</v>
      </c>
      <c r="I11" s="243">
        <f t="shared" si="10"/>
        <v>2.5</v>
      </c>
      <c r="K11" s="35">
        <f t="shared" si="11"/>
        <v>4</v>
      </c>
      <c r="L11" s="272">
        <f t="shared" si="12"/>
        <v>2016</v>
      </c>
      <c r="M11" s="244">
        <f t="shared" si="1"/>
        <v>42461</v>
      </c>
      <c r="N11" s="245">
        <v>12.137307692307694</v>
      </c>
      <c r="O11" s="245">
        <v>18.735384615384621</v>
      </c>
      <c r="P11" s="245">
        <v>6.0455263157894752</v>
      </c>
      <c r="Q11" s="246">
        <v>16.229473684210529</v>
      </c>
      <c r="S11" s="269">
        <v>17.67733333333334</v>
      </c>
      <c r="T11" s="271">
        <f t="shared" si="13"/>
        <v>1.0598535572136416</v>
      </c>
      <c r="U11" s="271">
        <f t="shared" si="14"/>
        <v>0.91809513223396377</v>
      </c>
      <c r="W11" s="242">
        <f t="shared" si="15"/>
        <v>2019</v>
      </c>
      <c r="X11" s="247">
        <f t="shared" si="2"/>
        <v>25.11</v>
      </c>
      <c r="Y11" s="247">
        <f t="shared" si="3"/>
        <v>27.03</v>
      </c>
      <c r="Z11" s="247">
        <f t="shared" si="4"/>
        <v>19.18</v>
      </c>
      <c r="AA11" s="247">
        <f t="shared" si="5"/>
        <v>21.46</v>
      </c>
      <c r="AC11" s="211">
        <f t="shared" si="16"/>
        <v>2018</v>
      </c>
      <c r="AD11" s="258">
        <f t="shared" si="6"/>
        <v>1.0426737265640282</v>
      </c>
      <c r="AE11" s="258">
        <f t="shared" si="6"/>
        <v>1.0246238030095758</v>
      </c>
      <c r="AF11" s="258">
        <f t="shared" si="6"/>
        <v>1.0495914460553082</v>
      </c>
      <c r="AG11" s="258">
        <f t="shared" si="6"/>
        <v>1.0665390843515381</v>
      </c>
      <c r="AH11" s="258">
        <f t="shared" si="6"/>
        <v>1.1101471832177296</v>
      </c>
      <c r="AI11" s="258">
        <f t="shared" si="6"/>
        <v>1.1073738360517886</v>
      </c>
      <c r="AJ11" s="258">
        <f t="shared" si="6"/>
        <v>1.1766998517263292</v>
      </c>
      <c r="AK11" s="258">
        <f t="shared" si="6"/>
        <v>1.1372440753583497</v>
      </c>
      <c r="AL11" s="258">
        <f t="shared" si="6"/>
        <v>1.113901308670709</v>
      </c>
      <c r="AM11" s="258">
        <f t="shared" si="6"/>
        <v>1.0392222594703318</v>
      </c>
      <c r="AN11" s="258">
        <f t="shared" si="6"/>
        <v>1.0488633202282285</v>
      </c>
      <c r="AO11" s="258">
        <f t="shared" si="6"/>
        <v>1.0347666768041659</v>
      </c>
    </row>
    <row r="12" spans="2:41" x14ac:dyDescent="0.2">
      <c r="B12" s="248">
        <f t="shared" si="7"/>
        <v>42491</v>
      </c>
      <c r="C12" s="240">
        <v>1.8004724578470166</v>
      </c>
      <c r="D12" s="240">
        <v>1.6893828501429151</v>
      </c>
      <c r="E12" s="249">
        <f t="shared" si="0"/>
        <v>2016</v>
      </c>
      <c r="G12" s="242">
        <f t="shared" si="8"/>
        <v>2020</v>
      </c>
      <c r="H12" s="243">
        <f t="shared" si="9"/>
        <v>2.48</v>
      </c>
      <c r="I12" s="243">
        <f t="shared" si="10"/>
        <v>2.5</v>
      </c>
      <c r="K12" s="35">
        <f t="shared" si="11"/>
        <v>5</v>
      </c>
      <c r="L12" s="272">
        <f t="shared" si="12"/>
        <v>2016</v>
      </c>
      <c r="M12" s="244">
        <f t="shared" si="1"/>
        <v>42491</v>
      </c>
      <c r="N12" s="245">
        <v>14.577199999999998</v>
      </c>
      <c r="O12" s="245">
        <v>18.575600000000001</v>
      </c>
      <c r="P12" s="245">
        <v>10.147674418604652</v>
      </c>
      <c r="Q12" s="246">
        <v>15.22837209302325</v>
      </c>
      <c r="S12" s="269">
        <v>17.027956989247311</v>
      </c>
      <c r="T12" s="271">
        <f t="shared" si="13"/>
        <v>1.090888355645365</v>
      </c>
      <c r="U12" s="271">
        <f t="shared" si="14"/>
        <v>0.89431586552864506</v>
      </c>
      <c r="W12" s="242">
        <f t="shared" si="15"/>
        <v>2020</v>
      </c>
      <c r="X12" s="247">
        <f t="shared" si="2"/>
        <v>27.21</v>
      </c>
      <c r="Y12" s="247">
        <f t="shared" si="3"/>
        <v>28.64</v>
      </c>
      <c r="Z12" s="247">
        <f t="shared" si="4"/>
        <v>20.99</v>
      </c>
      <c r="AA12" s="247">
        <f t="shared" si="5"/>
        <v>22.01</v>
      </c>
      <c r="AC12" s="211">
        <f t="shared" si="16"/>
        <v>2019</v>
      </c>
      <c r="AD12" s="258">
        <f t="shared" si="6"/>
        <v>1.0218121209880791</v>
      </c>
      <c r="AE12" s="258">
        <f t="shared" si="6"/>
        <v>1.0340264650283553</v>
      </c>
      <c r="AF12" s="258">
        <f t="shared" si="6"/>
        <v>1.0260665272600102</v>
      </c>
      <c r="AG12" s="258">
        <f t="shared" si="6"/>
        <v>1.1374916706626728</v>
      </c>
      <c r="AH12" s="258">
        <f t="shared" si="6"/>
        <v>1.2863633427927077</v>
      </c>
      <c r="AI12" s="258">
        <f t="shared" si="6"/>
        <v>1.3037523157597262</v>
      </c>
      <c r="AJ12" s="258">
        <f t="shared" si="6"/>
        <v>1.1281573801891434</v>
      </c>
      <c r="AK12" s="258">
        <f t="shared" si="6"/>
        <v>1.1096950980818581</v>
      </c>
      <c r="AL12" s="258">
        <f t="shared" si="6"/>
        <v>1.1480388916260766</v>
      </c>
      <c r="AM12" s="258">
        <f t="shared" si="6"/>
        <v>1.0454052752017344</v>
      </c>
      <c r="AN12" s="258">
        <f t="shared" si="6"/>
        <v>1.056922294861034</v>
      </c>
      <c r="AO12" s="258">
        <f t="shared" si="6"/>
        <v>1.0417533049307999</v>
      </c>
    </row>
    <row r="13" spans="2:41" x14ac:dyDescent="0.2">
      <c r="B13" s="248">
        <f t="shared" si="7"/>
        <v>42522</v>
      </c>
      <c r="C13" s="240">
        <v>2.3647654677733372</v>
      </c>
      <c r="D13" s="240">
        <v>2.2756194092827</v>
      </c>
      <c r="E13" s="249">
        <f t="shared" si="0"/>
        <v>2016</v>
      </c>
      <c r="G13" s="242">
        <f t="shared" si="8"/>
        <v>2021</v>
      </c>
      <c r="H13" s="243">
        <f t="shared" si="9"/>
        <v>2.5299999999999998</v>
      </c>
      <c r="I13" s="243">
        <f t="shared" si="10"/>
        <v>2.52</v>
      </c>
      <c r="K13" s="35">
        <f t="shared" si="11"/>
        <v>6</v>
      </c>
      <c r="L13" s="272">
        <f t="shared" si="12"/>
        <v>2016</v>
      </c>
      <c r="M13" s="244">
        <f t="shared" si="1"/>
        <v>42522</v>
      </c>
      <c r="N13" s="245">
        <v>21.705384615384617</v>
      </c>
      <c r="O13" s="245">
        <v>30.120769230769227</v>
      </c>
      <c r="P13" s="245">
        <v>15.579210526315791</v>
      </c>
      <c r="Q13" s="246">
        <v>19.106052631578947</v>
      </c>
      <c r="S13" s="269">
        <v>25.470111111111109</v>
      </c>
      <c r="T13" s="271">
        <f t="shared" si="13"/>
        <v>1.1825927692019103</v>
      </c>
      <c r="U13" s="271">
        <f t="shared" si="14"/>
        <v>0.75013621056580715</v>
      </c>
      <c r="W13" s="242">
        <f t="shared" si="15"/>
        <v>2021</v>
      </c>
      <c r="X13" s="247">
        <f t="shared" si="2"/>
        <v>28.78</v>
      </c>
      <c r="Y13" s="247">
        <f t="shared" si="3"/>
        <v>30.1</v>
      </c>
      <c r="Z13" s="247">
        <f t="shared" si="4"/>
        <v>23.04</v>
      </c>
      <c r="AA13" s="247">
        <f t="shared" si="5"/>
        <v>23.79</v>
      </c>
      <c r="AC13" s="211">
        <f t="shared" si="16"/>
        <v>2020</v>
      </c>
      <c r="AD13" s="258">
        <f t="shared" si="6"/>
        <v>1.0490210038355223</v>
      </c>
      <c r="AE13" s="258">
        <f t="shared" si="6"/>
        <v>1.051604520494154</v>
      </c>
      <c r="AF13" s="258">
        <f t="shared" si="6"/>
        <v>1.0462687896540515</v>
      </c>
      <c r="AG13" s="258">
        <f t="shared" si="6"/>
        <v>1.1101611536984326</v>
      </c>
      <c r="AH13" s="258">
        <f t="shared" si="6"/>
        <v>1.2457320118533646</v>
      </c>
      <c r="AI13" s="258">
        <f t="shared" si="6"/>
        <v>1.2344292295731893</v>
      </c>
      <c r="AJ13" s="258">
        <f t="shared" si="6"/>
        <v>1.1802720935360909</v>
      </c>
      <c r="AK13" s="258">
        <f t="shared" si="6"/>
        <v>1.1693631669535285</v>
      </c>
      <c r="AL13" s="258">
        <f t="shared" si="6"/>
        <v>1.1995715365874149</v>
      </c>
      <c r="AM13" s="258">
        <f t="shared" si="6"/>
        <v>1.0388778701418206</v>
      </c>
      <c r="AN13" s="258">
        <f t="shared" si="6"/>
        <v>1.0522692317415721</v>
      </c>
      <c r="AO13" s="258">
        <f t="shared" si="6"/>
        <v>1.0334563638528396</v>
      </c>
    </row>
    <row r="14" spans="2:41" x14ac:dyDescent="0.2">
      <c r="B14" s="248">
        <f t="shared" si="7"/>
        <v>42552</v>
      </c>
      <c r="C14" s="240">
        <v>2.6063456138089238</v>
      </c>
      <c r="D14" s="240">
        <v>2.548999020008166</v>
      </c>
      <c r="E14" s="249">
        <f t="shared" si="0"/>
        <v>2016</v>
      </c>
      <c r="G14" s="242">
        <f t="shared" si="8"/>
        <v>2022</v>
      </c>
      <c r="H14" s="243">
        <f t="shared" si="9"/>
        <v>2.5499999999999998</v>
      </c>
      <c r="I14" s="243">
        <f t="shared" si="10"/>
        <v>2.5299999999999998</v>
      </c>
      <c r="K14" s="35">
        <f t="shared" si="11"/>
        <v>7</v>
      </c>
      <c r="L14" s="272">
        <f t="shared" si="12"/>
        <v>2016</v>
      </c>
      <c r="M14" s="244">
        <f t="shared" si="1"/>
        <v>42552</v>
      </c>
      <c r="N14" s="245">
        <v>31.152000000000008</v>
      </c>
      <c r="O14" s="245">
        <v>41.399199999999993</v>
      </c>
      <c r="P14" s="245">
        <v>21.513255813953482</v>
      </c>
      <c r="Q14" s="246">
        <v>23.508604651162791</v>
      </c>
      <c r="S14" s="269">
        <v>33.12720430107526</v>
      </c>
      <c r="T14" s="271">
        <f t="shared" si="13"/>
        <v>1.2497040083354163</v>
      </c>
      <c r="U14" s="271">
        <f t="shared" si="14"/>
        <v>0.70964650193556289</v>
      </c>
      <c r="W14" s="242">
        <f t="shared" si="15"/>
        <v>2022</v>
      </c>
      <c r="X14" s="247">
        <f t="shared" si="2"/>
        <v>30.74</v>
      </c>
      <c r="Y14" s="247">
        <f t="shared" si="3"/>
        <v>31.49</v>
      </c>
      <c r="Z14" s="247">
        <f t="shared" si="4"/>
        <v>24.58</v>
      </c>
      <c r="AA14" s="247">
        <f t="shared" si="5"/>
        <v>25.76</v>
      </c>
      <c r="AC14" s="211">
        <f t="shared" si="16"/>
        <v>2021</v>
      </c>
      <c r="AD14" s="258">
        <f t="shared" si="6"/>
        <v>1.0371446593326705</v>
      </c>
      <c r="AE14" s="258">
        <f t="shared" si="6"/>
        <v>1.03823388952403</v>
      </c>
      <c r="AF14" s="258">
        <f t="shared" si="6"/>
        <v>1.0299492586099435</v>
      </c>
      <c r="AG14" s="258">
        <f t="shared" si="6"/>
        <v>1.1014723811310136</v>
      </c>
      <c r="AH14" s="258">
        <f t="shared" si="6"/>
        <v>1.2269893936962633</v>
      </c>
      <c r="AI14" s="258">
        <f t="shared" si="6"/>
        <v>1.2181413969619987</v>
      </c>
      <c r="AJ14" s="258">
        <f t="shared" si="6"/>
        <v>1.1724741726492733</v>
      </c>
      <c r="AK14" s="258">
        <f t="shared" si="6"/>
        <v>1.1619291476674849</v>
      </c>
      <c r="AL14" s="258">
        <f t="shared" si="6"/>
        <v>1.189735059997624</v>
      </c>
      <c r="AM14" s="258">
        <f t="shared" si="6"/>
        <v>1.0304177400793302</v>
      </c>
      <c r="AN14" s="258">
        <f t="shared" si="6"/>
        <v>1.0383179843081831</v>
      </c>
      <c r="AO14" s="258">
        <f t="shared" si="6"/>
        <v>1.0240302184805623</v>
      </c>
    </row>
    <row r="15" spans="2:41" x14ac:dyDescent="0.2">
      <c r="B15" s="248">
        <f t="shared" si="7"/>
        <v>42583</v>
      </c>
      <c r="C15" s="240">
        <v>2.6355990076984344</v>
      </c>
      <c r="D15" s="240">
        <v>2.6322983258472838</v>
      </c>
      <c r="E15" s="249">
        <f t="shared" si="0"/>
        <v>2016</v>
      </c>
      <c r="G15" s="242">
        <f t="shared" si="8"/>
        <v>2023</v>
      </c>
      <c r="H15" s="243">
        <f t="shared" si="9"/>
        <v>2.99</v>
      </c>
      <c r="I15" s="243">
        <f t="shared" si="10"/>
        <v>2.91</v>
      </c>
      <c r="K15" s="35">
        <f t="shared" si="11"/>
        <v>8</v>
      </c>
      <c r="L15" s="272">
        <f t="shared" si="12"/>
        <v>2016</v>
      </c>
      <c r="M15" s="244">
        <f t="shared" si="1"/>
        <v>42583</v>
      </c>
      <c r="N15" s="245">
        <v>35.272222222222226</v>
      </c>
      <c r="O15" s="245">
        <v>36.613703703703706</v>
      </c>
      <c r="P15" s="245">
        <v>23.480256410256413</v>
      </c>
      <c r="Q15" s="246">
        <v>23.483333333333341</v>
      </c>
      <c r="S15" s="269">
        <v>31.107419354838715</v>
      </c>
      <c r="T15" s="271">
        <f t="shared" si="13"/>
        <v>1.1770087157039755</v>
      </c>
      <c r="U15" s="271">
        <f t="shared" si="14"/>
        <v>0.75491100902526465</v>
      </c>
      <c r="W15" s="242">
        <f t="shared" si="15"/>
        <v>2023</v>
      </c>
      <c r="X15" s="247">
        <f t="shared" si="2"/>
        <v>33.5</v>
      </c>
      <c r="Y15" s="247">
        <f t="shared" si="3"/>
        <v>33.869999999999997</v>
      </c>
      <c r="Z15" s="247">
        <f t="shared" si="4"/>
        <v>27.47</v>
      </c>
      <c r="AA15" s="247">
        <f t="shared" si="5"/>
        <v>28.81</v>
      </c>
      <c r="AC15" s="211">
        <f t="shared" si="16"/>
        <v>2022</v>
      </c>
      <c r="AD15" s="258">
        <f t="shared" si="6"/>
        <v>1.0408974802939028</v>
      </c>
      <c r="AE15" s="258">
        <f t="shared" si="6"/>
        <v>1.0416127731185936</v>
      </c>
      <c r="AF15" s="258">
        <f t="shared" si="6"/>
        <v>1.0337670579409786</v>
      </c>
      <c r="AG15" s="258">
        <f t="shared" si="6"/>
        <v>1.0832715671425348</v>
      </c>
      <c r="AH15" s="258">
        <f t="shared" si="6"/>
        <v>1.1968782518210197</v>
      </c>
      <c r="AI15" s="258">
        <f t="shared" si="6"/>
        <v>1.1922165305959778</v>
      </c>
      <c r="AJ15" s="258">
        <f t="shared" si="6"/>
        <v>1.1584978650414219</v>
      </c>
      <c r="AK15" s="258">
        <f t="shared" si="6"/>
        <v>1.1318297612841672</v>
      </c>
      <c r="AL15" s="258">
        <f t="shared" si="6"/>
        <v>1.163485415662874</v>
      </c>
      <c r="AM15" s="258">
        <f t="shared" si="6"/>
        <v>1.0120526804935008</v>
      </c>
      <c r="AN15" s="258">
        <f t="shared" si="6"/>
        <v>1.0189990225179579</v>
      </c>
      <c r="AO15" s="258">
        <f t="shared" si="6"/>
        <v>1.0071421399989875</v>
      </c>
    </row>
    <row r="16" spans="2:41" x14ac:dyDescent="0.2">
      <c r="B16" s="248">
        <f t="shared" si="7"/>
        <v>42614</v>
      </c>
      <c r="C16" s="240">
        <v>2.7681537930798932</v>
      </c>
      <c r="D16" s="240">
        <v>2.7264210970464138</v>
      </c>
      <c r="E16" s="249">
        <f t="shared" si="0"/>
        <v>2016</v>
      </c>
      <c r="G16" s="242">
        <f t="shared" si="8"/>
        <v>2024</v>
      </c>
      <c r="H16" s="243">
        <f t="shared" si="9"/>
        <v>3.61</v>
      </c>
      <c r="I16" s="243">
        <f t="shared" si="10"/>
        <v>3.5</v>
      </c>
      <c r="K16" s="35">
        <f t="shared" si="11"/>
        <v>9</v>
      </c>
      <c r="L16" s="272">
        <f t="shared" si="12"/>
        <v>2016</v>
      </c>
      <c r="M16" s="244">
        <f t="shared" si="1"/>
        <v>42614</v>
      </c>
      <c r="N16" s="245">
        <v>28.012800000000002</v>
      </c>
      <c r="O16" s="245">
        <v>26.511999999999993</v>
      </c>
      <c r="P16" s="245">
        <v>23.994250000000005</v>
      </c>
      <c r="Q16" s="246">
        <v>22.448250000000002</v>
      </c>
      <c r="S16" s="269">
        <v>24.705888888888886</v>
      </c>
      <c r="T16" s="271">
        <f t="shared" si="13"/>
        <v>1.0731044780146881</v>
      </c>
      <c r="U16" s="271">
        <f t="shared" si="14"/>
        <v>0.90861940248163975</v>
      </c>
      <c r="W16" s="242">
        <f t="shared" si="15"/>
        <v>2024</v>
      </c>
      <c r="X16" s="247">
        <f t="shared" si="2"/>
        <v>37.1</v>
      </c>
      <c r="Y16" s="247">
        <f t="shared" si="3"/>
        <v>36.76</v>
      </c>
      <c r="Z16" s="247">
        <f t="shared" si="4"/>
        <v>30.79</v>
      </c>
      <c r="AA16" s="247">
        <f t="shared" si="5"/>
        <v>32.08</v>
      </c>
      <c r="AC16" s="211">
        <f t="shared" si="16"/>
        <v>2023</v>
      </c>
      <c r="AD16" s="258">
        <f t="shared" si="6"/>
        <v>1.0443763193276756</v>
      </c>
      <c r="AE16" s="258">
        <f t="shared" si="6"/>
        <v>1.0447383569162394</v>
      </c>
      <c r="AF16" s="258">
        <f t="shared" si="6"/>
        <v>1.0372799204741716</v>
      </c>
      <c r="AG16" s="258">
        <f t="shared" si="6"/>
        <v>1.0182704771310414</v>
      </c>
      <c r="AH16" s="258">
        <f t="shared" si="6"/>
        <v>1.1077125953156113</v>
      </c>
      <c r="AI16" s="258">
        <f t="shared" si="6"/>
        <v>1.1125596138289171</v>
      </c>
      <c r="AJ16" s="258">
        <f t="shared" si="6"/>
        <v>1.1352839462425834</v>
      </c>
      <c r="AK16" s="258">
        <f t="shared" si="6"/>
        <v>1.1187121218015115</v>
      </c>
      <c r="AL16" s="258">
        <f t="shared" si="6"/>
        <v>1.1213907479916054</v>
      </c>
      <c r="AM16" s="258">
        <f t="shared" si="6"/>
        <v>1.034159366591217</v>
      </c>
      <c r="AN16" s="258">
        <f t="shared" si="6"/>
        <v>1.0373889317843668</v>
      </c>
      <c r="AO16" s="258">
        <f t="shared" si="6"/>
        <v>1.0274165095850143</v>
      </c>
    </row>
    <row r="17" spans="2:41" x14ac:dyDescent="0.2">
      <c r="B17" s="248">
        <f t="shared" si="7"/>
        <v>42644</v>
      </c>
      <c r="C17" s="240">
        <v>2.7499682086675996</v>
      </c>
      <c r="D17" s="240">
        <v>2.6567164556962028</v>
      </c>
      <c r="E17" s="249">
        <f t="shared" si="0"/>
        <v>2016</v>
      </c>
      <c r="G17" s="242">
        <f t="shared" si="8"/>
        <v>2025</v>
      </c>
      <c r="H17" s="243">
        <f t="shared" si="9"/>
        <v>3.81</v>
      </c>
      <c r="I17" s="243">
        <f t="shared" si="10"/>
        <v>3.78</v>
      </c>
      <c r="K17" s="35">
        <f t="shared" si="11"/>
        <v>10</v>
      </c>
      <c r="L17" s="272">
        <f t="shared" si="12"/>
        <v>2016</v>
      </c>
      <c r="M17" s="244">
        <f t="shared" si="1"/>
        <v>42644</v>
      </c>
      <c r="N17" s="245">
        <v>22.980000000000004</v>
      </c>
      <c r="O17" s="245">
        <v>26.233076923076926</v>
      </c>
      <c r="P17" s="245">
        <v>19.065121951219513</v>
      </c>
      <c r="Q17" s="246">
        <v>22.772195121951214</v>
      </c>
      <c r="S17" s="269">
        <v>24.707311827956989</v>
      </c>
      <c r="T17" s="271">
        <f t="shared" si="13"/>
        <v>1.0617535855678759</v>
      </c>
      <c r="U17" s="271">
        <f t="shared" si="14"/>
        <v>0.92167837927976692</v>
      </c>
      <c r="W17" s="242">
        <f t="shared" si="15"/>
        <v>2025</v>
      </c>
      <c r="X17" s="247">
        <f t="shared" si="2"/>
        <v>39.49</v>
      </c>
      <c r="Y17" s="247">
        <f t="shared" si="3"/>
        <v>39.08</v>
      </c>
      <c r="Z17" s="247">
        <f t="shared" si="4"/>
        <v>33.18</v>
      </c>
      <c r="AA17" s="247">
        <f t="shared" si="5"/>
        <v>33.950000000000003</v>
      </c>
      <c r="AC17" s="211">
        <f t="shared" si="16"/>
        <v>2024</v>
      </c>
      <c r="AD17" s="258">
        <f t="shared" si="6"/>
        <v>1.0427650522701359</v>
      </c>
      <c r="AE17" s="258">
        <f t="shared" si="6"/>
        <v>1.0409755031912569</v>
      </c>
      <c r="AF17" s="258">
        <f t="shared" si="6"/>
        <v>1.030461370652747</v>
      </c>
      <c r="AG17" s="258">
        <f t="shared" si="6"/>
        <v>1.0283165974327906</v>
      </c>
      <c r="AH17" s="258">
        <f t="shared" si="6"/>
        <v>1.0422134461554409</v>
      </c>
      <c r="AI17" s="258">
        <f t="shared" si="6"/>
        <v>1.0472288931740872</v>
      </c>
      <c r="AJ17" s="258">
        <f t="shared" si="6"/>
        <v>1.1094998055987644</v>
      </c>
      <c r="AK17" s="258">
        <f t="shared" si="6"/>
        <v>1.1082844062574178</v>
      </c>
      <c r="AL17" s="258">
        <f t="shared" si="6"/>
        <v>1.0906853458943715</v>
      </c>
      <c r="AM17" s="258">
        <f t="shared" si="6"/>
        <v>1.0495764771541469</v>
      </c>
      <c r="AN17" s="258">
        <f t="shared" si="6"/>
        <v>1.0516272157865829</v>
      </c>
      <c r="AO17" s="258">
        <f t="shared" si="6"/>
        <v>1.0435151322795673</v>
      </c>
    </row>
    <row r="18" spans="2:41" x14ac:dyDescent="0.2">
      <c r="B18" s="248">
        <f t="shared" si="7"/>
        <v>42675</v>
      </c>
      <c r="C18" s="240">
        <v>2.3066994090924613</v>
      </c>
      <c r="D18" s="240">
        <v>2.2516531645569624</v>
      </c>
      <c r="E18" s="249">
        <f t="shared" si="0"/>
        <v>2016</v>
      </c>
      <c r="G18" s="242">
        <f t="shared" si="8"/>
        <v>2026</v>
      </c>
      <c r="H18" s="243">
        <f t="shared" si="9"/>
        <v>3.81</v>
      </c>
      <c r="I18" s="243">
        <f t="shared" si="10"/>
        <v>3.77</v>
      </c>
      <c r="K18" s="35">
        <f t="shared" si="11"/>
        <v>11</v>
      </c>
      <c r="L18" s="272">
        <f t="shared" si="12"/>
        <v>2016</v>
      </c>
      <c r="M18" s="244">
        <f t="shared" si="1"/>
        <v>42675</v>
      </c>
      <c r="N18" s="245">
        <v>19.059200000000001</v>
      </c>
      <c r="O18" s="245">
        <v>19.753999999999998</v>
      </c>
      <c r="P18" s="245">
        <v>14.816249999999997</v>
      </c>
      <c r="Q18" s="246">
        <v>17.917999999999999</v>
      </c>
      <c r="S18" s="269">
        <v>18.936585298196945</v>
      </c>
      <c r="T18" s="271">
        <f t="shared" si="13"/>
        <v>1.0431658975961671</v>
      </c>
      <c r="U18" s="271">
        <f t="shared" si="14"/>
        <v>0.94621071950633406</v>
      </c>
      <c r="W18" s="242">
        <f t="shared" si="15"/>
        <v>2026</v>
      </c>
      <c r="X18" s="247">
        <f t="shared" si="2"/>
        <v>40.270000000000003</v>
      </c>
      <c r="Y18" s="247">
        <f t="shared" si="3"/>
        <v>39.840000000000003</v>
      </c>
      <c r="Z18" s="247">
        <f t="shared" si="4"/>
        <v>33.950000000000003</v>
      </c>
      <c r="AA18" s="247">
        <f t="shared" si="5"/>
        <v>34.69</v>
      </c>
      <c r="AC18" s="211">
        <f t="shared" si="16"/>
        <v>2025</v>
      </c>
      <c r="AD18" s="258">
        <f t="shared" si="6"/>
        <v>1.0432219062640422</v>
      </c>
      <c r="AE18" s="258">
        <f t="shared" si="6"/>
        <v>1.0385566554190986</v>
      </c>
      <c r="AF18" s="258">
        <f t="shared" si="6"/>
        <v>1.023233453438954</v>
      </c>
      <c r="AG18" s="258">
        <f t="shared" si="6"/>
        <v>1.0385692229049448</v>
      </c>
      <c r="AH18" s="258">
        <f t="shared" si="6"/>
        <v>1.0378683319275606</v>
      </c>
      <c r="AI18" s="258">
        <f t="shared" si="6"/>
        <v>1.0570728156433797</v>
      </c>
      <c r="AJ18" s="258">
        <f t="shared" si="6"/>
        <v>1.1089360340823042</v>
      </c>
      <c r="AK18" s="258">
        <f t="shared" si="6"/>
        <v>1.1177796868804597</v>
      </c>
      <c r="AL18" s="258">
        <f t="shared" si="6"/>
        <v>1.0966394020380665</v>
      </c>
      <c r="AM18" s="258">
        <f t="shared" si="6"/>
        <v>1.0507779253204983</v>
      </c>
      <c r="AN18" s="258">
        <f t="shared" si="6"/>
        <v>1.0532909254614515</v>
      </c>
      <c r="AO18" s="258">
        <f t="shared" si="6"/>
        <v>1.0467593020494077</v>
      </c>
    </row>
    <row r="19" spans="2:41" x14ac:dyDescent="0.2">
      <c r="B19" s="250">
        <f t="shared" si="7"/>
        <v>42705</v>
      </c>
      <c r="C19" s="251">
        <v>3.5518748027461844</v>
      </c>
      <c r="D19" s="251">
        <v>3.5696605144957116</v>
      </c>
      <c r="E19" s="252">
        <f t="shared" si="0"/>
        <v>2016</v>
      </c>
      <c r="G19" s="242">
        <f t="shared" si="8"/>
        <v>2027</v>
      </c>
      <c r="H19" s="243">
        <f t="shared" si="9"/>
        <v>3.95</v>
      </c>
      <c r="I19" s="243">
        <f t="shared" si="10"/>
        <v>3.92</v>
      </c>
      <c r="K19" s="35">
        <f t="shared" si="11"/>
        <v>12</v>
      </c>
      <c r="L19" s="272">
        <f t="shared" si="12"/>
        <v>2016</v>
      </c>
      <c r="M19" s="253">
        <f t="shared" si="1"/>
        <v>42705</v>
      </c>
      <c r="N19" s="254">
        <v>33.740384615384599</v>
      </c>
      <c r="O19" s="254">
        <v>28.173076923076927</v>
      </c>
      <c r="P19" s="254">
        <v>24.741219512195123</v>
      </c>
      <c r="Q19" s="255">
        <v>26.045365853658534</v>
      </c>
      <c r="S19" s="269">
        <v>27.23505376344086</v>
      </c>
      <c r="T19" s="271">
        <f t="shared" si="13"/>
        <v>1.0344417590574111</v>
      </c>
      <c r="U19" s="271">
        <f t="shared" si="14"/>
        <v>0.95631776900035681</v>
      </c>
      <c r="W19" s="242">
        <f t="shared" si="15"/>
        <v>2027</v>
      </c>
      <c r="X19" s="247">
        <f t="shared" si="2"/>
        <v>41.36</v>
      </c>
      <c r="Y19" s="247">
        <f t="shared" si="3"/>
        <v>40.83</v>
      </c>
      <c r="Z19" s="247">
        <f t="shared" si="4"/>
        <v>35.1</v>
      </c>
      <c r="AA19" s="247">
        <f t="shared" si="5"/>
        <v>35.89</v>
      </c>
      <c r="AC19" s="211">
        <f t="shared" si="16"/>
        <v>2026</v>
      </c>
      <c r="AD19" s="258">
        <f t="shared" si="6"/>
        <v>1.0451316234268251</v>
      </c>
      <c r="AE19" s="258">
        <f t="shared" si="6"/>
        <v>1.0402829349846534</v>
      </c>
      <c r="AF19" s="258">
        <f t="shared" si="6"/>
        <v>1.0216809954760395</v>
      </c>
      <c r="AG19" s="258">
        <f t="shared" si="6"/>
        <v>1.0316161573735918</v>
      </c>
      <c r="AH19" s="258">
        <f t="shared" si="6"/>
        <v>1.0427923878894922</v>
      </c>
      <c r="AI19" s="258">
        <f t="shared" si="6"/>
        <v>1.0573563358272515</v>
      </c>
      <c r="AJ19" s="258">
        <f t="shared" si="6"/>
        <v>1.1079544819453597</v>
      </c>
      <c r="AK19" s="258">
        <f t="shared" si="6"/>
        <v>1.1140859925334585</v>
      </c>
      <c r="AL19" s="258">
        <f t="shared" si="6"/>
        <v>1.0907399933231698</v>
      </c>
      <c r="AM19" s="258">
        <f t="shared" si="6"/>
        <v>1.047535433497804</v>
      </c>
      <c r="AN19" s="258">
        <f t="shared" si="6"/>
        <v>1.0536659828750967</v>
      </c>
      <c r="AO19" s="258">
        <f t="shared" si="6"/>
        <v>1.0453301669322412</v>
      </c>
    </row>
    <row r="20" spans="2:41" x14ac:dyDescent="0.2">
      <c r="B20" s="239">
        <f>EDATE(B19,1)</f>
        <v>42736</v>
      </c>
      <c r="C20" s="240">
        <v>3.2801653137385181</v>
      </c>
      <c r="D20" s="240">
        <v>3.3525923233973045</v>
      </c>
      <c r="E20" s="241">
        <f t="shared" si="0"/>
        <v>2017</v>
      </c>
      <c r="G20" s="242">
        <f t="shared" si="8"/>
        <v>2028</v>
      </c>
      <c r="H20" s="243">
        <f t="shared" si="9"/>
        <v>4.1500000000000004</v>
      </c>
      <c r="I20" s="243">
        <f t="shared" si="10"/>
        <v>4.1500000000000004</v>
      </c>
      <c r="K20" s="35">
        <f t="shared" si="11"/>
        <v>1</v>
      </c>
      <c r="L20" s="272">
        <f t="shared" si="12"/>
        <v>2017</v>
      </c>
      <c r="M20" s="244">
        <f t="shared" si="1"/>
        <v>42736</v>
      </c>
      <c r="N20" s="256">
        <v>33.589199999999998</v>
      </c>
      <c r="O20" s="256">
        <v>27.16879999999999</v>
      </c>
      <c r="P20" s="256">
        <v>25.916046511627908</v>
      </c>
      <c r="Q20" s="257">
        <v>24.534418604651165</v>
      </c>
      <c r="S20" s="269">
        <v>25.950752688172038</v>
      </c>
      <c r="T20" s="271">
        <f t="shared" si="13"/>
        <v>1.0469368779574213</v>
      </c>
      <c r="U20" s="271">
        <f t="shared" si="14"/>
        <v>0.94542223493323119</v>
      </c>
      <c r="W20" s="242">
        <f t="shared" si="15"/>
        <v>2028</v>
      </c>
      <c r="X20" s="247">
        <f t="shared" si="2"/>
        <v>43.71</v>
      </c>
      <c r="Y20" s="247">
        <f t="shared" si="3"/>
        <v>42.66</v>
      </c>
      <c r="Z20" s="247">
        <f t="shared" si="4"/>
        <v>37.19</v>
      </c>
      <c r="AA20" s="247">
        <f t="shared" si="5"/>
        <v>37.74</v>
      </c>
      <c r="AC20" s="211">
        <f t="shared" si="16"/>
        <v>2027</v>
      </c>
      <c r="AD20" s="258">
        <f t="shared" si="6"/>
        <v>1.0389383113640791</v>
      </c>
      <c r="AE20" s="258">
        <f t="shared" si="6"/>
        <v>1.0373145222957858</v>
      </c>
      <c r="AF20" s="258">
        <f t="shared" si="6"/>
        <v>1.0153045580619369</v>
      </c>
      <c r="AG20" s="258">
        <f t="shared" si="6"/>
        <v>1.034022870976911</v>
      </c>
      <c r="AH20" s="258">
        <f t="shared" si="6"/>
        <v>1.0373534632767589</v>
      </c>
      <c r="AI20" s="258">
        <f t="shared" si="6"/>
        <v>1.0521496327211322</v>
      </c>
      <c r="AJ20" s="258">
        <f t="shared" si="6"/>
        <v>1.1009008861129939</v>
      </c>
      <c r="AK20" s="258">
        <f t="shared" si="6"/>
        <v>1.1106517023196738</v>
      </c>
      <c r="AL20" s="258">
        <f t="shared" si="6"/>
        <v>1.0828697013663471</v>
      </c>
      <c r="AM20" s="258">
        <f t="shared" si="6"/>
        <v>1.0493061118892084</v>
      </c>
      <c r="AN20" s="258">
        <f t="shared" si="6"/>
        <v>1.0546086301036273</v>
      </c>
      <c r="AO20" s="258">
        <f t="shared" si="6"/>
        <v>1.0383148262163437</v>
      </c>
    </row>
    <row r="21" spans="2:41" x14ac:dyDescent="0.2">
      <c r="B21" s="248">
        <f t="shared" si="7"/>
        <v>42767</v>
      </c>
      <c r="C21" s="240">
        <v>2.6686241769502144</v>
      </c>
      <c r="D21" s="240">
        <v>2.6476748643761301</v>
      </c>
      <c r="E21" s="249">
        <f t="shared" si="0"/>
        <v>2017</v>
      </c>
      <c r="G21" s="242">
        <f t="shared" si="8"/>
        <v>2029</v>
      </c>
      <c r="H21" s="243">
        <f t="shared" si="9"/>
        <v>4.47</v>
      </c>
      <c r="I21" s="243">
        <f t="shared" si="10"/>
        <v>4.51</v>
      </c>
      <c r="K21" s="35">
        <f t="shared" si="11"/>
        <v>2</v>
      </c>
      <c r="L21" s="272">
        <f t="shared" si="12"/>
        <v>2017</v>
      </c>
      <c r="M21" s="244">
        <f t="shared" si="1"/>
        <v>42767</v>
      </c>
      <c r="N21" s="245">
        <v>23.01958333333333</v>
      </c>
      <c r="O21" s="245">
        <v>21.639999999999997</v>
      </c>
      <c r="P21" s="245">
        <v>17.753055555555555</v>
      </c>
      <c r="Q21" s="246">
        <v>20.62027777777778</v>
      </c>
      <c r="S21" s="269">
        <v>21.202976190476193</v>
      </c>
      <c r="T21" s="271">
        <f t="shared" si="13"/>
        <v>1.0206114370736361</v>
      </c>
      <c r="U21" s="271">
        <f t="shared" si="14"/>
        <v>0.97251808390181815</v>
      </c>
      <c r="W21" s="242">
        <f t="shared" si="15"/>
        <v>2029</v>
      </c>
      <c r="X21" s="247">
        <f t="shared" si="2"/>
        <v>45.85</v>
      </c>
      <c r="Y21" s="247">
        <f t="shared" si="3"/>
        <v>44.88</v>
      </c>
      <c r="Z21" s="247">
        <f t="shared" si="4"/>
        <v>39.29</v>
      </c>
      <c r="AA21" s="247">
        <f t="shared" si="5"/>
        <v>40.020000000000003</v>
      </c>
      <c r="AC21" s="211">
        <f t="shared" si="16"/>
        <v>2028</v>
      </c>
      <c r="AD21" s="258">
        <f t="shared" si="6"/>
        <v>1.0377416754787037</v>
      </c>
      <c r="AE21" s="258">
        <f t="shared" si="6"/>
        <v>1.0344989384819103</v>
      </c>
      <c r="AF21" s="258">
        <f t="shared" si="6"/>
        <v>1.0174550607522104</v>
      </c>
      <c r="AG21" s="258">
        <f t="shared" si="6"/>
        <v>1.0340391159141369</v>
      </c>
      <c r="AH21" s="258">
        <f t="shared" si="6"/>
        <v>1.0363076290492632</v>
      </c>
      <c r="AI21" s="258">
        <f t="shared" si="6"/>
        <v>1.0524142982457114</v>
      </c>
      <c r="AJ21" s="258">
        <f t="shared" si="6"/>
        <v>1.1023908430713529</v>
      </c>
      <c r="AK21" s="258">
        <f t="shared" si="6"/>
        <v>1.1028693014728852</v>
      </c>
      <c r="AL21" s="258">
        <f t="shared" si="6"/>
        <v>1.0716792820550924</v>
      </c>
      <c r="AM21" s="258">
        <f t="shared" si="6"/>
        <v>1.0466881117988391</v>
      </c>
      <c r="AN21" s="258">
        <f t="shared" si="6"/>
        <v>1.0508363389682134</v>
      </c>
      <c r="AO21" s="258">
        <f t="shared" si="6"/>
        <v>1.0338654677029686</v>
      </c>
    </row>
    <row r="22" spans="2:41" x14ac:dyDescent="0.2">
      <c r="B22" s="248">
        <f t="shared" si="7"/>
        <v>42795</v>
      </c>
      <c r="C22" s="240">
        <v>2.6203938538123621</v>
      </c>
      <c r="D22" s="240">
        <v>2.5227025724785621</v>
      </c>
      <c r="E22" s="249">
        <f t="shared" si="0"/>
        <v>2017</v>
      </c>
      <c r="G22" s="242">
        <f t="shared" si="8"/>
        <v>2030</v>
      </c>
      <c r="H22" s="243">
        <f t="shared" si="9"/>
        <v>4.8099999999999996</v>
      </c>
      <c r="I22" s="243">
        <f t="shared" si="10"/>
        <v>4.88</v>
      </c>
      <c r="K22" s="35">
        <f t="shared" si="11"/>
        <v>3</v>
      </c>
      <c r="L22" s="272">
        <f t="shared" si="12"/>
        <v>2017</v>
      </c>
      <c r="M22" s="244">
        <f t="shared" si="1"/>
        <v>42795</v>
      </c>
      <c r="N22" s="245">
        <v>13.16888888888889</v>
      </c>
      <c r="O22" s="245">
        <v>20.801851851851854</v>
      </c>
      <c r="P22" s="245">
        <v>7.3612820512820534</v>
      </c>
      <c r="Q22" s="246">
        <v>18.445128205128196</v>
      </c>
      <c r="S22" s="269">
        <v>19.815390137005206</v>
      </c>
      <c r="T22" s="271">
        <f t="shared" si="13"/>
        <v>1.0497826037249922</v>
      </c>
      <c r="U22" s="271">
        <f t="shared" si="14"/>
        <v>0.93084860189968965</v>
      </c>
      <c r="W22" s="242">
        <f t="shared" si="15"/>
        <v>2030</v>
      </c>
      <c r="X22" s="247">
        <f t="shared" si="2"/>
        <v>48.25</v>
      </c>
      <c r="Y22" s="247">
        <f t="shared" si="3"/>
        <v>47.33</v>
      </c>
      <c r="Z22" s="247">
        <f t="shared" si="4"/>
        <v>41.83</v>
      </c>
      <c r="AA22" s="247">
        <f t="shared" si="5"/>
        <v>42.63</v>
      </c>
    </row>
    <row r="23" spans="2:41" x14ac:dyDescent="0.2">
      <c r="B23" s="248">
        <f t="shared" si="7"/>
        <v>42826</v>
      </c>
      <c r="C23" s="240">
        <v>2.7065013013628447</v>
      </c>
      <c r="D23" s="240">
        <v>2.6035518987341768</v>
      </c>
      <c r="E23" s="249">
        <f t="shared" si="0"/>
        <v>2017</v>
      </c>
      <c r="G23" s="242">
        <f t="shared" si="8"/>
        <v>2031</v>
      </c>
      <c r="H23" s="243">
        <f t="shared" si="9"/>
        <v>5.04</v>
      </c>
      <c r="I23" s="243">
        <f t="shared" si="10"/>
        <v>5.1100000000000003</v>
      </c>
      <c r="K23" s="35">
        <f t="shared" si="11"/>
        <v>4</v>
      </c>
      <c r="L23" s="272">
        <f t="shared" si="12"/>
        <v>2017</v>
      </c>
      <c r="M23" s="244">
        <f t="shared" si="1"/>
        <v>42826</v>
      </c>
      <c r="N23" s="245">
        <v>9.25</v>
      </c>
      <c r="O23" s="245">
        <v>20.5</v>
      </c>
      <c r="P23" s="245">
        <v>-0.15</v>
      </c>
      <c r="Q23" s="246">
        <v>16.25</v>
      </c>
      <c r="S23" s="269">
        <v>18.611111111111114</v>
      </c>
      <c r="T23" s="271">
        <f t="shared" si="13"/>
        <v>1.1014925373134326</v>
      </c>
      <c r="U23" s="271">
        <f t="shared" si="14"/>
        <v>0.87313432835820881</v>
      </c>
      <c r="W23" s="242">
        <f t="shared" si="15"/>
        <v>2031</v>
      </c>
      <c r="X23" s="247">
        <f t="shared" si="2"/>
        <v>50.32</v>
      </c>
      <c r="Y23" s="247">
        <f t="shared" si="3"/>
        <v>49.33</v>
      </c>
      <c r="Z23" s="247">
        <f t="shared" si="4"/>
        <v>43.73</v>
      </c>
      <c r="AA23" s="247">
        <f t="shared" si="5"/>
        <v>44.41</v>
      </c>
    </row>
    <row r="24" spans="2:41" x14ac:dyDescent="0.2">
      <c r="B24" s="248">
        <f t="shared" si="7"/>
        <v>42856</v>
      </c>
      <c r="C24" s="240">
        <v>2.8345881955118353</v>
      </c>
      <c r="D24" s="240">
        <v>2.8310962025316453</v>
      </c>
      <c r="E24" s="249">
        <f t="shared" si="0"/>
        <v>2017</v>
      </c>
      <c r="G24" s="242">
        <f t="shared" si="8"/>
        <v>2032</v>
      </c>
      <c r="H24" s="243">
        <f t="shared" si="9"/>
        <v>5.28</v>
      </c>
      <c r="I24" s="243">
        <f t="shared" si="10"/>
        <v>5.38</v>
      </c>
      <c r="K24" s="35">
        <f t="shared" si="11"/>
        <v>5</v>
      </c>
      <c r="L24" s="272">
        <f t="shared" si="12"/>
        <v>2017</v>
      </c>
      <c r="M24" s="244">
        <f t="shared" si="1"/>
        <v>42856</v>
      </c>
      <c r="N24" s="245">
        <v>11.5</v>
      </c>
      <c r="O24" s="245">
        <v>23</v>
      </c>
      <c r="P24" s="245">
        <v>3.35</v>
      </c>
      <c r="Q24" s="246">
        <v>18</v>
      </c>
      <c r="S24" s="269">
        <v>20.795698924731184</v>
      </c>
      <c r="T24" s="271">
        <f t="shared" si="13"/>
        <v>1.1059979317476731</v>
      </c>
      <c r="U24" s="271">
        <f t="shared" si="14"/>
        <v>0.86556359875904854</v>
      </c>
      <c r="W24" s="242">
        <f t="shared" si="15"/>
        <v>2032</v>
      </c>
      <c r="X24" s="247">
        <f t="shared" si="2"/>
        <v>52.51</v>
      </c>
      <c r="Y24" s="247">
        <f t="shared" si="3"/>
        <v>51.66</v>
      </c>
      <c r="Z24" s="247">
        <f t="shared" si="4"/>
        <v>45.82</v>
      </c>
      <c r="AA24" s="247">
        <f t="shared" si="5"/>
        <v>46.63</v>
      </c>
      <c r="AC24" s="211" t="s">
        <v>217</v>
      </c>
      <c r="AD24" s="211">
        <v>1</v>
      </c>
      <c r="AE24" s="211">
        <v>2</v>
      </c>
      <c r="AF24" s="211">
        <v>3</v>
      </c>
      <c r="AG24" s="211">
        <v>4</v>
      </c>
      <c r="AH24" s="211">
        <v>5</v>
      </c>
      <c r="AI24" s="211">
        <v>6</v>
      </c>
      <c r="AJ24" s="211">
        <v>7</v>
      </c>
      <c r="AK24" s="211">
        <v>8</v>
      </c>
      <c r="AL24" s="211">
        <v>9</v>
      </c>
      <c r="AM24" s="211">
        <v>10</v>
      </c>
      <c r="AN24" s="211">
        <v>11</v>
      </c>
      <c r="AO24" s="211">
        <v>12</v>
      </c>
    </row>
    <row r="25" spans="2:41" x14ac:dyDescent="0.2">
      <c r="B25" s="248">
        <f t="shared" si="7"/>
        <v>42887</v>
      </c>
      <c r="C25" s="240">
        <v>2.9027304231990985</v>
      </c>
      <c r="D25" s="240">
        <v>2.9055265822784806</v>
      </c>
      <c r="E25" s="249">
        <f t="shared" si="0"/>
        <v>2017</v>
      </c>
      <c r="G25" s="242">
        <f t="shared" si="8"/>
        <v>2033</v>
      </c>
      <c r="H25" s="243">
        <f t="shared" si="9"/>
        <v>5.62</v>
      </c>
      <c r="I25" s="243">
        <f t="shared" si="10"/>
        <v>5.76</v>
      </c>
      <c r="K25" s="35">
        <f t="shared" si="11"/>
        <v>6</v>
      </c>
      <c r="L25" s="272">
        <f t="shared" si="12"/>
        <v>2017</v>
      </c>
      <c r="M25" s="244">
        <f t="shared" si="1"/>
        <v>42887</v>
      </c>
      <c r="N25" s="245">
        <v>14.75</v>
      </c>
      <c r="O25" s="245">
        <v>28.75</v>
      </c>
      <c r="P25" s="245">
        <v>4.25</v>
      </c>
      <c r="Q25" s="246">
        <v>20.350000000000001</v>
      </c>
      <c r="S25" s="269">
        <v>25.203333333333337</v>
      </c>
      <c r="T25" s="271">
        <f t="shared" si="13"/>
        <v>1.1407221267028169</v>
      </c>
      <c r="U25" s="271">
        <f t="shared" si="14"/>
        <v>0.8074328792487766</v>
      </c>
      <c r="W25" s="242">
        <f t="shared" si="15"/>
        <v>2033</v>
      </c>
      <c r="X25" s="247">
        <f t="shared" si="2"/>
        <v>55.22</v>
      </c>
      <c r="Y25" s="247">
        <f t="shared" si="3"/>
        <v>54.43</v>
      </c>
      <c r="Z25" s="247">
        <f t="shared" si="4"/>
        <v>48.63</v>
      </c>
      <c r="AA25" s="247">
        <f t="shared" si="5"/>
        <v>49.46</v>
      </c>
      <c r="AD25" s="211" t="s">
        <v>44</v>
      </c>
      <c r="AE25" s="211" t="s">
        <v>45</v>
      </c>
      <c r="AF25" s="211" t="s">
        <v>46</v>
      </c>
      <c r="AG25" s="211" t="s">
        <v>47</v>
      </c>
      <c r="AH25" s="211" t="s">
        <v>48</v>
      </c>
      <c r="AI25" s="211" t="s">
        <v>49</v>
      </c>
      <c r="AJ25" s="211" t="s">
        <v>50</v>
      </c>
      <c r="AK25" s="211" t="s">
        <v>51</v>
      </c>
      <c r="AL25" s="211" t="s">
        <v>52</v>
      </c>
      <c r="AM25" s="211" t="s">
        <v>53</v>
      </c>
      <c r="AN25" s="211" t="s">
        <v>54</v>
      </c>
      <c r="AO25" s="211" t="s">
        <v>55</v>
      </c>
    </row>
    <row r="26" spans="2:41" x14ac:dyDescent="0.2">
      <c r="B26" s="248">
        <f t="shared" si="7"/>
        <v>42917</v>
      </c>
      <c r="C26" s="240">
        <v>3.0379901834204324</v>
      </c>
      <c r="D26" s="240">
        <v>3.0381848101265816</v>
      </c>
      <c r="E26" s="249">
        <f t="shared" si="0"/>
        <v>2017</v>
      </c>
      <c r="G26" s="242">
        <f t="shared" si="8"/>
        <v>2034</v>
      </c>
      <c r="H26" s="243">
        <f t="shared" si="9"/>
        <v>5.9</v>
      </c>
      <c r="I26" s="243">
        <f t="shared" si="10"/>
        <v>6.02</v>
      </c>
      <c r="K26" s="35">
        <f t="shared" si="11"/>
        <v>7</v>
      </c>
      <c r="L26" s="272">
        <f t="shared" si="12"/>
        <v>2017</v>
      </c>
      <c r="M26" s="244">
        <f t="shared" si="1"/>
        <v>42917</v>
      </c>
      <c r="N26" s="245">
        <v>25.99</v>
      </c>
      <c r="O26" s="245">
        <v>38.295000000000002</v>
      </c>
      <c r="P26" s="245">
        <v>13.26</v>
      </c>
      <c r="Q26" s="246">
        <v>25.76</v>
      </c>
      <c r="S26" s="269">
        <v>32.499247311827958</v>
      </c>
      <c r="T26" s="271">
        <f t="shared" si="13"/>
        <v>1.1783349821170384</v>
      </c>
      <c r="U26" s="271">
        <f t="shared" si="14"/>
        <v>0.79263374172437417</v>
      </c>
      <c r="W26" s="242"/>
      <c r="X26" s="247"/>
      <c r="Y26" s="247"/>
      <c r="Z26" s="247"/>
      <c r="AA26" s="247"/>
      <c r="AC26" s="211">
        <f>AC8</f>
        <v>2015</v>
      </c>
      <c r="AD26" s="258">
        <f t="shared" ref="AD26:AO39" si="17">SUMIFS($U:$U,$L:$L,$AC26,$K:$K,AD$6)</f>
        <v>0</v>
      </c>
      <c r="AE26" s="258">
        <f t="shared" si="17"/>
        <v>0</v>
      </c>
      <c r="AF26" s="258">
        <f t="shared" si="17"/>
        <v>0</v>
      </c>
      <c r="AG26" s="258">
        <f t="shared" si="17"/>
        <v>0</v>
      </c>
      <c r="AH26" s="258">
        <f t="shared" si="17"/>
        <v>0</v>
      </c>
      <c r="AI26" s="258">
        <f t="shared" si="17"/>
        <v>0</v>
      </c>
      <c r="AJ26" s="258">
        <f t="shared" si="17"/>
        <v>0</v>
      </c>
      <c r="AK26" s="258">
        <f t="shared" si="17"/>
        <v>0</v>
      </c>
      <c r="AL26" s="258">
        <f t="shared" si="17"/>
        <v>0</v>
      </c>
      <c r="AM26" s="258">
        <f t="shared" si="17"/>
        <v>0</v>
      </c>
      <c r="AN26" s="258">
        <f t="shared" si="17"/>
        <v>0</v>
      </c>
      <c r="AO26" s="258">
        <f t="shared" si="17"/>
        <v>0</v>
      </c>
    </row>
    <row r="27" spans="2:41" x14ac:dyDescent="0.2">
      <c r="B27" s="248">
        <f t="shared" si="7"/>
        <v>42948</v>
      </c>
      <c r="C27" s="240">
        <v>3.0630952146736345</v>
      </c>
      <c r="D27" s="240">
        <v>3.0880075949367085</v>
      </c>
      <c r="E27" s="249">
        <f t="shared" si="0"/>
        <v>2017</v>
      </c>
      <c r="G27" s="242">
        <f t="shared" si="8"/>
        <v>2035</v>
      </c>
      <c r="H27" s="243">
        <f t="shared" si="9"/>
        <v>6.23</v>
      </c>
      <c r="I27" s="243">
        <f t="shared" si="10"/>
        <v>6.29</v>
      </c>
      <c r="K27" s="35">
        <f t="shared" si="11"/>
        <v>8</v>
      </c>
      <c r="L27" s="272">
        <f t="shared" si="12"/>
        <v>2017</v>
      </c>
      <c r="M27" s="244">
        <f t="shared" si="1"/>
        <v>42948</v>
      </c>
      <c r="N27" s="245">
        <v>31.074999999999999</v>
      </c>
      <c r="O27" s="245">
        <v>36.914999999999999</v>
      </c>
      <c r="P27" s="245">
        <v>22.23</v>
      </c>
      <c r="Q27" s="246">
        <v>25.754999999999999</v>
      </c>
      <c r="S27" s="269">
        <v>32.234999999999999</v>
      </c>
      <c r="T27" s="271">
        <f t="shared" si="13"/>
        <v>1.1451838064215913</v>
      </c>
      <c r="U27" s="271">
        <f t="shared" si="14"/>
        <v>0.79897626803164257</v>
      </c>
      <c r="W27" s="242"/>
      <c r="X27" s="247"/>
      <c r="Y27" s="247"/>
      <c r="Z27" s="247"/>
      <c r="AA27" s="247"/>
      <c r="AC27" s="211">
        <f>AC26+1</f>
        <v>2016</v>
      </c>
      <c r="AD27" s="258">
        <f t="shared" si="17"/>
        <v>0.96254683280868969</v>
      </c>
      <c r="AE27" s="258">
        <f t="shared" si="17"/>
        <v>0.93763599427253197</v>
      </c>
      <c r="AF27" s="258">
        <f t="shared" si="17"/>
        <v>0.91903513243656154</v>
      </c>
      <c r="AG27" s="258">
        <f t="shared" si="17"/>
        <v>0.91809513223396377</v>
      </c>
      <c r="AH27" s="258">
        <f t="shared" si="17"/>
        <v>0.89431586552864506</v>
      </c>
      <c r="AI27" s="258">
        <f t="shared" si="17"/>
        <v>0.75013621056580715</v>
      </c>
      <c r="AJ27" s="258">
        <f t="shared" si="17"/>
        <v>0.70964650193556289</v>
      </c>
      <c r="AK27" s="258">
        <f t="shared" si="17"/>
        <v>0.75491100902526465</v>
      </c>
      <c r="AL27" s="258">
        <f t="shared" si="17"/>
        <v>0.90861940248163975</v>
      </c>
      <c r="AM27" s="258">
        <f t="shared" si="17"/>
        <v>0.92167837927976692</v>
      </c>
      <c r="AN27" s="258">
        <f t="shared" si="17"/>
        <v>0.94621071950633406</v>
      </c>
      <c r="AO27" s="258">
        <f t="shared" si="17"/>
        <v>0.95631776900035681</v>
      </c>
    </row>
    <row r="28" spans="2:41" x14ac:dyDescent="0.2">
      <c r="B28" s="248">
        <f t="shared" si="7"/>
        <v>42979</v>
      </c>
      <c r="C28" s="240">
        <v>3.0400395737268164</v>
      </c>
      <c r="D28" s="240">
        <v>3.0778810126582274</v>
      </c>
      <c r="E28" s="249">
        <f t="shared" si="0"/>
        <v>2017</v>
      </c>
      <c r="G28" s="242">
        <f t="shared" si="8"/>
        <v>2036</v>
      </c>
      <c r="H28" s="243">
        <f t="shared" si="9"/>
        <v>6.7</v>
      </c>
      <c r="I28" s="243">
        <f t="shared" si="10"/>
        <v>6.8</v>
      </c>
      <c r="K28" s="35">
        <f t="shared" si="11"/>
        <v>9</v>
      </c>
      <c r="L28" s="272">
        <f t="shared" si="12"/>
        <v>2017</v>
      </c>
      <c r="M28" s="244">
        <f t="shared" si="1"/>
        <v>42979</v>
      </c>
      <c r="N28" s="245">
        <v>27.684999999999999</v>
      </c>
      <c r="O28" s="245">
        <v>28.29</v>
      </c>
      <c r="P28" s="245">
        <v>23.01</v>
      </c>
      <c r="Q28" s="246">
        <v>23.83</v>
      </c>
      <c r="S28" s="269">
        <v>26.307777777777776</v>
      </c>
      <c r="T28" s="271">
        <f t="shared" si="13"/>
        <v>1.0753473835367657</v>
      </c>
      <c r="U28" s="271">
        <f t="shared" si="14"/>
        <v>0.90581577057904294</v>
      </c>
      <c r="W28" s="242"/>
      <c r="X28" s="247"/>
      <c r="Y28" s="247"/>
      <c r="Z28" s="247"/>
      <c r="AA28" s="247"/>
      <c r="AC28" s="211">
        <f t="shared" ref="AC28:AC39" si="18">AC27+1</f>
        <v>2017</v>
      </c>
      <c r="AD28" s="258">
        <f t="shared" si="17"/>
        <v>0.94542223493323119</v>
      </c>
      <c r="AE28" s="258">
        <f t="shared" si="17"/>
        <v>0.97251808390181815</v>
      </c>
      <c r="AF28" s="258">
        <f t="shared" si="17"/>
        <v>0.93084860189968965</v>
      </c>
      <c r="AG28" s="258">
        <f t="shared" si="17"/>
        <v>0.87313432835820881</v>
      </c>
      <c r="AH28" s="258">
        <f t="shared" si="17"/>
        <v>0.86556359875904854</v>
      </c>
      <c r="AI28" s="258">
        <f t="shared" si="17"/>
        <v>0.8074328792487766</v>
      </c>
      <c r="AJ28" s="258">
        <f t="shared" si="17"/>
        <v>0.79263374172437417</v>
      </c>
      <c r="AK28" s="258">
        <f t="shared" si="17"/>
        <v>0.79897626803164257</v>
      </c>
      <c r="AL28" s="258">
        <f t="shared" si="17"/>
        <v>0.90581577057904294</v>
      </c>
      <c r="AM28" s="258">
        <f t="shared" si="17"/>
        <v>0.94549837543234461</v>
      </c>
      <c r="AN28" s="258">
        <f t="shared" si="17"/>
        <v>0.93451122177501877</v>
      </c>
      <c r="AO28" s="258">
        <f t="shared" si="17"/>
        <v>0.95754166224392334</v>
      </c>
    </row>
    <row r="29" spans="2:41" x14ac:dyDescent="0.2">
      <c r="B29" s="248">
        <f t="shared" si="7"/>
        <v>43009</v>
      </c>
      <c r="C29" s="240">
        <v>3.0246691464289372</v>
      </c>
      <c r="D29" s="240">
        <v>3.0452734177215186</v>
      </c>
      <c r="E29" s="249">
        <f t="shared" si="0"/>
        <v>2017</v>
      </c>
      <c r="G29" s="242">
        <f t="shared" si="8"/>
        <v>2037</v>
      </c>
      <c r="H29" s="243">
        <f t="shared" si="9"/>
        <v>6.9</v>
      </c>
      <c r="I29" s="243">
        <f t="shared" si="10"/>
        <v>7.05</v>
      </c>
      <c r="K29" s="35">
        <f t="shared" si="11"/>
        <v>10</v>
      </c>
      <c r="L29" s="272">
        <f t="shared" si="12"/>
        <v>2017</v>
      </c>
      <c r="M29" s="244">
        <f t="shared" si="1"/>
        <v>43009</v>
      </c>
      <c r="N29" s="245">
        <v>25.2</v>
      </c>
      <c r="O29" s="245">
        <v>26.215</v>
      </c>
      <c r="P29" s="245">
        <v>20.925000000000001</v>
      </c>
      <c r="Q29" s="246">
        <v>23.765000000000001</v>
      </c>
      <c r="S29" s="269">
        <v>25.134892473118281</v>
      </c>
      <c r="T29" s="271">
        <f t="shared" si="13"/>
        <v>1.0429724347552667</v>
      </c>
      <c r="U29" s="271">
        <f t="shared" si="14"/>
        <v>0.94549837543234461</v>
      </c>
      <c r="W29" s="242"/>
      <c r="X29" s="247"/>
      <c r="Y29" s="247"/>
      <c r="Z29" s="247"/>
      <c r="AA29" s="247"/>
      <c r="AC29" s="211">
        <f t="shared" si="18"/>
        <v>2018</v>
      </c>
      <c r="AD29" s="258">
        <f t="shared" si="17"/>
        <v>0.94587722484562309</v>
      </c>
      <c r="AE29" s="258">
        <f t="shared" si="17"/>
        <v>0.96716826265389877</v>
      </c>
      <c r="AF29" s="258">
        <f t="shared" si="17"/>
        <v>0.93111413281063293</v>
      </c>
      <c r="AG29" s="258">
        <f t="shared" si="17"/>
        <v>0.91682614456057698</v>
      </c>
      <c r="AH29" s="258">
        <f t="shared" si="17"/>
        <v>0.86030113347995252</v>
      </c>
      <c r="AI29" s="258">
        <f t="shared" si="17"/>
        <v>0.85306738224492074</v>
      </c>
      <c r="AJ29" s="258">
        <f t="shared" si="17"/>
        <v>0.79453505613217534</v>
      </c>
      <c r="AK29" s="258">
        <f t="shared" si="17"/>
        <v>0.80996974181151582</v>
      </c>
      <c r="AL29" s="258">
        <f t="shared" si="17"/>
        <v>0.86982707580490382</v>
      </c>
      <c r="AM29" s="258">
        <f t="shared" si="17"/>
        <v>0.94569225611800201</v>
      </c>
      <c r="AN29" s="258">
        <f t="shared" si="17"/>
        <v>0.93911112744146008</v>
      </c>
      <c r="AO29" s="258">
        <f t="shared" si="17"/>
        <v>0.95957363162306331</v>
      </c>
    </row>
    <row r="30" spans="2:41" x14ac:dyDescent="0.2">
      <c r="B30" s="248">
        <f t="shared" si="7"/>
        <v>43040</v>
      </c>
      <c r="C30" s="240">
        <v>3.0876878983502407</v>
      </c>
      <c r="D30" s="240">
        <v>3.1196025316455689</v>
      </c>
      <c r="E30" s="249">
        <f t="shared" si="0"/>
        <v>2017</v>
      </c>
      <c r="G30" s="242"/>
      <c r="H30" s="243"/>
      <c r="I30" s="243"/>
      <c r="K30" s="35">
        <f t="shared" si="11"/>
        <v>11</v>
      </c>
      <c r="L30" s="272">
        <f t="shared" si="12"/>
        <v>2017</v>
      </c>
      <c r="M30" s="244">
        <f t="shared" si="1"/>
        <v>43040</v>
      </c>
      <c r="N30" s="245">
        <v>27.44</v>
      </c>
      <c r="O30" s="245">
        <v>25.947500000000002</v>
      </c>
      <c r="P30" s="245">
        <v>23.58</v>
      </c>
      <c r="Q30" s="246">
        <v>23.037500000000001</v>
      </c>
      <c r="S30" s="269">
        <v>24.651924410540918</v>
      </c>
      <c r="T30" s="271">
        <f t="shared" si="13"/>
        <v>1.0525547445255474</v>
      </c>
      <c r="U30" s="271">
        <f t="shared" si="14"/>
        <v>0.93451122177501877</v>
      </c>
      <c r="W30" s="242"/>
      <c r="X30" s="247"/>
      <c r="Y30" s="247"/>
      <c r="Z30" s="247"/>
      <c r="AA30" s="247"/>
      <c r="AC30" s="211">
        <f t="shared" si="18"/>
        <v>2019</v>
      </c>
      <c r="AD30" s="258">
        <f t="shared" si="17"/>
        <v>0.97233584655170469</v>
      </c>
      <c r="AE30" s="258">
        <f t="shared" si="17"/>
        <v>0.95463137996219283</v>
      </c>
      <c r="AF30" s="258">
        <f t="shared" si="17"/>
        <v>0.9668389133328309</v>
      </c>
      <c r="AG30" s="258">
        <f t="shared" si="17"/>
        <v>0.81185350330371098</v>
      </c>
      <c r="AH30" s="258">
        <f t="shared" si="17"/>
        <v>0.63680746767754115</v>
      </c>
      <c r="AI30" s="258">
        <f t="shared" si="17"/>
        <v>0.62030960530034229</v>
      </c>
      <c r="AJ30" s="258">
        <f t="shared" si="17"/>
        <v>0.83745893244303726</v>
      </c>
      <c r="AK30" s="258">
        <f t="shared" si="17"/>
        <v>0.84811447957896569</v>
      </c>
      <c r="AL30" s="258">
        <f t="shared" si="17"/>
        <v>0.83081269528448398</v>
      </c>
      <c r="AM30" s="258">
        <f t="shared" si="17"/>
        <v>0.93713115741298314</v>
      </c>
      <c r="AN30" s="258">
        <f t="shared" si="17"/>
        <v>0.92906879145042498</v>
      </c>
      <c r="AO30" s="258">
        <f t="shared" si="17"/>
        <v>0.95144964542930266</v>
      </c>
    </row>
    <row r="31" spans="2:41" x14ac:dyDescent="0.2">
      <c r="B31" s="250">
        <f t="shared" si="7"/>
        <v>43070</v>
      </c>
      <c r="C31" s="251">
        <v>3.3576950712163134</v>
      </c>
      <c r="D31" s="251">
        <v>3.3619316455696198</v>
      </c>
      <c r="E31" s="252">
        <f t="shared" si="0"/>
        <v>2017</v>
      </c>
      <c r="G31" s="242"/>
      <c r="H31" s="259" t="s">
        <v>211</v>
      </c>
      <c r="I31" s="259" t="s">
        <v>211</v>
      </c>
      <c r="K31" s="35">
        <f t="shared" si="11"/>
        <v>12</v>
      </c>
      <c r="L31" s="272">
        <f t="shared" si="12"/>
        <v>2017</v>
      </c>
      <c r="M31" s="253">
        <f t="shared" si="1"/>
        <v>43070</v>
      </c>
      <c r="N31" s="254">
        <v>32.11</v>
      </c>
      <c r="O31" s="254">
        <v>28.087499999999999</v>
      </c>
      <c r="P31" s="254">
        <v>25.995000000000001</v>
      </c>
      <c r="Q31" s="255">
        <v>25.947500000000002</v>
      </c>
      <c r="S31" s="269">
        <v>27.098037634408598</v>
      </c>
      <c r="T31" s="271">
        <f t="shared" si="13"/>
        <v>1.0365141704702261</v>
      </c>
      <c r="U31" s="271">
        <f t="shared" si="14"/>
        <v>0.95754166224392334</v>
      </c>
      <c r="W31" s="242"/>
      <c r="X31" s="247"/>
      <c r="Y31" s="247"/>
      <c r="Z31" s="247"/>
      <c r="AA31" s="247"/>
      <c r="AC31" s="211">
        <f t="shared" si="18"/>
        <v>2020</v>
      </c>
      <c r="AD31" s="258">
        <f t="shared" si="17"/>
        <v>0.93782701952567893</v>
      </c>
      <c r="AE31" s="258">
        <f t="shared" si="17"/>
        <v>0.93026416149438629</v>
      </c>
      <c r="AF31" s="258">
        <f t="shared" si="17"/>
        <v>0.9411381758529499</v>
      </c>
      <c r="AG31" s="258">
        <f t="shared" si="17"/>
        <v>0.84925315809688151</v>
      </c>
      <c r="AH31" s="258">
        <f t="shared" si="17"/>
        <v>0.71426510249608766</v>
      </c>
      <c r="AI31" s="258">
        <f t="shared" si="17"/>
        <v>0.67920210689984584</v>
      </c>
      <c r="AJ31" s="258">
        <f t="shared" si="17"/>
        <v>0.77136222283227496</v>
      </c>
      <c r="AK31" s="258">
        <f t="shared" si="17"/>
        <v>0.785197934595525</v>
      </c>
      <c r="AL31" s="258">
        <f t="shared" si="17"/>
        <v>0.75053557926573122</v>
      </c>
      <c r="AM31" s="258">
        <f t="shared" si="17"/>
        <v>0.94616910288055611</v>
      </c>
      <c r="AN31" s="258">
        <f t="shared" si="17"/>
        <v>0.94044099409862414</v>
      </c>
      <c r="AO31" s="258">
        <f t="shared" si="17"/>
        <v>0.95756753852810583</v>
      </c>
    </row>
    <row r="32" spans="2:41" x14ac:dyDescent="0.2">
      <c r="B32" s="239">
        <f t="shared" si="7"/>
        <v>43101</v>
      </c>
      <c r="C32" s="240">
        <v>3.4232755610205965</v>
      </c>
      <c r="D32" s="240">
        <v>3.3685139240506325</v>
      </c>
      <c r="E32" s="241">
        <f t="shared" si="0"/>
        <v>2018</v>
      </c>
      <c r="G32" s="242"/>
      <c r="H32" s="261">
        <f>ROUND(AVERAGE(H8:H25)-AVERAGE(C8:C223),2)</f>
        <v>0</v>
      </c>
      <c r="I32" s="261">
        <f>ROUND(AVERAGE(I8:I25)-AVERAGE(D8:D223),2)</f>
        <v>0</v>
      </c>
      <c r="K32" s="35">
        <f t="shared" si="11"/>
        <v>1</v>
      </c>
      <c r="L32" s="272">
        <f t="shared" si="12"/>
        <v>2018</v>
      </c>
      <c r="M32" s="244">
        <f t="shared" si="1"/>
        <v>43101</v>
      </c>
      <c r="N32" s="256">
        <v>30.2225</v>
      </c>
      <c r="O32" s="256">
        <v>28.087499999999999</v>
      </c>
      <c r="P32" s="256">
        <v>25.125</v>
      </c>
      <c r="Q32" s="257">
        <v>25.48</v>
      </c>
      <c r="S32" s="269">
        <v>26.937956989247308</v>
      </c>
      <c r="T32" s="271">
        <f t="shared" si="13"/>
        <v>1.0426737265640282</v>
      </c>
      <c r="U32" s="271">
        <f t="shared" si="14"/>
        <v>0.94587722484562309</v>
      </c>
      <c r="W32" s="242"/>
      <c r="X32" s="247"/>
      <c r="Y32" s="247"/>
      <c r="Z32" s="247"/>
      <c r="AA32" s="247"/>
      <c r="AC32" s="211">
        <f t="shared" si="18"/>
        <v>2021</v>
      </c>
      <c r="AD32" s="258">
        <f t="shared" si="17"/>
        <v>0.9568085356596856</v>
      </c>
      <c r="AE32" s="258">
        <f t="shared" si="17"/>
        <v>0.94902148063462655</v>
      </c>
      <c r="AF32" s="258">
        <f t="shared" si="17"/>
        <v>0.95839845749358332</v>
      </c>
      <c r="AG32" s="258">
        <f t="shared" si="17"/>
        <v>0.86114305739966523</v>
      </c>
      <c r="AH32" s="258">
        <f t="shared" si="17"/>
        <v>0.73605884453922876</v>
      </c>
      <c r="AI32" s="258">
        <f t="shared" si="17"/>
        <v>0.70149071994673817</v>
      </c>
      <c r="AJ32" s="258">
        <f t="shared" si="17"/>
        <v>0.78125226883506804</v>
      </c>
      <c r="AK32" s="258">
        <f t="shared" si="17"/>
        <v>0.79462644686075057</v>
      </c>
      <c r="AL32" s="258">
        <f t="shared" si="17"/>
        <v>0.76283117500297015</v>
      </c>
      <c r="AM32" s="258">
        <f t="shared" si="17"/>
        <v>0.96142140282621513</v>
      </c>
      <c r="AN32" s="258">
        <f t="shared" si="17"/>
        <v>0.95225173294930454</v>
      </c>
      <c r="AO32" s="258">
        <f t="shared" si="17"/>
        <v>0.96952264973196955</v>
      </c>
    </row>
    <row r="33" spans="2:41" x14ac:dyDescent="0.2">
      <c r="B33" s="248">
        <f t="shared" si="7"/>
        <v>43132</v>
      </c>
      <c r="C33" s="240">
        <v>3.3664049800184443</v>
      </c>
      <c r="D33" s="240">
        <v>3.3151468354430378</v>
      </c>
      <c r="E33" s="249">
        <f t="shared" si="0"/>
        <v>2018</v>
      </c>
      <c r="G33" s="242"/>
      <c r="H33" s="243"/>
      <c r="I33" s="243"/>
      <c r="K33" s="35">
        <f t="shared" si="11"/>
        <v>2</v>
      </c>
      <c r="L33" s="272">
        <f t="shared" si="12"/>
        <v>2018</v>
      </c>
      <c r="M33" s="244">
        <f t="shared" si="1"/>
        <v>43132</v>
      </c>
      <c r="N33" s="245">
        <v>27.285</v>
      </c>
      <c r="O33" s="245">
        <v>26.215</v>
      </c>
      <c r="P33" s="245">
        <v>23.432500000000001</v>
      </c>
      <c r="Q33" s="246">
        <v>24.745000000000001</v>
      </c>
      <c r="S33" s="269">
        <v>25.585000000000001</v>
      </c>
      <c r="T33" s="271">
        <f t="shared" si="13"/>
        <v>1.0246238030095758</v>
      </c>
      <c r="U33" s="271">
        <f t="shared" si="14"/>
        <v>0.96716826265389877</v>
      </c>
      <c r="W33" s="242"/>
      <c r="X33" s="247"/>
      <c r="Y33" s="247"/>
      <c r="Z33" s="247"/>
      <c r="AA33" s="247"/>
      <c r="AC33" s="211">
        <f t="shared" si="18"/>
        <v>2022</v>
      </c>
      <c r="AD33" s="258">
        <f t="shared" si="17"/>
        <v>0.952444790355927</v>
      </c>
      <c r="AE33" s="258">
        <f t="shared" si="17"/>
        <v>0.94451630250854179</v>
      </c>
      <c r="AF33" s="258">
        <f t="shared" si="17"/>
        <v>0.95309527642925151</v>
      </c>
      <c r="AG33" s="258">
        <f t="shared" si="17"/>
        <v>0.88604943443653117</v>
      </c>
      <c r="AH33" s="258">
        <f t="shared" si="17"/>
        <v>0.77107180020811639</v>
      </c>
      <c r="AI33" s="258">
        <f t="shared" si="17"/>
        <v>0.73696685286866204</v>
      </c>
      <c r="AJ33" s="258">
        <f t="shared" si="17"/>
        <v>0.81570015692857945</v>
      </c>
      <c r="AK33" s="258">
        <f t="shared" si="17"/>
        <v>0.81746648437576841</v>
      </c>
      <c r="AL33" s="258">
        <f t="shared" si="17"/>
        <v>0.79564323042140761</v>
      </c>
      <c r="AM33" s="258">
        <f t="shared" si="17"/>
        <v>0.98471367352043815</v>
      </c>
      <c r="AN33" s="258">
        <f t="shared" si="17"/>
        <v>0.97632520558509928</v>
      </c>
      <c r="AO33" s="258">
        <f t="shared" si="17"/>
        <v>0.99094167609884531</v>
      </c>
    </row>
    <row r="34" spans="2:41" x14ac:dyDescent="0.2">
      <c r="B34" s="248">
        <f t="shared" si="7"/>
        <v>43160</v>
      </c>
      <c r="C34" s="240">
        <v>3.1030583256481199</v>
      </c>
      <c r="D34" s="240">
        <v>3.1774253164556958</v>
      </c>
      <c r="E34" s="249">
        <f t="shared" si="0"/>
        <v>2018</v>
      </c>
      <c r="G34" s="242"/>
      <c r="K34" s="35">
        <f t="shared" si="11"/>
        <v>3</v>
      </c>
      <c r="L34" s="272">
        <f t="shared" si="12"/>
        <v>2018</v>
      </c>
      <c r="M34" s="244">
        <f t="shared" si="1"/>
        <v>43160</v>
      </c>
      <c r="N34" s="245">
        <v>24.342500000000001</v>
      </c>
      <c r="O34" s="245">
        <v>25.447500000000002</v>
      </c>
      <c r="P34" s="245">
        <v>19.7925</v>
      </c>
      <c r="Q34" s="246">
        <v>22.574999999999999</v>
      </c>
      <c r="S34" s="269">
        <v>24.245148048452222</v>
      </c>
      <c r="T34" s="271">
        <f t="shared" si="13"/>
        <v>1.0495914460553082</v>
      </c>
      <c r="U34" s="271">
        <f t="shared" si="14"/>
        <v>0.93111413281063293</v>
      </c>
      <c r="W34" s="242"/>
      <c r="X34" s="247"/>
      <c r="Y34" s="247"/>
      <c r="Z34" s="247"/>
      <c r="AA34" s="247"/>
      <c r="AC34" s="211">
        <f t="shared" si="18"/>
        <v>2023</v>
      </c>
      <c r="AD34" s="258">
        <f t="shared" si="17"/>
        <v>0.94839962868874939</v>
      </c>
      <c r="AE34" s="258">
        <f t="shared" si="17"/>
        <v>0.94034885744501395</v>
      </c>
      <c r="AF34" s="258">
        <f t="shared" si="17"/>
        <v>0.94821567316771005</v>
      </c>
      <c r="AG34" s="258">
        <f t="shared" si="17"/>
        <v>0.97716190358619837</v>
      </c>
      <c r="AH34" s="258">
        <f t="shared" si="17"/>
        <v>0.86338890350215169</v>
      </c>
      <c r="AI34" s="258">
        <f t="shared" si="17"/>
        <v>0.84597105476042922</v>
      </c>
      <c r="AJ34" s="258">
        <f t="shared" si="17"/>
        <v>0.84269308576443813</v>
      </c>
      <c r="AK34" s="258">
        <f t="shared" si="17"/>
        <v>0.83562936981329172</v>
      </c>
      <c r="AL34" s="258">
        <f t="shared" si="17"/>
        <v>0.84826156501049332</v>
      </c>
      <c r="AM34" s="258">
        <f t="shared" si="17"/>
        <v>0.95667592529894419</v>
      </c>
      <c r="AN34" s="258">
        <f t="shared" si="17"/>
        <v>0.95340943079829699</v>
      </c>
      <c r="AO34" s="258">
        <f t="shared" si="17"/>
        <v>0.96812033769184414</v>
      </c>
    </row>
    <row r="35" spans="2:41" x14ac:dyDescent="0.2">
      <c r="B35" s="248">
        <f t="shared" si="7"/>
        <v>43191</v>
      </c>
      <c r="C35" s="240">
        <v>2.499512880418076</v>
      </c>
      <c r="D35" s="240">
        <v>2.4420329113924049</v>
      </c>
      <c r="E35" s="249">
        <f t="shared" si="0"/>
        <v>2018</v>
      </c>
      <c r="G35" s="242"/>
      <c r="K35" s="35">
        <f t="shared" si="11"/>
        <v>4</v>
      </c>
      <c r="L35" s="272">
        <f t="shared" si="12"/>
        <v>2018</v>
      </c>
      <c r="M35" s="244">
        <f t="shared" si="1"/>
        <v>43191</v>
      </c>
      <c r="N35" s="245">
        <v>17.785</v>
      </c>
      <c r="O35" s="245">
        <v>20.125</v>
      </c>
      <c r="P35" s="245">
        <v>12.4</v>
      </c>
      <c r="Q35" s="246">
        <v>17.3</v>
      </c>
      <c r="S35" s="269">
        <v>18.869444444444447</v>
      </c>
      <c r="T35" s="271">
        <f t="shared" si="13"/>
        <v>1.0665390843515381</v>
      </c>
      <c r="U35" s="271">
        <f t="shared" si="14"/>
        <v>0.91682614456057698</v>
      </c>
      <c r="X35" s="258"/>
      <c r="Y35" s="258"/>
      <c r="Z35" s="258"/>
      <c r="AA35" s="258"/>
      <c r="AC35" s="211">
        <f t="shared" si="18"/>
        <v>2024</v>
      </c>
      <c r="AD35" s="258">
        <f t="shared" si="17"/>
        <v>0.9457613971208032</v>
      </c>
      <c r="AE35" s="258">
        <f t="shared" si="17"/>
        <v>0.94462769839019323</v>
      </c>
      <c r="AF35" s="258">
        <f t="shared" si="17"/>
        <v>0.96124791990353875</v>
      </c>
      <c r="AG35" s="258">
        <f t="shared" si="17"/>
        <v>0.96125097193407594</v>
      </c>
      <c r="AH35" s="258">
        <f t="shared" si="17"/>
        <v>0.94646099511992898</v>
      </c>
      <c r="AI35" s="258">
        <f t="shared" si="17"/>
        <v>0.94096388353239102</v>
      </c>
      <c r="AJ35" s="258">
        <f t="shared" si="17"/>
        <v>0.86112219777717691</v>
      </c>
      <c r="AK35" s="258">
        <f t="shared" si="17"/>
        <v>0.85006774518203709</v>
      </c>
      <c r="AL35" s="258">
        <f t="shared" si="17"/>
        <v>0.89635960469214693</v>
      </c>
      <c r="AM35" s="258">
        <f t="shared" si="17"/>
        <v>0.93135564701733486</v>
      </c>
      <c r="AN35" s="258">
        <f t="shared" si="17"/>
        <v>0.93566702082668796</v>
      </c>
      <c r="AO35" s="258">
        <f t="shared" si="17"/>
        <v>0.94940100897724733</v>
      </c>
    </row>
    <row r="36" spans="2:41" x14ac:dyDescent="0.2">
      <c r="B36" s="248">
        <f t="shared" si="7"/>
        <v>43221</v>
      </c>
      <c r="C36" s="240">
        <v>2.3622037298903575</v>
      </c>
      <c r="D36" s="240">
        <v>2.3876531645569616</v>
      </c>
      <c r="E36" s="249">
        <f t="shared" si="0"/>
        <v>2018</v>
      </c>
      <c r="K36" s="35">
        <f t="shared" si="11"/>
        <v>5</v>
      </c>
      <c r="L36" s="272">
        <f t="shared" si="12"/>
        <v>2018</v>
      </c>
      <c r="M36" s="244">
        <f t="shared" si="1"/>
        <v>43221</v>
      </c>
      <c r="N36" s="245">
        <v>16.059999999999999</v>
      </c>
      <c r="O36" s="245">
        <v>22.05</v>
      </c>
      <c r="P36" s="245">
        <v>9.4499999999999993</v>
      </c>
      <c r="Q36" s="246">
        <v>17.087499999999999</v>
      </c>
      <c r="S36" s="269">
        <v>19.8622311827957</v>
      </c>
      <c r="T36" s="271">
        <f t="shared" si="13"/>
        <v>1.1101471832177296</v>
      </c>
      <c r="U36" s="271">
        <f t="shared" si="14"/>
        <v>0.86030113347995252</v>
      </c>
      <c r="X36" s="260" t="s">
        <v>211</v>
      </c>
      <c r="Y36" s="260"/>
      <c r="Z36" s="260"/>
      <c r="AA36" s="260"/>
      <c r="AC36" s="211">
        <f t="shared" si="18"/>
        <v>2025</v>
      </c>
      <c r="AD36" s="258">
        <f t="shared" si="17"/>
        <v>0.94518197254316605</v>
      </c>
      <c r="AE36" s="258">
        <f t="shared" si="17"/>
        <v>0.94859112610786844</v>
      </c>
      <c r="AF36" s="258">
        <f t="shared" si="17"/>
        <v>0.97044306840793637</v>
      </c>
      <c r="AG36" s="258">
        <f t="shared" si="17"/>
        <v>0.9472210633932332</v>
      </c>
      <c r="AH36" s="258">
        <f t="shared" si="17"/>
        <v>0.95197187170163056</v>
      </c>
      <c r="AI36" s="258">
        <f t="shared" si="17"/>
        <v>0.92865898044577533</v>
      </c>
      <c r="AJ36" s="258">
        <f t="shared" si="17"/>
        <v>0.86183722506634575</v>
      </c>
      <c r="AK36" s="258">
        <f t="shared" si="17"/>
        <v>0.85062088493210031</v>
      </c>
      <c r="AL36" s="258">
        <f t="shared" si="17"/>
        <v>0.87920074745241694</v>
      </c>
      <c r="AM36" s="258">
        <f t="shared" si="17"/>
        <v>0.92969210340238684</v>
      </c>
      <c r="AN36" s="258">
        <f t="shared" si="17"/>
        <v>0.93927680896974075</v>
      </c>
      <c r="AO36" s="258">
        <f t="shared" si="17"/>
        <v>0.9406955193519706</v>
      </c>
    </row>
    <row r="37" spans="2:41" x14ac:dyDescent="0.2">
      <c r="B37" s="248">
        <f t="shared" si="7"/>
        <v>43252</v>
      </c>
      <c r="C37" s="240">
        <v>2.3857717184137717</v>
      </c>
      <c r="D37" s="240">
        <v>2.4108430379746832</v>
      </c>
      <c r="E37" s="249">
        <f t="shared" si="0"/>
        <v>2018</v>
      </c>
      <c r="K37" s="35">
        <f t="shared" si="11"/>
        <v>6</v>
      </c>
      <c r="L37" s="272">
        <f t="shared" si="12"/>
        <v>2018</v>
      </c>
      <c r="M37" s="244">
        <f t="shared" si="1"/>
        <v>43252</v>
      </c>
      <c r="N37" s="245">
        <v>17.324999999999999</v>
      </c>
      <c r="O37" s="245">
        <v>24.875</v>
      </c>
      <c r="P37" s="245">
        <v>8.4</v>
      </c>
      <c r="Q37" s="246">
        <v>19.162500000000001</v>
      </c>
      <c r="S37" s="269">
        <v>22.463055555555556</v>
      </c>
      <c r="T37" s="271">
        <f t="shared" si="13"/>
        <v>1.1073738360517886</v>
      </c>
      <c r="U37" s="271">
        <f t="shared" si="14"/>
        <v>0.85306738224492074</v>
      </c>
      <c r="X37" s="261">
        <f>ROUND(AVERAGE(X8:X34)-AVERAGE(N8:N223),2)</f>
        <v>0</v>
      </c>
      <c r="Y37" s="261">
        <f>ROUND(AVERAGE(Y8:Y34)-AVERAGE(O8:O223),2)</f>
        <v>0</v>
      </c>
      <c r="Z37" s="261">
        <f>ROUND(AVERAGE(Z8:Z34)-AVERAGE(P8:P223),2)</f>
        <v>0</v>
      </c>
      <c r="AA37" s="261">
        <f>ROUND(AVERAGE(AA8:AA34)-AVERAGE(Q8:Q223),2)</f>
        <v>0</v>
      </c>
      <c r="AC37" s="211">
        <f t="shared" si="18"/>
        <v>2026</v>
      </c>
      <c r="AD37" s="258">
        <f t="shared" si="17"/>
        <v>0.94275989223914869</v>
      </c>
      <c r="AE37" s="258">
        <f t="shared" si="17"/>
        <v>0.9462894200204619</v>
      </c>
      <c r="AF37" s="258">
        <f t="shared" si="17"/>
        <v>0.97241806080112403</v>
      </c>
      <c r="AG37" s="258">
        <f t="shared" si="17"/>
        <v>0.95673578464666365</v>
      </c>
      <c r="AH37" s="258">
        <f t="shared" si="17"/>
        <v>0.95024140943082269</v>
      </c>
      <c r="AI37" s="258">
        <f t="shared" si="17"/>
        <v>0.92151238255218204</v>
      </c>
      <c r="AJ37" s="258">
        <f t="shared" si="17"/>
        <v>0.86308212045954391</v>
      </c>
      <c r="AK37" s="258">
        <f t="shared" si="17"/>
        <v>0.85530557044536948</v>
      </c>
      <c r="AL37" s="258">
        <f t="shared" si="17"/>
        <v>0.88657500834603775</v>
      </c>
      <c r="AM37" s="258">
        <f t="shared" si="17"/>
        <v>0.93418170746457896</v>
      </c>
      <c r="AN37" s="258">
        <f t="shared" si="17"/>
        <v>0.938849443845587</v>
      </c>
      <c r="AO37" s="258">
        <f t="shared" si="17"/>
        <v>0.94250808096398664</v>
      </c>
    </row>
    <row r="38" spans="2:41" x14ac:dyDescent="0.2">
      <c r="B38" s="248">
        <f t="shared" si="7"/>
        <v>43282</v>
      </c>
      <c r="C38" s="240">
        <v>2.4626238549031663</v>
      </c>
      <c r="D38" s="240">
        <v>2.4786911392405062</v>
      </c>
      <c r="E38" s="249">
        <f t="shared" si="0"/>
        <v>2018</v>
      </c>
      <c r="K38" s="35">
        <f t="shared" si="11"/>
        <v>7</v>
      </c>
      <c r="L38" s="272">
        <f t="shared" si="12"/>
        <v>2018</v>
      </c>
      <c r="M38" s="244">
        <f t="shared" si="1"/>
        <v>43282</v>
      </c>
      <c r="N38" s="245">
        <v>25.55</v>
      </c>
      <c r="O38" s="245">
        <v>33.6</v>
      </c>
      <c r="P38" s="245">
        <v>15.324999999999999</v>
      </c>
      <c r="Q38" s="246">
        <v>22.6875</v>
      </c>
      <c r="S38" s="269">
        <v>28.554435483870968</v>
      </c>
      <c r="T38" s="271">
        <f t="shared" si="13"/>
        <v>1.1766998517263292</v>
      </c>
      <c r="U38" s="271">
        <f t="shared" si="14"/>
        <v>0.79453505613217534</v>
      </c>
      <c r="AC38" s="211">
        <f t="shared" si="18"/>
        <v>2027</v>
      </c>
      <c r="AD38" s="258">
        <f t="shared" si="17"/>
        <v>0.95472289376269892</v>
      </c>
      <c r="AE38" s="258">
        <f t="shared" si="17"/>
        <v>0.95024730360561882</v>
      </c>
      <c r="AF38" s="258">
        <f t="shared" si="17"/>
        <v>0.97874093542521945</v>
      </c>
      <c r="AG38" s="258">
        <f t="shared" si="17"/>
        <v>0.95344238708422668</v>
      </c>
      <c r="AH38" s="258">
        <f t="shared" si="17"/>
        <v>0.95656574037586162</v>
      </c>
      <c r="AI38" s="258">
        <f t="shared" si="17"/>
        <v>0.92863734469739789</v>
      </c>
      <c r="AJ38" s="258">
        <f t="shared" si="17"/>
        <v>0.87202814444205645</v>
      </c>
      <c r="AK38" s="258">
        <f t="shared" si="17"/>
        <v>0.85966125559455975</v>
      </c>
      <c r="AL38" s="258">
        <f t="shared" si="17"/>
        <v>0.89641287329206587</v>
      </c>
      <c r="AM38" s="258">
        <f t="shared" si="17"/>
        <v>0.93746541906734515</v>
      </c>
      <c r="AN38" s="258">
        <f t="shared" si="17"/>
        <v>0.93195186279921838</v>
      </c>
      <c r="AO38" s="258">
        <f t="shared" si="17"/>
        <v>0.95140558626219807</v>
      </c>
    </row>
    <row r="39" spans="2:41" x14ac:dyDescent="0.2">
      <c r="B39" s="248">
        <f t="shared" si="7"/>
        <v>43313</v>
      </c>
      <c r="C39" s="240">
        <v>2.4656979403627419</v>
      </c>
      <c r="D39" s="240">
        <v>2.494286075949367</v>
      </c>
      <c r="E39" s="249">
        <f t="shared" si="0"/>
        <v>2018</v>
      </c>
      <c r="K39" s="35">
        <f t="shared" si="11"/>
        <v>8</v>
      </c>
      <c r="L39" s="272">
        <f t="shared" si="12"/>
        <v>2018</v>
      </c>
      <c r="M39" s="244">
        <f t="shared" si="1"/>
        <v>43313</v>
      </c>
      <c r="N39" s="245">
        <v>29</v>
      </c>
      <c r="O39" s="245">
        <v>33.22</v>
      </c>
      <c r="P39" s="245">
        <v>21.65</v>
      </c>
      <c r="Q39" s="246">
        <v>23.66</v>
      </c>
      <c r="S39" s="269">
        <v>29.210967741935484</v>
      </c>
      <c r="T39" s="271">
        <f t="shared" si="13"/>
        <v>1.1372440753583497</v>
      </c>
      <c r="U39" s="271">
        <f t="shared" si="14"/>
        <v>0.80996974181151582</v>
      </c>
      <c r="AC39" s="211">
        <f t="shared" si="18"/>
        <v>2028</v>
      </c>
      <c r="AD39" s="258">
        <f t="shared" si="17"/>
        <v>0.95611433083871655</v>
      </c>
      <c r="AE39" s="258">
        <f t="shared" si="17"/>
        <v>0.95337981286228346</v>
      </c>
      <c r="AF39" s="258">
        <f t="shared" si="17"/>
        <v>0.97575374197763676</v>
      </c>
      <c r="AG39" s="258">
        <f t="shared" si="17"/>
        <v>0.95745110510732867</v>
      </c>
      <c r="AH39" s="258">
        <f t="shared" si="17"/>
        <v>0.95395129974239823</v>
      </c>
      <c r="AI39" s="258">
        <f t="shared" si="17"/>
        <v>0.928275170821658</v>
      </c>
      <c r="AJ39" s="258">
        <f t="shared" si="17"/>
        <v>0.88094088014959004</v>
      </c>
      <c r="AK39" s="258">
        <f t="shared" si="17"/>
        <v>0.85756558257600524</v>
      </c>
      <c r="AL39" s="258">
        <f t="shared" si="17"/>
        <v>0.91040089743113439</v>
      </c>
      <c r="AM39" s="258">
        <f t="shared" si="17"/>
        <v>0.94078580942586254</v>
      </c>
      <c r="AN39" s="258">
        <f t="shared" si="17"/>
        <v>0.93665253711126051</v>
      </c>
      <c r="AO39" s="258">
        <f t="shared" si="17"/>
        <v>0.96062154918259468</v>
      </c>
    </row>
    <row r="40" spans="2:41" x14ac:dyDescent="0.2">
      <c r="B40" s="248">
        <f t="shared" si="7"/>
        <v>43344</v>
      </c>
      <c r="C40" s="240">
        <v>2.4462287324520955</v>
      </c>
      <c r="D40" s="240">
        <v>2.4751468354430375</v>
      </c>
      <c r="E40" s="249">
        <f t="shared" si="0"/>
        <v>2018</v>
      </c>
      <c r="K40" s="35">
        <f t="shared" si="11"/>
        <v>9</v>
      </c>
      <c r="L40" s="272">
        <f t="shared" si="12"/>
        <v>2018</v>
      </c>
      <c r="M40" s="244">
        <f t="shared" si="1"/>
        <v>43344</v>
      </c>
      <c r="N40" s="245">
        <v>25.55</v>
      </c>
      <c r="O40" s="245">
        <v>27.28</v>
      </c>
      <c r="P40" s="245">
        <v>21.175000000000001</v>
      </c>
      <c r="Q40" s="246">
        <v>21.302499999999998</v>
      </c>
      <c r="S40" s="269">
        <v>24.490500000000001</v>
      </c>
      <c r="T40" s="271">
        <f t="shared" si="13"/>
        <v>1.113901308670709</v>
      </c>
      <c r="U40" s="271">
        <f t="shared" si="14"/>
        <v>0.86982707580490382</v>
      </c>
    </row>
    <row r="41" spans="2:41" x14ac:dyDescent="0.2">
      <c r="B41" s="248">
        <f t="shared" si="7"/>
        <v>43374</v>
      </c>
      <c r="C41" s="240">
        <v>2.4031915360180345</v>
      </c>
      <c r="D41" s="240">
        <v>2.488210126582278</v>
      </c>
      <c r="E41" s="249">
        <f t="shared" si="0"/>
        <v>2018</v>
      </c>
      <c r="K41" s="35">
        <f t="shared" si="11"/>
        <v>10</v>
      </c>
      <c r="L41" s="272">
        <f t="shared" si="12"/>
        <v>2018</v>
      </c>
      <c r="M41" s="244">
        <f t="shared" si="1"/>
        <v>43374</v>
      </c>
      <c r="N41" s="245">
        <v>24.047499999999999</v>
      </c>
      <c r="O41" s="245">
        <v>24.5</v>
      </c>
      <c r="P41" s="245">
        <v>19.574999999999999</v>
      </c>
      <c r="Q41" s="246">
        <v>22.295000000000002</v>
      </c>
      <c r="S41" s="269">
        <v>23.575322580645164</v>
      </c>
      <c r="T41" s="271">
        <f t="shared" si="13"/>
        <v>1.0392222594703318</v>
      </c>
      <c r="U41" s="271">
        <f t="shared" si="14"/>
        <v>0.94569225611800201</v>
      </c>
    </row>
    <row r="42" spans="2:41" x14ac:dyDescent="0.2">
      <c r="B42" s="248">
        <f t="shared" si="7"/>
        <v>43405</v>
      </c>
      <c r="C42" s="240">
        <v>2.6265750794138745</v>
      </c>
      <c r="D42" s="240">
        <v>2.7124126582278478</v>
      </c>
      <c r="E42" s="249">
        <f t="shared" si="0"/>
        <v>2018</v>
      </c>
      <c r="K42" s="35">
        <f t="shared" si="11"/>
        <v>11</v>
      </c>
      <c r="L42" s="272">
        <f t="shared" si="12"/>
        <v>2018</v>
      </c>
      <c r="M42" s="244">
        <f t="shared" si="1"/>
        <v>43405</v>
      </c>
      <c r="N42" s="245">
        <v>25.592500000000001</v>
      </c>
      <c r="O42" s="245">
        <v>24.25</v>
      </c>
      <c r="P42" s="245">
        <v>22.47</v>
      </c>
      <c r="Q42" s="246">
        <v>21.712499999999999</v>
      </c>
      <c r="S42" s="269">
        <v>23.12026699029126</v>
      </c>
      <c r="T42" s="271">
        <f t="shared" si="13"/>
        <v>1.0488633202282285</v>
      </c>
      <c r="U42" s="271">
        <f t="shared" si="14"/>
        <v>0.93911112744146008</v>
      </c>
    </row>
    <row r="43" spans="2:41" x14ac:dyDescent="0.2">
      <c r="B43" s="250">
        <f t="shared" si="7"/>
        <v>43435</v>
      </c>
      <c r="C43" s="251">
        <v>2.8658413976841892</v>
      </c>
      <c r="D43" s="251">
        <v>2.8617797468354427</v>
      </c>
      <c r="E43" s="252">
        <f t="shared" si="0"/>
        <v>2018</v>
      </c>
      <c r="K43" s="35">
        <f t="shared" si="11"/>
        <v>12</v>
      </c>
      <c r="L43" s="272">
        <f t="shared" si="12"/>
        <v>2018</v>
      </c>
      <c r="M43" s="253">
        <f t="shared" si="1"/>
        <v>43435</v>
      </c>
      <c r="N43" s="254">
        <v>28.66</v>
      </c>
      <c r="O43" s="254">
        <v>26.25</v>
      </c>
      <c r="P43" s="254">
        <v>23.055</v>
      </c>
      <c r="Q43" s="255">
        <v>24.342500000000001</v>
      </c>
      <c r="S43" s="269">
        <v>25.368037634408598</v>
      </c>
      <c r="T43" s="271">
        <f t="shared" si="13"/>
        <v>1.0347666768041659</v>
      </c>
      <c r="U43" s="271">
        <f t="shared" si="14"/>
        <v>0.95957363162306331</v>
      </c>
    </row>
    <row r="44" spans="2:41" x14ac:dyDescent="0.2">
      <c r="B44" s="239">
        <f t="shared" si="7"/>
        <v>43466</v>
      </c>
      <c r="C44" s="240">
        <v>2.9088785941182498</v>
      </c>
      <c r="D44" s="240">
        <v>2.944210126582278</v>
      </c>
      <c r="E44" s="241">
        <f t="shared" si="0"/>
        <v>2019</v>
      </c>
      <c r="K44" s="35">
        <f t="shared" si="11"/>
        <v>1</v>
      </c>
      <c r="L44" s="272">
        <f t="shared" si="12"/>
        <v>2019</v>
      </c>
      <c r="M44" s="244">
        <f t="shared" si="1"/>
        <v>43466</v>
      </c>
      <c r="N44" s="256">
        <v>29.137499999999999</v>
      </c>
      <c r="O44" s="256">
        <v>27.344000000000001</v>
      </c>
      <c r="P44" s="256">
        <v>24.745999999999999</v>
      </c>
      <c r="Q44" s="257">
        <v>26.02</v>
      </c>
      <c r="S44" s="269">
        <v>26.760301075268817</v>
      </c>
      <c r="T44" s="271">
        <f t="shared" si="13"/>
        <v>1.0218121209880791</v>
      </c>
      <c r="U44" s="271">
        <f t="shared" si="14"/>
        <v>0.97233584655170469</v>
      </c>
    </row>
    <row r="45" spans="2:41" x14ac:dyDescent="0.2">
      <c r="B45" s="248">
        <f t="shared" si="7"/>
        <v>43497</v>
      </c>
      <c r="C45" s="240">
        <v>2.8919711240905834</v>
      </c>
      <c r="D45" s="240">
        <v>2.9175772151898731</v>
      </c>
      <c r="E45" s="249">
        <f t="shared" si="0"/>
        <v>2019</v>
      </c>
      <c r="K45" s="35">
        <f t="shared" si="11"/>
        <v>2</v>
      </c>
      <c r="L45" s="272">
        <f t="shared" si="12"/>
        <v>2019</v>
      </c>
      <c r="M45" s="244">
        <f t="shared" si="1"/>
        <v>43497</v>
      </c>
      <c r="N45" s="245">
        <v>28.305</v>
      </c>
      <c r="O45" s="245">
        <v>27.896999999999998</v>
      </c>
      <c r="P45" s="245">
        <v>24.0365</v>
      </c>
      <c r="Q45" s="246">
        <v>25.754999999999999</v>
      </c>
      <c r="S45" s="269">
        <v>26.978999999999999</v>
      </c>
      <c r="T45" s="271">
        <f t="shared" si="13"/>
        <v>1.0340264650283553</v>
      </c>
      <c r="U45" s="271">
        <f t="shared" si="14"/>
        <v>0.95463137996219283</v>
      </c>
    </row>
    <row r="46" spans="2:41" x14ac:dyDescent="0.2">
      <c r="B46" s="248">
        <f t="shared" si="7"/>
        <v>43525</v>
      </c>
      <c r="C46" s="240">
        <v>2.7669583154011681</v>
      </c>
      <c r="D46" s="240">
        <v>2.8451721518987338</v>
      </c>
      <c r="E46" s="249">
        <f t="shared" si="0"/>
        <v>2019</v>
      </c>
      <c r="K46" s="35">
        <f t="shared" si="11"/>
        <v>3</v>
      </c>
      <c r="L46" s="272">
        <f t="shared" si="12"/>
        <v>2019</v>
      </c>
      <c r="M46" s="244">
        <f t="shared" si="1"/>
        <v>43525</v>
      </c>
      <c r="N46" s="245">
        <v>25.807500000000001</v>
      </c>
      <c r="O46" s="245">
        <v>25.709</v>
      </c>
      <c r="P46" s="245">
        <v>22.6175</v>
      </c>
      <c r="Q46" s="246">
        <v>24.225000000000001</v>
      </c>
      <c r="S46" s="269">
        <v>25.055880215343205</v>
      </c>
      <c r="T46" s="271">
        <f t="shared" si="13"/>
        <v>1.0260665272600102</v>
      </c>
      <c r="U46" s="271">
        <f t="shared" si="14"/>
        <v>0.9668389133328309</v>
      </c>
    </row>
    <row r="47" spans="2:41" x14ac:dyDescent="0.2">
      <c r="B47" s="248">
        <f t="shared" si="7"/>
        <v>43556</v>
      </c>
      <c r="C47" s="240">
        <v>2.2945738497796904</v>
      </c>
      <c r="D47" s="240">
        <v>2.2182354430379743</v>
      </c>
      <c r="E47" s="249">
        <f t="shared" si="0"/>
        <v>2019</v>
      </c>
      <c r="K47" s="35">
        <f t="shared" si="11"/>
        <v>4</v>
      </c>
      <c r="L47" s="272">
        <f t="shared" si="12"/>
        <v>2019</v>
      </c>
      <c r="M47" s="244">
        <f t="shared" si="1"/>
        <v>43556</v>
      </c>
      <c r="N47" s="245">
        <v>21.35</v>
      </c>
      <c r="O47" s="245">
        <v>20.295000000000002</v>
      </c>
      <c r="P47" s="245">
        <v>14.933</v>
      </c>
      <c r="Q47" s="246">
        <v>14.484999999999999</v>
      </c>
      <c r="S47" s="269">
        <v>17.841888888888889</v>
      </c>
      <c r="T47" s="271">
        <f t="shared" si="13"/>
        <v>1.1374916706626728</v>
      </c>
      <c r="U47" s="271">
        <f t="shared" si="14"/>
        <v>0.81185350330371098</v>
      </c>
    </row>
    <row r="48" spans="2:41" x14ac:dyDescent="0.2">
      <c r="B48" s="248">
        <f t="shared" si="7"/>
        <v>43586</v>
      </c>
      <c r="C48" s="240">
        <v>2.1977401578030538</v>
      </c>
      <c r="D48" s="240">
        <v>2.1861341772151897</v>
      </c>
      <c r="E48" s="249">
        <f t="shared" si="0"/>
        <v>2019</v>
      </c>
      <c r="K48" s="35">
        <f t="shared" si="11"/>
        <v>5</v>
      </c>
      <c r="L48" s="272">
        <f t="shared" si="12"/>
        <v>2019</v>
      </c>
      <c r="M48" s="244">
        <f t="shared" si="1"/>
        <v>43586</v>
      </c>
      <c r="N48" s="245">
        <v>16.45</v>
      </c>
      <c r="O48" s="245">
        <v>20.988</v>
      </c>
      <c r="P48" s="245">
        <v>9.2650000000000006</v>
      </c>
      <c r="Q48" s="246">
        <v>10.39</v>
      </c>
      <c r="S48" s="269">
        <v>16.315763440860216</v>
      </c>
      <c r="T48" s="271">
        <f t="shared" si="13"/>
        <v>1.2863633427927077</v>
      </c>
      <c r="U48" s="271">
        <f t="shared" si="14"/>
        <v>0.63680746767754115</v>
      </c>
    </row>
    <row r="49" spans="2:21" x14ac:dyDescent="0.2">
      <c r="B49" s="248">
        <f t="shared" si="7"/>
        <v>43617</v>
      </c>
      <c r="C49" s="240">
        <v>2.2151599754073161</v>
      </c>
      <c r="D49" s="240">
        <v>2.2182354430379743</v>
      </c>
      <c r="E49" s="249">
        <f t="shared" si="0"/>
        <v>2019</v>
      </c>
      <c r="K49" s="35">
        <f t="shared" si="11"/>
        <v>6</v>
      </c>
      <c r="L49" s="272">
        <f t="shared" si="12"/>
        <v>2019</v>
      </c>
      <c r="M49" s="244">
        <f t="shared" si="1"/>
        <v>43617</v>
      </c>
      <c r="N49" s="245">
        <v>15.75</v>
      </c>
      <c r="O49" s="245">
        <v>23.067</v>
      </c>
      <c r="P49" s="245">
        <v>8.5020000000000007</v>
      </c>
      <c r="Q49" s="246">
        <v>10.975</v>
      </c>
      <c r="S49" s="269">
        <v>17.692777777777778</v>
      </c>
      <c r="T49" s="271">
        <f t="shared" si="13"/>
        <v>1.3037523157597262</v>
      </c>
      <c r="U49" s="271">
        <f t="shared" si="14"/>
        <v>0.62030960530034229</v>
      </c>
    </row>
    <row r="50" spans="2:21" x14ac:dyDescent="0.2">
      <c r="B50" s="248">
        <f t="shared" si="7"/>
        <v>43647</v>
      </c>
      <c r="C50" s="240">
        <v>2.2792034224818116</v>
      </c>
      <c r="D50" s="240">
        <v>2.3062354430379743</v>
      </c>
      <c r="E50" s="249">
        <f t="shared" si="0"/>
        <v>2019</v>
      </c>
      <c r="K50" s="35">
        <f t="shared" si="11"/>
        <v>7</v>
      </c>
      <c r="L50" s="272">
        <f t="shared" si="12"/>
        <v>2019</v>
      </c>
      <c r="M50" s="244">
        <f t="shared" si="1"/>
        <v>43647</v>
      </c>
      <c r="N50" s="245">
        <v>27.05</v>
      </c>
      <c r="O50" s="245">
        <v>34.200000000000003</v>
      </c>
      <c r="P50" s="245">
        <v>15.875</v>
      </c>
      <c r="Q50" s="246">
        <v>25.387499999999999</v>
      </c>
      <c r="S50" s="269">
        <v>30.314919354838715</v>
      </c>
      <c r="T50" s="271">
        <f t="shared" si="13"/>
        <v>1.1281573801891434</v>
      </c>
      <c r="U50" s="271">
        <f t="shared" si="14"/>
        <v>0.83745893244303726</v>
      </c>
    </row>
    <row r="51" spans="2:21" x14ac:dyDescent="0.2">
      <c r="B51" s="248">
        <f t="shared" si="7"/>
        <v>43678</v>
      </c>
      <c r="C51" s="240">
        <v>2.2914997643201147</v>
      </c>
      <c r="D51" s="240">
        <v>2.3284126582278479</v>
      </c>
      <c r="E51" s="249">
        <f t="shared" si="0"/>
        <v>2019</v>
      </c>
      <c r="K51" s="35">
        <f t="shared" si="11"/>
        <v>8</v>
      </c>
      <c r="L51" s="272">
        <f t="shared" si="12"/>
        <v>2019</v>
      </c>
      <c r="M51" s="244">
        <f t="shared" si="1"/>
        <v>43678</v>
      </c>
      <c r="N51" s="245">
        <v>30.2</v>
      </c>
      <c r="O51" s="245">
        <v>32.92</v>
      </c>
      <c r="P51" s="245">
        <v>17.8</v>
      </c>
      <c r="Q51" s="246">
        <v>25.16</v>
      </c>
      <c r="S51" s="269">
        <v>29.665806451612905</v>
      </c>
      <c r="T51" s="271">
        <f t="shared" si="13"/>
        <v>1.1096950980818581</v>
      </c>
      <c r="U51" s="271">
        <f t="shared" si="14"/>
        <v>0.84811447957896569</v>
      </c>
    </row>
    <row r="52" spans="2:21" x14ac:dyDescent="0.2">
      <c r="B52" s="248">
        <f t="shared" si="7"/>
        <v>43709</v>
      </c>
      <c r="C52" s="240">
        <v>2.2822775079413873</v>
      </c>
      <c r="D52" s="240">
        <v>2.3343873417721515</v>
      </c>
      <c r="E52" s="249">
        <f t="shared" si="0"/>
        <v>2019</v>
      </c>
      <c r="K52" s="35">
        <f t="shared" si="11"/>
        <v>9</v>
      </c>
      <c r="L52" s="272">
        <f t="shared" si="12"/>
        <v>2019</v>
      </c>
      <c r="M52" s="244">
        <f t="shared" si="1"/>
        <v>43709</v>
      </c>
      <c r="N52" s="245">
        <v>27.05</v>
      </c>
      <c r="O52" s="245">
        <v>30.68</v>
      </c>
      <c r="P52" s="245">
        <v>19.725000000000001</v>
      </c>
      <c r="Q52" s="246">
        <v>22.202500000000001</v>
      </c>
      <c r="S52" s="269">
        <v>26.723833333333332</v>
      </c>
      <c r="T52" s="271">
        <f t="shared" si="13"/>
        <v>1.1480388916260766</v>
      </c>
      <c r="U52" s="271">
        <f t="shared" si="14"/>
        <v>0.83081269528448398</v>
      </c>
    </row>
    <row r="53" spans="2:21" x14ac:dyDescent="0.2">
      <c r="B53" s="248">
        <f t="shared" si="7"/>
        <v>43739</v>
      </c>
      <c r="C53" s="240">
        <v>2.3232653140690647</v>
      </c>
      <c r="D53" s="240">
        <v>2.3595012658227845</v>
      </c>
      <c r="E53" s="249">
        <f t="shared" si="0"/>
        <v>2019</v>
      </c>
      <c r="K53" s="35">
        <f t="shared" si="11"/>
        <v>10</v>
      </c>
      <c r="L53" s="272">
        <f t="shared" si="12"/>
        <v>2019</v>
      </c>
      <c r="M53" s="244">
        <f t="shared" si="1"/>
        <v>43739</v>
      </c>
      <c r="N53" s="245">
        <v>24.947500000000002</v>
      </c>
      <c r="O53" s="245">
        <v>26.6</v>
      </c>
      <c r="P53" s="245">
        <v>22.024999999999999</v>
      </c>
      <c r="Q53" s="246">
        <v>23.844999999999999</v>
      </c>
      <c r="S53" s="269">
        <v>25.444677419354839</v>
      </c>
      <c r="T53" s="271">
        <f t="shared" si="13"/>
        <v>1.0454052752017344</v>
      </c>
      <c r="U53" s="271">
        <f t="shared" si="14"/>
        <v>0.93713115741298314</v>
      </c>
    </row>
    <row r="54" spans="2:21" x14ac:dyDescent="0.2">
      <c r="B54" s="248">
        <f t="shared" si="7"/>
        <v>43770</v>
      </c>
      <c r="C54" s="240">
        <v>2.5358895583563892</v>
      </c>
      <c r="D54" s="240">
        <v>2.615906329113924</v>
      </c>
      <c r="E54" s="249">
        <f t="shared" si="0"/>
        <v>2019</v>
      </c>
      <c r="K54" s="35">
        <f t="shared" si="11"/>
        <v>11</v>
      </c>
      <c r="L54" s="272">
        <f t="shared" si="12"/>
        <v>2019</v>
      </c>
      <c r="M54" s="244">
        <f t="shared" si="1"/>
        <v>43770</v>
      </c>
      <c r="N54" s="245">
        <v>26.4925</v>
      </c>
      <c r="O54" s="245">
        <v>26.35</v>
      </c>
      <c r="P54" s="245">
        <v>25.07</v>
      </c>
      <c r="Q54" s="246">
        <v>23.162500000000001</v>
      </c>
      <c r="S54" s="269">
        <v>24.930877253814149</v>
      </c>
      <c r="T54" s="271">
        <f t="shared" si="13"/>
        <v>1.056922294861034</v>
      </c>
      <c r="U54" s="271">
        <f t="shared" si="14"/>
        <v>0.92906879145042498</v>
      </c>
    </row>
    <row r="55" spans="2:21" x14ac:dyDescent="0.2">
      <c r="B55" s="250">
        <f t="shared" si="7"/>
        <v>43800</v>
      </c>
      <c r="C55" s="251">
        <v>2.7608101444820168</v>
      </c>
      <c r="D55" s="251">
        <v>2.7661848101265822</v>
      </c>
      <c r="E55" s="252">
        <f t="shared" si="0"/>
        <v>2019</v>
      </c>
      <c r="K55" s="35">
        <f t="shared" si="11"/>
        <v>12</v>
      </c>
      <c r="L55" s="272">
        <f t="shared" si="12"/>
        <v>2019</v>
      </c>
      <c r="M55" s="253">
        <f t="shared" si="1"/>
        <v>43800</v>
      </c>
      <c r="N55" s="254">
        <v>28.81</v>
      </c>
      <c r="O55" s="254">
        <v>28.35</v>
      </c>
      <c r="P55" s="254">
        <v>25.504999999999999</v>
      </c>
      <c r="Q55" s="255">
        <v>25.892499999999998</v>
      </c>
      <c r="S55" s="269">
        <v>27.213736559139782</v>
      </c>
      <c r="T55" s="271">
        <f t="shared" si="13"/>
        <v>1.0417533049307999</v>
      </c>
      <c r="U55" s="271">
        <f t="shared" si="14"/>
        <v>0.95144964542930266</v>
      </c>
    </row>
    <row r="56" spans="2:21" x14ac:dyDescent="0.2">
      <c r="B56" s="239">
        <f t="shared" si="7"/>
        <v>43831</v>
      </c>
      <c r="C56" s="240">
        <v>2.8525203606926941</v>
      </c>
      <c r="D56" s="240">
        <v>2.8536784810126576</v>
      </c>
      <c r="E56" s="241">
        <f t="shared" si="0"/>
        <v>2020</v>
      </c>
      <c r="K56" s="35">
        <f t="shared" si="11"/>
        <v>1</v>
      </c>
      <c r="L56" s="272">
        <f t="shared" si="12"/>
        <v>2020</v>
      </c>
      <c r="M56" s="244">
        <f t="shared" si="1"/>
        <v>43831</v>
      </c>
      <c r="N56" s="256">
        <v>30.737500000000001</v>
      </c>
      <c r="O56" s="256">
        <v>29.943999999999999</v>
      </c>
      <c r="P56" s="256">
        <v>27.045999999999999</v>
      </c>
      <c r="Q56" s="257">
        <v>26.77</v>
      </c>
      <c r="S56" s="269">
        <v>28.544709677419355</v>
      </c>
      <c r="T56" s="271">
        <f t="shared" si="13"/>
        <v>1.0490210038355223</v>
      </c>
      <c r="U56" s="271">
        <f t="shared" si="14"/>
        <v>0.93782701952567893</v>
      </c>
    </row>
    <row r="57" spans="2:21" x14ac:dyDescent="0.2">
      <c r="B57" s="248">
        <f t="shared" si="7"/>
        <v>43862</v>
      </c>
      <c r="C57" s="240">
        <v>2.8407363664309866</v>
      </c>
      <c r="D57" s="240">
        <v>2.8321088607594933</v>
      </c>
      <c r="E57" s="249">
        <f t="shared" si="0"/>
        <v>2020</v>
      </c>
      <c r="K57" s="35">
        <f t="shared" si="11"/>
        <v>2</v>
      </c>
      <c r="L57" s="272">
        <f t="shared" si="12"/>
        <v>2020</v>
      </c>
      <c r="M57" s="244">
        <f t="shared" si="1"/>
        <v>43862</v>
      </c>
      <c r="N57" s="245">
        <v>29.905000000000001</v>
      </c>
      <c r="O57" s="245">
        <v>29.396999999999998</v>
      </c>
      <c r="P57" s="245">
        <v>26.336500000000001</v>
      </c>
      <c r="Q57" s="246">
        <v>26.004999999999999</v>
      </c>
      <c r="S57" s="269">
        <v>27.954425287356322</v>
      </c>
      <c r="T57" s="271">
        <f t="shared" si="13"/>
        <v>1.051604520494154</v>
      </c>
      <c r="U57" s="271">
        <f t="shared" si="14"/>
        <v>0.93026416149438629</v>
      </c>
    </row>
    <row r="58" spans="2:21" x14ac:dyDescent="0.2">
      <c r="B58" s="248">
        <f t="shared" si="7"/>
        <v>43891</v>
      </c>
      <c r="C58" s="240">
        <v>2.7382668511117942</v>
      </c>
      <c r="D58" s="240">
        <v>2.7717544303797466</v>
      </c>
      <c r="E58" s="249">
        <f t="shared" si="0"/>
        <v>2020</v>
      </c>
      <c r="K58" s="35">
        <f t="shared" si="11"/>
        <v>3</v>
      </c>
      <c r="L58" s="272">
        <f t="shared" si="12"/>
        <v>2020</v>
      </c>
      <c r="M58" s="244">
        <f t="shared" si="1"/>
        <v>43891</v>
      </c>
      <c r="N58" s="245">
        <v>27.407499999999999</v>
      </c>
      <c r="O58" s="245">
        <v>27.209</v>
      </c>
      <c r="P58" s="245">
        <v>24.9175</v>
      </c>
      <c r="Q58" s="246">
        <v>24.475000000000001</v>
      </c>
      <c r="S58" s="269">
        <v>26.005745625841183</v>
      </c>
      <c r="T58" s="271">
        <f t="shared" si="13"/>
        <v>1.0462687896540515</v>
      </c>
      <c r="U58" s="271">
        <f t="shared" si="14"/>
        <v>0.9411381758529499</v>
      </c>
    </row>
    <row r="59" spans="2:21" x14ac:dyDescent="0.2">
      <c r="B59" s="248">
        <f t="shared" si="7"/>
        <v>43922</v>
      </c>
      <c r="C59" s="240">
        <v>2.2156723229839121</v>
      </c>
      <c r="D59" s="240">
        <v>2.2187417721518985</v>
      </c>
      <c r="E59" s="249">
        <f t="shared" si="0"/>
        <v>2020</v>
      </c>
      <c r="K59" s="35">
        <f t="shared" si="11"/>
        <v>4</v>
      </c>
      <c r="L59" s="272">
        <f t="shared" si="12"/>
        <v>2020</v>
      </c>
      <c r="M59" s="244">
        <f t="shared" si="1"/>
        <v>43922</v>
      </c>
      <c r="N59" s="245">
        <v>24.7</v>
      </c>
      <c r="O59" s="245">
        <v>23.445</v>
      </c>
      <c r="P59" s="245">
        <v>16.283000000000001</v>
      </c>
      <c r="Q59" s="246">
        <v>17.934999999999999</v>
      </c>
      <c r="S59" s="269">
        <v>21.118555555555556</v>
      </c>
      <c r="T59" s="271">
        <f t="shared" si="13"/>
        <v>1.1101611536984326</v>
      </c>
      <c r="U59" s="271">
        <f t="shared" si="14"/>
        <v>0.84925315809688151</v>
      </c>
    </row>
    <row r="60" spans="2:21" x14ac:dyDescent="0.2">
      <c r="B60" s="248">
        <f t="shared" si="7"/>
        <v>43952</v>
      </c>
      <c r="C60" s="240">
        <v>2.2146476278307206</v>
      </c>
      <c r="D60" s="240">
        <v>2.2002101265822782</v>
      </c>
      <c r="E60" s="249">
        <f t="shared" si="0"/>
        <v>2020</v>
      </c>
      <c r="K60" s="35">
        <f t="shared" si="11"/>
        <v>5</v>
      </c>
      <c r="L60" s="272">
        <f t="shared" si="12"/>
        <v>2020</v>
      </c>
      <c r="M60" s="244">
        <f t="shared" si="1"/>
        <v>43952</v>
      </c>
      <c r="N60" s="245">
        <v>19.8</v>
      </c>
      <c r="O60" s="245">
        <v>24.138000000000002</v>
      </c>
      <c r="P60" s="245">
        <v>10.615</v>
      </c>
      <c r="Q60" s="246">
        <v>13.84</v>
      </c>
      <c r="S60" s="269">
        <v>19.376559139784948</v>
      </c>
      <c r="T60" s="271">
        <f t="shared" si="13"/>
        <v>1.2457320118533646</v>
      </c>
      <c r="U60" s="271">
        <f t="shared" si="14"/>
        <v>0.71426510249608766</v>
      </c>
    </row>
    <row r="61" spans="2:21" x14ac:dyDescent="0.2">
      <c r="B61" s="248">
        <f t="shared" si="7"/>
        <v>43983</v>
      </c>
      <c r="C61" s="240">
        <v>2.2407773542371148</v>
      </c>
      <c r="D61" s="240">
        <v>2.2409189873417721</v>
      </c>
      <c r="E61" s="249">
        <f t="shared" si="0"/>
        <v>2020</v>
      </c>
      <c r="K61" s="35">
        <f t="shared" si="11"/>
        <v>6</v>
      </c>
      <c r="L61" s="272">
        <f t="shared" si="12"/>
        <v>2020</v>
      </c>
      <c r="M61" s="244">
        <f t="shared" si="1"/>
        <v>43983</v>
      </c>
      <c r="N61" s="245">
        <v>19.100000000000001</v>
      </c>
      <c r="O61" s="245">
        <v>26.216999999999999</v>
      </c>
      <c r="P61" s="245">
        <v>9.8520000000000003</v>
      </c>
      <c r="Q61" s="246">
        <v>14.425000000000001</v>
      </c>
      <c r="S61" s="269">
        <v>21.238155555555558</v>
      </c>
      <c r="T61" s="271">
        <f t="shared" si="13"/>
        <v>1.2344292295731893</v>
      </c>
      <c r="U61" s="271">
        <f t="shared" si="14"/>
        <v>0.67920210689984584</v>
      </c>
    </row>
    <row r="62" spans="2:21" x14ac:dyDescent="0.2">
      <c r="B62" s="248">
        <f t="shared" si="7"/>
        <v>44013</v>
      </c>
      <c r="C62" s="240">
        <v>2.3073825391945899</v>
      </c>
      <c r="D62" s="240">
        <v>2.3238556962025312</v>
      </c>
      <c r="E62" s="249">
        <f t="shared" si="0"/>
        <v>2020</v>
      </c>
      <c r="K62" s="35">
        <f t="shared" si="11"/>
        <v>7</v>
      </c>
      <c r="L62" s="272">
        <f t="shared" si="12"/>
        <v>2020</v>
      </c>
      <c r="M62" s="244">
        <f t="shared" si="1"/>
        <v>44013</v>
      </c>
      <c r="N62" s="245">
        <v>28.9</v>
      </c>
      <c r="O62" s="245">
        <v>35.25</v>
      </c>
      <c r="P62" s="245">
        <v>18.725000000000001</v>
      </c>
      <c r="Q62" s="246">
        <v>23.037500000000001</v>
      </c>
      <c r="S62" s="269">
        <v>29.865994623655915</v>
      </c>
      <c r="T62" s="271">
        <f t="shared" si="13"/>
        <v>1.1802720935360909</v>
      </c>
      <c r="U62" s="271">
        <f t="shared" si="14"/>
        <v>0.77136222283227496</v>
      </c>
    </row>
    <row r="63" spans="2:21" x14ac:dyDescent="0.2">
      <c r="B63" s="248">
        <f t="shared" si="7"/>
        <v>44044</v>
      </c>
      <c r="C63" s="240">
        <v>2.3350493083307713</v>
      </c>
      <c r="D63" s="240">
        <v>2.3711468354430378</v>
      </c>
      <c r="E63" s="249">
        <f t="shared" si="0"/>
        <v>2020</v>
      </c>
      <c r="K63" s="35">
        <f t="shared" si="11"/>
        <v>8</v>
      </c>
      <c r="L63" s="272">
        <f t="shared" si="12"/>
        <v>2020</v>
      </c>
      <c r="M63" s="244">
        <f t="shared" si="1"/>
        <v>44044</v>
      </c>
      <c r="N63" s="245">
        <v>32.049999999999997</v>
      </c>
      <c r="O63" s="245">
        <v>33.97</v>
      </c>
      <c r="P63" s="245">
        <v>20.65</v>
      </c>
      <c r="Q63" s="246">
        <v>22.81</v>
      </c>
      <c r="S63" s="269">
        <v>29.049999999999997</v>
      </c>
      <c r="T63" s="271">
        <f t="shared" si="13"/>
        <v>1.1693631669535285</v>
      </c>
      <c r="U63" s="271">
        <f t="shared" si="14"/>
        <v>0.785197934595525</v>
      </c>
    </row>
    <row r="64" spans="2:21" x14ac:dyDescent="0.2">
      <c r="B64" s="248">
        <f t="shared" si="7"/>
        <v>44075</v>
      </c>
      <c r="C64" s="240">
        <v>2.329413484988216</v>
      </c>
      <c r="D64" s="240">
        <v>2.3781341772151898</v>
      </c>
      <c r="E64" s="249">
        <f t="shared" si="0"/>
        <v>2020</v>
      </c>
      <c r="K64" s="35">
        <f t="shared" si="11"/>
        <v>9</v>
      </c>
      <c r="L64" s="272">
        <f t="shared" si="12"/>
        <v>2020</v>
      </c>
      <c r="M64" s="244">
        <f t="shared" si="1"/>
        <v>44075</v>
      </c>
      <c r="N64" s="245">
        <v>28.9</v>
      </c>
      <c r="O64" s="245">
        <v>31.73</v>
      </c>
      <c r="P64" s="245">
        <v>22.574999999999999</v>
      </c>
      <c r="Q64" s="246">
        <v>19.852499999999999</v>
      </c>
      <c r="S64" s="269">
        <v>26.451111111111114</v>
      </c>
      <c r="T64" s="271">
        <f t="shared" si="13"/>
        <v>1.1995715365874149</v>
      </c>
      <c r="U64" s="271">
        <f t="shared" si="14"/>
        <v>0.75053557926573122</v>
      </c>
    </row>
    <row r="65" spans="2:21" x14ac:dyDescent="0.2">
      <c r="B65" s="248">
        <f t="shared" si="7"/>
        <v>44105</v>
      </c>
      <c r="C65" s="240">
        <v>2.3678395532329133</v>
      </c>
      <c r="D65" s="240">
        <v>2.4007164556962022</v>
      </c>
      <c r="E65" s="249">
        <f t="shared" si="0"/>
        <v>2020</v>
      </c>
      <c r="K65" s="35">
        <f t="shared" si="11"/>
        <v>10</v>
      </c>
      <c r="L65" s="272">
        <f t="shared" si="12"/>
        <v>2020</v>
      </c>
      <c r="M65" s="244">
        <f t="shared" si="1"/>
        <v>44105</v>
      </c>
      <c r="N65" s="245">
        <v>26.547499999999999</v>
      </c>
      <c r="O65" s="245">
        <v>26.95</v>
      </c>
      <c r="P65" s="245">
        <v>22.774999999999999</v>
      </c>
      <c r="Q65" s="246">
        <v>24.545000000000002</v>
      </c>
      <c r="S65" s="269">
        <v>25.941451612903226</v>
      </c>
      <c r="T65" s="271">
        <f t="shared" si="13"/>
        <v>1.0388778701418206</v>
      </c>
      <c r="U65" s="271">
        <f t="shared" si="14"/>
        <v>0.94616910288055611</v>
      </c>
    </row>
    <row r="66" spans="2:21" x14ac:dyDescent="0.2">
      <c r="B66" s="248">
        <f t="shared" si="7"/>
        <v>44136</v>
      </c>
      <c r="C66" s="240">
        <v>2.5727785838712984</v>
      </c>
      <c r="D66" s="240">
        <v>2.6521594936708857</v>
      </c>
      <c r="E66" s="249">
        <f t="shared" si="0"/>
        <v>2020</v>
      </c>
      <c r="K66" s="35">
        <f t="shared" si="11"/>
        <v>11</v>
      </c>
      <c r="L66" s="272">
        <f t="shared" si="12"/>
        <v>2020</v>
      </c>
      <c r="M66" s="244">
        <f t="shared" si="1"/>
        <v>44136</v>
      </c>
      <c r="N66" s="245">
        <v>28.092500000000001</v>
      </c>
      <c r="O66" s="245">
        <v>26.7</v>
      </c>
      <c r="P66" s="245">
        <v>25.82</v>
      </c>
      <c r="Q66" s="246">
        <v>23.862500000000001</v>
      </c>
      <c r="S66" s="269">
        <v>25.373734396671288</v>
      </c>
      <c r="T66" s="271">
        <f t="shared" si="13"/>
        <v>1.0522692317415721</v>
      </c>
      <c r="U66" s="271">
        <f t="shared" si="14"/>
        <v>0.94044099409862414</v>
      </c>
    </row>
    <row r="67" spans="2:21" x14ac:dyDescent="0.2">
      <c r="B67" s="250">
        <f t="shared" si="7"/>
        <v>44166</v>
      </c>
      <c r="C67" s="251">
        <v>2.7715694435905318</v>
      </c>
      <c r="D67" s="251">
        <v>2.7919063291139237</v>
      </c>
      <c r="E67" s="252">
        <f t="shared" si="0"/>
        <v>2020</v>
      </c>
      <c r="K67" s="35">
        <f t="shared" si="11"/>
        <v>12</v>
      </c>
      <c r="L67" s="272">
        <f t="shared" si="12"/>
        <v>2020</v>
      </c>
      <c r="M67" s="253">
        <f t="shared" si="1"/>
        <v>44166</v>
      </c>
      <c r="N67" s="254">
        <v>30.41</v>
      </c>
      <c r="O67" s="254">
        <v>28.7</v>
      </c>
      <c r="P67" s="254">
        <v>26.254999999999999</v>
      </c>
      <c r="Q67" s="255">
        <v>26.592500000000001</v>
      </c>
      <c r="S67" s="269">
        <v>27.770887096774196</v>
      </c>
      <c r="T67" s="271">
        <f t="shared" si="13"/>
        <v>1.0334563638528396</v>
      </c>
      <c r="U67" s="271">
        <f t="shared" si="14"/>
        <v>0.95756753852810583</v>
      </c>
    </row>
    <row r="68" spans="2:21" x14ac:dyDescent="0.2">
      <c r="B68" s="239">
        <f t="shared" si="7"/>
        <v>44197</v>
      </c>
      <c r="C68" s="240">
        <v>2.8996563377395228</v>
      </c>
      <c r="D68" s="240">
        <v>2.8873999999999995</v>
      </c>
      <c r="E68" s="241">
        <f t="shared" si="0"/>
        <v>2021</v>
      </c>
      <c r="K68" s="35">
        <f t="shared" si="11"/>
        <v>1</v>
      </c>
      <c r="L68" s="272">
        <f t="shared" si="12"/>
        <v>2021</v>
      </c>
      <c r="M68" s="244">
        <f t="shared" si="1"/>
        <v>44197</v>
      </c>
      <c r="N68" s="256">
        <v>32.087499999999999</v>
      </c>
      <c r="O68" s="256">
        <v>31.294</v>
      </c>
      <c r="P68" s="256">
        <v>26.946000000000002</v>
      </c>
      <c r="Q68" s="257">
        <v>28.87</v>
      </c>
      <c r="S68" s="269">
        <v>30.173225806451612</v>
      </c>
      <c r="T68" s="271">
        <f t="shared" si="13"/>
        <v>1.0371446593326705</v>
      </c>
      <c r="U68" s="271">
        <f t="shared" si="14"/>
        <v>0.9568085356596856</v>
      </c>
    </row>
    <row r="69" spans="2:21" x14ac:dyDescent="0.2">
      <c r="B69" s="248">
        <f t="shared" si="7"/>
        <v>44228</v>
      </c>
      <c r="C69" s="240">
        <v>2.9027304231990985</v>
      </c>
      <c r="D69" s="240">
        <v>2.8928683544303793</v>
      </c>
      <c r="E69" s="249">
        <f t="shared" si="0"/>
        <v>2021</v>
      </c>
      <c r="K69" s="35">
        <f t="shared" si="11"/>
        <v>2</v>
      </c>
      <c r="L69" s="272">
        <f t="shared" si="12"/>
        <v>2021</v>
      </c>
      <c r="M69" s="244">
        <f t="shared" si="1"/>
        <v>44228</v>
      </c>
      <c r="N69" s="245">
        <v>31.254999999999999</v>
      </c>
      <c r="O69" s="245">
        <v>30.747</v>
      </c>
      <c r="P69" s="245">
        <v>26.236499999999999</v>
      </c>
      <c r="Q69" s="246">
        <v>28.105</v>
      </c>
      <c r="S69" s="269">
        <v>29.614714285714289</v>
      </c>
      <c r="T69" s="271">
        <f t="shared" si="13"/>
        <v>1.03823388952403</v>
      </c>
      <c r="U69" s="271">
        <f t="shared" si="14"/>
        <v>0.94902148063462655</v>
      </c>
    </row>
    <row r="70" spans="2:21" x14ac:dyDescent="0.2">
      <c r="B70" s="248">
        <f t="shared" si="7"/>
        <v>44256</v>
      </c>
      <c r="C70" s="240">
        <v>2.8125572497182088</v>
      </c>
      <c r="D70" s="240">
        <v>2.7943367088607594</v>
      </c>
      <c r="E70" s="249">
        <f t="shared" si="0"/>
        <v>2021</v>
      </c>
      <c r="K70" s="35">
        <f t="shared" si="11"/>
        <v>3</v>
      </c>
      <c r="L70" s="272">
        <f t="shared" si="12"/>
        <v>2021</v>
      </c>
      <c r="M70" s="244">
        <f t="shared" si="1"/>
        <v>44256</v>
      </c>
      <c r="N70" s="245">
        <v>28.7575</v>
      </c>
      <c r="O70" s="245">
        <v>28.559000000000001</v>
      </c>
      <c r="P70" s="245">
        <v>24.817499999999999</v>
      </c>
      <c r="Q70" s="246">
        <v>26.574999999999999</v>
      </c>
      <c r="S70" s="269">
        <v>27.728550471063258</v>
      </c>
      <c r="T70" s="271">
        <f t="shared" si="13"/>
        <v>1.0299492586099435</v>
      </c>
      <c r="U70" s="271">
        <f t="shared" si="14"/>
        <v>0.95839845749358332</v>
      </c>
    </row>
    <row r="71" spans="2:21" x14ac:dyDescent="0.2">
      <c r="B71" s="248">
        <f t="shared" si="7"/>
        <v>44287</v>
      </c>
      <c r="C71" s="240">
        <v>2.3360740034839638</v>
      </c>
      <c r="D71" s="240">
        <v>2.2338303797468351</v>
      </c>
      <c r="E71" s="249">
        <f t="shared" si="0"/>
        <v>2021</v>
      </c>
      <c r="K71" s="35">
        <f t="shared" si="11"/>
        <v>4</v>
      </c>
      <c r="L71" s="272">
        <f t="shared" si="12"/>
        <v>2021</v>
      </c>
      <c r="M71" s="244">
        <f t="shared" si="1"/>
        <v>44287</v>
      </c>
      <c r="N71" s="245">
        <v>26.25</v>
      </c>
      <c r="O71" s="245">
        <v>24.795000000000002</v>
      </c>
      <c r="P71" s="245">
        <v>17.283000000000001</v>
      </c>
      <c r="Q71" s="246">
        <v>19.385000000000002</v>
      </c>
      <c r="S71" s="269">
        <v>22.510777777777783</v>
      </c>
      <c r="T71" s="271">
        <f t="shared" si="13"/>
        <v>1.1014723811310136</v>
      </c>
      <c r="U71" s="271">
        <f t="shared" si="14"/>
        <v>0.86114305739966523</v>
      </c>
    </row>
    <row r="72" spans="2:21" x14ac:dyDescent="0.2">
      <c r="B72" s="248">
        <f t="shared" si="7"/>
        <v>44317</v>
      </c>
      <c r="C72" s="240">
        <v>2.2479502203094577</v>
      </c>
      <c r="D72" s="240">
        <v>2.2152987341772152</v>
      </c>
      <c r="E72" s="249">
        <f t="shared" ref="E72:E135" si="19">YEAR(B72)</f>
        <v>2021</v>
      </c>
      <c r="K72" s="35">
        <f t="shared" si="11"/>
        <v>5</v>
      </c>
      <c r="L72" s="272">
        <f t="shared" si="12"/>
        <v>2021</v>
      </c>
      <c r="M72" s="244">
        <f t="shared" ref="M72:M135" si="20">B72</f>
        <v>44317</v>
      </c>
      <c r="N72" s="245">
        <v>21.35</v>
      </c>
      <c r="O72" s="245">
        <v>25.488</v>
      </c>
      <c r="P72" s="245">
        <v>11.615</v>
      </c>
      <c r="Q72" s="246">
        <v>15.29</v>
      </c>
      <c r="S72" s="269">
        <v>20.772795698924732</v>
      </c>
      <c r="T72" s="271">
        <f t="shared" si="13"/>
        <v>1.2269893936962633</v>
      </c>
      <c r="U72" s="271">
        <f t="shared" si="14"/>
        <v>0.73605884453922876</v>
      </c>
    </row>
    <row r="73" spans="2:21" x14ac:dyDescent="0.2">
      <c r="B73" s="248">
        <f t="shared" ref="B73:B136" si="21">EDATE(B72,1)</f>
        <v>44348</v>
      </c>
      <c r="C73" s="240">
        <v>2.2848392458243674</v>
      </c>
      <c r="D73" s="240">
        <v>2.2489189873417721</v>
      </c>
      <c r="E73" s="249">
        <f t="shared" si="19"/>
        <v>2021</v>
      </c>
      <c r="K73" s="35">
        <f t="shared" ref="K73:K136" si="22">MONTH(M73)</f>
        <v>6</v>
      </c>
      <c r="L73" s="272">
        <f t="shared" ref="L73:L136" si="23">YEAR(M73)</f>
        <v>2021</v>
      </c>
      <c r="M73" s="244">
        <f t="shared" si="20"/>
        <v>44348</v>
      </c>
      <c r="N73" s="245">
        <v>20.65</v>
      </c>
      <c r="O73" s="245">
        <v>27.567</v>
      </c>
      <c r="P73" s="245">
        <v>10.852</v>
      </c>
      <c r="Q73" s="246">
        <v>15.875</v>
      </c>
      <c r="S73" s="269">
        <v>22.630377777777781</v>
      </c>
      <c r="T73" s="271">
        <f t="shared" ref="T73:T136" si="24">O73/S73</f>
        <v>1.2181413969619987</v>
      </c>
      <c r="U73" s="271">
        <f t="shared" ref="U73:U136" si="25">Q73/S73</f>
        <v>0.70149071994673817</v>
      </c>
    </row>
    <row r="74" spans="2:21" x14ac:dyDescent="0.2">
      <c r="B74" s="248">
        <f t="shared" si="21"/>
        <v>44378</v>
      </c>
      <c r="C74" s="240">
        <v>2.328388789835024</v>
      </c>
      <c r="D74" s="240">
        <v>2.3268936708860757</v>
      </c>
      <c r="E74" s="249">
        <f t="shared" si="19"/>
        <v>2021</v>
      </c>
      <c r="K74" s="35">
        <f t="shared" si="22"/>
        <v>7</v>
      </c>
      <c r="L74" s="272">
        <f t="shared" si="23"/>
        <v>2021</v>
      </c>
      <c r="M74" s="244">
        <f t="shared" si="20"/>
        <v>44378</v>
      </c>
      <c r="N74" s="245">
        <v>30.8</v>
      </c>
      <c r="O74" s="245">
        <v>36.9</v>
      </c>
      <c r="P74" s="245">
        <v>22.175000000000001</v>
      </c>
      <c r="Q74" s="246">
        <v>24.587499999999999</v>
      </c>
      <c r="S74" s="269">
        <v>31.471908602150535</v>
      </c>
      <c r="T74" s="271">
        <f t="shared" si="24"/>
        <v>1.1724741726492733</v>
      </c>
      <c r="U74" s="271">
        <f t="shared" si="25"/>
        <v>0.78125226883506804</v>
      </c>
    </row>
    <row r="75" spans="2:21" x14ac:dyDescent="0.2">
      <c r="B75" s="248">
        <f t="shared" si="21"/>
        <v>44409</v>
      </c>
      <c r="C75" s="240">
        <v>2.3540061686648222</v>
      </c>
      <c r="D75" s="240">
        <v>2.3720582278481008</v>
      </c>
      <c r="E75" s="249">
        <f t="shared" si="19"/>
        <v>2021</v>
      </c>
      <c r="K75" s="35">
        <f t="shared" si="22"/>
        <v>8</v>
      </c>
      <c r="L75" s="272">
        <f t="shared" si="23"/>
        <v>2021</v>
      </c>
      <c r="M75" s="244">
        <f t="shared" si="20"/>
        <v>44409</v>
      </c>
      <c r="N75" s="245">
        <v>33.950000000000003</v>
      </c>
      <c r="O75" s="245">
        <v>35.619999999999997</v>
      </c>
      <c r="P75" s="245">
        <v>24.1</v>
      </c>
      <c r="Q75" s="246">
        <v>24.36</v>
      </c>
      <c r="S75" s="269">
        <v>30.655913978494624</v>
      </c>
      <c r="T75" s="271">
        <f t="shared" si="24"/>
        <v>1.1619291476674849</v>
      </c>
      <c r="U75" s="271">
        <f t="shared" si="25"/>
        <v>0.79462644686075057</v>
      </c>
    </row>
    <row r="76" spans="2:21" x14ac:dyDescent="0.2">
      <c r="B76" s="248">
        <f t="shared" si="21"/>
        <v>44440</v>
      </c>
      <c r="C76" s="240">
        <v>2.3693765959627009</v>
      </c>
      <c r="D76" s="240">
        <v>2.3821848101265823</v>
      </c>
      <c r="E76" s="249">
        <f t="shared" si="19"/>
        <v>2021</v>
      </c>
      <c r="K76" s="35">
        <f t="shared" si="22"/>
        <v>9</v>
      </c>
      <c r="L76" s="272">
        <f t="shared" si="23"/>
        <v>2021</v>
      </c>
      <c r="M76" s="244">
        <f t="shared" si="20"/>
        <v>44440</v>
      </c>
      <c r="N76" s="245">
        <v>30.8</v>
      </c>
      <c r="O76" s="245">
        <v>33.380000000000003</v>
      </c>
      <c r="P76" s="245">
        <v>26.024999999999999</v>
      </c>
      <c r="Q76" s="246">
        <v>21.4025</v>
      </c>
      <c r="S76" s="269">
        <v>28.056666666666668</v>
      </c>
      <c r="T76" s="271">
        <f t="shared" si="24"/>
        <v>1.189735059997624</v>
      </c>
      <c r="U76" s="271">
        <f t="shared" si="25"/>
        <v>0.76283117500297015</v>
      </c>
    </row>
    <row r="77" spans="2:21" x14ac:dyDescent="0.2">
      <c r="B77" s="248">
        <f t="shared" si="21"/>
        <v>44470</v>
      </c>
      <c r="C77" s="240">
        <v>2.3898704990265398</v>
      </c>
      <c r="D77" s="240">
        <v>2.4047670886075947</v>
      </c>
      <c r="E77" s="249">
        <f t="shared" si="19"/>
        <v>2021</v>
      </c>
      <c r="K77" s="35">
        <f t="shared" si="22"/>
        <v>10</v>
      </c>
      <c r="L77" s="272">
        <f t="shared" si="23"/>
        <v>2021</v>
      </c>
      <c r="M77" s="244">
        <f t="shared" si="20"/>
        <v>44470</v>
      </c>
      <c r="N77" s="245">
        <v>27.997499999999999</v>
      </c>
      <c r="O77" s="245">
        <v>28.45</v>
      </c>
      <c r="P77" s="245">
        <v>26.625</v>
      </c>
      <c r="Q77" s="246">
        <v>26.545000000000002</v>
      </c>
      <c r="S77" s="269">
        <v>27.610161290322583</v>
      </c>
      <c r="T77" s="271">
        <f t="shared" si="24"/>
        <v>1.0304177400793302</v>
      </c>
      <c r="U77" s="271">
        <f t="shared" si="25"/>
        <v>0.96142140282621513</v>
      </c>
    </row>
    <row r="78" spans="2:21" x14ac:dyDescent="0.2">
      <c r="B78" s="248">
        <f t="shared" si="21"/>
        <v>44501</v>
      </c>
      <c r="C78" s="240">
        <v>2.6183775181883386</v>
      </c>
      <c r="D78" s="240">
        <v>2.6591468354430376</v>
      </c>
      <c r="E78" s="249">
        <f t="shared" si="19"/>
        <v>2021</v>
      </c>
      <c r="K78" s="35">
        <f t="shared" si="22"/>
        <v>11</v>
      </c>
      <c r="L78" s="272">
        <f t="shared" si="23"/>
        <v>2021</v>
      </c>
      <c r="M78" s="244">
        <f t="shared" si="20"/>
        <v>44501</v>
      </c>
      <c r="N78" s="245">
        <v>29.5425</v>
      </c>
      <c r="O78" s="245">
        <v>28.2</v>
      </c>
      <c r="P78" s="245">
        <v>29.67</v>
      </c>
      <c r="Q78" s="246">
        <v>25.862500000000001</v>
      </c>
      <c r="S78" s="269">
        <v>27.159309986130374</v>
      </c>
      <c r="T78" s="271">
        <f t="shared" si="24"/>
        <v>1.0383179843081831</v>
      </c>
      <c r="U78" s="271">
        <f t="shared" si="25"/>
        <v>0.95225173294930454</v>
      </c>
    </row>
    <row r="79" spans="2:21" x14ac:dyDescent="0.2">
      <c r="B79" s="250">
        <f t="shared" si="21"/>
        <v>44531</v>
      </c>
      <c r="C79" s="251">
        <v>2.8176807254841685</v>
      </c>
      <c r="D79" s="251">
        <v>2.8019316455696197</v>
      </c>
      <c r="E79" s="252">
        <f t="shared" si="19"/>
        <v>2021</v>
      </c>
      <c r="K79" s="35">
        <f t="shared" si="22"/>
        <v>12</v>
      </c>
      <c r="L79" s="272">
        <f t="shared" si="23"/>
        <v>2021</v>
      </c>
      <c r="M79" s="253">
        <f t="shared" si="20"/>
        <v>44531</v>
      </c>
      <c r="N79" s="254">
        <v>31.86</v>
      </c>
      <c r="O79" s="254">
        <v>30.2</v>
      </c>
      <c r="P79" s="254">
        <v>30.105</v>
      </c>
      <c r="Q79" s="255">
        <v>28.592500000000001</v>
      </c>
      <c r="S79" s="269">
        <v>29.491317204301076</v>
      </c>
      <c r="T79" s="271">
        <f t="shared" si="24"/>
        <v>1.0240302184805623</v>
      </c>
      <c r="U79" s="271">
        <f t="shared" si="25"/>
        <v>0.96952264973196955</v>
      </c>
    </row>
    <row r="80" spans="2:21" x14ac:dyDescent="0.2">
      <c r="B80" s="239">
        <f t="shared" si="21"/>
        <v>44562</v>
      </c>
      <c r="C80" s="240">
        <v>2.9432058817501794</v>
      </c>
      <c r="D80" s="240">
        <v>2.9024886075949361</v>
      </c>
      <c r="E80" s="241">
        <f t="shared" si="19"/>
        <v>2022</v>
      </c>
      <c r="K80" s="35">
        <f t="shared" si="22"/>
        <v>1</v>
      </c>
      <c r="L80" s="272">
        <f t="shared" si="23"/>
        <v>2022</v>
      </c>
      <c r="M80" s="244">
        <f t="shared" si="20"/>
        <v>44562</v>
      </c>
      <c r="N80" s="256">
        <v>33.4375</v>
      </c>
      <c r="O80" s="256">
        <v>32.643999999999998</v>
      </c>
      <c r="P80" s="256">
        <v>25.795999999999999</v>
      </c>
      <c r="Q80" s="257">
        <v>29.87</v>
      </c>
      <c r="S80" s="269">
        <v>31.361397849462364</v>
      </c>
      <c r="T80" s="271">
        <f t="shared" si="24"/>
        <v>1.0408974802939028</v>
      </c>
      <c r="U80" s="271">
        <f t="shared" si="25"/>
        <v>0.952444790355927</v>
      </c>
    </row>
    <row r="81" spans="2:21" x14ac:dyDescent="0.2">
      <c r="B81" s="248">
        <f t="shared" si="21"/>
        <v>44593</v>
      </c>
      <c r="C81" s="240">
        <v>2.9396194487140077</v>
      </c>
      <c r="D81" s="240">
        <v>2.9040075949367083</v>
      </c>
      <c r="E81" s="249">
        <f t="shared" si="19"/>
        <v>2022</v>
      </c>
      <c r="K81" s="35">
        <f t="shared" si="22"/>
        <v>2</v>
      </c>
      <c r="L81" s="272">
        <f t="shared" si="23"/>
        <v>2022</v>
      </c>
      <c r="M81" s="244">
        <f t="shared" si="20"/>
        <v>44593</v>
      </c>
      <c r="N81" s="245">
        <v>32.604999999999997</v>
      </c>
      <c r="O81" s="245">
        <v>32.097000000000001</v>
      </c>
      <c r="P81" s="245">
        <v>25.086500000000001</v>
      </c>
      <c r="Q81" s="246">
        <v>29.105</v>
      </c>
      <c r="S81" s="269">
        <v>30.814714285714288</v>
      </c>
      <c r="T81" s="271">
        <f t="shared" si="24"/>
        <v>1.0416127731185936</v>
      </c>
      <c r="U81" s="271">
        <f t="shared" si="25"/>
        <v>0.94451630250854179</v>
      </c>
    </row>
    <row r="82" spans="2:21" x14ac:dyDescent="0.2">
      <c r="B82" s="248">
        <f t="shared" si="21"/>
        <v>44621</v>
      </c>
      <c r="C82" s="240">
        <v>2.8438104518905627</v>
      </c>
      <c r="D82" s="240">
        <v>2.8024379746835439</v>
      </c>
      <c r="E82" s="249">
        <f t="shared" si="19"/>
        <v>2022</v>
      </c>
      <c r="K82" s="35">
        <f t="shared" si="22"/>
        <v>3</v>
      </c>
      <c r="L82" s="272">
        <f t="shared" si="23"/>
        <v>2022</v>
      </c>
      <c r="M82" s="244">
        <f t="shared" si="20"/>
        <v>44621</v>
      </c>
      <c r="N82" s="245">
        <v>30.107500000000002</v>
      </c>
      <c r="O82" s="245">
        <v>29.908999999999999</v>
      </c>
      <c r="P82" s="245">
        <v>23.6675</v>
      </c>
      <c r="Q82" s="246">
        <v>27.574999999999999</v>
      </c>
      <c r="S82" s="269">
        <v>28.932049798115749</v>
      </c>
      <c r="T82" s="271">
        <f t="shared" si="24"/>
        <v>1.0337670579409786</v>
      </c>
      <c r="U82" s="271">
        <f t="shared" si="25"/>
        <v>0.95309527642925151</v>
      </c>
    </row>
    <row r="83" spans="2:21" x14ac:dyDescent="0.2">
      <c r="B83" s="248">
        <f t="shared" si="21"/>
        <v>44652</v>
      </c>
      <c r="C83" s="240">
        <v>2.3340246131775797</v>
      </c>
      <c r="D83" s="240">
        <v>2.2368683544303796</v>
      </c>
      <c r="E83" s="249">
        <f t="shared" si="19"/>
        <v>2022</v>
      </c>
      <c r="K83" s="35">
        <f t="shared" si="22"/>
        <v>4</v>
      </c>
      <c r="L83" s="272">
        <f t="shared" si="23"/>
        <v>2022</v>
      </c>
      <c r="M83" s="244">
        <f t="shared" si="20"/>
        <v>44652</v>
      </c>
      <c r="N83" s="245">
        <v>28.2</v>
      </c>
      <c r="O83" s="245">
        <v>26.145</v>
      </c>
      <c r="P83" s="245">
        <v>18.283000000000001</v>
      </c>
      <c r="Q83" s="246">
        <v>21.385000000000002</v>
      </c>
      <c r="S83" s="269">
        <v>24.135222222222225</v>
      </c>
      <c r="T83" s="271">
        <f t="shared" si="24"/>
        <v>1.0832715671425348</v>
      </c>
      <c r="U83" s="271">
        <f t="shared" si="25"/>
        <v>0.88604943443653117</v>
      </c>
    </row>
    <row r="84" spans="2:21" x14ac:dyDescent="0.2">
      <c r="B84" s="248">
        <f t="shared" si="21"/>
        <v>44682</v>
      </c>
      <c r="C84" s="240">
        <v>2.2494872630392457</v>
      </c>
      <c r="D84" s="240">
        <v>2.2192481012658223</v>
      </c>
      <c r="E84" s="249">
        <f t="shared" si="19"/>
        <v>2022</v>
      </c>
      <c r="K84" s="35">
        <f t="shared" si="22"/>
        <v>5</v>
      </c>
      <c r="L84" s="272">
        <f t="shared" si="23"/>
        <v>2022</v>
      </c>
      <c r="M84" s="244">
        <f t="shared" si="20"/>
        <v>44682</v>
      </c>
      <c r="N84" s="245">
        <v>23.3</v>
      </c>
      <c r="O84" s="245">
        <v>26.838000000000001</v>
      </c>
      <c r="P84" s="245">
        <v>12.615</v>
      </c>
      <c r="Q84" s="246">
        <v>17.29</v>
      </c>
      <c r="S84" s="269">
        <v>22.423333333333336</v>
      </c>
      <c r="T84" s="271">
        <f t="shared" si="24"/>
        <v>1.1968782518210197</v>
      </c>
      <c r="U84" s="271">
        <f t="shared" si="25"/>
        <v>0.77107180020811639</v>
      </c>
    </row>
    <row r="85" spans="2:21" x14ac:dyDescent="0.2">
      <c r="B85" s="248">
        <f t="shared" si="21"/>
        <v>44713</v>
      </c>
      <c r="C85" s="240">
        <v>2.2807404652115997</v>
      </c>
      <c r="D85" s="240">
        <v>2.2549949367088606</v>
      </c>
      <c r="E85" s="249">
        <f t="shared" si="19"/>
        <v>2022</v>
      </c>
      <c r="K85" s="35">
        <f t="shared" si="22"/>
        <v>6</v>
      </c>
      <c r="L85" s="272">
        <f t="shared" si="23"/>
        <v>2022</v>
      </c>
      <c r="M85" s="244">
        <f t="shared" si="20"/>
        <v>44713</v>
      </c>
      <c r="N85" s="245">
        <v>22.6</v>
      </c>
      <c r="O85" s="245">
        <v>28.917000000000002</v>
      </c>
      <c r="P85" s="245">
        <v>11.852</v>
      </c>
      <c r="Q85" s="246">
        <v>17.875</v>
      </c>
      <c r="S85" s="269">
        <v>24.254822222222224</v>
      </c>
      <c r="T85" s="271">
        <f t="shared" si="24"/>
        <v>1.1922165305959778</v>
      </c>
      <c r="U85" s="271">
        <f t="shared" si="25"/>
        <v>0.73696685286866204</v>
      </c>
    </row>
    <row r="86" spans="2:21" x14ac:dyDescent="0.2">
      <c r="B86" s="248">
        <f t="shared" si="21"/>
        <v>44743</v>
      </c>
      <c r="C86" s="240">
        <v>2.3340246131775797</v>
      </c>
      <c r="D86" s="240">
        <v>2.3348936708860757</v>
      </c>
      <c r="E86" s="249">
        <f t="shared" si="19"/>
        <v>2022</v>
      </c>
      <c r="K86" s="35">
        <f t="shared" si="22"/>
        <v>7</v>
      </c>
      <c r="L86" s="272">
        <f t="shared" si="23"/>
        <v>2022</v>
      </c>
      <c r="M86" s="244">
        <f t="shared" si="20"/>
        <v>44743</v>
      </c>
      <c r="N86" s="245">
        <v>33.1</v>
      </c>
      <c r="O86" s="245">
        <v>38.4</v>
      </c>
      <c r="P86" s="245">
        <v>26.574999999999999</v>
      </c>
      <c r="Q86" s="246">
        <v>27.037500000000001</v>
      </c>
      <c r="S86" s="269">
        <v>33.14637096774193</v>
      </c>
      <c r="T86" s="271">
        <f t="shared" si="24"/>
        <v>1.1584978650414219</v>
      </c>
      <c r="U86" s="271">
        <f t="shared" si="25"/>
        <v>0.81570015692857945</v>
      </c>
    </row>
    <row r="87" spans="2:21" x14ac:dyDescent="0.2">
      <c r="B87" s="248">
        <f t="shared" si="21"/>
        <v>44774</v>
      </c>
      <c r="C87" s="240">
        <v>2.3627160774669536</v>
      </c>
      <c r="D87" s="240">
        <v>2.3831974683544299</v>
      </c>
      <c r="E87" s="249">
        <f t="shared" si="19"/>
        <v>2022</v>
      </c>
      <c r="K87" s="35">
        <f t="shared" si="22"/>
        <v>8</v>
      </c>
      <c r="L87" s="272">
        <f t="shared" si="23"/>
        <v>2022</v>
      </c>
      <c r="M87" s="244">
        <f t="shared" si="20"/>
        <v>44774</v>
      </c>
      <c r="N87" s="245">
        <v>36.25</v>
      </c>
      <c r="O87" s="245">
        <v>37.119999999999997</v>
      </c>
      <c r="P87" s="245">
        <v>28.5</v>
      </c>
      <c r="Q87" s="246">
        <v>26.81</v>
      </c>
      <c r="S87" s="269">
        <v>32.796451612903226</v>
      </c>
      <c r="T87" s="271">
        <f t="shared" si="24"/>
        <v>1.1318297612841672</v>
      </c>
      <c r="U87" s="271">
        <f t="shared" si="25"/>
        <v>0.81746648437576841</v>
      </c>
    </row>
    <row r="88" spans="2:21" x14ac:dyDescent="0.2">
      <c r="B88" s="248">
        <f t="shared" si="21"/>
        <v>44805</v>
      </c>
      <c r="C88" s="240">
        <v>2.3704012911158929</v>
      </c>
      <c r="D88" s="240">
        <v>2.3932227848101264</v>
      </c>
      <c r="E88" s="249">
        <f t="shared" si="19"/>
        <v>2022</v>
      </c>
      <c r="K88" s="35">
        <f t="shared" si="22"/>
        <v>9</v>
      </c>
      <c r="L88" s="272">
        <f t="shared" si="23"/>
        <v>2022</v>
      </c>
      <c r="M88" s="244">
        <f t="shared" si="20"/>
        <v>44805</v>
      </c>
      <c r="N88" s="245">
        <v>33.1</v>
      </c>
      <c r="O88" s="245">
        <v>34.880000000000003</v>
      </c>
      <c r="P88" s="245">
        <v>30.425000000000001</v>
      </c>
      <c r="Q88" s="246">
        <v>23.852499999999999</v>
      </c>
      <c r="S88" s="269">
        <v>29.978888888888889</v>
      </c>
      <c r="T88" s="271">
        <f t="shared" si="24"/>
        <v>1.163485415662874</v>
      </c>
      <c r="U88" s="271">
        <f t="shared" si="25"/>
        <v>0.79564323042140761</v>
      </c>
    </row>
    <row r="89" spans="2:21" x14ac:dyDescent="0.2">
      <c r="B89" s="248">
        <f t="shared" si="21"/>
        <v>44835</v>
      </c>
      <c r="C89" s="240">
        <v>2.3965310175222871</v>
      </c>
      <c r="D89" s="240">
        <v>2.4138810126582277</v>
      </c>
      <c r="E89" s="249">
        <f t="shared" si="19"/>
        <v>2022</v>
      </c>
      <c r="K89" s="35">
        <f t="shared" si="22"/>
        <v>10</v>
      </c>
      <c r="L89" s="272">
        <f t="shared" si="23"/>
        <v>2022</v>
      </c>
      <c r="M89" s="244">
        <f t="shared" si="20"/>
        <v>44835</v>
      </c>
      <c r="N89" s="245">
        <v>30.247499999999999</v>
      </c>
      <c r="O89" s="245">
        <v>29.8</v>
      </c>
      <c r="P89" s="245">
        <v>28.524999999999999</v>
      </c>
      <c r="Q89" s="246">
        <v>28.995000000000001</v>
      </c>
      <c r="S89" s="269">
        <v>29.445107526881721</v>
      </c>
      <c r="T89" s="271">
        <f t="shared" si="24"/>
        <v>1.0120526804935008</v>
      </c>
      <c r="U89" s="271">
        <f t="shared" si="25"/>
        <v>0.98471367352043815</v>
      </c>
    </row>
    <row r="90" spans="2:21" x14ac:dyDescent="0.2">
      <c r="B90" s="248">
        <f t="shared" si="21"/>
        <v>44866</v>
      </c>
      <c r="C90" s="240">
        <v>2.6521924582436727</v>
      </c>
      <c r="D90" s="240">
        <v>2.6722101265822782</v>
      </c>
      <c r="E90" s="249">
        <f t="shared" si="19"/>
        <v>2022</v>
      </c>
      <c r="K90" s="35">
        <f t="shared" si="22"/>
        <v>11</v>
      </c>
      <c r="L90" s="272">
        <f t="shared" si="23"/>
        <v>2022</v>
      </c>
      <c r="M90" s="244">
        <f t="shared" si="20"/>
        <v>44866</v>
      </c>
      <c r="N90" s="245">
        <v>31.7925</v>
      </c>
      <c r="O90" s="245">
        <v>29.55</v>
      </c>
      <c r="P90" s="245">
        <v>31.57</v>
      </c>
      <c r="Q90" s="246">
        <v>28.3125</v>
      </c>
      <c r="S90" s="269">
        <v>28.999046463245492</v>
      </c>
      <c r="T90" s="271">
        <f t="shared" si="24"/>
        <v>1.0189990225179579</v>
      </c>
      <c r="U90" s="271">
        <f t="shared" si="25"/>
        <v>0.97632520558509928</v>
      </c>
    </row>
    <row r="91" spans="2:21" x14ac:dyDescent="0.2">
      <c r="B91" s="250">
        <f t="shared" si="21"/>
        <v>44896</v>
      </c>
      <c r="C91" s="251">
        <v>2.839199323701199</v>
      </c>
      <c r="D91" s="251">
        <v>2.8180329113924047</v>
      </c>
      <c r="E91" s="252">
        <f t="shared" si="19"/>
        <v>2022</v>
      </c>
      <c r="K91" s="35">
        <f t="shared" si="22"/>
        <v>12</v>
      </c>
      <c r="L91" s="272">
        <f t="shared" si="23"/>
        <v>2022</v>
      </c>
      <c r="M91" s="253">
        <f t="shared" si="20"/>
        <v>44896</v>
      </c>
      <c r="N91" s="254">
        <v>34.11</v>
      </c>
      <c r="O91" s="254">
        <v>31.55</v>
      </c>
      <c r="P91" s="254">
        <v>32.005000000000003</v>
      </c>
      <c r="Q91" s="255">
        <v>31.0425</v>
      </c>
      <c r="S91" s="269">
        <v>31.326263440860213</v>
      </c>
      <c r="T91" s="271">
        <f t="shared" si="24"/>
        <v>1.0071421399989875</v>
      </c>
      <c r="U91" s="271">
        <f t="shared" si="25"/>
        <v>0.99094167609884531</v>
      </c>
    </row>
    <row r="92" spans="2:21" x14ac:dyDescent="0.2">
      <c r="B92" s="239">
        <f t="shared" si="21"/>
        <v>44927</v>
      </c>
      <c r="C92" s="240">
        <v>2.9729220411927453</v>
      </c>
      <c r="D92" s="240">
        <v>2.9366151898734172</v>
      </c>
      <c r="E92" s="241">
        <f t="shared" si="19"/>
        <v>2023</v>
      </c>
      <c r="K92" s="35">
        <f t="shared" si="22"/>
        <v>1</v>
      </c>
      <c r="L92" s="272">
        <f t="shared" si="23"/>
        <v>2023</v>
      </c>
      <c r="M92" s="244">
        <f t="shared" si="20"/>
        <v>44927</v>
      </c>
      <c r="N92" s="256">
        <v>34.787500000000001</v>
      </c>
      <c r="O92" s="256">
        <v>33.994</v>
      </c>
      <c r="P92" s="256">
        <v>29.245999999999999</v>
      </c>
      <c r="Q92" s="257">
        <v>30.87</v>
      </c>
      <c r="S92" s="269">
        <v>32.549569892473116</v>
      </c>
      <c r="T92" s="271">
        <f t="shared" si="24"/>
        <v>1.0443763193276756</v>
      </c>
      <c r="U92" s="271">
        <f t="shared" si="25"/>
        <v>0.94839962868874939</v>
      </c>
    </row>
    <row r="93" spans="2:21" x14ac:dyDescent="0.2">
      <c r="B93" s="248">
        <f t="shared" si="21"/>
        <v>44958</v>
      </c>
      <c r="C93" s="240">
        <v>2.9749714314991293</v>
      </c>
      <c r="D93" s="240">
        <v>2.936108860759493</v>
      </c>
      <c r="E93" s="249">
        <f t="shared" si="19"/>
        <v>2023</v>
      </c>
      <c r="K93" s="35">
        <f t="shared" si="22"/>
        <v>2</v>
      </c>
      <c r="L93" s="272">
        <f t="shared" si="23"/>
        <v>2023</v>
      </c>
      <c r="M93" s="244">
        <f t="shared" si="20"/>
        <v>44958</v>
      </c>
      <c r="N93" s="245">
        <v>33.954999999999998</v>
      </c>
      <c r="O93" s="245">
        <v>33.447000000000003</v>
      </c>
      <c r="P93" s="245">
        <v>28.5365</v>
      </c>
      <c r="Q93" s="246">
        <v>30.105</v>
      </c>
      <c r="S93" s="269">
        <v>32.014714285714291</v>
      </c>
      <c r="T93" s="271">
        <f t="shared" si="24"/>
        <v>1.0447383569162394</v>
      </c>
      <c r="U93" s="271">
        <f t="shared" si="25"/>
        <v>0.94034885744501395</v>
      </c>
    </row>
    <row r="94" spans="2:21" x14ac:dyDescent="0.2">
      <c r="B94" s="248">
        <f t="shared" si="21"/>
        <v>44986</v>
      </c>
      <c r="C94" s="240">
        <v>2.8781377395224923</v>
      </c>
      <c r="D94" s="240">
        <v>2.8336278481012656</v>
      </c>
      <c r="E94" s="249">
        <f t="shared" si="19"/>
        <v>2023</v>
      </c>
      <c r="K94" s="35">
        <f t="shared" si="22"/>
        <v>3</v>
      </c>
      <c r="L94" s="272">
        <f t="shared" si="23"/>
        <v>2023</v>
      </c>
      <c r="M94" s="244">
        <f t="shared" si="20"/>
        <v>44986</v>
      </c>
      <c r="N94" s="245">
        <v>31.4575</v>
      </c>
      <c r="O94" s="245">
        <v>31.259</v>
      </c>
      <c r="P94" s="245">
        <v>27.1175</v>
      </c>
      <c r="Q94" s="246">
        <v>28.574999999999999</v>
      </c>
      <c r="S94" s="269">
        <v>30.135549125168239</v>
      </c>
      <c r="T94" s="271">
        <f t="shared" si="24"/>
        <v>1.0372799204741716</v>
      </c>
      <c r="U94" s="271">
        <f t="shared" si="25"/>
        <v>0.94821567316771005</v>
      </c>
    </row>
    <row r="95" spans="2:21" x14ac:dyDescent="0.2">
      <c r="B95" s="248">
        <f t="shared" si="21"/>
        <v>45017</v>
      </c>
      <c r="C95" s="240">
        <v>2.3821852853776004</v>
      </c>
      <c r="D95" s="240">
        <v>2.2790962025316452</v>
      </c>
      <c r="E95" s="249">
        <f t="shared" si="19"/>
        <v>2023</v>
      </c>
      <c r="K95" s="35">
        <f t="shared" si="22"/>
        <v>4</v>
      </c>
      <c r="L95" s="272">
        <f t="shared" si="23"/>
        <v>2023</v>
      </c>
      <c r="M95" s="244">
        <f t="shared" si="20"/>
        <v>45017</v>
      </c>
      <c r="N95" s="245">
        <v>26.65</v>
      </c>
      <c r="O95" s="245">
        <v>27.495000000000001</v>
      </c>
      <c r="P95" s="245">
        <v>19.283000000000001</v>
      </c>
      <c r="Q95" s="246">
        <v>26.385000000000002</v>
      </c>
      <c r="S95" s="269">
        <v>27.001666666666669</v>
      </c>
      <c r="T95" s="271">
        <f t="shared" si="24"/>
        <v>1.0182704771310414</v>
      </c>
      <c r="U95" s="271">
        <f t="shared" si="25"/>
        <v>0.97716190358619837</v>
      </c>
    </row>
    <row r="96" spans="2:21" x14ac:dyDescent="0.2">
      <c r="B96" s="248">
        <f t="shared" si="21"/>
        <v>45047</v>
      </c>
      <c r="C96" s="240">
        <v>2.9037551183522905</v>
      </c>
      <c r="D96" s="240">
        <v>2.8091215189873413</v>
      </c>
      <c r="E96" s="249">
        <f t="shared" si="19"/>
        <v>2023</v>
      </c>
      <c r="K96" s="35">
        <f t="shared" si="22"/>
        <v>5</v>
      </c>
      <c r="L96" s="272">
        <f t="shared" si="23"/>
        <v>2023</v>
      </c>
      <c r="M96" s="244">
        <f t="shared" si="20"/>
        <v>45047</v>
      </c>
      <c r="N96" s="245">
        <v>24.381119999999999</v>
      </c>
      <c r="O96" s="245">
        <v>27.516439999999999</v>
      </c>
      <c r="P96" s="245">
        <v>16.246410000000001</v>
      </c>
      <c r="Q96" s="246">
        <v>21.44725</v>
      </c>
      <c r="S96" s="269">
        <v>24.840775591397847</v>
      </c>
      <c r="T96" s="271">
        <f t="shared" si="24"/>
        <v>1.1077125953156113</v>
      </c>
      <c r="U96" s="271">
        <f t="shared" si="25"/>
        <v>0.86338890350215169</v>
      </c>
    </row>
    <row r="97" spans="2:21" x14ac:dyDescent="0.2">
      <c r="B97" s="248">
        <f t="shared" si="21"/>
        <v>45078</v>
      </c>
      <c r="C97" s="240">
        <v>2.9311144789425145</v>
      </c>
      <c r="D97" s="240">
        <v>2.7562607594936703</v>
      </c>
      <c r="E97" s="249">
        <f t="shared" si="19"/>
        <v>2023</v>
      </c>
      <c r="K97" s="35">
        <f t="shared" si="22"/>
        <v>6</v>
      </c>
      <c r="L97" s="272">
        <f t="shared" si="23"/>
        <v>2023</v>
      </c>
      <c r="M97" s="244">
        <f t="shared" si="20"/>
        <v>45078</v>
      </c>
      <c r="N97" s="245">
        <v>25.15775</v>
      </c>
      <c r="O97" s="245">
        <v>29.345040000000001</v>
      </c>
      <c r="P97" s="245">
        <v>16.913409999999999</v>
      </c>
      <c r="Q97" s="246">
        <v>22.313459999999999</v>
      </c>
      <c r="S97" s="269">
        <v>26.376150666666668</v>
      </c>
      <c r="T97" s="271">
        <f t="shared" si="24"/>
        <v>1.1125596138289171</v>
      </c>
      <c r="U97" s="271">
        <f t="shared" si="25"/>
        <v>0.84597105476042922</v>
      </c>
    </row>
    <row r="98" spans="2:21" x14ac:dyDescent="0.2">
      <c r="B98" s="248">
        <f t="shared" si="21"/>
        <v>45108</v>
      </c>
      <c r="C98" s="240">
        <v>2.9655442360897633</v>
      </c>
      <c r="D98" s="240">
        <v>2.8668430379746832</v>
      </c>
      <c r="E98" s="249">
        <f t="shared" si="19"/>
        <v>2023</v>
      </c>
      <c r="K98" s="35">
        <f t="shared" si="22"/>
        <v>7</v>
      </c>
      <c r="L98" s="272">
        <f t="shared" si="23"/>
        <v>2023</v>
      </c>
      <c r="M98" s="244">
        <f t="shared" si="20"/>
        <v>45108</v>
      </c>
      <c r="N98" s="245">
        <v>37.81062</v>
      </c>
      <c r="O98" s="245">
        <v>40.845889999999997</v>
      </c>
      <c r="P98" s="245">
        <v>29.465420000000002</v>
      </c>
      <c r="Q98" s="246">
        <v>30.31889</v>
      </c>
      <c r="S98" s="269">
        <v>35.978567419354832</v>
      </c>
      <c r="T98" s="271">
        <f t="shared" si="24"/>
        <v>1.1352839462425834</v>
      </c>
      <c r="U98" s="271">
        <f t="shared" si="25"/>
        <v>0.84269308576443813</v>
      </c>
    </row>
    <row r="99" spans="2:21" x14ac:dyDescent="0.2">
      <c r="B99" s="248">
        <f t="shared" si="21"/>
        <v>45139</v>
      </c>
      <c r="C99" s="240">
        <v>3.0059172251255251</v>
      </c>
      <c r="D99" s="240">
        <v>2.9617291139240502</v>
      </c>
      <c r="E99" s="249">
        <f t="shared" si="19"/>
        <v>2023</v>
      </c>
      <c r="K99" s="35">
        <f t="shared" si="22"/>
        <v>8</v>
      </c>
      <c r="L99" s="272">
        <f t="shared" si="23"/>
        <v>2023</v>
      </c>
      <c r="M99" s="244">
        <f t="shared" si="20"/>
        <v>45139</v>
      </c>
      <c r="N99" s="245">
        <v>41.045810000000003</v>
      </c>
      <c r="O99" s="245">
        <v>41.422020000000003</v>
      </c>
      <c r="P99" s="245">
        <v>31.43337</v>
      </c>
      <c r="Q99" s="246">
        <v>30.940449999999998</v>
      </c>
      <c r="S99" s="269">
        <v>37.026522903225811</v>
      </c>
      <c r="T99" s="271">
        <f t="shared" si="24"/>
        <v>1.1187121218015115</v>
      </c>
      <c r="U99" s="271">
        <f t="shared" si="25"/>
        <v>0.83562936981329172</v>
      </c>
    </row>
    <row r="100" spans="2:21" x14ac:dyDescent="0.2">
      <c r="B100" s="248">
        <f t="shared" si="21"/>
        <v>45170</v>
      </c>
      <c r="C100" s="240">
        <v>3.0019209140280769</v>
      </c>
      <c r="D100" s="240">
        <v>2.928210126582278</v>
      </c>
      <c r="E100" s="249">
        <f t="shared" si="19"/>
        <v>2023</v>
      </c>
      <c r="K100" s="35">
        <f t="shared" si="22"/>
        <v>9</v>
      </c>
      <c r="L100" s="272">
        <f t="shared" si="23"/>
        <v>2023</v>
      </c>
      <c r="M100" s="244">
        <f t="shared" si="20"/>
        <v>45170</v>
      </c>
      <c r="N100" s="245">
        <v>37.805439999999997</v>
      </c>
      <c r="O100" s="245">
        <v>36.799570000000003</v>
      </c>
      <c r="P100" s="245">
        <v>32.317419999999998</v>
      </c>
      <c r="Q100" s="246">
        <v>27.836559999999999</v>
      </c>
      <c r="S100" s="269">
        <v>32.816009999999999</v>
      </c>
      <c r="T100" s="271">
        <f t="shared" si="24"/>
        <v>1.1213907479916054</v>
      </c>
      <c r="U100" s="271">
        <f t="shared" si="25"/>
        <v>0.84826156501049332</v>
      </c>
    </row>
    <row r="101" spans="2:21" x14ac:dyDescent="0.2">
      <c r="B101" s="248">
        <f t="shared" si="21"/>
        <v>45200</v>
      </c>
      <c r="C101" s="240">
        <v>3.0683211599549134</v>
      </c>
      <c r="D101" s="240">
        <v>3.0027417721518983</v>
      </c>
      <c r="E101" s="249">
        <f t="shared" si="19"/>
        <v>2023</v>
      </c>
      <c r="K101" s="35">
        <f t="shared" si="22"/>
        <v>10</v>
      </c>
      <c r="L101" s="272">
        <f t="shared" si="23"/>
        <v>2023</v>
      </c>
      <c r="M101" s="244">
        <f t="shared" si="20"/>
        <v>45200</v>
      </c>
      <c r="N101" s="245">
        <v>34.953229999999998</v>
      </c>
      <c r="O101" s="245">
        <v>33.82931</v>
      </c>
      <c r="P101" s="245">
        <v>31.223379999999999</v>
      </c>
      <c r="Q101" s="246">
        <v>31.29468</v>
      </c>
      <c r="S101" s="269">
        <v>32.711892473118283</v>
      </c>
      <c r="T101" s="271">
        <f t="shared" si="24"/>
        <v>1.034159366591217</v>
      </c>
      <c r="U101" s="271">
        <f t="shared" si="25"/>
        <v>0.95667592529894419</v>
      </c>
    </row>
    <row r="102" spans="2:21" x14ac:dyDescent="0.2">
      <c r="B102" s="248">
        <f t="shared" si="21"/>
        <v>45231</v>
      </c>
      <c r="C102" s="240">
        <v>3.2521514704375449</v>
      </c>
      <c r="D102" s="240">
        <v>3.2283620253164553</v>
      </c>
      <c r="E102" s="249">
        <f t="shared" si="19"/>
        <v>2023</v>
      </c>
      <c r="K102" s="35">
        <f t="shared" si="22"/>
        <v>11</v>
      </c>
      <c r="L102" s="272">
        <f t="shared" si="23"/>
        <v>2023</v>
      </c>
      <c r="M102" s="244">
        <f t="shared" si="20"/>
        <v>45231</v>
      </c>
      <c r="N102" s="245">
        <v>36.208689999999997</v>
      </c>
      <c r="O102" s="245">
        <v>34.468989999999998</v>
      </c>
      <c r="P102" s="245">
        <v>33.504669999999997</v>
      </c>
      <c r="Q102" s="246">
        <v>31.678629999999998</v>
      </c>
      <c r="S102" s="269">
        <v>33.226679930651869</v>
      </c>
      <c r="T102" s="271">
        <f t="shared" si="24"/>
        <v>1.0373889317843668</v>
      </c>
      <c r="U102" s="271">
        <f t="shared" si="25"/>
        <v>0.95340943079829699</v>
      </c>
    </row>
    <row r="103" spans="2:21" x14ac:dyDescent="0.2">
      <c r="B103" s="250">
        <f t="shared" si="21"/>
        <v>45261</v>
      </c>
      <c r="C103" s="251">
        <v>3.4835276360282816</v>
      </c>
      <c r="D103" s="251">
        <v>3.4297797468354427</v>
      </c>
      <c r="E103" s="252">
        <f t="shared" si="19"/>
        <v>2023</v>
      </c>
      <c r="K103" s="35">
        <f t="shared" si="22"/>
        <v>12</v>
      </c>
      <c r="L103" s="272">
        <f t="shared" si="23"/>
        <v>2023</v>
      </c>
      <c r="M103" s="253">
        <f t="shared" si="20"/>
        <v>45261</v>
      </c>
      <c r="N103" s="254">
        <v>37.810809999999996</v>
      </c>
      <c r="O103" s="254">
        <v>35.99586</v>
      </c>
      <c r="P103" s="254">
        <v>34.312820000000002</v>
      </c>
      <c r="Q103" s="255">
        <v>33.918399999999998</v>
      </c>
      <c r="S103" s="269">
        <v>35.035313978494621</v>
      </c>
      <c r="T103" s="271">
        <f t="shared" si="24"/>
        <v>1.0274165095850143</v>
      </c>
      <c r="U103" s="271">
        <f t="shared" si="25"/>
        <v>0.96812033769184414</v>
      </c>
    </row>
    <row r="104" spans="2:21" x14ac:dyDescent="0.2">
      <c r="B104" s="239">
        <f t="shared" si="21"/>
        <v>45292</v>
      </c>
      <c r="C104" s="240">
        <v>3.5482883697100114</v>
      </c>
      <c r="D104" s="240">
        <v>3.5392481012658221</v>
      </c>
      <c r="E104" s="241">
        <f t="shared" si="19"/>
        <v>2024</v>
      </c>
      <c r="K104" s="35">
        <f t="shared" si="22"/>
        <v>1</v>
      </c>
      <c r="L104" s="272">
        <f t="shared" si="23"/>
        <v>2024</v>
      </c>
      <c r="M104" s="244">
        <f t="shared" si="20"/>
        <v>45292</v>
      </c>
      <c r="N104" s="256">
        <v>37.534379999999999</v>
      </c>
      <c r="O104" s="256">
        <v>37.102440000000001</v>
      </c>
      <c r="P104" s="256">
        <v>32.576239999999999</v>
      </c>
      <c r="Q104" s="257">
        <v>33.650970000000001</v>
      </c>
      <c r="S104" s="269">
        <v>35.580824193548388</v>
      </c>
      <c r="T104" s="271">
        <f t="shared" si="24"/>
        <v>1.0427650522701359</v>
      </c>
      <c r="U104" s="271">
        <f t="shared" si="25"/>
        <v>0.9457613971208032</v>
      </c>
    </row>
    <row r="105" spans="2:21" x14ac:dyDescent="0.2">
      <c r="B105" s="248">
        <f t="shared" si="21"/>
        <v>45323</v>
      </c>
      <c r="C105" s="240">
        <v>3.5595600163951229</v>
      </c>
      <c r="D105" s="240">
        <v>3.571855696202531</v>
      </c>
      <c r="E105" s="249">
        <f t="shared" si="19"/>
        <v>2024</v>
      </c>
      <c r="K105" s="35">
        <f t="shared" si="22"/>
        <v>2</v>
      </c>
      <c r="L105" s="272">
        <f t="shared" si="23"/>
        <v>2024</v>
      </c>
      <c r="M105" s="244">
        <f t="shared" si="20"/>
        <v>45323</v>
      </c>
      <c r="N105" s="245">
        <v>38.163879999999999</v>
      </c>
      <c r="O105" s="245">
        <v>37.490989999999996</v>
      </c>
      <c r="P105" s="245">
        <v>33.378909999999998</v>
      </c>
      <c r="Q105" s="246">
        <v>34.021000000000001</v>
      </c>
      <c r="S105" s="269">
        <v>36.015247126436783</v>
      </c>
      <c r="T105" s="271">
        <f t="shared" si="24"/>
        <v>1.0409755031912569</v>
      </c>
      <c r="U105" s="271">
        <f t="shared" si="25"/>
        <v>0.94462769839019323</v>
      </c>
    </row>
    <row r="106" spans="2:21" x14ac:dyDescent="0.2">
      <c r="B106" s="248">
        <f t="shared" si="21"/>
        <v>45352</v>
      </c>
      <c r="C106" s="240">
        <v>3.4273743416333642</v>
      </c>
      <c r="D106" s="240">
        <v>3.52719746835443</v>
      </c>
      <c r="E106" s="249">
        <f t="shared" si="19"/>
        <v>2024</v>
      </c>
      <c r="K106" s="35">
        <f t="shared" si="22"/>
        <v>3</v>
      </c>
      <c r="L106" s="272">
        <f t="shared" si="23"/>
        <v>2024</v>
      </c>
      <c r="M106" s="244">
        <f t="shared" si="20"/>
        <v>45352</v>
      </c>
      <c r="N106" s="245">
        <v>34.856079999999999</v>
      </c>
      <c r="O106" s="245">
        <v>34.389580000000002</v>
      </c>
      <c r="P106" s="245">
        <v>31.532450000000001</v>
      </c>
      <c r="Q106" s="246">
        <v>32.079720000000002</v>
      </c>
      <c r="S106" s="269">
        <v>33.372992893674301</v>
      </c>
      <c r="T106" s="271">
        <f t="shared" si="24"/>
        <v>1.030461370652747</v>
      </c>
      <c r="U106" s="271">
        <f t="shared" si="25"/>
        <v>0.96124791990353875</v>
      </c>
    </row>
    <row r="107" spans="2:21" x14ac:dyDescent="0.2">
      <c r="B107" s="248">
        <f t="shared" si="21"/>
        <v>45383</v>
      </c>
      <c r="C107" s="240">
        <v>3.0219024695153194</v>
      </c>
      <c r="D107" s="240">
        <v>2.8877037974683541</v>
      </c>
      <c r="E107" s="249">
        <f t="shared" si="19"/>
        <v>2024</v>
      </c>
      <c r="K107" s="35">
        <f t="shared" si="22"/>
        <v>4</v>
      </c>
      <c r="L107" s="272">
        <f t="shared" si="23"/>
        <v>2024</v>
      </c>
      <c r="M107" s="244">
        <f t="shared" si="20"/>
        <v>45383</v>
      </c>
      <c r="N107" s="245">
        <v>28.775749999999999</v>
      </c>
      <c r="O107" s="245">
        <v>28.771129999999999</v>
      </c>
      <c r="P107" s="245">
        <v>23.180800000000001</v>
      </c>
      <c r="Q107" s="246">
        <v>26.89471</v>
      </c>
      <c r="S107" s="269">
        <v>27.978863777777779</v>
      </c>
      <c r="T107" s="271">
        <f t="shared" si="24"/>
        <v>1.0283165974327906</v>
      </c>
      <c r="U107" s="271">
        <f t="shared" si="25"/>
        <v>0.96125097193407594</v>
      </c>
    </row>
    <row r="108" spans="2:21" x14ac:dyDescent="0.2">
      <c r="B108" s="248">
        <f t="shared" si="21"/>
        <v>45413</v>
      </c>
      <c r="C108" s="240">
        <v>3.5580229736653348</v>
      </c>
      <c r="D108" s="240">
        <v>3.3988936708860757</v>
      </c>
      <c r="E108" s="249">
        <f t="shared" si="19"/>
        <v>2024</v>
      </c>
      <c r="K108" s="35">
        <f t="shared" si="22"/>
        <v>5</v>
      </c>
      <c r="L108" s="272">
        <f t="shared" si="23"/>
        <v>2024</v>
      </c>
      <c r="M108" s="244">
        <f t="shared" si="20"/>
        <v>45413</v>
      </c>
      <c r="N108" s="245">
        <v>25.462250000000001</v>
      </c>
      <c r="O108" s="245">
        <v>28.194880000000001</v>
      </c>
      <c r="P108" s="245">
        <v>19.877829999999999</v>
      </c>
      <c r="Q108" s="246">
        <v>25.604500000000002</v>
      </c>
      <c r="S108" s="269">
        <v>27.05288451612903</v>
      </c>
      <c r="T108" s="271">
        <f t="shared" si="24"/>
        <v>1.0422134461554409</v>
      </c>
      <c r="U108" s="271">
        <f t="shared" si="25"/>
        <v>0.94646099511992898</v>
      </c>
    </row>
    <row r="109" spans="2:21" x14ac:dyDescent="0.2">
      <c r="B109" s="248">
        <f t="shared" si="21"/>
        <v>45444</v>
      </c>
      <c r="C109" s="240">
        <v>3.5813860231581107</v>
      </c>
      <c r="D109" s="240">
        <v>3.2575265822784805</v>
      </c>
      <c r="E109" s="249">
        <f t="shared" si="19"/>
        <v>2024</v>
      </c>
      <c r="K109" s="35">
        <f t="shared" si="22"/>
        <v>6</v>
      </c>
      <c r="L109" s="272">
        <f t="shared" si="23"/>
        <v>2024</v>
      </c>
      <c r="M109" s="244">
        <f t="shared" si="20"/>
        <v>45444</v>
      </c>
      <c r="N109" s="245">
        <v>27.715499999999999</v>
      </c>
      <c r="O109" s="245">
        <v>29.773070000000001</v>
      </c>
      <c r="P109" s="245">
        <v>21.974820000000001</v>
      </c>
      <c r="Q109" s="246">
        <v>26.751919999999998</v>
      </c>
      <c r="S109" s="269">
        <v>28.430336666666665</v>
      </c>
      <c r="T109" s="271">
        <f t="shared" si="24"/>
        <v>1.0472288931740872</v>
      </c>
      <c r="U109" s="271">
        <f t="shared" si="25"/>
        <v>0.94096388353239102</v>
      </c>
    </row>
    <row r="110" spans="2:21" x14ac:dyDescent="0.2">
      <c r="B110" s="248">
        <f t="shared" si="21"/>
        <v>45474</v>
      </c>
      <c r="C110" s="240">
        <v>3.5969613894866277</v>
      </c>
      <c r="D110" s="240">
        <v>3.3988936708860757</v>
      </c>
      <c r="E110" s="249">
        <f t="shared" si="19"/>
        <v>2024</v>
      </c>
      <c r="K110" s="35">
        <f t="shared" si="22"/>
        <v>7</v>
      </c>
      <c r="L110" s="272">
        <f t="shared" si="23"/>
        <v>2024</v>
      </c>
      <c r="M110" s="244">
        <f t="shared" si="20"/>
        <v>45474</v>
      </c>
      <c r="N110" s="245">
        <v>42.521239999999999</v>
      </c>
      <c r="O110" s="245">
        <v>43.29177</v>
      </c>
      <c r="P110" s="245">
        <v>32.355840000000001</v>
      </c>
      <c r="Q110" s="246">
        <v>33.600279999999998</v>
      </c>
      <c r="S110" s="269">
        <v>39.019177634408599</v>
      </c>
      <c r="T110" s="271">
        <f t="shared" si="24"/>
        <v>1.1094998055987644</v>
      </c>
      <c r="U110" s="271">
        <f t="shared" si="25"/>
        <v>0.86112219777717691</v>
      </c>
    </row>
    <row r="111" spans="2:21" x14ac:dyDescent="0.2">
      <c r="B111" s="248">
        <f t="shared" si="21"/>
        <v>45505</v>
      </c>
      <c r="C111" s="240">
        <v>3.6490159032687779</v>
      </c>
      <c r="D111" s="240">
        <v>3.5402607594936701</v>
      </c>
      <c r="E111" s="249">
        <f t="shared" si="19"/>
        <v>2024</v>
      </c>
      <c r="K111" s="35">
        <f t="shared" si="22"/>
        <v>8</v>
      </c>
      <c r="L111" s="272">
        <f t="shared" si="23"/>
        <v>2024</v>
      </c>
      <c r="M111" s="244">
        <f t="shared" si="20"/>
        <v>45505</v>
      </c>
      <c r="N111" s="245">
        <v>45.841630000000002</v>
      </c>
      <c r="O111" s="245">
        <v>45.724040000000002</v>
      </c>
      <c r="P111" s="245">
        <v>34.366750000000003</v>
      </c>
      <c r="Q111" s="246">
        <v>35.070900000000002</v>
      </c>
      <c r="S111" s="269">
        <v>41.256594193548388</v>
      </c>
      <c r="T111" s="271">
        <f t="shared" si="24"/>
        <v>1.1082844062574178</v>
      </c>
      <c r="U111" s="271">
        <f t="shared" si="25"/>
        <v>0.85006774518203709</v>
      </c>
    </row>
    <row r="112" spans="2:21" x14ac:dyDescent="0.2">
      <c r="B112" s="248">
        <f t="shared" si="21"/>
        <v>45536</v>
      </c>
      <c r="C112" s="240">
        <v>3.6334405369402605</v>
      </c>
      <c r="D112" s="240">
        <v>3.463096202531645</v>
      </c>
      <c r="E112" s="249">
        <f t="shared" si="19"/>
        <v>2024</v>
      </c>
      <c r="K112" s="35">
        <f t="shared" si="22"/>
        <v>9</v>
      </c>
      <c r="L112" s="272">
        <f t="shared" si="23"/>
        <v>2024</v>
      </c>
      <c r="M112" s="244">
        <f t="shared" si="20"/>
        <v>45536</v>
      </c>
      <c r="N112" s="245">
        <v>42.510869999999997</v>
      </c>
      <c r="O112" s="245">
        <v>38.719140000000003</v>
      </c>
      <c r="P112" s="245">
        <v>34.209850000000003</v>
      </c>
      <c r="Q112" s="246">
        <v>31.820609999999999</v>
      </c>
      <c r="S112" s="269">
        <v>35.499825999999999</v>
      </c>
      <c r="T112" s="271">
        <f t="shared" si="24"/>
        <v>1.0906853458943715</v>
      </c>
      <c r="U112" s="271">
        <f t="shared" si="25"/>
        <v>0.89635960469214693</v>
      </c>
    </row>
    <row r="113" spans="2:21" x14ac:dyDescent="0.2">
      <c r="B113" s="248">
        <f t="shared" si="21"/>
        <v>45566</v>
      </c>
      <c r="C113" s="240">
        <v>3.7401113023875396</v>
      </c>
      <c r="D113" s="240">
        <v>3.5917037974683539</v>
      </c>
      <c r="E113" s="249">
        <f t="shared" si="19"/>
        <v>2024</v>
      </c>
      <c r="K113" s="35">
        <f t="shared" si="22"/>
        <v>10</v>
      </c>
      <c r="L113" s="272">
        <f t="shared" si="23"/>
        <v>2024</v>
      </c>
      <c r="M113" s="244">
        <f t="shared" si="20"/>
        <v>45566</v>
      </c>
      <c r="N113" s="245">
        <v>39.65896</v>
      </c>
      <c r="O113" s="245">
        <v>37.858620000000002</v>
      </c>
      <c r="P113" s="245">
        <v>33.921770000000002</v>
      </c>
      <c r="Q113" s="246">
        <v>33.594349999999999</v>
      </c>
      <c r="S113" s="269">
        <v>36.070377741935488</v>
      </c>
      <c r="T113" s="271">
        <f t="shared" si="24"/>
        <v>1.0495764771541469</v>
      </c>
      <c r="U113" s="271">
        <f t="shared" si="25"/>
        <v>0.93135564701733486</v>
      </c>
    </row>
    <row r="114" spans="2:21" x14ac:dyDescent="0.2">
      <c r="B114" s="248">
        <f t="shared" si="21"/>
        <v>45597</v>
      </c>
      <c r="C114" s="240">
        <v>3.8522129521467368</v>
      </c>
      <c r="D114" s="240">
        <v>3.7845139240506325</v>
      </c>
      <c r="E114" s="249">
        <f t="shared" si="19"/>
        <v>2024</v>
      </c>
      <c r="K114" s="35">
        <f t="shared" si="22"/>
        <v>11</v>
      </c>
      <c r="L114" s="272">
        <f t="shared" si="23"/>
        <v>2024</v>
      </c>
      <c r="M114" s="244">
        <f t="shared" si="20"/>
        <v>45597</v>
      </c>
      <c r="N114" s="245">
        <v>40.624870000000001</v>
      </c>
      <c r="O114" s="245">
        <v>39.387979999999999</v>
      </c>
      <c r="P114" s="245">
        <v>35.439329999999998</v>
      </c>
      <c r="Q114" s="246">
        <v>35.04477</v>
      </c>
      <c r="S114" s="269">
        <v>37.454317850208042</v>
      </c>
      <c r="T114" s="271">
        <f t="shared" si="24"/>
        <v>1.0516272157865829</v>
      </c>
      <c r="U114" s="271">
        <f t="shared" si="25"/>
        <v>0.93566702082668796</v>
      </c>
    </row>
    <row r="115" spans="2:21" x14ac:dyDescent="0.2">
      <c r="B115" s="250">
        <f t="shared" si="21"/>
        <v>45627</v>
      </c>
      <c r="C115" s="251">
        <v>4.1278559483553652</v>
      </c>
      <c r="D115" s="251">
        <v>4.0415265822784798</v>
      </c>
      <c r="E115" s="252">
        <f t="shared" si="19"/>
        <v>2024</v>
      </c>
      <c r="K115" s="35">
        <f t="shared" si="22"/>
        <v>12</v>
      </c>
      <c r="L115" s="272">
        <f t="shared" si="23"/>
        <v>2024</v>
      </c>
      <c r="M115" s="253">
        <f t="shared" si="20"/>
        <v>45627</v>
      </c>
      <c r="N115" s="254">
        <v>41.511629999999997</v>
      </c>
      <c r="O115" s="254">
        <v>40.44173</v>
      </c>
      <c r="P115" s="254">
        <v>36.620640000000002</v>
      </c>
      <c r="Q115" s="255">
        <v>36.794310000000003</v>
      </c>
      <c r="S115" s="269">
        <v>38.755288494623656</v>
      </c>
      <c r="T115" s="271">
        <f t="shared" si="24"/>
        <v>1.0435151322795673</v>
      </c>
      <c r="U115" s="271">
        <f t="shared" si="25"/>
        <v>0.94940100897724733</v>
      </c>
    </row>
    <row r="116" spans="2:21" x14ac:dyDescent="0.2">
      <c r="B116" s="239">
        <f t="shared" si="21"/>
        <v>45658</v>
      </c>
      <c r="C116" s="240">
        <v>4.1236546982272779</v>
      </c>
      <c r="D116" s="240">
        <v>4.141779746835442</v>
      </c>
      <c r="E116" s="241">
        <f t="shared" si="19"/>
        <v>2025</v>
      </c>
      <c r="K116" s="35">
        <f t="shared" si="22"/>
        <v>1</v>
      </c>
      <c r="L116" s="272">
        <f t="shared" si="23"/>
        <v>2025</v>
      </c>
      <c r="M116" s="244">
        <f t="shared" si="20"/>
        <v>45658</v>
      </c>
      <c r="N116" s="256">
        <v>40.281260000000003</v>
      </c>
      <c r="O116" s="256">
        <v>40.210889999999999</v>
      </c>
      <c r="P116" s="256">
        <v>35.906480000000002</v>
      </c>
      <c r="Q116" s="257">
        <v>36.431950000000001</v>
      </c>
      <c r="S116" s="269">
        <v>38.54490569892473</v>
      </c>
      <c r="T116" s="271">
        <f t="shared" si="24"/>
        <v>1.0432219062640422</v>
      </c>
      <c r="U116" s="271">
        <f t="shared" si="25"/>
        <v>0.94518197254316605</v>
      </c>
    </row>
    <row r="117" spans="2:21" x14ac:dyDescent="0.2">
      <c r="B117" s="248">
        <f t="shared" si="21"/>
        <v>45689</v>
      </c>
      <c r="C117" s="240">
        <v>4.144148601291116</v>
      </c>
      <c r="D117" s="240">
        <v>4.207703797468354</v>
      </c>
      <c r="E117" s="249">
        <f t="shared" si="19"/>
        <v>2025</v>
      </c>
      <c r="K117" s="35">
        <f t="shared" si="22"/>
        <v>2</v>
      </c>
      <c r="L117" s="272">
        <f t="shared" si="23"/>
        <v>2025</v>
      </c>
      <c r="M117" s="244">
        <f t="shared" si="20"/>
        <v>45689</v>
      </c>
      <c r="N117" s="245">
        <v>42.372750000000003</v>
      </c>
      <c r="O117" s="245">
        <v>41.534979999999997</v>
      </c>
      <c r="P117" s="245">
        <v>38.221319999999999</v>
      </c>
      <c r="Q117" s="246">
        <v>37.936990000000002</v>
      </c>
      <c r="S117" s="269">
        <v>39.992984285714286</v>
      </c>
      <c r="T117" s="271">
        <f t="shared" si="24"/>
        <v>1.0385566554190986</v>
      </c>
      <c r="U117" s="271">
        <f t="shared" si="25"/>
        <v>0.94859112610786844</v>
      </c>
    </row>
    <row r="118" spans="2:21" x14ac:dyDescent="0.2">
      <c r="B118" s="248">
        <f t="shared" si="21"/>
        <v>45717</v>
      </c>
      <c r="C118" s="240">
        <v>3.976508474228917</v>
      </c>
      <c r="D118" s="240">
        <v>4.2208683544303787</v>
      </c>
      <c r="E118" s="249">
        <f t="shared" si="19"/>
        <v>2025</v>
      </c>
      <c r="K118" s="35">
        <f t="shared" si="22"/>
        <v>3</v>
      </c>
      <c r="L118" s="272">
        <f t="shared" si="23"/>
        <v>2025</v>
      </c>
      <c r="M118" s="244">
        <f t="shared" si="20"/>
        <v>45717</v>
      </c>
      <c r="N118" s="245">
        <v>38.254660000000001</v>
      </c>
      <c r="O118" s="245">
        <v>37.520159999999997</v>
      </c>
      <c r="P118" s="245">
        <v>35.947400000000002</v>
      </c>
      <c r="Q118" s="246">
        <v>35.584429999999998</v>
      </c>
      <c r="S118" s="269">
        <v>36.668230376850602</v>
      </c>
      <c r="T118" s="271">
        <f t="shared" si="24"/>
        <v>1.023233453438954</v>
      </c>
      <c r="U118" s="271">
        <f t="shared" si="25"/>
        <v>0.97044306840793637</v>
      </c>
    </row>
    <row r="119" spans="2:21" x14ac:dyDescent="0.2">
      <c r="B119" s="248">
        <f t="shared" si="21"/>
        <v>45748</v>
      </c>
      <c r="C119" s="240">
        <v>3.6617221231683574</v>
      </c>
      <c r="D119" s="240">
        <v>3.496210126582278</v>
      </c>
      <c r="E119" s="249">
        <f t="shared" si="19"/>
        <v>2025</v>
      </c>
      <c r="K119" s="35">
        <f t="shared" si="22"/>
        <v>4</v>
      </c>
      <c r="L119" s="272">
        <f t="shared" si="23"/>
        <v>2025</v>
      </c>
      <c r="M119" s="244">
        <f t="shared" si="20"/>
        <v>45748</v>
      </c>
      <c r="N119" s="245">
        <v>30.901489999999999</v>
      </c>
      <c r="O119" s="245">
        <v>30.047260000000001</v>
      </c>
      <c r="P119" s="245">
        <v>27.078589999999998</v>
      </c>
      <c r="Q119" s="246">
        <v>27.404430000000001</v>
      </c>
      <c r="S119" s="269">
        <v>28.931398444444447</v>
      </c>
      <c r="T119" s="271">
        <f t="shared" si="24"/>
        <v>1.0385692229049448</v>
      </c>
      <c r="U119" s="271">
        <f t="shared" si="25"/>
        <v>0.9472210633932332</v>
      </c>
    </row>
    <row r="120" spans="2:21" x14ac:dyDescent="0.2">
      <c r="B120" s="248">
        <f t="shared" si="21"/>
        <v>45778</v>
      </c>
      <c r="C120" s="240">
        <v>3.6083355056870583</v>
      </c>
      <c r="D120" s="240">
        <v>3.5093746835443032</v>
      </c>
      <c r="E120" s="249">
        <f t="shared" si="19"/>
        <v>2025</v>
      </c>
      <c r="K120" s="35">
        <f t="shared" si="22"/>
        <v>5</v>
      </c>
      <c r="L120" s="272">
        <f t="shared" si="23"/>
        <v>2025</v>
      </c>
      <c r="M120" s="244">
        <f t="shared" si="20"/>
        <v>45778</v>
      </c>
      <c r="N120" s="245">
        <v>27.7499</v>
      </c>
      <c r="O120" s="245">
        <v>29.245290000000001</v>
      </c>
      <c r="P120" s="245">
        <v>22.343430000000001</v>
      </c>
      <c r="Q120" s="246">
        <v>26.82488</v>
      </c>
      <c r="S120" s="269">
        <v>28.17822752688172</v>
      </c>
      <c r="T120" s="271">
        <f t="shared" si="24"/>
        <v>1.0378683319275606</v>
      </c>
      <c r="U120" s="271">
        <f t="shared" si="25"/>
        <v>0.95197187170163056</v>
      </c>
    </row>
    <row r="121" spans="2:21" x14ac:dyDescent="0.2">
      <c r="B121" s="248">
        <f t="shared" si="21"/>
        <v>45809</v>
      </c>
      <c r="C121" s="240">
        <v>3.5924527308125835</v>
      </c>
      <c r="D121" s="240">
        <v>3.3776278481012652</v>
      </c>
      <c r="E121" s="249">
        <f t="shared" si="19"/>
        <v>2025</v>
      </c>
      <c r="K121" s="35">
        <f t="shared" si="22"/>
        <v>6</v>
      </c>
      <c r="L121" s="272">
        <f t="shared" si="23"/>
        <v>2025</v>
      </c>
      <c r="M121" s="244">
        <f t="shared" si="20"/>
        <v>45809</v>
      </c>
      <c r="N121" s="245">
        <v>30.001159999999999</v>
      </c>
      <c r="O121" s="245">
        <v>31.73939</v>
      </c>
      <c r="P121" s="245">
        <v>23.551349999999999</v>
      </c>
      <c r="Q121" s="246">
        <v>27.883669999999999</v>
      </c>
      <c r="S121" s="269">
        <v>30.025736666666667</v>
      </c>
      <c r="T121" s="271">
        <f t="shared" si="24"/>
        <v>1.0570728156433797</v>
      </c>
      <c r="U121" s="271">
        <f t="shared" si="25"/>
        <v>0.92865898044577533</v>
      </c>
    </row>
    <row r="122" spans="2:21" x14ac:dyDescent="0.2">
      <c r="B122" s="248">
        <f t="shared" si="21"/>
        <v>45839</v>
      </c>
      <c r="C122" s="240">
        <v>3.6083355056870583</v>
      </c>
      <c r="D122" s="240">
        <v>3.5358050632911389</v>
      </c>
      <c r="E122" s="249">
        <f t="shared" si="19"/>
        <v>2025</v>
      </c>
      <c r="K122" s="35">
        <f t="shared" si="22"/>
        <v>7</v>
      </c>
      <c r="L122" s="272">
        <f t="shared" si="23"/>
        <v>2025</v>
      </c>
      <c r="M122" s="244">
        <f t="shared" si="20"/>
        <v>45839</v>
      </c>
      <c r="N122" s="245">
        <v>44.81118</v>
      </c>
      <c r="O122" s="245">
        <v>45.251539999999999</v>
      </c>
      <c r="P122" s="245">
        <v>33.945819999999998</v>
      </c>
      <c r="Q122" s="246">
        <v>35.16836</v>
      </c>
      <c r="S122" s="269">
        <v>40.806267096774192</v>
      </c>
      <c r="T122" s="271">
        <f t="shared" si="24"/>
        <v>1.1089360340823042</v>
      </c>
      <c r="U122" s="271">
        <f t="shared" si="25"/>
        <v>0.86183722506634575</v>
      </c>
    </row>
    <row r="123" spans="2:21" x14ac:dyDescent="0.2">
      <c r="B123" s="248">
        <f t="shared" si="21"/>
        <v>45870</v>
      </c>
      <c r="C123" s="240">
        <v>3.6883641971513477</v>
      </c>
      <c r="D123" s="240">
        <v>3.627956962025316</v>
      </c>
      <c r="E123" s="249">
        <f t="shared" si="19"/>
        <v>2025</v>
      </c>
      <c r="K123" s="35">
        <f t="shared" si="22"/>
        <v>8</v>
      </c>
      <c r="L123" s="272">
        <f t="shared" si="23"/>
        <v>2025</v>
      </c>
      <c r="M123" s="244">
        <f t="shared" si="20"/>
        <v>45870</v>
      </c>
      <c r="N123" s="245">
        <v>49.030380000000001</v>
      </c>
      <c r="O123" s="245">
        <v>49.215580000000003</v>
      </c>
      <c r="P123" s="245">
        <v>36.974249999999998</v>
      </c>
      <c r="Q123" s="246">
        <v>37.452640000000002</v>
      </c>
      <c r="S123" s="269">
        <v>44.02976774193548</v>
      </c>
      <c r="T123" s="271">
        <f t="shared" si="24"/>
        <v>1.1177796868804597</v>
      </c>
      <c r="U123" s="271">
        <f t="shared" si="25"/>
        <v>0.85062088493210031</v>
      </c>
    </row>
    <row r="124" spans="2:21" x14ac:dyDescent="0.2">
      <c r="B124" s="248">
        <f t="shared" si="21"/>
        <v>45901</v>
      </c>
      <c r="C124" s="240">
        <v>3.6991234962598627</v>
      </c>
      <c r="D124" s="240">
        <v>3.548969620253164</v>
      </c>
      <c r="E124" s="249">
        <f t="shared" si="19"/>
        <v>2025</v>
      </c>
      <c r="K124" s="35">
        <f t="shared" si="22"/>
        <v>9</v>
      </c>
      <c r="L124" s="272">
        <f t="shared" si="23"/>
        <v>2025</v>
      </c>
      <c r="M124" s="244">
        <f t="shared" si="20"/>
        <v>45901</v>
      </c>
      <c r="N124" s="245">
        <v>44.774850000000001</v>
      </c>
      <c r="O124" s="245">
        <v>41.474600000000002</v>
      </c>
      <c r="P124" s="245">
        <v>35.113930000000003</v>
      </c>
      <c r="Q124" s="246">
        <v>33.251130000000003</v>
      </c>
      <c r="S124" s="269">
        <v>37.819724444444446</v>
      </c>
      <c r="T124" s="271">
        <f t="shared" si="24"/>
        <v>1.0966394020380665</v>
      </c>
      <c r="U124" s="271">
        <f t="shared" si="25"/>
        <v>0.87920074745241694</v>
      </c>
    </row>
    <row r="125" spans="2:21" x14ac:dyDescent="0.2">
      <c r="B125" s="248">
        <f t="shared" si="21"/>
        <v>45931</v>
      </c>
      <c r="C125" s="240">
        <v>3.7550718516241419</v>
      </c>
      <c r="D125" s="240">
        <v>3.6411215189873412</v>
      </c>
      <c r="E125" s="249">
        <f t="shared" si="19"/>
        <v>2025</v>
      </c>
      <c r="K125" s="35">
        <f t="shared" si="22"/>
        <v>10</v>
      </c>
      <c r="L125" s="272">
        <f t="shared" si="23"/>
        <v>2025</v>
      </c>
      <c r="M125" s="244">
        <f t="shared" si="20"/>
        <v>45931</v>
      </c>
      <c r="N125" s="245">
        <v>41.068420000000003</v>
      </c>
      <c r="O125" s="245">
        <v>39.378500000000003</v>
      </c>
      <c r="P125" s="245">
        <v>34.990020000000001</v>
      </c>
      <c r="Q125" s="246">
        <v>34.840739999999997</v>
      </c>
      <c r="S125" s="269">
        <v>37.475568387096779</v>
      </c>
      <c r="T125" s="271">
        <f t="shared" si="24"/>
        <v>1.0507779253204983</v>
      </c>
      <c r="U125" s="271">
        <f t="shared" si="25"/>
        <v>0.92969210340238684</v>
      </c>
    </row>
    <row r="126" spans="2:21" x14ac:dyDescent="0.2">
      <c r="B126" s="248">
        <f t="shared" si="21"/>
        <v>45962</v>
      </c>
      <c r="C126" s="240">
        <v>3.8437079823752436</v>
      </c>
      <c r="D126" s="240">
        <v>3.8651215189873414</v>
      </c>
      <c r="E126" s="249">
        <f t="shared" si="19"/>
        <v>2025</v>
      </c>
      <c r="K126" s="35">
        <f t="shared" si="22"/>
        <v>11</v>
      </c>
      <c r="L126" s="272">
        <f t="shared" si="23"/>
        <v>2025</v>
      </c>
      <c r="M126" s="244">
        <f t="shared" si="20"/>
        <v>45962</v>
      </c>
      <c r="N126" s="245">
        <v>41.786499999999997</v>
      </c>
      <c r="O126" s="245">
        <v>41.269849999999998</v>
      </c>
      <c r="P126" s="245">
        <v>36.866050000000001</v>
      </c>
      <c r="Q126" s="246">
        <v>36.802570000000003</v>
      </c>
      <c r="S126" s="269">
        <v>39.181814826629683</v>
      </c>
      <c r="T126" s="271">
        <f t="shared" si="24"/>
        <v>1.0532909254614515</v>
      </c>
      <c r="U126" s="271">
        <f t="shared" si="25"/>
        <v>0.93927680896974075</v>
      </c>
    </row>
    <row r="127" spans="2:21" x14ac:dyDescent="0.2">
      <c r="B127" s="250">
        <f t="shared" si="21"/>
        <v>45992</v>
      </c>
      <c r="C127" s="251">
        <v>3.9929035966799877</v>
      </c>
      <c r="D127" s="251">
        <v>4.1549443037974676</v>
      </c>
      <c r="E127" s="252">
        <f t="shared" si="19"/>
        <v>2025</v>
      </c>
      <c r="K127" s="35">
        <f t="shared" si="22"/>
        <v>12</v>
      </c>
      <c r="L127" s="272">
        <f t="shared" si="23"/>
        <v>2025</v>
      </c>
      <c r="M127" s="253">
        <f t="shared" si="20"/>
        <v>45992</v>
      </c>
      <c r="N127" s="254">
        <v>42.859740000000002</v>
      </c>
      <c r="O127" s="254">
        <v>42.077710000000003</v>
      </c>
      <c r="P127" s="254">
        <v>37.25705</v>
      </c>
      <c r="Q127" s="255">
        <v>37.814149999999998</v>
      </c>
      <c r="S127" s="269">
        <v>40.198076021505379</v>
      </c>
      <c r="T127" s="271">
        <f t="shared" si="24"/>
        <v>1.0467593020494077</v>
      </c>
      <c r="U127" s="271">
        <f t="shared" si="25"/>
        <v>0.9406955193519706</v>
      </c>
    </row>
    <row r="128" spans="2:21" x14ac:dyDescent="0.2">
      <c r="B128" s="239">
        <f t="shared" si="21"/>
        <v>46023</v>
      </c>
      <c r="C128" s="240">
        <v>4.0470075007685216</v>
      </c>
      <c r="D128" s="240">
        <v>4.2404126582278465</v>
      </c>
      <c r="E128" s="241">
        <f t="shared" si="19"/>
        <v>2026</v>
      </c>
      <c r="K128" s="35">
        <f t="shared" si="22"/>
        <v>1</v>
      </c>
      <c r="L128" s="272">
        <f t="shared" si="23"/>
        <v>2026</v>
      </c>
      <c r="M128" s="244">
        <f t="shared" si="20"/>
        <v>46023</v>
      </c>
      <c r="N128" s="256">
        <v>41.808280000000003</v>
      </c>
      <c r="O128" s="256">
        <v>41.613340000000001</v>
      </c>
      <c r="P128" s="256">
        <v>37.105319999999999</v>
      </c>
      <c r="Q128" s="257">
        <v>37.537269999999999</v>
      </c>
      <c r="S128" s="269">
        <v>39.816362903225809</v>
      </c>
      <c r="T128" s="271">
        <f t="shared" si="24"/>
        <v>1.0451316234268251</v>
      </c>
      <c r="U128" s="271">
        <f t="shared" si="25"/>
        <v>0.94275989223914869</v>
      </c>
    </row>
    <row r="129" spans="2:21" x14ac:dyDescent="0.2">
      <c r="B129" s="248">
        <f t="shared" si="21"/>
        <v>46054</v>
      </c>
      <c r="C129" s="240">
        <v>4.0947582949072654</v>
      </c>
      <c r="D129" s="240">
        <v>4.1729696202531636</v>
      </c>
      <c r="E129" s="249">
        <f t="shared" si="19"/>
        <v>2026</v>
      </c>
      <c r="K129" s="35">
        <f t="shared" si="22"/>
        <v>2</v>
      </c>
      <c r="L129" s="272">
        <f t="shared" si="23"/>
        <v>2026</v>
      </c>
      <c r="M129" s="244">
        <f t="shared" si="20"/>
        <v>46054</v>
      </c>
      <c r="N129" s="245">
        <v>43.239690000000003</v>
      </c>
      <c r="O129" s="245">
        <v>42.208739999999999</v>
      </c>
      <c r="P129" s="245">
        <v>38.921410000000002</v>
      </c>
      <c r="Q129" s="246">
        <v>38.395020000000002</v>
      </c>
      <c r="S129" s="269">
        <v>40.574288571428575</v>
      </c>
      <c r="T129" s="271">
        <f t="shared" si="24"/>
        <v>1.0402829349846534</v>
      </c>
      <c r="U129" s="271">
        <f t="shared" si="25"/>
        <v>0.9462894200204619</v>
      </c>
    </row>
    <row r="130" spans="2:21" x14ac:dyDescent="0.2">
      <c r="B130" s="248">
        <f t="shared" si="21"/>
        <v>46082</v>
      </c>
      <c r="C130" s="240">
        <v>3.8823389896505791</v>
      </c>
      <c r="D130" s="240">
        <v>4.0785898734177204</v>
      </c>
      <c r="E130" s="249">
        <f t="shared" si="19"/>
        <v>2026</v>
      </c>
      <c r="K130" s="35">
        <f t="shared" si="22"/>
        <v>3</v>
      </c>
      <c r="L130" s="272">
        <f t="shared" si="23"/>
        <v>2026</v>
      </c>
      <c r="M130" s="244">
        <f t="shared" si="20"/>
        <v>46082</v>
      </c>
      <c r="N130" s="245">
        <v>37.932279999999999</v>
      </c>
      <c r="O130" s="245">
        <v>37.074689999999997</v>
      </c>
      <c r="P130" s="245">
        <v>35.916890000000002</v>
      </c>
      <c r="Q130" s="246">
        <v>35.287039999999998</v>
      </c>
      <c r="S130" s="269">
        <v>36.28793152086137</v>
      </c>
      <c r="T130" s="271">
        <f t="shared" si="24"/>
        <v>1.0216809954760395</v>
      </c>
      <c r="U130" s="271">
        <f t="shared" si="25"/>
        <v>0.97241806080112403</v>
      </c>
    </row>
    <row r="131" spans="2:21" x14ac:dyDescent="0.2">
      <c r="B131" s="248">
        <f t="shared" si="21"/>
        <v>46113</v>
      </c>
      <c r="C131" s="240">
        <v>3.6281121221436625</v>
      </c>
      <c r="D131" s="240">
        <v>3.4580329113924044</v>
      </c>
      <c r="E131" s="249">
        <f t="shared" si="19"/>
        <v>2026</v>
      </c>
      <c r="K131" s="35">
        <f t="shared" si="22"/>
        <v>4</v>
      </c>
      <c r="L131" s="272">
        <f t="shared" si="23"/>
        <v>2026</v>
      </c>
      <c r="M131" s="244">
        <f t="shared" si="20"/>
        <v>46113</v>
      </c>
      <c r="N131" s="245">
        <v>30.649090000000001</v>
      </c>
      <c r="O131" s="245">
        <v>30.21058</v>
      </c>
      <c r="P131" s="245">
        <v>27.033799999999999</v>
      </c>
      <c r="Q131" s="246">
        <v>28.01773</v>
      </c>
      <c r="S131" s="269">
        <v>29.284710000000004</v>
      </c>
      <c r="T131" s="271">
        <f t="shared" si="24"/>
        <v>1.0316161573735918</v>
      </c>
      <c r="U131" s="271">
        <f t="shared" si="25"/>
        <v>0.95673578464666365</v>
      </c>
    </row>
    <row r="132" spans="2:21" x14ac:dyDescent="0.2">
      <c r="B132" s="248">
        <f t="shared" si="21"/>
        <v>46143</v>
      </c>
      <c r="C132" s="240">
        <v>3.5734958704785327</v>
      </c>
      <c r="D132" s="240">
        <v>3.5254759493670882</v>
      </c>
      <c r="E132" s="249">
        <f t="shared" si="19"/>
        <v>2026</v>
      </c>
      <c r="K132" s="35">
        <f t="shared" si="22"/>
        <v>5</v>
      </c>
      <c r="L132" s="272">
        <f t="shared" si="23"/>
        <v>2026</v>
      </c>
      <c r="M132" s="244">
        <f t="shared" si="20"/>
        <v>46143</v>
      </c>
      <c r="N132" s="245">
        <v>27.344709999999999</v>
      </c>
      <c r="O132" s="245">
        <v>30.22297</v>
      </c>
      <c r="P132" s="245">
        <v>22.433769999999999</v>
      </c>
      <c r="Q132" s="246">
        <v>27.540590000000002</v>
      </c>
      <c r="S132" s="269">
        <v>28.98272978494624</v>
      </c>
      <c r="T132" s="271">
        <f t="shared" si="24"/>
        <v>1.0427923878894922</v>
      </c>
      <c r="U132" s="271">
        <f t="shared" si="25"/>
        <v>0.95024140943082269</v>
      </c>
    </row>
    <row r="133" spans="2:21" x14ac:dyDescent="0.2">
      <c r="B133" s="248">
        <f t="shared" si="21"/>
        <v>46174</v>
      </c>
      <c r="C133" s="240">
        <v>3.5845625781330055</v>
      </c>
      <c r="D133" s="240">
        <v>3.4040582278481004</v>
      </c>
      <c r="E133" s="249">
        <f t="shared" si="19"/>
        <v>2026</v>
      </c>
      <c r="K133" s="35">
        <f t="shared" si="22"/>
        <v>6</v>
      </c>
      <c r="L133" s="272">
        <f t="shared" si="23"/>
        <v>2026</v>
      </c>
      <c r="M133" s="244">
        <f t="shared" si="20"/>
        <v>46174</v>
      </c>
      <c r="N133" s="245">
        <v>31.504259999999999</v>
      </c>
      <c r="O133" s="245">
        <v>33.4099</v>
      </c>
      <c r="P133" s="245">
        <v>24.53359</v>
      </c>
      <c r="Q133" s="246">
        <v>29.117560000000001</v>
      </c>
      <c r="S133" s="269">
        <v>31.597578666666667</v>
      </c>
      <c r="T133" s="271">
        <f t="shared" si="24"/>
        <v>1.0573563358272515</v>
      </c>
      <c r="U133" s="271">
        <f t="shared" si="25"/>
        <v>0.92151238255218204</v>
      </c>
    </row>
    <row r="134" spans="2:21" x14ac:dyDescent="0.2">
      <c r="B134" s="248">
        <f t="shared" si="21"/>
        <v>46204</v>
      </c>
      <c r="C134" s="240">
        <v>3.6281121221436625</v>
      </c>
      <c r="D134" s="240">
        <v>3.5929189873417715</v>
      </c>
      <c r="E134" s="249">
        <f t="shared" si="19"/>
        <v>2026</v>
      </c>
      <c r="K134" s="35">
        <f t="shared" si="22"/>
        <v>7</v>
      </c>
      <c r="L134" s="272">
        <f t="shared" si="23"/>
        <v>2026</v>
      </c>
      <c r="M134" s="244">
        <f t="shared" si="20"/>
        <v>46204</v>
      </c>
      <c r="N134" s="245">
        <v>46.828029999999998</v>
      </c>
      <c r="O134" s="245">
        <v>47.323050000000002</v>
      </c>
      <c r="P134" s="245">
        <v>35.75658</v>
      </c>
      <c r="Q134" s="246">
        <v>36.864040000000003</v>
      </c>
      <c r="S134" s="269">
        <v>42.712088602150537</v>
      </c>
      <c r="T134" s="271">
        <f t="shared" si="24"/>
        <v>1.1079544819453597</v>
      </c>
      <c r="U134" s="271">
        <f t="shared" si="25"/>
        <v>0.86308212045954391</v>
      </c>
    </row>
    <row r="135" spans="2:21" x14ac:dyDescent="0.2">
      <c r="B135" s="248">
        <f t="shared" si="21"/>
        <v>46235</v>
      </c>
      <c r="C135" s="240">
        <v>3.7373446254739218</v>
      </c>
      <c r="D135" s="240">
        <v>3.673830379746835</v>
      </c>
      <c r="E135" s="249">
        <f t="shared" si="19"/>
        <v>2026</v>
      </c>
      <c r="K135" s="35">
        <f t="shared" si="22"/>
        <v>8</v>
      </c>
      <c r="L135" s="272">
        <f t="shared" si="23"/>
        <v>2026</v>
      </c>
      <c r="M135" s="244">
        <f t="shared" si="20"/>
        <v>46235</v>
      </c>
      <c r="N135" s="245">
        <v>49.940330000000003</v>
      </c>
      <c r="O135" s="245">
        <v>50.034210000000002</v>
      </c>
      <c r="P135" s="245">
        <v>37.917549999999999</v>
      </c>
      <c r="Q135" s="246">
        <v>38.412239999999997</v>
      </c>
      <c r="S135" s="269">
        <v>44.910545806451616</v>
      </c>
      <c r="T135" s="271">
        <f t="shared" si="24"/>
        <v>1.1140859925334585</v>
      </c>
      <c r="U135" s="271">
        <f t="shared" si="25"/>
        <v>0.85530557044536948</v>
      </c>
    </row>
    <row r="136" spans="2:21" x14ac:dyDescent="0.2">
      <c r="B136" s="248">
        <f t="shared" si="21"/>
        <v>46266</v>
      </c>
      <c r="C136" s="240">
        <v>3.7347828875909417</v>
      </c>
      <c r="D136" s="240">
        <v>3.5658810126582274</v>
      </c>
      <c r="E136" s="249">
        <f t="shared" ref="E136:E199" si="26">YEAR(B136)</f>
        <v>2026</v>
      </c>
      <c r="K136" s="35">
        <f t="shared" si="22"/>
        <v>9</v>
      </c>
      <c r="L136" s="272">
        <f t="shared" si="23"/>
        <v>2026</v>
      </c>
      <c r="M136" s="244">
        <f t="shared" ref="M136:M199" si="27">B136</f>
        <v>46266</v>
      </c>
      <c r="N136" s="245">
        <v>45.198399999999999</v>
      </c>
      <c r="O136" s="245">
        <v>41.83155</v>
      </c>
      <c r="P136" s="245">
        <v>35.989429999999999</v>
      </c>
      <c r="Q136" s="246">
        <v>34.001510000000003</v>
      </c>
      <c r="S136" s="269">
        <v>38.351532222222225</v>
      </c>
      <c r="T136" s="271">
        <f t="shared" si="24"/>
        <v>1.0907399933231698</v>
      </c>
      <c r="U136" s="271">
        <f t="shared" si="25"/>
        <v>0.88657500834603775</v>
      </c>
    </row>
    <row r="137" spans="2:21" x14ac:dyDescent="0.2">
      <c r="B137" s="248">
        <f t="shared" ref="B137:B200" si="28">EDATE(B136,1)</f>
        <v>46296</v>
      </c>
      <c r="C137" s="240">
        <v>3.7782299620862796</v>
      </c>
      <c r="D137" s="240">
        <v>3.6333240506329112</v>
      </c>
      <c r="E137" s="249">
        <f t="shared" si="26"/>
        <v>2026</v>
      </c>
      <c r="K137" s="35">
        <f t="shared" ref="K137:K200" si="29">MONTH(M137)</f>
        <v>10</v>
      </c>
      <c r="L137" s="272">
        <f t="shared" ref="L137:L200" si="30">YEAR(M137)</f>
        <v>2026</v>
      </c>
      <c r="M137" s="244">
        <f t="shared" si="27"/>
        <v>46296</v>
      </c>
      <c r="N137" s="245">
        <v>42.443730000000002</v>
      </c>
      <c r="O137" s="245">
        <v>40.509039999999999</v>
      </c>
      <c r="P137" s="245">
        <v>36.347729999999999</v>
      </c>
      <c r="Q137" s="246">
        <v>36.12556</v>
      </c>
      <c r="S137" s="269">
        <v>38.670806451612904</v>
      </c>
      <c r="T137" s="271">
        <f t="shared" ref="T137:T200" si="31">O137/S137</f>
        <v>1.047535433497804</v>
      </c>
      <c r="U137" s="271">
        <f t="shared" ref="U137:U200" si="32">Q137/S137</f>
        <v>0.93418170746457896</v>
      </c>
    </row>
    <row r="138" spans="2:21" x14ac:dyDescent="0.2">
      <c r="B138" s="248">
        <f t="shared" si="28"/>
        <v>46327</v>
      </c>
      <c r="C138" s="240">
        <v>3.8831587457731325</v>
      </c>
      <c r="D138" s="240">
        <v>3.8087164556962021</v>
      </c>
      <c r="E138" s="249">
        <f t="shared" si="26"/>
        <v>2026</v>
      </c>
      <c r="K138" s="35">
        <f t="shared" si="29"/>
        <v>11</v>
      </c>
      <c r="L138" s="272">
        <f t="shared" si="30"/>
        <v>2026</v>
      </c>
      <c r="M138" s="244">
        <f t="shared" si="27"/>
        <v>46327</v>
      </c>
      <c r="N138" s="245">
        <v>42.974589999999999</v>
      </c>
      <c r="O138" s="245">
        <v>41.536999999999999</v>
      </c>
      <c r="P138" s="245">
        <v>37.694899999999997</v>
      </c>
      <c r="Q138" s="246">
        <v>37.010770000000001</v>
      </c>
      <c r="S138" s="269">
        <v>39.421411220527048</v>
      </c>
      <c r="T138" s="271">
        <f t="shared" si="31"/>
        <v>1.0536659828750967</v>
      </c>
      <c r="U138" s="271">
        <f t="shared" si="32"/>
        <v>0.938849443845587</v>
      </c>
    </row>
    <row r="139" spans="2:21" x14ac:dyDescent="0.2">
      <c r="B139" s="250">
        <f t="shared" si="28"/>
        <v>46357</v>
      </c>
      <c r="C139" s="251">
        <v>4.0905570447791781</v>
      </c>
      <c r="D139" s="251">
        <v>4.0785898734177204</v>
      </c>
      <c r="E139" s="252">
        <f t="shared" si="26"/>
        <v>2026</v>
      </c>
      <c r="K139" s="35">
        <f t="shared" si="29"/>
        <v>12</v>
      </c>
      <c r="L139" s="272">
        <f t="shared" si="30"/>
        <v>2026</v>
      </c>
      <c r="M139" s="253">
        <f t="shared" si="27"/>
        <v>46357</v>
      </c>
      <c r="N139" s="254">
        <v>43.399749999999997</v>
      </c>
      <c r="O139" s="254">
        <v>42.06662</v>
      </c>
      <c r="P139" s="254">
        <v>37.797449999999998</v>
      </c>
      <c r="Q139" s="255">
        <v>37.928809999999999</v>
      </c>
      <c r="S139" s="269">
        <v>40.242424193548388</v>
      </c>
      <c r="T139" s="271">
        <f t="shared" si="31"/>
        <v>1.0453301669322412</v>
      </c>
      <c r="U139" s="271">
        <f t="shared" si="32"/>
        <v>0.94250808096398664</v>
      </c>
    </row>
    <row r="140" spans="2:21" x14ac:dyDescent="0.2">
      <c r="B140" s="239">
        <f t="shared" si="28"/>
        <v>46388</v>
      </c>
      <c r="C140" s="240">
        <v>4.1640276872630393</v>
      </c>
      <c r="D140" s="240">
        <v>4.2765645569620245</v>
      </c>
      <c r="E140" s="241">
        <f t="shared" si="26"/>
        <v>2027</v>
      </c>
      <c r="K140" s="35">
        <f t="shared" si="29"/>
        <v>1</v>
      </c>
      <c r="L140" s="272">
        <f t="shared" si="30"/>
        <v>2027</v>
      </c>
      <c r="M140" s="244">
        <f t="shared" si="27"/>
        <v>46388</v>
      </c>
      <c r="N140" s="256">
        <v>42.224690000000002</v>
      </c>
      <c r="O140" s="256">
        <v>41.804430000000004</v>
      </c>
      <c r="P140" s="256">
        <v>38.15184</v>
      </c>
      <c r="Q140" s="257">
        <v>38.415799999999997</v>
      </c>
      <c r="S140" s="269">
        <v>40.237644086021504</v>
      </c>
      <c r="T140" s="271">
        <f t="shared" si="31"/>
        <v>1.0389383113640791</v>
      </c>
      <c r="U140" s="271">
        <f t="shared" si="32"/>
        <v>0.95472289376269892</v>
      </c>
    </row>
    <row r="141" spans="2:21" x14ac:dyDescent="0.2">
      <c r="B141" s="248">
        <f t="shared" si="28"/>
        <v>46419</v>
      </c>
      <c r="C141" s="240">
        <v>4.1985599139256076</v>
      </c>
      <c r="D141" s="240">
        <v>4.2626911392405056</v>
      </c>
      <c r="E141" s="249">
        <f t="shared" si="26"/>
        <v>2027</v>
      </c>
      <c r="K141" s="35">
        <f t="shared" si="29"/>
        <v>2</v>
      </c>
      <c r="L141" s="272">
        <f t="shared" si="30"/>
        <v>2027</v>
      </c>
      <c r="M141" s="244">
        <f t="shared" si="27"/>
        <v>46419</v>
      </c>
      <c r="N141" s="245">
        <v>43.899090000000001</v>
      </c>
      <c r="O141" s="245">
        <v>42.998399999999997</v>
      </c>
      <c r="P141" s="245">
        <v>40.04889</v>
      </c>
      <c r="Q141" s="246">
        <v>39.389319999999998</v>
      </c>
      <c r="S141" s="269">
        <v>41.451651428571431</v>
      </c>
      <c r="T141" s="271">
        <f t="shared" si="31"/>
        <v>1.0373145222957858</v>
      </c>
      <c r="U141" s="271">
        <f t="shared" si="32"/>
        <v>0.95024730360561882</v>
      </c>
    </row>
    <row r="142" spans="2:21" x14ac:dyDescent="0.2">
      <c r="B142" s="248">
        <f t="shared" si="28"/>
        <v>46447</v>
      </c>
      <c r="C142" s="240">
        <v>4.0509013423506506</v>
      </c>
      <c r="D142" s="240">
        <v>4.2488177215189866</v>
      </c>
      <c r="E142" s="249">
        <f t="shared" si="26"/>
        <v>2027</v>
      </c>
      <c r="K142" s="35">
        <f t="shared" si="29"/>
        <v>3</v>
      </c>
      <c r="L142" s="272">
        <f t="shared" si="30"/>
        <v>2027</v>
      </c>
      <c r="M142" s="244">
        <f t="shared" si="27"/>
        <v>46447</v>
      </c>
      <c r="N142" s="245">
        <v>39.207410000000003</v>
      </c>
      <c r="O142" s="245">
        <v>38.274799999999999</v>
      </c>
      <c r="P142" s="245">
        <v>37.099519999999998</v>
      </c>
      <c r="Q142" s="246">
        <v>36.896430000000002</v>
      </c>
      <c r="S142" s="269">
        <v>37.697851049798118</v>
      </c>
      <c r="T142" s="271">
        <f t="shared" si="31"/>
        <v>1.0153045580619369</v>
      </c>
      <c r="U142" s="271">
        <f t="shared" si="32"/>
        <v>0.97874093542521945</v>
      </c>
    </row>
    <row r="143" spans="2:21" x14ac:dyDescent="0.2">
      <c r="B143" s="248">
        <f t="shared" si="28"/>
        <v>46478</v>
      </c>
      <c r="C143" s="240">
        <v>3.7761805717798955</v>
      </c>
      <c r="D143" s="240">
        <v>3.68193164556962</v>
      </c>
      <c r="E143" s="249">
        <f t="shared" si="26"/>
        <v>2027</v>
      </c>
      <c r="K143" s="35">
        <f t="shared" si="29"/>
        <v>4</v>
      </c>
      <c r="L143" s="272">
        <f t="shared" si="30"/>
        <v>2027</v>
      </c>
      <c r="M143" s="244">
        <f t="shared" si="27"/>
        <v>46478</v>
      </c>
      <c r="N143" s="245">
        <v>32.047870000000003</v>
      </c>
      <c r="O143" s="245">
        <v>31.794280000000001</v>
      </c>
      <c r="P143" s="245">
        <v>28.535540000000001</v>
      </c>
      <c r="Q143" s="246">
        <v>29.316579999999998</v>
      </c>
      <c r="S143" s="269">
        <v>30.748140000000003</v>
      </c>
      <c r="T143" s="271">
        <f t="shared" si="31"/>
        <v>1.034022870976911</v>
      </c>
      <c r="U143" s="271">
        <f t="shared" si="32"/>
        <v>0.95344238708422668</v>
      </c>
    </row>
    <row r="144" spans="2:21" x14ac:dyDescent="0.2">
      <c r="B144" s="248">
        <f t="shared" si="28"/>
        <v>46508</v>
      </c>
      <c r="C144" s="240">
        <v>3.7482063940977564</v>
      </c>
      <c r="D144" s="240">
        <v>3.7234506329113919</v>
      </c>
      <c r="E144" s="249">
        <f t="shared" si="26"/>
        <v>2027</v>
      </c>
      <c r="K144" s="35">
        <f t="shared" si="29"/>
        <v>5</v>
      </c>
      <c r="L144" s="272">
        <f t="shared" si="30"/>
        <v>2027</v>
      </c>
      <c r="M144" s="244">
        <f t="shared" si="27"/>
        <v>46508</v>
      </c>
      <c r="N144" s="245">
        <v>28.80742</v>
      </c>
      <c r="O144" s="245">
        <v>31.86777</v>
      </c>
      <c r="P144" s="245">
        <v>23.792549999999999</v>
      </c>
      <c r="Q144" s="246">
        <v>29.385950000000001</v>
      </c>
      <c r="S144" s="269">
        <v>30.720261827956993</v>
      </c>
      <c r="T144" s="271">
        <f t="shared" si="31"/>
        <v>1.0373534632767589</v>
      </c>
      <c r="U144" s="271">
        <f t="shared" si="32"/>
        <v>0.95656574037586162</v>
      </c>
    </row>
    <row r="145" spans="2:21" x14ac:dyDescent="0.2">
      <c r="B145" s="248">
        <f t="shared" si="28"/>
        <v>46539</v>
      </c>
      <c r="C145" s="240">
        <v>3.731708802131366</v>
      </c>
      <c r="D145" s="240">
        <v>3.5851215189873415</v>
      </c>
      <c r="E145" s="249">
        <f t="shared" si="26"/>
        <v>2027</v>
      </c>
      <c r="K145" s="35">
        <f t="shared" si="29"/>
        <v>6</v>
      </c>
      <c r="L145" s="272">
        <f t="shared" si="30"/>
        <v>2027</v>
      </c>
      <c r="M145" s="244">
        <f t="shared" si="27"/>
        <v>46539</v>
      </c>
      <c r="N145" s="245">
        <v>33.06561</v>
      </c>
      <c r="O145" s="245">
        <v>34.589790000000001</v>
      </c>
      <c r="P145" s="245">
        <v>25.85106</v>
      </c>
      <c r="Q145" s="246">
        <v>30.52928</v>
      </c>
      <c r="S145" s="269">
        <v>32.875352444444445</v>
      </c>
      <c r="T145" s="271">
        <f t="shared" si="31"/>
        <v>1.0521496327211322</v>
      </c>
      <c r="U145" s="271">
        <f t="shared" si="32"/>
        <v>0.92863734469739789</v>
      </c>
    </row>
    <row r="146" spans="2:21" x14ac:dyDescent="0.2">
      <c r="B146" s="248">
        <f t="shared" si="28"/>
        <v>46569</v>
      </c>
      <c r="C146" s="240">
        <v>3.7902188953786249</v>
      </c>
      <c r="D146" s="240">
        <v>3.7372227848101263</v>
      </c>
      <c r="E146" s="249">
        <f t="shared" si="26"/>
        <v>2027</v>
      </c>
      <c r="K146" s="35">
        <f t="shared" si="29"/>
        <v>7</v>
      </c>
      <c r="L146" s="272">
        <f t="shared" si="30"/>
        <v>2027</v>
      </c>
      <c r="M146" s="244">
        <f t="shared" si="27"/>
        <v>46569</v>
      </c>
      <c r="N146" s="245">
        <v>47.915619999999997</v>
      </c>
      <c r="O146" s="245">
        <v>48.274889999999999</v>
      </c>
      <c r="P146" s="245">
        <v>37.140619999999998</v>
      </c>
      <c r="Q146" s="246">
        <v>38.23874</v>
      </c>
      <c r="S146" s="269">
        <v>43.850350752688172</v>
      </c>
      <c r="T146" s="271">
        <f t="shared" si="31"/>
        <v>1.1009008861129939</v>
      </c>
      <c r="U146" s="271">
        <f t="shared" si="32"/>
        <v>0.87202814444205645</v>
      </c>
    </row>
    <row r="147" spans="2:21" x14ac:dyDescent="0.2">
      <c r="B147" s="248">
        <f t="shared" si="28"/>
        <v>46600</v>
      </c>
      <c r="C147" s="240">
        <v>3.8602055743416335</v>
      </c>
      <c r="D147" s="240">
        <v>3.8340329113924048</v>
      </c>
      <c r="E147" s="249">
        <f t="shared" si="26"/>
        <v>2027</v>
      </c>
      <c r="K147" s="35">
        <f t="shared" si="29"/>
        <v>8</v>
      </c>
      <c r="L147" s="272">
        <f t="shared" si="30"/>
        <v>2027</v>
      </c>
      <c r="M147" s="244">
        <f t="shared" si="27"/>
        <v>46600</v>
      </c>
      <c r="N147" s="245">
        <v>51.280059999999999</v>
      </c>
      <c r="O147" s="245">
        <v>51.111879999999999</v>
      </c>
      <c r="P147" s="245">
        <v>39.174349999999997</v>
      </c>
      <c r="Q147" s="246">
        <v>39.561369999999997</v>
      </c>
      <c r="S147" s="269">
        <v>46.01971967741936</v>
      </c>
      <c r="T147" s="271">
        <f t="shared" si="31"/>
        <v>1.1106517023196738</v>
      </c>
      <c r="U147" s="271">
        <f t="shared" si="32"/>
        <v>0.85966125559455975</v>
      </c>
    </row>
    <row r="148" spans="2:21" x14ac:dyDescent="0.2">
      <c r="B148" s="248">
        <f t="shared" si="28"/>
        <v>46631</v>
      </c>
      <c r="C148" s="240">
        <v>3.8576438364586534</v>
      </c>
      <c r="D148" s="240">
        <v>3.7095772151898729</v>
      </c>
      <c r="E148" s="249">
        <f t="shared" si="26"/>
        <v>2027</v>
      </c>
      <c r="K148" s="35">
        <f t="shared" si="29"/>
        <v>9</v>
      </c>
      <c r="L148" s="272">
        <f t="shared" si="30"/>
        <v>2027</v>
      </c>
      <c r="M148" s="244">
        <f t="shared" si="27"/>
        <v>46631</v>
      </c>
      <c r="N148" s="245">
        <v>46.065190000000001</v>
      </c>
      <c r="O148" s="245">
        <v>42.398269999999997</v>
      </c>
      <c r="P148" s="245">
        <v>37.046790000000001</v>
      </c>
      <c r="Q148" s="246">
        <v>35.097810000000003</v>
      </c>
      <c r="S148" s="269">
        <v>39.153621111111114</v>
      </c>
      <c r="T148" s="271">
        <f t="shared" si="31"/>
        <v>1.0828697013663471</v>
      </c>
      <c r="U148" s="271">
        <f t="shared" si="32"/>
        <v>0.89641287329206587</v>
      </c>
    </row>
    <row r="149" spans="2:21" x14ac:dyDescent="0.2">
      <c r="B149" s="248">
        <f t="shared" si="28"/>
        <v>46661</v>
      </c>
      <c r="C149" s="240">
        <v>3.9721022850701919</v>
      </c>
      <c r="D149" s="240">
        <v>3.806387341772151</v>
      </c>
      <c r="E149" s="249">
        <f t="shared" si="26"/>
        <v>2027</v>
      </c>
      <c r="K149" s="35">
        <f t="shared" si="29"/>
        <v>10</v>
      </c>
      <c r="L149" s="272">
        <f t="shared" si="30"/>
        <v>2027</v>
      </c>
      <c r="M149" s="244">
        <f t="shared" si="27"/>
        <v>46661</v>
      </c>
      <c r="N149" s="245">
        <v>43.414380000000001</v>
      </c>
      <c r="O149" s="245">
        <v>41.716790000000003</v>
      </c>
      <c r="P149" s="245">
        <v>37.454039999999999</v>
      </c>
      <c r="Q149" s="246">
        <v>37.270389999999999</v>
      </c>
      <c r="S149" s="269">
        <v>39.756549139784951</v>
      </c>
      <c r="T149" s="271">
        <f t="shared" si="31"/>
        <v>1.0493061118892084</v>
      </c>
      <c r="U149" s="271">
        <f t="shared" si="32"/>
        <v>0.93746541906734515</v>
      </c>
    </row>
    <row r="150" spans="2:21" x14ac:dyDescent="0.2">
      <c r="B150" s="248">
        <f t="shared" si="28"/>
        <v>46692</v>
      </c>
      <c r="C150" s="240">
        <v>4.0521309765344808</v>
      </c>
      <c r="D150" s="240">
        <v>3.9584886075949361</v>
      </c>
      <c r="E150" s="249">
        <f t="shared" si="26"/>
        <v>2027</v>
      </c>
      <c r="K150" s="35">
        <f t="shared" si="29"/>
        <v>11</v>
      </c>
      <c r="L150" s="272">
        <f t="shared" si="30"/>
        <v>2027</v>
      </c>
      <c r="M150" s="244">
        <f t="shared" si="27"/>
        <v>46692</v>
      </c>
      <c r="N150" s="245">
        <v>44.084339999999997</v>
      </c>
      <c r="O150" s="245">
        <v>42.806150000000002</v>
      </c>
      <c r="P150" s="245">
        <v>38.383940000000003</v>
      </c>
      <c r="Q150" s="246">
        <v>37.827559999999998</v>
      </c>
      <c r="S150" s="269">
        <v>40.589607156726771</v>
      </c>
      <c r="T150" s="271">
        <f t="shared" si="31"/>
        <v>1.0546086301036273</v>
      </c>
      <c r="U150" s="271">
        <f t="shared" si="32"/>
        <v>0.93195186279921838</v>
      </c>
    </row>
    <row r="151" spans="2:21" x14ac:dyDescent="0.2">
      <c r="B151" s="250">
        <f t="shared" si="28"/>
        <v>46722</v>
      </c>
      <c r="C151" s="251">
        <v>4.2365761041090275</v>
      </c>
      <c r="D151" s="251">
        <v>4.19352658227848</v>
      </c>
      <c r="E151" s="252">
        <f t="shared" si="26"/>
        <v>2027</v>
      </c>
      <c r="K151" s="35">
        <f t="shared" si="29"/>
        <v>12</v>
      </c>
      <c r="L151" s="272">
        <f t="shared" si="30"/>
        <v>2027</v>
      </c>
      <c r="M151" s="253">
        <f t="shared" si="27"/>
        <v>46722</v>
      </c>
      <c r="N151" s="254">
        <v>44.34064</v>
      </c>
      <c r="O151" s="254">
        <v>42.329590000000003</v>
      </c>
      <c r="P151" s="254">
        <v>38.578960000000002</v>
      </c>
      <c r="Q151" s="255">
        <v>38.78651</v>
      </c>
      <c r="S151" s="269">
        <v>40.767586989247313</v>
      </c>
      <c r="T151" s="271">
        <f t="shared" si="31"/>
        <v>1.0383148262163437</v>
      </c>
      <c r="U151" s="271">
        <f t="shared" si="32"/>
        <v>0.95140558626219807</v>
      </c>
    </row>
    <row r="152" spans="2:21" x14ac:dyDescent="0.2">
      <c r="B152" s="239">
        <f t="shared" si="28"/>
        <v>46753</v>
      </c>
      <c r="C152" s="240">
        <v>4.3131208320524648</v>
      </c>
      <c r="D152" s="240">
        <v>4.3685139240506317</v>
      </c>
      <c r="E152" s="241">
        <f t="shared" si="26"/>
        <v>2028</v>
      </c>
      <c r="K152" s="35">
        <f t="shared" si="29"/>
        <v>1</v>
      </c>
      <c r="L152" s="272">
        <f t="shared" si="30"/>
        <v>2028</v>
      </c>
      <c r="M152" s="244">
        <f t="shared" si="27"/>
        <v>46753</v>
      </c>
      <c r="N152" s="256">
        <v>43.564190000000004</v>
      </c>
      <c r="O152" s="256">
        <v>42.903489999999998</v>
      </c>
      <c r="P152" s="256">
        <v>39.335990000000002</v>
      </c>
      <c r="Q152" s="257">
        <v>39.528759999999998</v>
      </c>
      <c r="S152" s="269">
        <v>41.343130967741935</v>
      </c>
      <c r="T152" s="271">
        <f t="shared" si="31"/>
        <v>1.0377416754787037</v>
      </c>
      <c r="U152" s="271">
        <f t="shared" si="32"/>
        <v>0.95611433083871655</v>
      </c>
    </row>
    <row r="153" spans="2:21" x14ac:dyDescent="0.2">
      <c r="B153" s="248">
        <f t="shared" si="28"/>
        <v>46784</v>
      </c>
      <c r="C153" s="240">
        <v>4.3336147351163037</v>
      </c>
      <c r="D153" s="240">
        <v>4.4676531645569604</v>
      </c>
      <c r="E153" s="249">
        <f t="shared" si="26"/>
        <v>2028</v>
      </c>
      <c r="K153" s="35">
        <f t="shared" si="29"/>
        <v>2</v>
      </c>
      <c r="L153" s="272">
        <f t="shared" si="30"/>
        <v>2028</v>
      </c>
      <c r="M153" s="244">
        <f t="shared" si="27"/>
        <v>46784</v>
      </c>
      <c r="N153" s="245">
        <v>46.05274</v>
      </c>
      <c r="O153" s="245">
        <v>44.579070000000002</v>
      </c>
      <c r="P153" s="245">
        <v>41.807589999999998</v>
      </c>
      <c r="Q153" s="246">
        <v>41.083449999999999</v>
      </c>
      <c r="S153" s="269">
        <v>43.092427011494252</v>
      </c>
      <c r="T153" s="271">
        <f t="shared" si="31"/>
        <v>1.0344989384819103</v>
      </c>
      <c r="U153" s="271">
        <f t="shared" si="32"/>
        <v>0.95337981286228346</v>
      </c>
    </row>
    <row r="154" spans="2:21" x14ac:dyDescent="0.2">
      <c r="B154" s="248">
        <f t="shared" si="28"/>
        <v>46813</v>
      </c>
      <c r="C154" s="240">
        <v>4.1537807357311198</v>
      </c>
      <c r="D154" s="240">
        <v>4.4392987341772141</v>
      </c>
      <c r="E154" s="249">
        <f t="shared" si="26"/>
        <v>2028</v>
      </c>
      <c r="K154" s="35">
        <f t="shared" si="29"/>
        <v>3</v>
      </c>
      <c r="L154" s="272">
        <f t="shared" si="30"/>
        <v>2028</v>
      </c>
      <c r="M154" s="244">
        <f t="shared" si="27"/>
        <v>46813</v>
      </c>
      <c r="N154" s="245">
        <v>40.681609999999999</v>
      </c>
      <c r="O154" s="245">
        <v>39.581409999999998</v>
      </c>
      <c r="P154" s="245">
        <v>38.347529999999999</v>
      </c>
      <c r="Q154" s="246">
        <v>37.959130000000002</v>
      </c>
      <c r="S154" s="269">
        <v>38.902366823687757</v>
      </c>
      <c r="T154" s="271">
        <f t="shared" si="31"/>
        <v>1.0174550607522104</v>
      </c>
      <c r="U154" s="271">
        <f t="shared" si="32"/>
        <v>0.97575374197763676</v>
      </c>
    </row>
    <row r="155" spans="2:21" x14ac:dyDescent="0.2">
      <c r="B155" s="248">
        <f t="shared" si="28"/>
        <v>46844</v>
      </c>
      <c r="C155" s="240">
        <v>3.9581664309867817</v>
      </c>
      <c r="D155" s="240">
        <v>3.8865898734177211</v>
      </c>
      <c r="E155" s="249">
        <f t="shared" si="26"/>
        <v>2028</v>
      </c>
      <c r="K155" s="35">
        <f t="shared" si="29"/>
        <v>4</v>
      </c>
      <c r="L155" s="272">
        <f t="shared" si="30"/>
        <v>2028</v>
      </c>
      <c r="M155" s="244">
        <f t="shared" si="27"/>
        <v>46844</v>
      </c>
      <c r="N155" s="245">
        <v>34.516449999999999</v>
      </c>
      <c r="O155" s="245">
        <v>33.334620000000001</v>
      </c>
      <c r="P155" s="245">
        <v>30.495180000000001</v>
      </c>
      <c r="Q155" s="246">
        <v>30.865629999999999</v>
      </c>
      <c r="S155" s="269">
        <v>32.237291111111112</v>
      </c>
      <c r="T155" s="271">
        <f t="shared" si="31"/>
        <v>1.0340391159141369</v>
      </c>
      <c r="U155" s="271">
        <f t="shared" si="32"/>
        <v>0.95745110510732867</v>
      </c>
    </row>
    <row r="156" spans="2:21" x14ac:dyDescent="0.2">
      <c r="B156" s="248">
        <f t="shared" si="28"/>
        <v>46874</v>
      </c>
      <c r="C156" s="240">
        <v>3.9151292345527207</v>
      </c>
      <c r="D156" s="240">
        <v>3.9716531645569617</v>
      </c>
      <c r="E156" s="249">
        <f t="shared" si="26"/>
        <v>2028</v>
      </c>
      <c r="K156" s="35">
        <f t="shared" si="29"/>
        <v>5</v>
      </c>
      <c r="L156" s="272">
        <f t="shared" si="30"/>
        <v>2028</v>
      </c>
      <c r="M156" s="244">
        <f t="shared" si="27"/>
        <v>46874</v>
      </c>
      <c r="N156" s="245">
        <v>32.105989999999998</v>
      </c>
      <c r="O156" s="245">
        <v>33.854770000000002</v>
      </c>
      <c r="P156" s="245">
        <v>26.271360000000001</v>
      </c>
      <c r="Q156" s="246">
        <v>31.164300000000001</v>
      </c>
      <c r="S156" s="269">
        <v>32.6686488172043</v>
      </c>
      <c r="T156" s="271">
        <f t="shared" si="31"/>
        <v>1.0363076290492632</v>
      </c>
      <c r="U156" s="271">
        <f t="shared" si="32"/>
        <v>0.95395129974239823</v>
      </c>
    </row>
    <row r="157" spans="2:21" x14ac:dyDescent="0.2">
      <c r="B157" s="248">
        <f t="shared" si="28"/>
        <v>46905</v>
      </c>
      <c r="C157" s="240">
        <v>3.8982217645250539</v>
      </c>
      <c r="D157" s="240">
        <v>3.8157037974683541</v>
      </c>
      <c r="E157" s="249">
        <f t="shared" si="26"/>
        <v>2028</v>
      </c>
      <c r="K157" s="35">
        <f t="shared" si="29"/>
        <v>6</v>
      </c>
      <c r="L157" s="272">
        <f t="shared" si="30"/>
        <v>2028</v>
      </c>
      <c r="M157" s="244">
        <f t="shared" si="27"/>
        <v>46905</v>
      </c>
      <c r="N157" s="245">
        <v>35.426009999999998</v>
      </c>
      <c r="O157" s="245">
        <v>36.423929999999999</v>
      </c>
      <c r="P157" s="245">
        <v>27.81183</v>
      </c>
      <c r="Q157" s="246">
        <v>32.127490000000002</v>
      </c>
      <c r="S157" s="269">
        <v>34.609877555555556</v>
      </c>
      <c r="T157" s="271">
        <f t="shared" si="31"/>
        <v>1.0524142982457114</v>
      </c>
      <c r="U157" s="271">
        <f t="shared" si="32"/>
        <v>0.928275170821658</v>
      </c>
    </row>
    <row r="158" spans="2:21" x14ac:dyDescent="0.2">
      <c r="B158" s="248">
        <f t="shared" si="28"/>
        <v>46935</v>
      </c>
      <c r="C158" s="240">
        <v>3.9725121631314688</v>
      </c>
      <c r="D158" s="240">
        <v>3.9858303797468349</v>
      </c>
      <c r="E158" s="249">
        <f t="shared" si="26"/>
        <v>2028</v>
      </c>
      <c r="K158" s="35">
        <f t="shared" si="29"/>
        <v>7</v>
      </c>
      <c r="L158" s="272">
        <f t="shared" si="30"/>
        <v>2028</v>
      </c>
      <c r="M158" s="244">
        <f t="shared" si="27"/>
        <v>46935</v>
      </c>
      <c r="N158" s="245">
        <v>50.502630000000003</v>
      </c>
      <c r="O158" s="245">
        <v>50.63223</v>
      </c>
      <c r="P158" s="245">
        <v>39.60698</v>
      </c>
      <c r="Q158" s="246">
        <v>40.461150000000004</v>
      </c>
      <c r="S158" s="269">
        <v>45.929472580645154</v>
      </c>
      <c r="T158" s="271">
        <f t="shared" si="31"/>
        <v>1.1023908430713529</v>
      </c>
      <c r="U158" s="271">
        <f t="shared" si="32"/>
        <v>0.88094088014959004</v>
      </c>
    </row>
    <row r="159" spans="2:21" x14ac:dyDescent="0.2">
      <c r="B159" s="248">
        <f t="shared" si="28"/>
        <v>46966</v>
      </c>
      <c r="C159" s="240">
        <v>4.072829818628958</v>
      </c>
      <c r="D159" s="240">
        <v>4.0991468354430367</v>
      </c>
      <c r="E159" s="249">
        <f t="shared" si="26"/>
        <v>2028</v>
      </c>
      <c r="K159" s="35">
        <f t="shared" si="29"/>
        <v>8</v>
      </c>
      <c r="L159" s="272">
        <f t="shared" si="30"/>
        <v>2028</v>
      </c>
      <c r="M159" s="244">
        <f t="shared" si="27"/>
        <v>46966</v>
      </c>
      <c r="N159" s="245">
        <v>53.675190000000001</v>
      </c>
      <c r="O159" s="245">
        <v>53.328249999999997</v>
      </c>
      <c r="P159" s="245">
        <v>41.134999999999998</v>
      </c>
      <c r="Q159" s="246">
        <v>41.466810000000002</v>
      </c>
      <c r="S159" s="269">
        <v>48.354097741935483</v>
      </c>
      <c r="T159" s="271">
        <f t="shared" si="31"/>
        <v>1.1028693014728852</v>
      </c>
      <c r="U159" s="271">
        <f t="shared" si="32"/>
        <v>0.85756558257600524</v>
      </c>
    </row>
    <row r="160" spans="2:21" x14ac:dyDescent="0.2">
      <c r="B160" s="248">
        <f t="shared" si="28"/>
        <v>46997</v>
      </c>
      <c r="C160" s="240">
        <v>4.0846138128906651</v>
      </c>
      <c r="D160" s="240">
        <v>3.9716531645569617</v>
      </c>
      <c r="E160" s="249">
        <f t="shared" si="26"/>
        <v>2028</v>
      </c>
      <c r="K160" s="35">
        <f t="shared" si="29"/>
        <v>9</v>
      </c>
      <c r="L160" s="272">
        <f t="shared" si="30"/>
        <v>2028</v>
      </c>
      <c r="M160" s="244">
        <f t="shared" si="27"/>
        <v>46997</v>
      </c>
      <c r="N160" s="245">
        <v>47.84064</v>
      </c>
      <c r="O160" s="245">
        <v>43.781739999999999</v>
      </c>
      <c r="P160" s="245">
        <v>39.511699999999998</v>
      </c>
      <c r="Q160" s="246">
        <v>37.192970000000003</v>
      </c>
      <c r="S160" s="269">
        <v>40.853397777777779</v>
      </c>
      <c r="T160" s="271">
        <f t="shared" si="31"/>
        <v>1.0716792820550924</v>
      </c>
      <c r="U160" s="271">
        <f t="shared" si="32"/>
        <v>0.91040089743113439</v>
      </c>
    </row>
    <row r="161" spans="2:21" x14ac:dyDescent="0.2">
      <c r="B161" s="248">
        <f t="shared" si="28"/>
        <v>47027</v>
      </c>
      <c r="C161" s="240">
        <v>4.1875956757864543</v>
      </c>
      <c r="D161" s="240">
        <v>4.0991468354430367</v>
      </c>
      <c r="E161" s="249">
        <f t="shared" si="26"/>
        <v>2028</v>
      </c>
      <c r="K161" s="35">
        <f t="shared" si="29"/>
        <v>10</v>
      </c>
      <c r="L161" s="272">
        <f t="shared" si="30"/>
        <v>2028</v>
      </c>
      <c r="M161" s="244">
        <f t="shared" si="27"/>
        <v>47027</v>
      </c>
      <c r="N161" s="245">
        <v>46.072319999999998</v>
      </c>
      <c r="O161" s="245">
        <v>43.199210000000001</v>
      </c>
      <c r="P161" s="245">
        <v>39.502800000000001</v>
      </c>
      <c r="Q161" s="246">
        <v>38.828380000000003</v>
      </c>
      <c r="S161" s="269">
        <v>41.27228494623656</v>
      </c>
      <c r="T161" s="271">
        <f t="shared" si="31"/>
        <v>1.0466881117988391</v>
      </c>
      <c r="U161" s="271">
        <f t="shared" si="32"/>
        <v>0.94078580942586254</v>
      </c>
    </row>
    <row r="162" spans="2:21" x14ac:dyDescent="0.2">
      <c r="B162" s="248">
        <f t="shared" si="28"/>
        <v>47058</v>
      </c>
      <c r="C162" s="240">
        <v>4.3131208320524648</v>
      </c>
      <c r="D162" s="240">
        <v>4.2550962025316439</v>
      </c>
      <c r="E162" s="249">
        <f t="shared" si="26"/>
        <v>2028</v>
      </c>
      <c r="K162" s="35">
        <f t="shared" si="29"/>
        <v>11</v>
      </c>
      <c r="L162" s="272">
        <f t="shared" si="30"/>
        <v>2028</v>
      </c>
      <c r="M162" s="244">
        <f t="shared" si="27"/>
        <v>47058</v>
      </c>
      <c r="N162" s="245">
        <v>47.063769999999998</v>
      </c>
      <c r="O162" s="245">
        <v>45.537210000000002</v>
      </c>
      <c r="P162" s="245">
        <v>40.952100000000002</v>
      </c>
      <c r="Q162" s="246">
        <v>40.58914</v>
      </c>
      <c r="S162" s="269">
        <v>43.334255117891821</v>
      </c>
      <c r="T162" s="271">
        <f t="shared" si="31"/>
        <v>1.0508363389682134</v>
      </c>
      <c r="U162" s="271">
        <f t="shared" si="32"/>
        <v>0.93665253711126051</v>
      </c>
    </row>
    <row r="163" spans="2:21" x14ac:dyDescent="0.2">
      <c r="B163" s="250">
        <f t="shared" si="28"/>
        <v>47088</v>
      </c>
      <c r="C163" s="251">
        <v>4.5594575468798038</v>
      </c>
      <c r="D163" s="251">
        <v>4.4960075949367084</v>
      </c>
      <c r="E163" s="252">
        <f t="shared" si="26"/>
        <v>2028</v>
      </c>
      <c r="K163" s="35">
        <f t="shared" si="29"/>
        <v>12</v>
      </c>
      <c r="L163" s="272">
        <f t="shared" si="30"/>
        <v>2028</v>
      </c>
      <c r="M163" s="253">
        <f t="shared" si="27"/>
        <v>47088</v>
      </c>
      <c r="N163" s="254">
        <v>47.073819999999998</v>
      </c>
      <c r="O163" s="254">
        <v>44.762540000000001</v>
      </c>
      <c r="P163" s="254">
        <v>41.51247</v>
      </c>
      <c r="Q163" s="255">
        <v>41.591349999999998</v>
      </c>
      <c r="S163" s="269">
        <v>43.296290860215052</v>
      </c>
      <c r="T163" s="271">
        <f t="shared" si="31"/>
        <v>1.0338654677029686</v>
      </c>
      <c r="U163" s="271">
        <f t="shared" si="32"/>
        <v>0.96062154918259468</v>
      </c>
    </row>
    <row r="164" spans="2:21" x14ac:dyDescent="0.2">
      <c r="B164" s="239">
        <f t="shared" si="28"/>
        <v>47119</v>
      </c>
      <c r="C164" s="240">
        <v>4.6726863613075116</v>
      </c>
      <c r="D164" s="240">
        <v>4.8110455696202523</v>
      </c>
      <c r="E164" s="241">
        <f t="shared" si="26"/>
        <v>2029</v>
      </c>
      <c r="K164" s="35">
        <f t="shared" si="29"/>
        <v>1</v>
      </c>
      <c r="L164" s="272">
        <f t="shared" si="30"/>
        <v>2029</v>
      </c>
      <c r="M164" s="244">
        <f t="shared" si="27"/>
        <v>47119</v>
      </c>
      <c r="N164" s="256">
        <v>46.013539999999999</v>
      </c>
      <c r="O164" s="256">
        <v>45.698979999999999</v>
      </c>
      <c r="P164" s="256">
        <v>41.735950000000003</v>
      </c>
      <c r="Q164" s="257">
        <v>42.126240000000003</v>
      </c>
      <c r="S164" s="269">
        <v>44.123901075268812</v>
      </c>
      <c r="T164" s="271">
        <f t="shared" si="31"/>
        <v>1.0356967286742016</v>
      </c>
      <c r="U164" s="271">
        <f t="shared" si="32"/>
        <v>0.95472610021808602</v>
      </c>
    </row>
    <row r="165" spans="2:21" x14ac:dyDescent="0.2">
      <c r="B165" s="248">
        <f t="shared" si="28"/>
        <v>47150</v>
      </c>
      <c r="C165" s="240">
        <v>4.7079358745773137</v>
      </c>
      <c r="D165" s="240">
        <v>4.898235443037974</v>
      </c>
      <c r="E165" s="249">
        <f t="shared" si="26"/>
        <v>2029</v>
      </c>
      <c r="K165" s="35">
        <f t="shared" si="29"/>
        <v>2</v>
      </c>
      <c r="L165" s="272">
        <f t="shared" si="30"/>
        <v>2029</v>
      </c>
      <c r="M165" s="244">
        <f t="shared" si="27"/>
        <v>47150</v>
      </c>
      <c r="N165" s="245">
        <v>48.83267</v>
      </c>
      <c r="O165" s="245">
        <v>46.930819999999997</v>
      </c>
      <c r="P165" s="245">
        <v>44.391860000000001</v>
      </c>
      <c r="Q165" s="246">
        <v>43.668660000000003</v>
      </c>
      <c r="S165" s="269">
        <v>45.53275142857143</v>
      </c>
      <c r="T165" s="271">
        <f t="shared" si="31"/>
        <v>1.0307046802041331</v>
      </c>
      <c r="U165" s="271">
        <f t="shared" si="32"/>
        <v>0.95906042639448918</v>
      </c>
    </row>
    <row r="166" spans="2:21" x14ac:dyDescent="0.2">
      <c r="B166" s="248">
        <f t="shared" si="28"/>
        <v>47178</v>
      </c>
      <c r="C166" s="240">
        <v>4.5678600471359774</v>
      </c>
      <c r="D166" s="240">
        <v>4.8110455696202523</v>
      </c>
      <c r="E166" s="249">
        <f t="shared" si="26"/>
        <v>2029</v>
      </c>
      <c r="K166" s="35">
        <f t="shared" si="29"/>
        <v>3</v>
      </c>
      <c r="L166" s="272">
        <f t="shared" si="30"/>
        <v>2029</v>
      </c>
      <c r="M166" s="244">
        <f t="shared" si="27"/>
        <v>47178</v>
      </c>
      <c r="N166" s="245">
        <v>43.390790000000003</v>
      </c>
      <c r="O166" s="245">
        <v>41.719340000000003</v>
      </c>
      <c r="P166" s="245">
        <v>41.279130000000002</v>
      </c>
      <c r="Q166" s="246">
        <v>40.748139999999999</v>
      </c>
      <c r="S166" s="269">
        <v>41.312821561238223</v>
      </c>
      <c r="T166" s="271">
        <f t="shared" si="31"/>
        <v>1.0098400066468274</v>
      </c>
      <c r="U166" s="271">
        <f t="shared" si="32"/>
        <v>0.9863315663298089</v>
      </c>
    </row>
    <row r="167" spans="2:21" x14ac:dyDescent="0.2">
      <c r="B167" s="248">
        <f t="shared" si="28"/>
        <v>47209</v>
      </c>
      <c r="C167" s="240">
        <v>4.2495897325545648</v>
      </c>
      <c r="D167" s="240">
        <v>4.2009189873417707</v>
      </c>
      <c r="E167" s="249">
        <f t="shared" si="26"/>
        <v>2029</v>
      </c>
      <c r="K167" s="35">
        <f t="shared" si="29"/>
        <v>4</v>
      </c>
      <c r="L167" s="272">
        <f t="shared" si="30"/>
        <v>2029</v>
      </c>
      <c r="M167" s="244">
        <f t="shared" si="27"/>
        <v>47209</v>
      </c>
      <c r="N167" s="245">
        <v>36.304310000000001</v>
      </c>
      <c r="O167" s="245">
        <v>34.60998</v>
      </c>
      <c r="P167" s="245">
        <v>32.094619999999999</v>
      </c>
      <c r="Q167" s="246">
        <v>32.036369999999998</v>
      </c>
      <c r="S167" s="269">
        <v>33.466153333333338</v>
      </c>
      <c r="T167" s="271">
        <f t="shared" si="31"/>
        <v>1.0341786119030112</v>
      </c>
      <c r="U167" s="271">
        <f t="shared" si="32"/>
        <v>0.95727673512123568</v>
      </c>
    </row>
    <row r="168" spans="2:21" x14ac:dyDescent="0.2">
      <c r="B168" s="248">
        <f t="shared" si="28"/>
        <v>47239</v>
      </c>
      <c r="C168" s="240">
        <v>4.2201809816579567</v>
      </c>
      <c r="D168" s="240">
        <v>4.2444632911392395</v>
      </c>
      <c r="E168" s="249">
        <f t="shared" si="26"/>
        <v>2029</v>
      </c>
      <c r="K168" s="35">
        <f t="shared" si="29"/>
        <v>5</v>
      </c>
      <c r="L168" s="272">
        <f t="shared" si="30"/>
        <v>2029</v>
      </c>
      <c r="M168" s="244">
        <f t="shared" si="27"/>
        <v>47239</v>
      </c>
      <c r="N168" s="245">
        <v>33.3444</v>
      </c>
      <c r="O168" s="245">
        <v>35.472020000000001</v>
      </c>
      <c r="P168" s="245">
        <v>27.07142</v>
      </c>
      <c r="Q168" s="246">
        <v>32.697450000000003</v>
      </c>
      <c r="S168" s="269">
        <v>34.248822473118281</v>
      </c>
      <c r="T168" s="271">
        <f t="shared" si="31"/>
        <v>1.0357150243002311</v>
      </c>
      <c r="U168" s="271">
        <f t="shared" si="32"/>
        <v>0.95470289600946301</v>
      </c>
    </row>
    <row r="169" spans="2:21" x14ac:dyDescent="0.2">
      <c r="B169" s="248">
        <f t="shared" si="28"/>
        <v>47270</v>
      </c>
      <c r="C169" s="240">
        <v>4.188210492878369</v>
      </c>
      <c r="D169" s="240">
        <v>4.1572734177215178</v>
      </c>
      <c r="E169" s="249">
        <f t="shared" si="26"/>
        <v>2029</v>
      </c>
      <c r="K169" s="35">
        <f t="shared" si="29"/>
        <v>6</v>
      </c>
      <c r="L169" s="272">
        <f t="shared" si="30"/>
        <v>2029</v>
      </c>
      <c r="M169" s="244">
        <f t="shared" si="27"/>
        <v>47270</v>
      </c>
      <c r="N169" s="245">
        <v>35.843829999999997</v>
      </c>
      <c r="O169" s="245">
        <v>36.53389</v>
      </c>
      <c r="P169" s="245">
        <v>28.541640000000001</v>
      </c>
      <c r="Q169" s="246">
        <v>32.972079999999998</v>
      </c>
      <c r="S169" s="269">
        <v>35.030014666666666</v>
      </c>
      <c r="T169" s="271">
        <f t="shared" si="31"/>
        <v>1.0429310506331122</v>
      </c>
      <c r="U169" s="271">
        <f t="shared" si="32"/>
        <v>0.94125224650205686</v>
      </c>
    </row>
    <row r="170" spans="2:21" x14ac:dyDescent="0.2">
      <c r="B170" s="248">
        <f t="shared" si="28"/>
        <v>47300</v>
      </c>
      <c r="C170" s="240">
        <v>4.2643453427605289</v>
      </c>
      <c r="D170" s="240">
        <v>4.1427924050632896</v>
      </c>
      <c r="E170" s="249">
        <f t="shared" si="26"/>
        <v>2029</v>
      </c>
      <c r="K170" s="35">
        <f t="shared" si="29"/>
        <v>7</v>
      </c>
      <c r="L170" s="272">
        <f t="shared" si="30"/>
        <v>2029</v>
      </c>
      <c r="M170" s="244">
        <f t="shared" si="27"/>
        <v>47300</v>
      </c>
      <c r="N170" s="245">
        <v>51.536810000000003</v>
      </c>
      <c r="O170" s="245">
        <v>52.336620000000003</v>
      </c>
      <c r="P170" s="245">
        <v>40.829929999999997</v>
      </c>
      <c r="Q170" s="246">
        <v>42.0974</v>
      </c>
      <c r="S170" s="269">
        <v>47.602356989247312</v>
      </c>
      <c r="T170" s="271">
        <f t="shared" si="31"/>
        <v>1.0994543823076259</v>
      </c>
      <c r="U170" s="271">
        <f t="shared" si="32"/>
        <v>0.88435536940973736</v>
      </c>
    </row>
    <row r="171" spans="2:21" x14ac:dyDescent="0.2">
      <c r="B171" s="248">
        <f t="shared" si="28"/>
        <v>47331</v>
      </c>
      <c r="C171" s="240">
        <v>4.367224736140999</v>
      </c>
      <c r="D171" s="240">
        <v>4.3170708860759479</v>
      </c>
      <c r="E171" s="249">
        <f t="shared" si="26"/>
        <v>2029</v>
      </c>
      <c r="K171" s="35">
        <f t="shared" si="29"/>
        <v>8</v>
      </c>
      <c r="L171" s="272">
        <f t="shared" si="30"/>
        <v>2029</v>
      </c>
      <c r="M171" s="244">
        <f t="shared" si="27"/>
        <v>47331</v>
      </c>
      <c r="N171" s="245">
        <v>55.97325</v>
      </c>
      <c r="O171" s="245">
        <v>55.870530000000002</v>
      </c>
      <c r="P171" s="245">
        <v>43.152459999999998</v>
      </c>
      <c r="Q171" s="246">
        <v>44.044060000000002</v>
      </c>
      <c r="S171" s="269">
        <v>50.911042580645166</v>
      </c>
      <c r="T171" s="271">
        <f t="shared" si="31"/>
        <v>1.0974147683481204</v>
      </c>
      <c r="U171" s="271">
        <f t="shared" si="32"/>
        <v>0.86511801305644875</v>
      </c>
    </row>
    <row r="172" spans="2:21" x14ac:dyDescent="0.2">
      <c r="B172" s="248">
        <f t="shared" si="28"/>
        <v>47362</v>
      </c>
      <c r="C172" s="240">
        <v>4.3793161389486635</v>
      </c>
      <c r="D172" s="240">
        <v>4.2444632911392395</v>
      </c>
      <c r="E172" s="249">
        <f t="shared" si="26"/>
        <v>2029</v>
      </c>
      <c r="K172" s="35">
        <f t="shared" si="29"/>
        <v>9</v>
      </c>
      <c r="L172" s="272">
        <f t="shared" si="30"/>
        <v>2029</v>
      </c>
      <c r="M172" s="244">
        <f t="shared" si="27"/>
        <v>47362</v>
      </c>
      <c r="N172" s="245">
        <v>50.979550000000003</v>
      </c>
      <c r="O172" s="245">
        <v>47.464649999999999</v>
      </c>
      <c r="P172" s="245">
        <v>42.257530000000003</v>
      </c>
      <c r="Q172" s="246">
        <v>40.037730000000003</v>
      </c>
      <c r="S172" s="269">
        <v>43.998753999999998</v>
      </c>
      <c r="T172" s="271">
        <f t="shared" si="31"/>
        <v>1.0787725943330122</v>
      </c>
      <c r="U172" s="271">
        <f t="shared" si="32"/>
        <v>0.90997417790512902</v>
      </c>
    </row>
    <row r="173" spans="2:21" x14ac:dyDescent="0.2">
      <c r="B173" s="248">
        <f t="shared" si="28"/>
        <v>47392</v>
      </c>
      <c r="C173" s="240">
        <v>4.4701041295214674</v>
      </c>
      <c r="D173" s="240">
        <v>4.4623873417721516</v>
      </c>
      <c r="E173" s="249">
        <f t="shared" si="26"/>
        <v>2029</v>
      </c>
      <c r="K173" s="35">
        <f t="shared" si="29"/>
        <v>10</v>
      </c>
      <c r="L173" s="272">
        <f t="shared" si="30"/>
        <v>2029</v>
      </c>
      <c r="M173" s="244">
        <f t="shared" si="27"/>
        <v>47392</v>
      </c>
      <c r="N173" s="245">
        <v>48.929560000000002</v>
      </c>
      <c r="O173" s="245">
        <v>46.40934</v>
      </c>
      <c r="P173" s="245">
        <v>41.990049999999997</v>
      </c>
      <c r="Q173" s="246">
        <v>41.611930000000001</v>
      </c>
      <c r="S173" s="269">
        <v>44.397522903225806</v>
      </c>
      <c r="T173" s="271">
        <f t="shared" si="31"/>
        <v>1.0453137239471535</v>
      </c>
      <c r="U173" s="271">
        <f t="shared" si="32"/>
        <v>0.93725792068855696</v>
      </c>
    </row>
    <row r="174" spans="2:21" x14ac:dyDescent="0.2">
      <c r="B174" s="248">
        <f t="shared" si="28"/>
        <v>47423</v>
      </c>
      <c r="C174" s="240">
        <v>4.6138688595142945</v>
      </c>
      <c r="D174" s="240">
        <v>4.8110455696202523</v>
      </c>
      <c r="E174" s="249">
        <f t="shared" si="26"/>
        <v>2029</v>
      </c>
      <c r="K174" s="35">
        <f t="shared" si="29"/>
        <v>11</v>
      </c>
      <c r="L174" s="272">
        <f t="shared" si="30"/>
        <v>2029</v>
      </c>
      <c r="M174" s="244">
        <f t="shared" si="27"/>
        <v>47423</v>
      </c>
      <c r="N174" s="245">
        <v>49.177280000000003</v>
      </c>
      <c r="O174" s="245">
        <v>47.137830000000001</v>
      </c>
      <c r="P174" s="245">
        <v>43.2089</v>
      </c>
      <c r="Q174" s="246">
        <v>42.793900000000001</v>
      </c>
      <c r="S174" s="269">
        <v>45.203847295423024</v>
      </c>
      <c r="T174" s="271">
        <f t="shared" si="31"/>
        <v>1.0427835863601989</v>
      </c>
      <c r="U174" s="271">
        <f t="shared" si="32"/>
        <v>0.94668711980037512</v>
      </c>
    </row>
    <row r="175" spans="2:21" x14ac:dyDescent="0.2">
      <c r="B175" s="250">
        <f t="shared" si="28"/>
        <v>47453</v>
      </c>
      <c r="C175" s="251">
        <v>4.925171247054001</v>
      </c>
      <c r="D175" s="251">
        <v>5.0725139240506323</v>
      </c>
      <c r="E175" s="252">
        <f t="shared" si="26"/>
        <v>2029</v>
      </c>
      <c r="K175" s="35">
        <f t="shared" si="29"/>
        <v>12</v>
      </c>
      <c r="L175" s="272">
        <f t="shared" si="30"/>
        <v>2029</v>
      </c>
      <c r="M175" s="253">
        <f t="shared" si="27"/>
        <v>47453</v>
      </c>
      <c r="N175" s="254">
        <v>49.858800000000002</v>
      </c>
      <c r="O175" s="254">
        <v>48.379190000000001</v>
      </c>
      <c r="P175" s="254">
        <v>44.928040000000003</v>
      </c>
      <c r="Q175" s="255">
        <v>45.398409999999998</v>
      </c>
      <c r="S175" s="269">
        <v>47.000979892473111</v>
      </c>
      <c r="T175" s="271">
        <f t="shared" si="31"/>
        <v>1.0293230079602576</v>
      </c>
      <c r="U175" s="271">
        <f t="shared" si="32"/>
        <v>0.96590347911597996</v>
      </c>
    </row>
    <row r="176" spans="2:21" x14ac:dyDescent="0.2">
      <c r="B176" s="239">
        <f t="shared" si="28"/>
        <v>47484</v>
      </c>
      <c r="C176" s="240">
        <v>4.9872677733374324</v>
      </c>
      <c r="D176" s="240">
        <v>5.2879063291139232</v>
      </c>
      <c r="E176" s="241">
        <f t="shared" si="26"/>
        <v>2030</v>
      </c>
      <c r="K176" s="35">
        <f t="shared" si="29"/>
        <v>1</v>
      </c>
      <c r="L176" s="272">
        <f t="shared" si="30"/>
        <v>2030</v>
      </c>
      <c r="M176" s="244">
        <f t="shared" si="27"/>
        <v>47484</v>
      </c>
      <c r="N176" s="256">
        <v>49.077979999999997</v>
      </c>
      <c r="O176" s="256">
        <v>49.03642</v>
      </c>
      <c r="P176" s="256">
        <v>45.008429999999997</v>
      </c>
      <c r="Q176" s="257">
        <v>45.785609999999998</v>
      </c>
      <c r="S176" s="269">
        <v>47.603267204301069</v>
      </c>
      <c r="T176" s="271">
        <f t="shared" si="31"/>
        <v>1.0301061855596634</v>
      </c>
      <c r="U176" s="271">
        <f t="shared" si="32"/>
        <v>0.96181654514384174</v>
      </c>
    </row>
    <row r="177" spans="2:21" x14ac:dyDescent="0.2">
      <c r="B177" s="248">
        <f t="shared" si="28"/>
        <v>47515</v>
      </c>
      <c r="C177" s="240">
        <v>5.0228246951531919</v>
      </c>
      <c r="D177" s="240">
        <v>5.3176784810126572</v>
      </c>
      <c r="E177" s="249">
        <f t="shared" si="26"/>
        <v>2030</v>
      </c>
      <c r="K177" s="35">
        <f t="shared" si="29"/>
        <v>2</v>
      </c>
      <c r="L177" s="272">
        <f t="shared" si="30"/>
        <v>2030</v>
      </c>
      <c r="M177" s="244">
        <f t="shared" si="27"/>
        <v>47515</v>
      </c>
      <c r="N177" s="245">
        <v>51.27073</v>
      </c>
      <c r="O177" s="245">
        <v>49.187330000000003</v>
      </c>
      <c r="P177" s="245">
        <v>46.869340000000001</v>
      </c>
      <c r="Q177" s="246">
        <v>45.823709999999998</v>
      </c>
      <c r="S177" s="269">
        <v>47.745778571428573</v>
      </c>
      <c r="T177" s="271">
        <f t="shared" si="31"/>
        <v>1.0301922279142404</v>
      </c>
      <c r="U177" s="271">
        <f t="shared" si="32"/>
        <v>0.95974369611434596</v>
      </c>
    </row>
    <row r="178" spans="2:21" x14ac:dyDescent="0.2">
      <c r="B178" s="248">
        <f t="shared" si="28"/>
        <v>47543</v>
      </c>
      <c r="C178" s="240">
        <v>4.8795723127369612</v>
      </c>
      <c r="D178" s="240">
        <v>5.1390455696202517</v>
      </c>
      <c r="E178" s="249">
        <f t="shared" si="26"/>
        <v>2030</v>
      </c>
      <c r="K178" s="35">
        <f t="shared" si="29"/>
        <v>3</v>
      </c>
      <c r="L178" s="272">
        <f t="shared" si="30"/>
        <v>2030</v>
      </c>
      <c r="M178" s="244">
        <f t="shared" si="27"/>
        <v>47543</v>
      </c>
      <c r="N178" s="245">
        <v>45.132629999999999</v>
      </c>
      <c r="O178" s="245">
        <v>43.368690000000001</v>
      </c>
      <c r="P178" s="245">
        <v>43.236939999999997</v>
      </c>
      <c r="Q178" s="246">
        <v>42.445129999999999</v>
      </c>
      <c r="S178" s="269">
        <v>42.962224158815609</v>
      </c>
      <c r="T178" s="271">
        <f t="shared" si="31"/>
        <v>1.0094610055494762</v>
      </c>
      <c r="U178" s="271">
        <f t="shared" si="32"/>
        <v>0.98796398070770031</v>
      </c>
    </row>
    <row r="179" spans="2:21" x14ac:dyDescent="0.2">
      <c r="B179" s="248">
        <f t="shared" si="28"/>
        <v>47574</v>
      </c>
      <c r="C179" s="240">
        <v>4.5682699251972538</v>
      </c>
      <c r="D179" s="240">
        <v>4.5731721518987332</v>
      </c>
      <c r="E179" s="249">
        <f t="shared" si="26"/>
        <v>2030</v>
      </c>
      <c r="K179" s="35">
        <f t="shared" si="29"/>
        <v>4</v>
      </c>
      <c r="L179" s="272">
        <f t="shared" si="30"/>
        <v>2030</v>
      </c>
      <c r="M179" s="244">
        <f t="shared" si="27"/>
        <v>47574</v>
      </c>
      <c r="N179" s="245">
        <v>38.514420000000001</v>
      </c>
      <c r="O179" s="245">
        <v>36.337800000000001</v>
      </c>
      <c r="P179" s="245">
        <v>34.733629999999998</v>
      </c>
      <c r="Q179" s="246">
        <v>34.403019999999998</v>
      </c>
      <c r="S179" s="269">
        <v>35.520892888888888</v>
      </c>
      <c r="T179" s="271">
        <f t="shared" si="31"/>
        <v>1.0229979328973076</v>
      </c>
      <c r="U179" s="271">
        <f t="shared" si="32"/>
        <v>0.9685291444563161</v>
      </c>
    </row>
    <row r="180" spans="2:21" x14ac:dyDescent="0.2">
      <c r="B180" s="248">
        <f t="shared" si="28"/>
        <v>47604</v>
      </c>
      <c r="C180" s="240">
        <v>4.5532069064453333</v>
      </c>
      <c r="D180" s="240">
        <v>4.5880582278480997</v>
      </c>
      <c r="E180" s="249">
        <f t="shared" si="26"/>
        <v>2030</v>
      </c>
      <c r="K180" s="35">
        <f t="shared" si="29"/>
        <v>5</v>
      </c>
      <c r="L180" s="272">
        <f t="shared" si="30"/>
        <v>2030</v>
      </c>
      <c r="M180" s="244">
        <f t="shared" si="27"/>
        <v>47604</v>
      </c>
      <c r="N180" s="245">
        <v>35.592509999999997</v>
      </c>
      <c r="O180" s="245">
        <v>37.906840000000003</v>
      </c>
      <c r="P180" s="245">
        <v>29.19773</v>
      </c>
      <c r="Q180" s="246">
        <v>35.059919999999998</v>
      </c>
      <c r="S180" s="269">
        <v>36.651746236559141</v>
      </c>
      <c r="T180" s="271">
        <f t="shared" si="31"/>
        <v>1.0342437644127564</v>
      </c>
      <c r="U180" s="271">
        <f t="shared" si="32"/>
        <v>0.95656888415943087</v>
      </c>
    </row>
    <row r="181" spans="2:21" x14ac:dyDescent="0.2">
      <c r="B181" s="248">
        <f t="shared" si="28"/>
        <v>47635</v>
      </c>
      <c r="C181" s="240">
        <v>4.52051913105851</v>
      </c>
      <c r="D181" s="240">
        <v>4.468868354430378</v>
      </c>
      <c r="E181" s="249">
        <f t="shared" si="26"/>
        <v>2030</v>
      </c>
      <c r="K181" s="35">
        <f t="shared" si="29"/>
        <v>6</v>
      </c>
      <c r="L181" s="272">
        <f t="shared" si="30"/>
        <v>2030</v>
      </c>
      <c r="M181" s="244">
        <f t="shared" si="27"/>
        <v>47635</v>
      </c>
      <c r="N181" s="245">
        <v>37.978819999999999</v>
      </c>
      <c r="O181" s="245">
        <v>38.896630000000002</v>
      </c>
      <c r="P181" s="245">
        <v>30.973500000000001</v>
      </c>
      <c r="Q181" s="246">
        <v>35.636130000000001</v>
      </c>
      <c r="S181" s="269">
        <v>37.447518888888894</v>
      </c>
      <c r="T181" s="271">
        <f t="shared" si="31"/>
        <v>1.0386971194382941</v>
      </c>
      <c r="U181" s="271">
        <f t="shared" si="32"/>
        <v>0.95162860070213218</v>
      </c>
    </row>
    <row r="182" spans="2:21" x14ac:dyDescent="0.2">
      <c r="B182" s="248">
        <f t="shared" si="28"/>
        <v>47665</v>
      </c>
      <c r="C182" s="240">
        <v>4.5983959627010975</v>
      </c>
      <c r="D182" s="240">
        <v>4.468868354430378</v>
      </c>
      <c r="E182" s="249">
        <f t="shared" si="26"/>
        <v>2030</v>
      </c>
      <c r="K182" s="35">
        <f t="shared" si="29"/>
        <v>7</v>
      </c>
      <c r="L182" s="272">
        <f t="shared" si="30"/>
        <v>2030</v>
      </c>
      <c r="M182" s="244">
        <f t="shared" si="27"/>
        <v>47665</v>
      </c>
      <c r="N182" s="245">
        <v>54.965159999999997</v>
      </c>
      <c r="O182" s="245">
        <v>55.459960000000002</v>
      </c>
      <c r="P182" s="245">
        <v>43.247869999999999</v>
      </c>
      <c r="Q182" s="246">
        <v>44.410739999999997</v>
      </c>
      <c r="S182" s="269">
        <v>50.58879849462366</v>
      </c>
      <c r="T182" s="271">
        <f t="shared" si="31"/>
        <v>1.0962893298581509</v>
      </c>
      <c r="U182" s="271">
        <f t="shared" si="32"/>
        <v>0.8778769474969792</v>
      </c>
    </row>
    <row r="183" spans="2:21" x14ac:dyDescent="0.2">
      <c r="B183" s="248">
        <f t="shared" si="28"/>
        <v>47696</v>
      </c>
      <c r="C183" s="240">
        <v>4.7339631314683883</v>
      </c>
      <c r="D183" s="240">
        <v>4.6624886075949359</v>
      </c>
      <c r="E183" s="249">
        <f t="shared" si="26"/>
        <v>2030</v>
      </c>
      <c r="K183" s="35">
        <f t="shared" si="29"/>
        <v>8</v>
      </c>
      <c r="L183" s="272">
        <f t="shared" si="30"/>
        <v>2030</v>
      </c>
      <c r="M183" s="244">
        <f t="shared" si="27"/>
        <v>47696</v>
      </c>
      <c r="N183" s="245">
        <v>58.432250000000003</v>
      </c>
      <c r="O183" s="245">
        <v>58.43103</v>
      </c>
      <c r="P183" s="245">
        <v>45.835900000000002</v>
      </c>
      <c r="Q183" s="246">
        <v>46.799630000000001</v>
      </c>
      <c r="S183" s="269">
        <v>53.553346129032263</v>
      </c>
      <c r="T183" s="271">
        <f t="shared" si="31"/>
        <v>1.0910808422542893</v>
      </c>
      <c r="U183" s="271">
        <f t="shared" si="32"/>
        <v>0.873888064570984</v>
      </c>
    </row>
    <row r="184" spans="2:21" x14ac:dyDescent="0.2">
      <c r="B184" s="248">
        <f t="shared" si="28"/>
        <v>47727</v>
      </c>
      <c r="C184" s="240">
        <v>4.8068189568603339</v>
      </c>
      <c r="D184" s="240">
        <v>4.5731721518987332</v>
      </c>
      <c r="E184" s="249">
        <f t="shared" si="26"/>
        <v>2030</v>
      </c>
      <c r="K184" s="35">
        <f t="shared" si="29"/>
        <v>9</v>
      </c>
      <c r="L184" s="272">
        <f t="shared" si="30"/>
        <v>2030</v>
      </c>
      <c r="M184" s="244">
        <f t="shared" si="27"/>
        <v>47727</v>
      </c>
      <c r="N184" s="245">
        <v>53.742460000000001</v>
      </c>
      <c r="O184" s="245">
        <v>50.254649999999998</v>
      </c>
      <c r="P184" s="245">
        <v>44.816299999999998</v>
      </c>
      <c r="Q184" s="246">
        <v>42.796169999999996</v>
      </c>
      <c r="S184" s="269">
        <v>46.774025999999999</v>
      </c>
      <c r="T184" s="271">
        <f t="shared" si="31"/>
        <v>1.0744136072443282</v>
      </c>
      <c r="U184" s="271">
        <f t="shared" si="32"/>
        <v>0.91495587743505336</v>
      </c>
    </row>
    <row r="185" spans="2:21" x14ac:dyDescent="0.2">
      <c r="B185" s="248">
        <f t="shared" si="28"/>
        <v>47757</v>
      </c>
      <c r="C185" s="240">
        <v>4.8696327697509991</v>
      </c>
      <c r="D185" s="240">
        <v>4.7666911392405051</v>
      </c>
      <c r="E185" s="249">
        <f t="shared" si="26"/>
        <v>2030</v>
      </c>
      <c r="K185" s="35">
        <f t="shared" si="29"/>
        <v>10</v>
      </c>
      <c r="L185" s="272">
        <f t="shared" si="30"/>
        <v>2030</v>
      </c>
      <c r="M185" s="244">
        <f t="shared" si="27"/>
        <v>47757</v>
      </c>
      <c r="N185" s="245">
        <v>50.643610000000002</v>
      </c>
      <c r="O185" s="245">
        <v>48.316339999999997</v>
      </c>
      <c r="P185" s="245">
        <v>44.219740000000002</v>
      </c>
      <c r="Q185" s="246">
        <v>44.196660000000001</v>
      </c>
      <c r="S185" s="269">
        <v>46.588732258064518</v>
      </c>
      <c r="T185" s="271">
        <f t="shared" si="31"/>
        <v>1.0370820938497727</v>
      </c>
      <c r="U185" s="271">
        <f t="shared" si="32"/>
        <v>0.94865556236185311</v>
      </c>
    </row>
    <row r="186" spans="2:21" x14ac:dyDescent="0.2">
      <c r="B186" s="248">
        <f t="shared" si="28"/>
        <v>47788</v>
      </c>
      <c r="C186" s="240">
        <v>5.0023307920893538</v>
      </c>
      <c r="D186" s="240">
        <v>5.2432481012658219</v>
      </c>
      <c r="E186" s="249">
        <f t="shared" si="26"/>
        <v>2030</v>
      </c>
      <c r="K186" s="35">
        <f t="shared" si="29"/>
        <v>11</v>
      </c>
      <c r="L186" s="272">
        <f t="shared" si="30"/>
        <v>2030</v>
      </c>
      <c r="M186" s="244">
        <f t="shared" si="27"/>
        <v>47788</v>
      </c>
      <c r="N186" s="245">
        <v>51.280239999999999</v>
      </c>
      <c r="O186" s="245">
        <v>49.44603</v>
      </c>
      <c r="P186" s="245">
        <v>45.9754</v>
      </c>
      <c r="Q186" s="246">
        <v>45.701540000000001</v>
      </c>
      <c r="S186" s="269">
        <v>47.778926962552006</v>
      </c>
      <c r="T186" s="271">
        <f t="shared" si="31"/>
        <v>1.0348920150248377</v>
      </c>
      <c r="U186" s="271">
        <f t="shared" si="32"/>
        <v>0.95652085355160421</v>
      </c>
    </row>
    <row r="187" spans="2:21" x14ac:dyDescent="0.2">
      <c r="B187" s="250">
        <f t="shared" si="28"/>
        <v>47818</v>
      </c>
      <c r="C187" s="251">
        <v>5.2309402807664718</v>
      </c>
      <c r="D187" s="251">
        <v>5.4815265822784793</v>
      </c>
      <c r="E187" s="252">
        <f t="shared" si="26"/>
        <v>2030</v>
      </c>
      <c r="K187" s="35">
        <f t="shared" si="29"/>
        <v>12</v>
      </c>
      <c r="L187" s="272">
        <f t="shared" si="30"/>
        <v>2030</v>
      </c>
      <c r="M187" s="253">
        <f t="shared" si="27"/>
        <v>47818</v>
      </c>
      <c r="N187" s="254">
        <v>52.422319999999999</v>
      </c>
      <c r="O187" s="254">
        <v>51.261420000000001</v>
      </c>
      <c r="P187" s="254">
        <v>47.80762</v>
      </c>
      <c r="Q187" s="255">
        <v>48.47063</v>
      </c>
      <c r="S187" s="269">
        <v>49.97105473118279</v>
      </c>
      <c r="T187" s="271">
        <f t="shared" si="31"/>
        <v>1.0258222540180246</v>
      </c>
      <c r="U187" s="271">
        <f t="shared" si="32"/>
        <v>0.96997412323485543</v>
      </c>
    </row>
    <row r="188" spans="2:21" x14ac:dyDescent="0.2">
      <c r="B188" s="239">
        <f t="shared" si="28"/>
        <v>47849</v>
      </c>
      <c r="C188" s="240">
        <v>5.3455011988933299</v>
      </c>
      <c r="D188" s="240">
        <v>5.7093746835443024</v>
      </c>
      <c r="E188" s="241">
        <f t="shared" si="26"/>
        <v>2031</v>
      </c>
      <c r="K188" s="35">
        <f t="shared" si="29"/>
        <v>1</v>
      </c>
      <c r="L188" s="272">
        <f t="shared" si="30"/>
        <v>2031</v>
      </c>
      <c r="M188" s="244">
        <f t="shared" si="27"/>
        <v>47849</v>
      </c>
      <c r="N188" s="256">
        <v>52.303849999999997</v>
      </c>
      <c r="O188" s="256">
        <v>52.179589999999997</v>
      </c>
      <c r="P188" s="256">
        <v>48.134210000000003</v>
      </c>
      <c r="Q188" s="257">
        <v>48.9773</v>
      </c>
      <c r="S188" s="269">
        <v>50.767827741935477</v>
      </c>
      <c r="T188" s="271">
        <f t="shared" si="31"/>
        <v>1.0278082069069576</v>
      </c>
      <c r="U188" s="271">
        <f t="shared" si="32"/>
        <v>0.96473105465459064</v>
      </c>
    </row>
    <row r="189" spans="2:21" x14ac:dyDescent="0.2">
      <c r="B189" s="248">
        <f t="shared" si="28"/>
        <v>47880</v>
      </c>
      <c r="C189" s="240">
        <v>5.4123113228814432</v>
      </c>
      <c r="D189" s="240">
        <v>5.7551468354430364</v>
      </c>
      <c r="E189" s="249">
        <f t="shared" si="26"/>
        <v>2031</v>
      </c>
      <c r="K189" s="35">
        <f t="shared" si="29"/>
        <v>2</v>
      </c>
      <c r="L189" s="272">
        <f t="shared" si="30"/>
        <v>2031</v>
      </c>
      <c r="M189" s="244">
        <f t="shared" si="27"/>
        <v>47880</v>
      </c>
      <c r="N189" s="245">
        <v>54.3093</v>
      </c>
      <c r="O189" s="245">
        <v>52.001550000000002</v>
      </c>
      <c r="P189" s="245">
        <v>49.24991</v>
      </c>
      <c r="Q189" s="246">
        <v>48.293840000000003</v>
      </c>
      <c r="S189" s="269">
        <v>50.412531428571434</v>
      </c>
      <c r="T189" s="271">
        <f t="shared" si="31"/>
        <v>1.031520309066011</v>
      </c>
      <c r="U189" s="271">
        <f t="shared" si="32"/>
        <v>0.95797292124531841</v>
      </c>
    </row>
    <row r="190" spans="2:21" x14ac:dyDescent="0.2">
      <c r="B190" s="248">
        <f t="shared" si="28"/>
        <v>47908</v>
      </c>
      <c r="C190" s="240">
        <v>5.1730450046111285</v>
      </c>
      <c r="D190" s="240">
        <v>5.3887670886075938</v>
      </c>
      <c r="E190" s="249">
        <f t="shared" si="26"/>
        <v>2031</v>
      </c>
      <c r="K190" s="35">
        <f t="shared" si="29"/>
        <v>3</v>
      </c>
      <c r="L190" s="272">
        <f t="shared" si="30"/>
        <v>2031</v>
      </c>
      <c r="M190" s="244">
        <f t="shared" si="27"/>
        <v>47908</v>
      </c>
      <c r="N190" s="245">
        <v>47.049939999999999</v>
      </c>
      <c r="O190" s="245">
        <v>45.4236</v>
      </c>
      <c r="P190" s="245">
        <v>45.062750000000001</v>
      </c>
      <c r="Q190" s="246">
        <v>44.106439999999999</v>
      </c>
      <c r="S190" s="269">
        <v>44.843907779273216</v>
      </c>
      <c r="T190" s="271">
        <f t="shared" si="31"/>
        <v>1.0129268890565937</v>
      </c>
      <c r="U190" s="271">
        <f t="shared" si="32"/>
        <v>0.98355478334084712</v>
      </c>
    </row>
    <row r="191" spans="2:21" x14ac:dyDescent="0.2">
      <c r="B191" s="248">
        <f t="shared" si="28"/>
        <v>47939</v>
      </c>
      <c r="C191" s="240">
        <v>4.7765904498411729</v>
      </c>
      <c r="D191" s="240">
        <v>4.8392987341772136</v>
      </c>
      <c r="E191" s="249">
        <f t="shared" si="26"/>
        <v>2031</v>
      </c>
      <c r="K191" s="35">
        <f t="shared" si="29"/>
        <v>4</v>
      </c>
      <c r="L191" s="272">
        <f t="shared" si="30"/>
        <v>2031</v>
      </c>
      <c r="M191" s="244">
        <f t="shared" si="27"/>
        <v>47939</v>
      </c>
      <c r="N191" s="245">
        <v>41.201419999999999</v>
      </c>
      <c r="O191" s="245">
        <v>39.638460000000002</v>
      </c>
      <c r="P191" s="245">
        <v>37.187930000000001</v>
      </c>
      <c r="Q191" s="246">
        <v>36.839820000000003</v>
      </c>
      <c r="S191" s="269">
        <v>38.456812000000006</v>
      </c>
      <c r="T191" s="271">
        <f t="shared" si="31"/>
        <v>1.0307266239333619</v>
      </c>
      <c r="U191" s="271">
        <f t="shared" si="32"/>
        <v>0.95795304093329414</v>
      </c>
    </row>
    <row r="192" spans="2:21" x14ac:dyDescent="0.2">
      <c r="B192" s="248">
        <f t="shared" si="28"/>
        <v>47969</v>
      </c>
      <c r="C192" s="240">
        <v>4.7302742289168975</v>
      </c>
      <c r="D192" s="240">
        <v>4.8241088607594929</v>
      </c>
      <c r="E192" s="249">
        <f t="shared" si="26"/>
        <v>2031</v>
      </c>
      <c r="K192" s="35">
        <f t="shared" si="29"/>
        <v>5</v>
      </c>
      <c r="L192" s="272">
        <f t="shared" si="30"/>
        <v>2031</v>
      </c>
      <c r="M192" s="244">
        <f t="shared" si="27"/>
        <v>47969</v>
      </c>
      <c r="N192" s="245">
        <v>38.367069999999998</v>
      </c>
      <c r="O192" s="245">
        <v>39.780029999999996</v>
      </c>
      <c r="P192" s="245">
        <v>32.223959999999998</v>
      </c>
      <c r="Q192" s="246">
        <v>36.64405</v>
      </c>
      <c r="S192" s="269">
        <v>38.397501182795693</v>
      </c>
      <c r="T192" s="271">
        <f t="shared" si="31"/>
        <v>1.0360056976265881</v>
      </c>
      <c r="U192" s="271">
        <f t="shared" si="32"/>
        <v>0.95433423715652255</v>
      </c>
    </row>
    <row r="193" spans="2:21" x14ac:dyDescent="0.2">
      <c r="B193" s="248">
        <f t="shared" si="28"/>
        <v>48000</v>
      </c>
      <c r="C193" s="240">
        <v>4.7277124910339179</v>
      </c>
      <c r="D193" s="240">
        <v>4.6409189873417711</v>
      </c>
      <c r="E193" s="249">
        <f t="shared" si="26"/>
        <v>2031</v>
      </c>
      <c r="K193" s="35">
        <f t="shared" si="29"/>
        <v>6</v>
      </c>
      <c r="L193" s="272">
        <f t="shared" si="30"/>
        <v>2031</v>
      </c>
      <c r="M193" s="244">
        <f t="shared" si="27"/>
        <v>48000</v>
      </c>
      <c r="N193" s="245">
        <v>40.57103</v>
      </c>
      <c r="O193" s="245">
        <v>41.345660000000002</v>
      </c>
      <c r="P193" s="245">
        <v>32.806429999999999</v>
      </c>
      <c r="Q193" s="246">
        <v>37.38203</v>
      </c>
      <c r="S193" s="269">
        <v>39.584046666666673</v>
      </c>
      <c r="T193" s="271">
        <f t="shared" si="31"/>
        <v>1.0445031137965175</v>
      </c>
      <c r="U193" s="271">
        <f t="shared" si="32"/>
        <v>0.94437110775435273</v>
      </c>
    </row>
    <row r="194" spans="2:21" x14ac:dyDescent="0.2">
      <c r="B194" s="248">
        <f t="shared" si="28"/>
        <v>48030</v>
      </c>
      <c r="C194" s="240">
        <v>4.8537499948765239</v>
      </c>
      <c r="D194" s="240">
        <v>4.6409189873417711</v>
      </c>
      <c r="E194" s="249">
        <f t="shared" si="26"/>
        <v>2031</v>
      </c>
      <c r="K194" s="35">
        <f t="shared" si="29"/>
        <v>7</v>
      </c>
      <c r="L194" s="272">
        <f t="shared" si="30"/>
        <v>2031</v>
      </c>
      <c r="M194" s="244">
        <f t="shared" si="27"/>
        <v>48030</v>
      </c>
      <c r="N194" s="245">
        <v>56.743549999999999</v>
      </c>
      <c r="O194" s="245">
        <v>57.096260000000001</v>
      </c>
      <c r="P194" s="245">
        <v>44.898040000000002</v>
      </c>
      <c r="Q194" s="246">
        <v>46.101759999999999</v>
      </c>
      <c r="S194" s="269">
        <v>52.2492223655914</v>
      </c>
      <c r="T194" s="271">
        <f t="shared" si="31"/>
        <v>1.0927676511717925</v>
      </c>
      <c r="U194" s="271">
        <f t="shared" si="32"/>
        <v>0.88234346680650699</v>
      </c>
    </row>
    <row r="195" spans="2:21" x14ac:dyDescent="0.2">
      <c r="B195" s="248">
        <f t="shared" si="28"/>
        <v>48061</v>
      </c>
      <c r="C195" s="240">
        <v>4.9618553335382725</v>
      </c>
      <c r="D195" s="240">
        <v>4.8392987341772136</v>
      </c>
      <c r="E195" s="249">
        <f t="shared" si="26"/>
        <v>2031</v>
      </c>
      <c r="K195" s="35">
        <f t="shared" si="29"/>
        <v>8</v>
      </c>
      <c r="L195" s="272">
        <f t="shared" si="30"/>
        <v>2031</v>
      </c>
      <c r="M195" s="244">
        <f t="shared" si="27"/>
        <v>48061</v>
      </c>
      <c r="N195" s="245">
        <v>59.730449999999998</v>
      </c>
      <c r="O195" s="245">
        <v>60.285719999999998</v>
      </c>
      <c r="P195" s="245">
        <v>47.915430000000001</v>
      </c>
      <c r="Q195" s="246">
        <v>49.007770000000001</v>
      </c>
      <c r="S195" s="269">
        <v>55.313720537634403</v>
      </c>
      <c r="T195" s="271">
        <f t="shared" si="31"/>
        <v>1.0898872723447113</v>
      </c>
      <c r="U195" s="271">
        <f t="shared" si="32"/>
        <v>0.88599663019695174</v>
      </c>
    </row>
    <row r="196" spans="2:21" x14ac:dyDescent="0.2">
      <c r="B196" s="248">
        <f t="shared" si="28"/>
        <v>48092</v>
      </c>
      <c r="C196" s="240">
        <v>4.9747664924684907</v>
      </c>
      <c r="D196" s="240">
        <v>4.732463291139239</v>
      </c>
      <c r="E196" s="249">
        <f t="shared" si="26"/>
        <v>2031</v>
      </c>
      <c r="K196" s="35">
        <f t="shared" si="29"/>
        <v>9</v>
      </c>
      <c r="L196" s="272">
        <f t="shared" si="30"/>
        <v>2031</v>
      </c>
      <c r="M196" s="244">
        <f t="shared" si="27"/>
        <v>48092</v>
      </c>
      <c r="N196" s="245">
        <v>55.29618</v>
      </c>
      <c r="O196" s="245">
        <v>51.890360000000001</v>
      </c>
      <c r="P196" s="245">
        <v>45.829349999999998</v>
      </c>
      <c r="Q196" s="246">
        <v>44.276769999999999</v>
      </c>
      <c r="S196" s="269">
        <v>48.506542222222222</v>
      </c>
      <c r="T196" s="271">
        <f t="shared" si="31"/>
        <v>1.0697600287044899</v>
      </c>
      <c r="U196" s="271">
        <f t="shared" si="32"/>
        <v>0.91279996411938746</v>
      </c>
    </row>
    <row r="197" spans="2:21" x14ac:dyDescent="0.2">
      <c r="B197" s="248">
        <f t="shared" si="28"/>
        <v>48122</v>
      </c>
      <c r="C197" s="240">
        <v>5.0236444512757465</v>
      </c>
      <c r="D197" s="240">
        <v>4.946134177215189</v>
      </c>
      <c r="E197" s="249">
        <f t="shared" si="26"/>
        <v>2031</v>
      </c>
      <c r="K197" s="35">
        <f t="shared" si="29"/>
        <v>10</v>
      </c>
      <c r="L197" s="272">
        <f t="shared" si="30"/>
        <v>2031</v>
      </c>
      <c r="M197" s="244">
        <f t="shared" si="27"/>
        <v>48122</v>
      </c>
      <c r="N197" s="245">
        <v>51.787590000000002</v>
      </c>
      <c r="O197" s="245">
        <v>49.048029999999997</v>
      </c>
      <c r="P197" s="245">
        <v>45.334470000000003</v>
      </c>
      <c r="Q197" s="246">
        <v>44.84299</v>
      </c>
      <c r="S197" s="269">
        <v>47.284626129032254</v>
      </c>
      <c r="T197" s="271">
        <f t="shared" si="31"/>
        <v>1.0372933872027601</v>
      </c>
      <c r="U197" s="271">
        <f t="shared" si="32"/>
        <v>0.9483630023346401</v>
      </c>
    </row>
    <row r="198" spans="2:21" x14ac:dyDescent="0.2">
      <c r="B198" s="248">
        <f t="shared" si="28"/>
        <v>48153</v>
      </c>
      <c r="C198" s="240">
        <v>5.1447634183830315</v>
      </c>
      <c r="D198" s="240">
        <v>5.251450632911391</v>
      </c>
      <c r="E198" s="249">
        <f t="shared" si="26"/>
        <v>2031</v>
      </c>
      <c r="K198" s="35">
        <f t="shared" si="29"/>
        <v>11</v>
      </c>
      <c r="L198" s="272">
        <f t="shared" si="30"/>
        <v>2031</v>
      </c>
      <c r="M198" s="244">
        <f t="shared" si="27"/>
        <v>48153</v>
      </c>
      <c r="N198" s="245">
        <v>52.133949999999999</v>
      </c>
      <c r="O198" s="245">
        <v>50.35125</v>
      </c>
      <c r="P198" s="245">
        <v>46.884169999999997</v>
      </c>
      <c r="Q198" s="246">
        <v>46.541530000000002</v>
      </c>
      <c r="S198" s="269">
        <v>48.65510558945909</v>
      </c>
      <c r="T198" s="271">
        <f t="shared" si="31"/>
        <v>1.0348605637577399</v>
      </c>
      <c r="U198" s="271">
        <f t="shared" si="32"/>
        <v>0.95656004516169446</v>
      </c>
    </row>
    <row r="199" spans="2:21" x14ac:dyDescent="0.2">
      <c r="B199" s="250">
        <f t="shared" si="28"/>
        <v>48183</v>
      </c>
      <c r="C199" s="251">
        <v>5.3635358335895074</v>
      </c>
      <c r="D199" s="251">
        <v>5.7093746835443024</v>
      </c>
      <c r="E199" s="252">
        <f t="shared" si="26"/>
        <v>2031</v>
      </c>
      <c r="K199" s="35">
        <f t="shared" si="29"/>
        <v>12</v>
      </c>
      <c r="L199" s="272">
        <f t="shared" si="30"/>
        <v>2031</v>
      </c>
      <c r="M199" s="253">
        <f t="shared" si="27"/>
        <v>48183</v>
      </c>
      <c r="N199" s="254">
        <v>54.306669999999997</v>
      </c>
      <c r="O199" s="254">
        <v>52.935929999999999</v>
      </c>
      <c r="P199" s="254">
        <v>49.267690000000002</v>
      </c>
      <c r="Q199" s="255">
        <v>49.907730000000001</v>
      </c>
      <c r="S199" s="269">
        <v>51.666039677419356</v>
      </c>
      <c r="T199" s="271">
        <f t="shared" si="31"/>
        <v>1.0245788206432949</v>
      </c>
      <c r="U199" s="271">
        <f t="shared" si="32"/>
        <v>0.96596778680159179</v>
      </c>
    </row>
    <row r="200" spans="2:21" x14ac:dyDescent="0.2">
      <c r="B200" s="239">
        <f t="shared" si="28"/>
        <v>48214</v>
      </c>
      <c r="C200" s="240">
        <v>5.4968486730197768</v>
      </c>
      <c r="D200" s="240">
        <v>5.9295265822784797</v>
      </c>
      <c r="E200" s="241">
        <f t="shared" ref="E200:E223" si="33">YEAR(B200)</f>
        <v>2032</v>
      </c>
      <c r="K200" s="35">
        <f t="shared" si="29"/>
        <v>1</v>
      </c>
      <c r="L200" s="272">
        <f t="shared" si="30"/>
        <v>2032</v>
      </c>
      <c r="M200" s="244">
        <f t="shared" ref="M200:M223" si="34">B200</f>
        <v>48214</v>
      </c>
      <c r="N200" s="256">
        <v>53.878979999999999</v>
      </c>
      <c r="O200" s="256">
        <v>53.575389999999999</v>
      </c>
      <c r="P200" s="256">
        <v>49.848489999999998</v>
      </c>
      <c r="Q200" s="257">
        <v>50.693280000000001</v>
      </c>
      <c r="S200" s="269">
        <v>52.3047823655914</v>
      </c>
      <c r="T200" s="271">
        <f t="shared" si="31"/>
        <v>1.0242923797202235</v>
      </c>
      <c r="U200" s="271">
        <f t="shared" si="32"/>
        <v>0.96919015254996033</v>
      </c>
    </row>
    <row r="201" spans="2:21" x14ac:dyDescent="0.2">
      <c r="B201" s="248">
        <f t="shared" ref="B201:B264" si="35">EDATE(B200,1)</f>
        <v>48245</v>
      </c>
      <c r="C201" s="240">
        <v>5.5490056563172461</v>
      </c>
      <c r="D201" s="240">
        <v>5.9295265822784797</v>
      </c>
      <c r="E201" s="249">
        <f t="shared" si="33"/>
        <v>2032</v>
      </c>
      <c r="K201" s="35">
        <f t="shared" ref="K201:K223" si="36">MONTH(M201)</f>
        <v>2</v>
      </c>
      <c r="L201" s="272">
        <f t="shared" ref="L201:L223" si="37">YEAR(M201)</f>
        <v>2032</v>
      </c>
      <c r="M201" s="244">
        <f t="shared" si="34"/>
        <v>48245</v>
      </c>
      <c r="N201" s="245">
        <v>55.496429999999997</v>
      </c>
      <c r="O201" s="245">
        <v>53.039700000000003</v>
      </c>
      <c r="P201" s="245">
        <v>50.802340000000001</v>
      </c>
      <c r="Q201" s="246">
        <v>49.49597</v>
      </c>
      <c r="S201" s="269">
        <v>51.451131379310347</v>
      </c>
      <c r="T201" s="271">
        <f t="shared" ref="T201:T223" si="38">O201/S201</f>
        <v>1.0308752903600571</v>
      </c>
      <c r="U201" s="271">
        <f t="shared" ref="U201:U223" si="39">Q201/S201</f>
        <v>0.9619996426337758</v>
      </c>
    </row>
    <row r="202" spans="2:21" x14ac:dyDescent="0.2">
      <c r="B202" s="248">
        <f t="shared" si="35"/>
        <v>48274</v>
      </c>
      <c r="C202" s="240">
        <v>5.3355616559073678</v>
      </c>
      <c r="D202" s="240">
        <v>5.522741772151897</v>
      </c>
      <c r="E202" s="249">
        <f t="shared" si="33"/>
        <v>2032</v>
      </c>
      <c r="K202" s="35">
        <f t="shared" si="36"/>
        <v>3</v>
      </c>
      <c r="L202" s="272">
        <f t="shared" si="37"/>
        <v>2032</v>
      </c>
      <c r="M202" s="244">
        <f t="shared" si="34"/>
        <v>48274</v>
      </c>
      <c r="N202" s="245">
        <v>48.213999999999999</v>
      </c>
      <c r="O202" s="245">
        <v>46.425750000000001</v>
      </c>
      <c r="P202" s="245">
        <v>46.133049999999997</v>
      </c>
      <c r="Q202" s="246">
        <v>45.415950000000002</v>
      </c>
      <c r="S202" s="269">
        <v>46.003074629878874</v>
      </c>
      <c r="T202" s="271">
        <f t="shared" si="38"/>
        <v>1.0091879808800128</v>
      </c>
      <c r="U202" s="271">
        <f t="shared" si="39"/>
        <v>0.98723727414737761</v>
      </c>
    </row>
    <row r="203" spans="2:21" x14ac:dyDescent="0.2">
      <c r="B203" s="248">
        <f t="shared" si="35"/>
        <v>48305</v>
      </c>
      <c r="C203" s="240">
        <v>5.0557174095706534</v>
      </c>
      <c r="D203" s="240">
        <v>5.0533746835443027</v>
      </c>
      <c r="E203" s="249">
        <f t="shared" si="33"/>
        <v>2032</v>
      </c>
      <c r="K203" s="35">
        <f t="shared" si="36"/>
        <v>4</v>
      </c>
      <c r="L203" s="272">
        <f t="shared" si="37"/>
        <v>2032</v>
      </c>
      <c r="M203" s="244">
        <f t="shared" si="34"/>
        <v>48305</v>
      </c>
      <c r="N203" s="245">
        <v>42.726500000000001</v>
      </c>
      <c r="O203" s="245">
        <v>41.721200000000003</v>
      </c>
      <c r="P203" s="245">
        <v>38.450969999999998</v>
      </c>
      <c r="Q203" s="246">
        <v>38.256239999999998</v>
      </c>
      <c r="S203" s="269">
        <v>40.258216888888889</v>
      </c>
      <c r="T203" s="271">
        <f t="shared" si="38"/>
        <v>1.0363399878128952</v>
      </c>
      <c r="U203" s="271">
        <f t="shared" si="39"/>
        <v>0.95027159562445929</v>
      </c>
    </row>
    <row r="204" spans="2:21" x14ac:dyDescent="0.2">
      <c r="B204" s="248">
        <f t="shared" si="35"/>
        <v>48335</v>
      </c>
      <c r="C204" s="240">
        <v>4.9132847832769757</v>
      </c>
      <c r="D204" s="240">
        <v>5.0377797468354419</v>
      </c>
      <c r="E204" s="249">
        <f t="shared" si="33"/>
        <v>2032</v>
      </c>
      <c r="K204" s="35">
        <f t="shared" si="36"/>
        <v>5</v>
      </c>
      <c r="L204" s="272">
        <f t="shared" si="37"/>
        <v>2032</v>
      </c>
      <c r="M204" s="244">
        <f t="shared" si="34"/>
        <v>48335</v>
      </c>
      <c r="N204" s="245">
        <v>38.846939999999996</v>
      </c>
      <c r="O204" s="245">
        <v>41.947040000000001</v>
      </c>
      <c r="P204" s="245">
        <v>32.705970000000001</v>
      </c>
      <c r="Q204" s="246">
        <v>38.491059999999997</v>
      </c>
      <c r="S204" s="269">
        <v>40.349113763440862</v>
      </c>
      <c r="T204" s="271">
        <f t="shared" si="38"/>
        <v>1.0396025113693321</v>
      </c>
      <c r="U204" s="271">
        <f t="shared" si="39"/>
        <v>0.95395056817519519</v>
      </c>
    </row>
    <row r="205" spans="2:21" x14ac:dyDescent="0.2">
      <c r="B205" s="248">
        <f t="shared" si="35"/>
        <v>48366</v>
      </c>
      <c r="C205" s="240">
        <v>4.8948402705195209</v>
      </c>
      <c r="D205" s="240">
        <v>4.8969189873417713</v>
      </c>
      <c r="E205" s="249">
        <f t="shared" si="33"/>
        <v>2032</v>
      </c>
      <c r="K205" s="35">
        <f t="shared" si="36"/>
        <v>6</v>
      </c>
      <c r="L205" s="272">
        <f t="shared" si="37"/>
        <v>2032</v>
      </c>
      <c r="M205" s="244">
        <f t="shared" si="34"/>
        <v>48366</v>
      </c>
      <c r="N205" s="245">
        <v>43.639290000000003</v>
      </c>
      <c r="O205" s="245">
        <v>44.057830000000003</v>
      </c>
      <c r="P205" s="245">
        <v>35.295670000000001</v>
      </c>
      <c r="Q205" s="246">
        <v>39.57779</v>
      </c>
      <c r="S205" s="269">
        <v>42.166257555555561</v>
      </c>
      <c r="T205" s="271">
        <f t="shared" si="38"/>
        <v>1.0448598608010737</v>
      </c>
      <c r="U205" s="271">
        <f t="shared" si="39"/>
        <v>0.9386128220616885</v>
      </c>
    </row>
    <row r="206" spans="2:21" x14ac:dyDescent="0.2">
      <c r="B206" s="248">
        <f t="shared" si="35"/>
        <v>48396</v>
      </c>
      <c r="C206" s="240">
        <v>5.1190435700379142</v>
      </c>
      <c r="D206" s="240">
        <v>4.9126151898734163</v>
      </c>
      <c r="E206" s="249">
        <f t="shared" si="33"/>
        <v>2032</v>
      </c>
      <c r="K206" s="35">
        <f t="shared" si="36"/>
        <v>7</v>
      </c>
      <c r="L206" s="272">
        <f t="shared" si="37"/>
        <v>2032</v>
      </c>
      <c r="M206" s="244">
        <f t="shared" si="34"/>
        <v>48396</v>
      </c>
      <c r="N206" s="245">
        <v>58.894629999999999</v>
      </c>
      <c r="O206" s="245">
        <v>59.566220000000001</v>
      </c>
      <c r="P206" s="245">
        <v>47.18497</v>
      </c>
      <c r="Q206" s="246">
        <v>48.734549999999999</v>
      </c>
      <c r="S206" s="269">
        <v>54.790967634408609</v>
      </c>
      <c r="T206" s="271">
        <f t="shared" si="38"/>
        <v>1.0871540067964147</v>
      </c>
      <c r="U206" s="271">
        <f t="shared" si="39"/>
        <v>0.8894632108923517</v>
      </c>
    </row>
    <row r="207" spans="2:21" x14ac:dyDescent="0.2">
      <c r="B207" s="248">
        <f t="shared" si="35"/>
        <v>48427</v>
      </c>
      <c r="C207" s="240">
        <v>5.3090220514396966</v>
      </c>
      <c r="D207" s="240">
        <v>5.131653164556961</v>
      </c>
      <c r="E207" s="249">
        <f t="shared" si="33"/>
        <v>2032</v>
      </c>
      <c r="K207" s="35">
        <f t="shared" si="36"/>
        <v>8</v>
      </c>
      <c r="L207" s="272">
        <f t="shared" si="37"/>
        <v>2032</v>
      </c>
      <c r="M207" s="244">
        <f t="shared" si="34"/>
        <v>48427</v>
      </c>
      <c r="N207" s="245">
        <v>62.394329999999997</v>
      </c>
      <c r="O207" s="245">
        <v>63.368549999999999</v>
      </c>
      <c r="P207" s="245">
        <v>50.45026</v>
      </c>
      <c r="Q207" s="246">
        <v>51.703029999999998</v>
      </c>
      <c r="S207" s="269">
        <v>58.225686344086022</v>
      </c>
      <c r="T207" s="271">
        <f t="shared" si="38"/>
        <v>1.0883263724110028</v>
      </c>
      <c r="U207" s="271">
        <f t="shared" si="39"/>
        <v>0.88797630816165507</v>
      </c>
    </row>
    <row r="208" spans="2:21" x14ac:dyDescent="0.2">
      <c r="B208" s="248">
        <f t="shared" si="35"/>
        <v>48458</v>
      </c>
      <c r="C208" s="240">
        <v>5.2747972333230866</v>
      </c>
      <c r="D208" s="240">
        <v>5.0690708860759486</v>
      </c>
      <c r="E208" s="249">
        <f t="shared" si="33"/>
        <v>2032</v>
      </c>
      <c r="K208" s="35">
        <f t="shared" si="36"/>
        <v>9</v>
      </c>
      <c r="L208" s="272">
        <f t="shared" si="37"/>
        <v>2032</v>
      </c>
      <c r="M208" s="244">
        <f t="shared" si="34"/>
        <v>48458</v>
      </c>
      <c r="N208" s="245">
        <v>57.424770000000002</v>
      </c>
      <c r="O208" s="245">
        <v>54.521529999999998</v>
      </c>
      <c r="P208" s="245">
        <v>48.449770000000001</v>
      </c>
      <c r="Q208" s="246">
        <v>47.347900000000003</v>
      </c>
      <c r="S208" s="269">
        <v>51.33325</v>
      </c>
      <c r="T208" s="271">
        <f t="shared" si="38"/>
        <v>1.0621094514763822</v>
      </c>
      <c r="U208" s="271">
        <f t="shared" si="39"/>
        <v>0.92236318565452224</v>
      </c>
    </row>
    <row r="209" spans="2:21" x14ac:dyDescent="0.2">
      <c r="B209" s="248">
        <f t="shared" si="35"/>
        <v>48488</v>
      </c>
      <c r="C209" s="240">
        <v>5.340685131673327</v>
      </c>
      <c r="D209" s="240">
        <v>5.4601594936708846</v>
      </c>
      <c r="E209" s="249">
        <f t="shared" si="33"/>
        <v>2032</v>
      </c>
      <c r="K209" s="35">
        <f t="shared" si="36"/>
        <v>10</v>
      </c>
      <c r="L209" s="272">
        <f t="shared" si="37"/>
        <v>2032</v>
      </c>
      <c r="M209" s="244">
        <f t="shared" si="34"/>
        <v>48488</v>
      </c>
      <c r="N209" s="245">
        <v>55.937579999999997</v>
      </c>
      <c r="O209" s="245">
        <v>53.553289999999997</v>
      </c>
      <c r="P209" s="245">
        <v>49.131450000000001</v>
      </c>
      <c r="Q209" s="246">
        <v>48.511569999999999</v>
      </c>
      <c r="S209" s="269">
        <v>51.330596236559138</v>
      </c>
      <c r="T209" s="271">
        <f t="shared" si="38"/>
        <v>1.0433015379988473</v>
      </c>
      <c r="U209" s="271">
        <f t="shared" si="39"/>
        <v>0.94508097619658371</v>
      </c>
    </row>
    <row r="210" spans="2:21" x14ac:dyDescent="0.2">
      <c r="B210" s="248">
        <f t="shared" si="35"/>
        <v>48519</v>
      </c>
      <c r="C210" s="240">
        <v>5.4335225125525159</v>
      </c>
      <c r="D210" s="240">
        <v>5.6479063291139227</v>
      </c>
      <c r="E210" s="249">
        <f t="shared" si="33"/>
        <v>2032</v>
      </c>
      <c r="K210" s="35">
        <f t="shared" si="36"/>
        <v>11</v>
      </c>
      <c r="L210" s="272">
        <f t="shared" si="37"/>
        <v>2032</v>
      </c>
      <c r="M210" s="244">
        <f t="shared" si="34"/>
        <v>48519</v>
      </c>
      <c r="N210" s="245">
        <v>56.03275</v>
      </c>
      <c r="O210" s="245">
        <v>53.008200000000002</v>
      </c>
      <c r="P210" s="245">
        <v>49.70485</v>
      </c>
      <c r="Q210" s="246">
        <v>48.796390000000002</v>
      </c>
      <c r="S210" s="269">
        <v>51.133039098474342</v>
      </c>
      <c r="T210" s="271">
        <f t="shared" si="38"/>
        <v>1.0366721973617565</v>
      </c>
      <c r="U210" s="271">
        <f t="shared" si="39"/>
        <v>0.95430255780466489</v>
      </c>
    </row>
    <row r="211" spans="2:21" x14ac:dyDescent="0.2">
      <c r="B211" s="250">
        <f t="shared" si="35"/>
        <v>48549</v>
      </c>
      <c r="C211" s="251">
        <v>5.6736085869453845</v>
      </c>
      <c r="D211" s="251">
        <v>6.0077037974683529</v>
      </c>
      <c r="E211" s="252">
        <f t="shared" si="33"/>
        <v>2032</v>
      </c>
      <c r="K211" s="35">
        <f t="shared" si="36"/>
        <v>12</v>
      </c>
      <c r="L211" s="272">
        <f t="shared" si="37"/>
        <v>2032</v>
      </c>
      <c r="M211" s="253">
        <f t="shared" si="34"/>
        <v>48549</v>
      </c>
      <c r="N211" s="254">
        <v>56.63982</v>
      </c>
      <c r="O211" s="254">
        <v>55.16957</v>
      </c>
      <c r="P211" s="254">
        <v>51.680889999999998</v>
      </c>
      <c r="Q211" s="255">
        <v>52.491950000000003</v>
      </c>
      <c r="S211" s="269">
        <v>53.989113870967742</v>
      </c>
      <c r="T211" s="271">
        <f t="shared" si="38"/>
        <v>1.0218647065008977</v>
      </c>
      <c r="U211" s="271">
        <f t="shared" si="39"/>
        <v>0.97226915273056869</v>
      </c>
    </row>
    <row r="212" spans="2:21" x14ac:dyDescent="0.2">
      <c r="B212" s="239">
        <f t="shared" si="35"/>
        <v>48580</v>
      </c>
      <c r="C212" s="240">
        <v>5.7660360897632961</v>
      </c>
      <c r="D212" s="240">
        <v>6.2212734177215179</v>
      </c>
      <c r="E212" s="241">
        <f t="shared" si="33"/>
        <v>2033</v>
      </c>
      <c r="K212" s="35">
        <f t="shared" si="36"/>
        <v>1</v>
      </c>
      <c r="L212" s="272">
        <f t="shared" si="37"/>
        <v>2033</v>
      </c>
      <c r="M212" s="244">
        <f t="shared" si="34"/>
        <v>48580</v>
      </c>
      <c r="N212" s="256">
        <v>56.045020000000001</v>
      </c>
      <c r="O212" s="256">
        <v>55.890500000000003</v>
      </c>
      <c r="P212" s="256">
        <v>52.420250000000003</v>
      </c>
      <c r="Q212" s="257">
        <v>53.227910000000001</v>
      </c>
      <c r="S212" s="269">
        <v>54.659410000000001</v>
      </c>
      <c r="T212" s="271">
        <f t="shared" si="38"/>
        <v>1.0225229288058544</v>
      </c>
      <c r="U212" s="271">
        <f t="shared" si="39"/>
        <v>0.97381054790016941</v>
      </c>
    </row>
    <row r="213" spans="2:21" x14ac:dyDescent="0.2">
      <c r="B213" s="248">
        <f t="shared" si="35"/>
        <v>48611</v>
      </c>
      <c r="C213" s="240">
        <v>5.8027201762475675</v>
      </c>
      <c r="D213" s="240">
        <v>6.3976784810126563</v>
      </c>
      <c r="E213" s="249">
        <f t="shared" si="33"/>
        <v>2033</v>
      </c>
      <c r="K213" s="35">
        <f t="shared" si="36"/>
        <v>2</v>
      </c>
      <c r="L213" s="272">
        <f t="shared" si="37"/>
        <v>2033</v>
      </c>
      <c r="M213" s="244">
        <f t="shared" si="34"/>
        <v>48611</v>
      </c>
      <c r="N213" s="245">
        <v>58.967440000000003</v>
      </c>
      <c r="O213" s="245">
        <v>56.756239999999998</v>
      </c>
      <c r="P213" s="245">
        <v>54.185099999999998</v>
      </c>
      <c r="Q213" s="246">
        <v>53.236040000000003</v>
      </c>
      <c r="S213" s="269">
        <v>55.247582857142859</v>
      </c>
      <c r="T213" s="271">
        <f t="shared" si="38"/>
        <v>1.0273072063036344</v>
      </c>
      <c r="U213" s="271">
        <f t="shared" si="39"/>
        <v>0.96359039159515392</v>
      </c>
    </row>
    <row r="214" spans="2:21" x14ac:dyDescent="0.2">
      <c r="B214" s="248">
        <f t="shared" si="35"/>
        <v>48639</v>
      </c>
      <c r="C214" s="240">
        <v>5.6003428834921616</v>
      </c>
      <c r="D214" s="240">
        <v>5.8364632911392391</v>
      </c>
      <c r="E214" s="249">
        <f t="shared" si="33"/>
        <v>2033</v>
      </c>
      <c r="K214" s="35">
        <f t="shared" si="36"/>
        <v>3</v>
      </c>
      <c r="L214" s="272">
        <f t="shared" si="37"/>
        <v>2033</v>
      </c>
      <c r="M214" s="244">
        <f t="shared" si="34"/>
        <v>48639</v>
      </c>
      <c r="N214" s="245">
        <v>50.536659999999998</v>
      </c>
      <c r="O214" s="245">
        <v>48.696150000000003</v>
      </c>
      <c r="P214" s="245">
        <v>48.592869999999998</v>
      </c>
      <c r="Q214" s="246">
        <v>47.81861</v>
      </c>
      <c r="S214" s="269">
        <v>48.328835141318983</v>
      </c>
      <c r="T214" s="271">
        <f t="shared" si="38"/>
        <v>1.0076003250979866</v>
      </c>
      <c r="U214" s="271">
        <f t="shared" si="39"/>
        <v>0.98944263523366482</v>
      </c>
    </row>
    <row r="215" spans="2:21" x14ac:dyDescent="0.2">
      <c r="B215" s="248">
        <f t="shared" si="35"/>
        <v>48670</v>
      </c>
      <c r="C215" s="240">
        <v>5.4107742801516556</v>
      </c>
      <c r="D215" s="240">
        <v>5.4515518987341762</v>
      </c>
      <c r="E215" s="249">
        <f t="shared" si="33"/>
        <v>2033</v>
      </c>
      <c r="K215" s="35">
        <f t="shared" si="36"/>
        <v>4</v>
      </c>
      <c r="L215" s="272">
        <f t="shared" si="37"/>
        <v>2033</v>
      </c>
      <c r="M215" s="244">
        <f t="shared" si="34"/>
        <v>48670</v>
      </c>
      <c r="N215" s="245">
        <v>45.448250000000002</v>
      </c>
      <c r="O215" s="245">
        <v>43.533070000000002</v>
      </c>
      <c r="P215" s="245">
        <v>41.34066</v>
      </c>
      <c r="Q215" s="246">
        <v>40.983040000000003</v>
      </c>
      <c r="S215" s="269">
        <v>42.456390666666671</v>
      </c>
      <c r="T215" s="271">
        <f t="shared" si="38"/>
        <v>1.0253596529621782</v>
      </c>
      <c r="U215" s="271">
        <f t="shared" si="39"/>
        <v>0.96529731699912436</v>
      </c>
    </row>
    <row r="216" spans="2:21" x14ac:dyDescent="0.2">
      <c r="B216" s="248">
        <f t="shared" si="35"/>
        <v>48700</v>
      </c>
      <c r="C216" s="240">
        <v>5.232272384465622</v>
      </c>
      <c r="D216" s="240">
        <v>5.4836531645569613</v>
      </c>
      <c r="E216" s="249">
        <f t="shared" si="33"/>
        <v>2033</v>
      </c>
      <c r="K216" s="35">
        <f t="shared" si="36"/>
        <v>5</v>
      </c>
      <c r="L216" s="272">
        <f t="shared" si="37"/>
        <v>2033</v>
      </c>
      <c r="M216" s="244">
        <f t="shared" si="34"/>
        <v>48700</v>
      </c>
      <c r="N216" s="245">
        <v>42.434379999999997</v>
      </c>
      <c r="O216" s="245">
        <v>45.391469999999998</v>
      </c>
      <c r="P216" s="245">
        <v>36.184399999999997</v>
      </c>
      <c r="Q216" s="246">
        <v>41.772190000000002</v>
      </c>
      <c r="S216" s="269">
        <v>43.718039462365596</v>
      </c>
      <c r="T216" s="271">
        <f t="shared" si="38"/>
        <v>1.038277803813114</v>
      </c>
      <c r="U216" s="271">
        <f t="shared" si="39"/>
        <v>0.95549092579870454</v>
      </c>
    </row>
    <row r="217" spans="2:21" x14ac:dyDescent="0.2">
      <c r="B217" s="248">
        <f t="shared" si="35"/>
        <v>48731</v>
      </c>
      <c r="C217" s="240">
        <v>5.2134179936468898</v>
      </c>
      <c r="D217" s="240">
        <v>5.323248101265821</v>
      </c>
      <c r="E217" s="249">
        <f t="shared" si="33"/>
        <v>2033</v>
      </c>
      <c r="K217" s="35">
        <f t="shared" si="36"/>
        <v>6</v>
      </c>
      <c r="L217" s="272">
        <f t="shared" si="37"/>
        <v>2033</v>
      </c>
      <c r="M217" s="244">
        <f t="shared" si="34"/>
        <v>48731</v>
      </c>
      <c r="N217" s="245">
        <v>46.964910000000003</v>
      </c>
      <c r="O217" s="245">
        <v>47.537559999999999</v>
      </c>
      <c r="P217" s="245">
        <v>38.481610000000003</v>
      </c>
      <c r="Q217" s="246">
        <v>42.259729999999998</v>
      </c>
      <c r="S217" s="269">
        <v>45.309142888888886</v>
      </c>
      <c r="T217" s="271">
        <f t="shared" si="38"/>
        <v>1.0491825042150067</v>
      </c>
      <c r="U217" s="271">
        <f t="shared" si="39"/>
        <v>0.93269762581104365</v>
      </c>
    </row>
    <row r="218" spans="2:21" x14ac:dyDescent="0.2">
      <c r="B218" s="248">
        <f t="shared" si="35"/>
        <v>48761</v>
      </c>
      <c r="C218" s="240">
        <v>5.5243105031253208</v>
      </c>
      <c r="D218" s="240">
        <v>5.3393493670886061</v>
      </c>
      <c r="E218" s="249">
        <f t="shared" si="33"/>
        <v>2033</v>
      </c>
      <c r="K218" s="35">
        <f t="shared" si="36"/>
        <v>7</v>
      </c>
      <c r="L218" s="272">
        <f t="shared" si="37"/>
        <v>2033</v>
      </c>
      <c r="M218" s="244">
        <f t="shared" si="34"/>
        <v>48761</v>
      </c>
      <c r="N218" s="245">
        <v>62.025260000000003</v>
      </c>
      <c r="O218" s="245">
        <v>62.967640000000003</v>
      </c>
      <c r="P218" s="245">
        <v>50.417140000000003</v>
      </c>
      <c r="Q218" s="246">
        <v>52.1096</v>
      </c>
      <c r="S218" s="269">
        <v>57.947255913978488</v>
      </c>
      <c r="T218" s="271">
        <f t="shared" si="38"/>
        <v>1.086637132454972</v>
      </c>
      <c r="U218" s="271">
        <f t="shared" si="39"/>
        <v>0.89925914830817244</v>
      </c>
    </row>
    <row r="219" spans="2:21" x14ac:dyDescent="0.2">
      <c r="B219" s="248">
        <f t="shared" si="35"/>
        <v>48792</v>
      </c>
      <c r="C219" s="240">
        <v>5.7028123988113544</v>
      </c>
      <c r="D219" s="240">
        <v>5.5317544303797463</v>
      </c>
      <c r="E219" s="249">
        <f t="shared" si="33"/>
        <v>2033</v>
      </c>
      <c r="K219" s="35">
        <f t="shared" si="36"/>
        <v>8</v>
      </c>
      <c r="L219" s="272">
        <f t="shared" si="37"/>
        <v>2033</v>
      </c>
      <c r="M219" s="244">
        <f t="shared" si="34"/>
        <v>48792</v>
      </c>
      <c r="N219" s="245">
        <v>65.283249999999995</v>
      </c>
      <c r="O219" s="245">
        <v>66.903530000000003</v>
      </c>
      <c r="P219" s="245">
        <v>53.325679999999998</v>
      </c>
      <c r="Q219" s="246">
        <v>55.027790000000003</v>
      </c>
      <c r="S219" s="269">
        <v>61.923380967741942</v>
      </c>
      <c r="T219" s="271">
        <f t="shared" si="38"/>
        <v>1.0804243720938365</v>
      </c>
      <c r="U219" s="271">
        <f t="shared" si="39"/>
        <v>0.88864317710084184</v>
      </c>
    </row>
    <row r="220" spans="2:21" x14ac:dyDescent="0.2">
      <c r="B220" s="248">
        <f t="shared" si="35"/>
        <v>48823</v>
      </c>
      <c r="C220" s="240">
        <v>5.651577641151758</v>
      </c>
      <c r="D220" s="240">
        <v>5.4515518987341762</v>
      </c>
      <c r="E220" s="249">
        <f t="shared" si="33"/>
        <v>2033</v>
      </c>
      <c r="K220" s="35">
        <f t="shared" si="36"/>
        <v>9</v>
      </c>
      <c r="L220" s="272">
        <f t="shared" si="37"/>
        <v>2033</v>
      </c>
      <c r="M220" s="244">
        <f t="shared" si="34"/>
        <v>48823</v>
      </c>
      <c r="N220" s="245">
        <v>59.655769999999997</v>
      </c>
      <c r="O220" s="245">
        <v>57.308610000000002</v>
      </c>
      <c r="P220" s="245">
        <v>51.078400000000002</v>
      </c>
      <c r="Q220" s="246">
        <v>50.337069999999997</v>
      </c>
      <c r="S220" s="269">
        <v>54.210147777777777</v>
      </c>
      <c r="T220" s="271">
        <f t="shared" si="38"/>
        <v>1.0571564983538446</v>
      </c>
      <c r="U220" s="271">
        <f t="shared" si="39"/>
        <v>0.92855437705769439</v>
      </c>
    </row>
    <row r="221" spans="2:21" x14ac:dyDescent="0.2">
      <c r="B221" s="248">
        <f t="shared" si="35"/>
        <v>48853</v>
      </c>
      <c r="C221" s="240">
        <v>5.6866222153909209</v>
      </c>
      <c r="D221" s="240">
        <v>5.7081594936708848</v>
      </c>
      <c r="E221" s="249">
        <f t="shared" si="33"/>
        <v>2033</v>
      </c>
      <c r="K221" s="35">
        <f t="shared" si="36"/>
        <v>10</v>
      </c>
      <c r="L221" s="272">
        <f t="shared" si="37"/>
        <v>2033</v>
      </c>
      <c r="M221" s="244">
        <f t="shared" si="34"/>
        <v>48853</v>
      </c>
      <c r="N221" s="245">
        <v>57.752400000000002</v>
      </c>
      <c r="O221" s="245">
        <v>55.425620000000002</v>
      </c>
      <c r="P221" s="245">
        <v>51.366790000000002</v>
      </c>
      <c r="Q221" s="246">
        <v>50.84713</v>
      </c>
      <c r="S221" s="269">
        <v>53.407145913978496</v>
      </c>
      <c r="T221" s="271">
        <f t="shared" si="38"/>
        <v>1.0377940826359193</v>
      </c>
      <c r="U221" s="271">
        <f t="shared" si="39"/>
        <v>0.95206604153493157</v>
      </c>
    </row>
    <row r="222" spans="2:21" x14ac:dyDescent="0.2">
      <c r="B222" s="248">
        <f t="shared" si="35"/>
        <v>48884</v>
      </c>
      <c r="C222" s="240">
        <v>5.7173630699866793</v>
      </c>
      <c r="D222" s="240">
        <v>6.0288683544303785</v>
      </c>
      <c r="E222" s="249">
        <f t="shared" si="33"/>
        <v>2033</v>
      </c>
      <c r="K222" s="35">
        <f t="shared" si="36"/>
        <v>11</v>
      </c>
      <c r="L222" s="272">
        <f t="shared" si="37"/>
        <v>2033</v>
      </c>
      <c r="M222" s="244">
        <f t="shared" si="34"/>
        <v>48884</v>
      </c>
      <c r="N222" s="245">
        <v>58.169229999999999</v>
      </c>
      <c r="O222" s="245">
        <v>55.632739999999998</v>
      </c>
      <c r="P222" s="245">
        <v>52.197139999999997</v>
      </c>
      <c r="Q222" s="246">
        <v>51.636319999999998</v>
      </c>
      <c r="S222" s="269">
        <v>53.853473952843274</v>
      </c>
      <c r="T222" s="271">
        <f t="shared" si="38"/>
        <v>1.0330390208199891</v>
      </c>
      <c r="U222" s="271">
        <f t="shared" si="39"/>
        <v>0.95882988059814445</v>
      </c>
    </row>
    <row r="223" spans="2:21" x14ac:dyDescent="0.2">
      <c r="B223" s="250">
        <f t="shared" si="35"/>
        <v>48914</v>
      </c>
      <c r="C223" s="251">
        <v>6.125601619018342</v>
      </c>
      <c r="D223" s="251">
        <v>6.3816784810126572</v>
      </c>
      <c r="E223" s="252">
        <f t="shared" si="33"/>
        <v>2033</v>
      </c>
      <c r="K223" s="35">
        <f t="shared" si="36"/>
        <v>12</v>
      </c>
      <c r="L223" s="272">
        <f t="shared" si="37"/>
        <v>2033</v>
      </c>
      <c r="M223" s="253">
        <f t="shared" si="34"/>
        <v>48914</v>
      </c>
      <c r="N223" s="254">
        <v>59.322069999999997</v>
      </c>
      <c r="O223" s="254">
        <v>57.094149999999999</v>
      </c>
      <c r="P223" s="254">
        <v>53.989409999999999</v>
      </c>
      <c r="Q223" s="255">
        <v>54.28595</v>
      </c>
      <c r="S223" s="269">
        <v>55.856126344086022</v>
      </c>
      <c r="T223" s="271">
        <f t="shared" si="38"/>
        <v>1.0221645097314389</v>
      </c>
      <c r="U223" s="271">
        <f t="shared" si="39"/>
        <v>0.97188891448695547</v>
      </c>
    </row>
    <row r="224" spans="2:21" x14ac:dyDescent="0.2">
      <c r="B224" s="239">
        <f t="shared" si="35"/>
        <v>48945</v>
      </c>
      <c r="C224" s="240">
        <v>6.2446711958192438</v>
      </c>
      <c r="D224" s="240">
        <v>6.6061848101265817</v>
      </c>
      <c r="E224" s="241">
        <f t="shared" ref="E224:E235" si="40">YEAR(B224)</f>
        <v>2034</v>
      </c>
      <c r="K224" s="35">
        <f t="shared" ref="K224:K235" si="41">MONTH(M224)</f>
        <v>1</v>
      </c>
      <c r="L224" s="272">
        <f t="shared" ref="L224:L235" si="42">YEAR(M224)</f>
        <v>2034</v>
      </c>
      <c r="M224" s="244">
        <f t="shared" ref="M224:M235" si="43">B224</f>
        <v>48945</v>
      </c>
      <c r="N224" s="256">
        <v>58.515540000000001</v>
      </c>
      <c r="O224" s="256">
        <v>58.217489999999998</v>
      </c>
      <c r="P224" s="256">
        <v>54.584589999999999</v>
      </c>
      <c r="Q224" s="257">
        <v>55.122709999999998</v>
      </c>
      <c r="S224" s="269">
        <v>56.786570215053764</v>
      </c>
      <c r="T224" s="271">
        <f t="shared" ref="T224:T235" si="44">O224/S224</f>
        <v>1.0251982075960437</v>
      </c>
      <c r="U224" s="271">
        <f t="shared" ref="U224:U235" si="45">Q224/S224</f>
        <v>0.97069975860925151</v>
      </c>
    </row>
    <row r="225" spans="2:21" x14ac:dyDescent="0.2">
      <c r="B225" s="248">
        <f t="shared" si="35"/>
        <v>48976</v>
      </c>
      <c r="C225" s="240">
        <v>6.2818676298801117</v>
      </c>
      <c r="D225" s="240">
        <v>6.6883113924050619</v>
      </c>
      <c r="E225" s="249">
        <f t="shared" si="40"/>
        <v>2034</v>
      </c>
      <c r="K225" s="35">
        <f t="shared" si="41"/>
        <v>2</v>
      </c>
      <c r="L225" s="272">
        <f t="shared" si="42"/>
        <v>2034</v>
      </c>
      <c r="M225" s="244">
        <f t="shared" si="43"/>
        <v>48976</v>
      </c>
      <c r="N225" s="245">
        <v>60.844270000000002</v>
      </c>
      <c r="O225" s="245">
        <v>58.2453</v>
      </c>
      <c r="P225" s="245">
        <v>56.236339999999998</v>
      </c>
      <c r="Q225" s="246">
        <v>55.116079999999997</v>
      </c>
      <c r="S225" s="269">
        <v>56.904205714285716</v>
      </c>
      <c r="T225" s="271">
        <f t="shared" si="44"/>
        <v>1.023567577631219</v>
      </c>
      <c r="U225" s="271">
        <f t="shared" si="45"/>
        <v>0.96857656315837459</v>
      </c>
    </row>
    <row r="226" spans="2:21" x14ac:dyDescent="0.2">
      <c r="B226" s="248">
        <f t="shared" si="35"/>
        <v>49004</v>
      </c>
      <c r="C226" s="240">
        <v>6.0246691464289377</v>
      </c>
      <c r="D226" s="240">
        <v>6.2938810126582263</v>
      </c>
      <c r="E226" s="249">
        <f t="shared" si="40"/>
        <v>2034</v>
      </c>
      <c r="K226" s="35">
        <f t="shared" si="41"/>
        <v>3</v>
      </c>
      <c r="L226" s="272">
        <f t="shared" si="42"/>
        <v>2034</v>
      </c>
      <c r="M226" s="244">
        <f t="shared" si="43"/>
        <v>49004</v>
      </c>
      <c r="N226" s="245">
        <v>53.794890000000002</v>
      </c>
      <c r="O226" s="245">
        <v>52.230670000000003</v>
      </c>
      <c r="P226" s="245">
        <v>51.71913</v>
      </c>
      <c r="Q226" s="246">
        <v>51.093899999999998</v>
      </c>
      <c r="S226" s="269">
        <v>51.754848371467027</v>
      </c>
      <c r="T226" s="271">
        <f t="shared" si="44"/>
        <v>1.0091937594931744</v>
      </c>
      <c r="U226" s="271">
        <f t="shared" si="45"/>
        <v>0.98722924726350048</v>
      </c>
    </row>
    <row r="227" spans="2:21" x14ac:dyDescent="0.2">
      <c r="B227" s="248">
        <f t="shared" si="35"/>
        <v>49035</v>
      </c>
      <c r="C227" s="240">
        <v>5.7470792294292448</v>
      </c>
      <c r="D227" s="240">
        <v>5.8829443037974674</v>
      </c>
      <c r="E227" s="249">
        <f t="shared" si="40"/>
        <v>2034</v>
      </c>
      <c r="K227" s="35">
        <f t="shared" si="41"/>
        <v>4</v>
      </c>
      <c r="L227" s="272">
        <f t="shared" si="42"/>
        <v>2034</v>
      </c>
      <c r="M227" s="244">
        <f t="shared" si="43"/>
        <v>49035</v>
      </c>
      <c r="N227" s="245">
        <v>48.762419999999999</v>
      </c>
      <c r="O227" s="245">
        <v>47.250999999999998</v>
      </c>
      <c r="P227" s="245">
        <v>44.753880000000002</v>
      </c>
      <c r="Q227" s="246">
        <v>44.257109999999997</v>
      </c>
      <c r="S227" s="269">
        <v>45.920382222222223</v>
      </c>
      <c r="T227" s="271">
        <f t="shared" si="44"/>
        <v>1.0289766267915308</v>
      </c>
      <c r="U227" s="271">
        <f t="shared" si="45"/>
        <v>0.96377921651058651</v>
      </c>
    </row>
    <row r="228" spans="2:21" x14ac:dyDescent="0.2">
      <c r="B228" s="248">
        <f t="shared" si="35"/>
        <v>49065</v>
      </c>
      <c r="C228" s="240">
        <v>5.5806687365508765</v>
      </c>
      <c r="D228" s="240">
        <v>5.7513999999999994</v>
      </c>
      <c r="E228" s="249">
        <f t="shared" si="40"/>
        <v>2034</v>
      </c>
      <c r="K228" s="35">
        <f t="shared" si="41"/>
        <v>5</v>
      </c>
      <c r="L228" s="272">
        <f t="shared" si="42"/>
        <v>2034</v>
      </c>
      <c r="M228" s="244">
        <f t="shared" si="43"/>
        <v>49065</v>
      </c>
      <c r="N228" s="245">
        <v>46.287260000000003</v>
      </c>
      <c r="O228" s="245">
        <v>47.921579999999999</v>
      </c>
      <c r="P228" s="245">
        <v>39.653480000000002</v>
      </c>
      <c r="Q228" s="246">
        <v>44.196449999999999</v>
      </c>
      <c r="S228" s="269">
        <v>46.279318387096772</v>
      </c>
      <c r="T228" s="271">
        <f t="shared" si="44"/>
        <v>1.0354858643156055</v>
      </c>
      <c r="U228" s="271">
        <f t="shared" si="45"/>
        <v>0.95499353794118325</v>
      </c>
    </row>
    <row r="229" spans="2:21" x14ac:dyDescent="0.2">
      <c r="B229" s="248">
        <f t="shared" si="35"/>
        <v>49096</v>
      </c>
      <c r="C229" s="240">
        <v>5.5282043447074498</v>
      </c>
      <c r="D229" s="240">
        <v>5.6199569620253156</v>
      </c>
      <c r="E229" s="249">
        <f t="shared" si="40"/>
        <v>2034</v>
      </c>
      <c r="K229" s="35">
        <f t="shared" si="41"/>
        <v>6</v>
      </c>
      <c r="L229" s="272">
        <f t="shared" si="42"/>
        <v>2034</v>
      </c>
      <c r="M229" s="244">
        <f t="shared" si="43"/>
        <v>49096</v>
      </c>
      <c r="N229" s="245">
        <v>49.455489999999998</v>
      </c>
      <c r="O229" s="245">
        <v>49.77111</v>
      </c>
      <c r="P229" s="245">
        <v>40.731549999999999</v>
      </c>
      <c r="Q229" s="246">
        <v>44.651850000000003</v>
      </c>
      <c r="S229" s="269">
        <v>47.609644666666668</v>
      </c>
      <c r="T229" s="271">
        <f t="shared" si="44"/>
        <v>1.0453997367228127</v>
      </c>
      <c r="U229" s="271">
        <f t="shared" si="45"/>
        <v>0.93787404448457201</v>
      </c>
    </row>
    <row r="230" spans="2:21" x14ac:dyDescent="0.2">
      <c r="B230" s="248">
        <f t="shared" si="35"/>
        <v>49126</v>
      </c>
      <c r="C230" s="240">
        <v>5.7303766984322166</v>
      </c>
      <c r="D230" s="240">
        <v>5.4720075949367075</v>
      </c>
      <c r="E230" s="249">
        <f t="shared" si="40"/>
        <v>2034</v>
      </c>
      <c r="K230" s="35">
        <f t="shared" si="41"/>
        <v>7</v>
      </c>
      <c r="L230" s="272">
        <f t="shared" si="42"/>
        <v>2034</v>
      </c>
      <c r="M230" s="244">
        <f t="shared" si="43"/>
        <v>49126</v>
      </c>
      <c r="N230" s="245">
        <v>63.794840000000001</v>
      </c>
      <c r="O230" s="245">
        <v>64.693860000000001</v>
      </c>
      <c r="P230" s="245">
        <v>52.025919999999999</v>
      </c>
      <c r="Q230" s="246">
        <v>53.819090000000003</v>
      </c>
      <c r="S230" s="269">
        <v>59.665740537634406</v>
      </c>
      <c r="T230" s="271">
        <f t="shared" si="44"/>
        <v>1.0842714666248732</v>
      </c>
      <c r="U230" s="271">
        <f t="shared" si="45"/>
        <v>0.90200992252921752</v>
      </c>
    </row>
    <row r="231" spans="2:21" x14ac:dyDescent="0.2">
      <c r="B231" s="248">
        <f t="shared" si="35"/>
        <v>49157</v>
      </c>
      <c r="C231" s="240">
        <v>5.9133872527922948</v>
      </c>
      <c r="D231" s="240">
        <v>5.7020835443037967</v>
      </c>
      <c r="E231" s="249">
        <f t="shared" si="40"/>
        <v>2034</v>
      </c>
      <c r="K231" s="35">
        <f t="shared" si="41"/>
        <v>8</v>
      </c>
      <c r="L231" s="272">
        <f t="shared" si="42"/>
        <v>2034</v>
      </c>
      <c r="M231" s="244">
        <f t="shared" si="43"/>
        <v>49157</v>
      </c>
      <c r="N231" s="245">
        <v>66.772900000000007</v>
      </c>
      <c r="O231" s="245">
        <v>68.509690000000006</v>
      </c>
      <c r="P231" s="245">
        <v>54.782040000000002</v>
      </c>
      <c r="Q231" s="246">
        <v>56.571849999999998</v>
      </c>
      <c r="S231" s="269">
        <v>63.503499032258077</v>
      </c>
      <c r="T231" s="271">
        <f t="shared" si="44"/>
        <v>1.078833309093707</v>
      </c>
      <c r="U231" s="271">
        <f t="shared" si="45"/>
        <v>0.89084618740871291</v>
      </c>
    </row>
    <row r="232" spans="2:21" x14ac:dyDescent="0.2">
      <c r="B232" s="248">
        <f t="shared" si="35"/>
        <v>49188</v>
      </c>
      <c r="C232" s="240">
        <v>5.8110202069884211</v>
      </c>
      <c r="D232" s="240">
        <v>5.5541341772151895</v>
      </c>
      <c r="E232" s="249">
        <f t="shared" si="40"/>
        <v>2034</v>
      </c>
      <c r="K232" s="35">
        <f t="shared" si="41"/>
        <v>9</v>
      </c>
      <c r="L232" s="272">
        <f t="shared" si="42"/>
        <v>2034</v>
      </c>
      <c r="M232" s="244">
        <f t="shared" si="43"/>
        <v>49188</v>
      </c>
      <c r="N232" s="245">
        <v>60.358350000000002</v>
      </c>
      <c r="O232" s="245">
        <v>57.768369999999997</v>
      </c>
      <c r="P232" s="245">
        <v>51.873840000000001</v>
      </c>
      <c r="Q232" s="246">
        <v>51.489800000000002</v>
      </c>
      <c r="S232" s="269">
        <v>54.977894444444445</v>
      </c>
      <c r="T232" s="271">
        <f t="shared" si="44"/>
        <v>1.050756319130689</v>
      </c>
      <c r="U232" s="271">
        <f t="shared" si="45"/>
        <v>0.93655460108663879</v>
      </c>
    </row>
    <row r="233" spans="2:21" x14ac:dyDescent="0.2">
      <c r="B233" s="248">
        <f t="shared" si="35"/>
        <v>49218</v>
      </c>
      <c r="C233" s="240">
        <v>5.8301820063531107</v>
      </c>
      <c r="D233" s="240">
        <v>5.8336278481012647</v>
      </c>
      <c r="E233" s="249">
        <f t="shared" si="40"/>
        <v>2034</v>
      </c>
      <c r="K233" s="35">
        <f t="shared" si="41"/>
        <v>10</v>
      </c>
      <c r="L233" s="272">
        <f t="shared" si="42"/>
        <v>2034</v>
      </c>
      <c r="M233" s="244">
        <f t="shared" si="43"/>
        <v>49218</v>
      </c>
      <c r="N233" s="245">
        <v>58.935299999999998</v>
      </c>
      <c r="O233" s="245">
        <v>55.617229999999999</v>
      </c>
      <c r="P233" s="245">
        <v>52.447290000000002</v>
      </c>
      <c r="Q233" s="246">
        <v>51.454569999999997</v>
      </c>
      <c r="S233" s="269">
        <v>53.782078817204301</v>
      </c>
      <c r="T233" s="271">
        <f t="shared" si="44"/>
        <v>1.0341219830686175</v>
      </c>
      <c r="U233" s="271">
        <f t="shared" si="45"/>
        <v>0.95672333854711922</v>
      </c>
    </row>
    <row r="234" spans="2:21" x14ac:dyDescent="0.2">
      <c r="B234" s="248">
        <f t="shared" si="35"/>
        <v>49249</v>
      </c>
      <c r="C234" s="240">
        <v>5.8787525566144074</v>
      </c>
      <c r="D234" s="240">
        <v>6.2280582278481003</v>
      </c>
      <c r="E234" s="249">
        <f t="shared" si="40"/>
        <v>2034</v>
      </c>
      <c r="K234" s="35">
        <f t="shared" si="41"/>
        <v>11</v>
      </c>
      <c r="L234" s="272">
        <f t="shared" si="42"/>
        <v>2034</v>
      </c>
      <c r="M234" s="244">
        <f t="shared" si="43"/>
        <v>49249</v>
      </c>
      <c r="N234" s="245">
        <v>60.335850000000001</v>
      </c>
      <c r="O234" s="245">
        <v>57.721420000000002</v>
      </c>
      <c r="P234" s="245">
        <v>54.281770000000002</v>
      </c>
      <c r="Q234" s="246">
        <v>53.654969999999999</v>
      </c>
      <c r="S234" s="269">
        <v>55.910975547850207</v>
      </c>
      <c r="T234" s="271">
        <f t="shared" si="44"/>
        <v>1.0323808417651443</v>
      </c>
      <c r="U234" s="271">
        <f t="shared" si="45"/>
        <v>0.95965004141415033</v>
      </c>
    </row>
    <row r="235" spans="2:21" x14ac:dyDescent="0.2">
      <c r="B235" s="250">
        <f t="shared" si="35"/>
        <v>49279</v>
      </c>
      <c r="C235" s="251">
        <v>6.2805355261809614</v>
      </c>
      <c r="D235" s="251">
        <v>6.556868354430379</v>
      </c>
      <c r="E235" s="252">
        <f t="shared" si="40"/>
        <v>2034</v>
      </c>
      <c r="K235" s="35">
        <f t="shared" si="41"/>
        <v>12</v>
      </c>
      <c r="L235" s="272">
        <f t="shared" si="42"/>
        <v>2034</v>
      </c>
      <c r="M235" s="253">
        <f t="shared" si="43"/>
        <v>49279</v>
      </c>
      <c r="N235" s="254">
        <v>60.828420000000001</v>
      </c>
      <c r="O235" s="254">
        <v>58.467509999999997</v>
      </c>
      <c r="P235" s="254">
        <v>55.76876</v>
      </c>
      <c r="Q235" s="255">
        <v>55.986150000000002</v>
      </c>
      <c r="S235" s="269">
        <v>57.32021451612902</v>
      </c>
      <c r="T235" s="271">
        <f t="shared" si="44"/>
        <v>1.0200155476310744</v>
      </c>
      <c r="U235" s="271">
        <f t="shared" si="45"/>
        <v>0.97672610740572796</v>
      </c>
    </row>
    <row r="236" spans="2:21" x14ac:dyDescent="0.2">
      <c r="B236" s="239">
        <f t="shared" si="35"/>
        <v>49310</v>
      </c>
      <c r="C236" s="240">
        <v>6.4197915974997448</v>
      </c>
      <c r="D236" s="240">
        <v>6.7705392405063272</v>
      </c>
      <c r="E236" s="241">
        <f t="shared" ref="E236:E247" si="46">YEAR(B236)</f>
        <v>2035</v>
      </c>
      <c r="K236" s="35">
        <f t="shared" ref="K236:K247" si="47">MONTH(M236)</f>
        <v>1</v>
      </c>
      <c r="L236" s="272">
        <f t="shared" ref="L236:L247" si="48">YEAR(M236)</f>
        <v>2035</v>
      </c>
      <c r="M236" s="244">
        <f t="shared" ref="M236:M247" si="49">B236</f>
        <v>49310</v>
      </c>
      <c r="N236" s="256">
        <v>60.215580000000003</v>
      </c>
      <c r="O236" s="256">
        <v>59.41037</v>
      </c>
      <c r="P236" s="256">
        <v>55.99841</v>
      </c>
      <c r="Q236" s="257">
        <v>56.418219999999998</v>
      </c>
      <c r="S236" s="269">
        <v>58.091250107526875</v>
      </c>
      <c r="T236" s="271">
        <f t="shared" ref="T236:T247" si="50">O236/S236</f>
        <v>1.0227077208707238</v>
      </c>
      <c r="U236" s="271">
        <f t="shared" ref="U236:U247" si="51">Q236/S236</f>
        <v>0.97119996377371631</v>
      </c>
    </row>
    <row r="237" spans="2:21" x14ac:dyDescent="0.2">
      <c r="B237" s="248">
        <f t="shared" si="35"/>
        <v>49341</v>
      </c>
      <c r="C237" s="240">
        <v>6.4743053796495547</v>
      </c>
      <c r="D237" s="240">
        <v>6.8884126582278471</v>
      </c>
      <c r="E237" s="249">
        <f t="shared" si="46"/>
        <v>2035</v>
      </c>
      <c r="K237" s="35">
        <f t="shared" si="47"/>
        <v>2</v>
      </c>
      <c r="L237" s="272">
        <f t="shared" si="48"/>
        <v>2035</v>
      </c>
      <c r="M237" s="244">
        <f t="shared" si="49"/>
        <v>49341</v>
      </c>
      <c r="N237" s="245">
        <v>63.073009999999996</v>
      </c>
      <c r="O237" s="245">
        <v>59.89479</v>
      </c>
      <c r="P237" s="245">
        <v>58.050910000000002</v>
      </c>
      <c r="Q237" s="246">
        <v>56.638309999999997</v>
      </c>
      <c r="S237" s="269">
        <v>58.49915571428572</v>
      </c>
      <c r="T237" s="271">
        <f t="shared" si="50"/>
        <v>1.0238573406517295</v>
      </c>
      <c r="U237" s="271">
        <f t="shared" si="51"/>
        <v>0.96819021246436043</v>
      </c>
    </row>
    <row r="238" spans="2:21" x14ac:dyDescent="0.2">
      <c r="B238" s="248">
        <f t="shared" si="35"/>
        <v>49369</v>
      </c>
      <c r="C238" s="240">
        <v>6.2620910134235066</v>
      </c>
      <c r="D238" s="240">
        <v>6.5345898734177199</v>
      </c>
      <c r="E238" s="249">
        <f t="shared" si="46"/>
        <v>2035</v>
      </c>
      <c r="K238" s="35">
        <f t="shared" si="47"/>
        <v>3</v>
      </c>
      <c r="L238" s="272">
        <f t="shared" si="48"/>
        <v>2035</v>
      </c>
      <c r="M238" s="244">
        <f t="shared" si="49"/>
        <v>49369</v>
      </c>
      <c r="N238" s="245">
        <v>56.162350000000004</v>
      </c>
      <c r="O238" s="245">
        <v>54.003079999999997</v>
      </c>
      <c r="P238" s="245">
        <v>53.796529999999997</v>
      </c>
      <c r="Q238" s="246">
        <v>52.886659999999999</v>
      </c>
      <c r="S238" s="269">
        <v>53.535776339165544</v>
      </c>
      <c r="T238" s="271">
        <f t="shared" si="50"/>
        <v>1.0087288107652337</v>
      </c>
      <c r="U238" s="271">
        <f t="shared" si="51"/>
        <v>0.98787509244186178</v>
      </c>
    </row>
    <row r="239" spans="2:21" x14ac:dyDescent="0.2">
      <c r="B239" s="248">
        <f t="shared" si="35"/>
        <v>49400</v>
      </c>
      <c r="C239" s="240">
        <v>6.0455729275540531</v>
      </c>
      <c r="D239" s="240">
        <v>6.1808683544303786</v>
      </c>
      <c r="E239" s="249">
        <f t="shared" si="46"/>
        <v>2035</v>
      </c>
      <c r="K239" s="35">
        <f t="shared" si="47"/>
        <v>4</v>
      </c>
      <c r="L239" s="272">
        <f t="shared" si="48"/>
        <v>2035</v>
      </c>
      <c r="M239" s="244">
        <f t="shared" si="49"/>
        <v>49400</v>
      </c>
      <c r="N239" s="245">
        <v>50.992350000000002</v>
      </c>
      <c r="O239" s="245">
        <v>49.013730000000002</v>
      </c>
      <c r="P239" s="245">
        <v>46.558280000000003</v>
      </c>
      <c r="Q239" s="246">
        <v>45.731859999999998</v>
      </c>
      <c r="S239" s="269">
        <v>47.555121111111113</v>
      </c>
      <c r="T239" s="271">
        <f t="shared" si="50"/>
        <v>1.0306719624471337</v>
      </c>
      <c r="U239" s="271">
        <f t="shared" si="51"/>
        <v>0.96166004694108298</v>
      </c>
    </row>
    <row r="240" spans="2:21" x14ac:dyDescent="0.2">
      <c r="B240" s="248">
        <f t="shared" si="35"/>
        <v>49430</v>
      </c>
      <c r="C240" s="240">
        <v>6.0114505789527621</v>
      </c>
      <c r="D240" s="240">
        <v>6.079703797468353</v>
      </c>
      <c r="E240" s="249">
        <f t="shared" si="46"/>
        <v>2035</v>
      </c>
      <c r="K240" s="35">
        <f t="shared" si="47"/>
        <v>5</v>
      </c>
      <c r="L240" s="272">
        <f t="shared" si="48"/>
        <v>2035</v>
      </c>
      <c r="M240" s="244">
        <f t="shared" si="49"/>
        <v>49430</v>
      </c>
      <c r="N240" s="245">
        <v>47.597740000000002</v>
      </c>
      <c r="O240" s="245">
        <v>50.24147</v>
      </c>
      <c r="P240" s="245">
        <v>40.080460000000002</v>
      </c>
      <c r="Q240" s="246">
        <v>46.751519999999999</v>
      </c>
      <c r="S240" s="269">
        <v>48.702889892473117</v>
      </c>
      <c r="T240" s="271">
        <f t="shared" si="50"/>
        <v>1.0315911460474683</v>
      </c>
      <c r="U240" s="271">
        <f t="shared" si="51"/>
        <v>0.95993318062272326</v>
      </c>
    </row>
    <row r="241" spans="2:21" x14ac:dyDescent="0.2">
      <c r="B241" s="248">
        <f t="shared" si="35"/>
        <v>49461</v>
      </c>
      <c r="C241" s="240">
        <v>5.9066242647812279</v>
      </c>
      <c r="D241" s="240">
        <v>5.8270455696202523</v>
      </c>
      <c r="E241" s="249">
        <f t="shared" si="46"/>
        <v>2035</v>
      </c>
      <c r="K241" s="35">
        <f t="shared" si="47"/>
        <v>6</v>
      </c>
      <c r="L241" s="272">
        <f t="shared" si="48"/>
        <v>2035</v>
      </c>
      <c r="M241" s="244">
        <f t="shared" si="49"/>
        <v>49461</v>
      </c>
      <c r="N241" s="245">
        <v>50.368130000000001</v>
      </c>
      <c r="O241" s="245">
        <v>52.255110000000002</v>
      </c>
      <c r="P241" s="245">
        <v>41.55744</v>
      </c>
      <c r="Q241" s="246">
        <v>47.007089999999998</v>
      </c>
      <c r="S241" s="269">
        <v>50.039279333333333</v>
      </c>
      <c r="T241" s="271">
        <f t="shared" si="50"/>
        <v>1.0442818261211571</v>
      </c>
      <c r="U241" s="271">
        <f t="shared" si="51"/>
        <v>0.93940381688683794</v>
      </c>
    </row>
    <row r="242" spans="2:21" x14ac:dyDescent="0.2">
      <c r="B242" s="248">
        <f t="shared" si="35"/>
        <v>49491</v>
      </c>
      <c r="C242" s="240">
        <v>6.1819598524438986</v>
      </c>
      <c r="D242" s="240">
        <v>5.8101341772151889</v>
      </c>
      <c r="E242" s="249">
        <f t="shared" si="46"/>
        <v>2035</v>
      </c>
      <c r="K242" s="35">
        <f t="shared" si="47"/>
        <v>7</v>
      </c>
      <c r="L242" s="272">
        <f t="shared" si="48"/>
        <v>2035</v>
      </c>
      <c r="M242" s="244">
        <f t="shared" si="49"/>
        <v>49491</v>
      </c>
      <c r="N242" s="245">
        <v>67.65607</v>
      </c>
      <c r="O242" s="245">
        <v>68.513599999999997</v>
      </c>
      <c r="P242" s="245">
        <v>55.221980000000002</v>
      </c>
      <c r="Q242" s="246">
        <v>57.06006</v>
      </c>
      <c r="S242" s="269">
        <v>63.217877204301068</v>
      </c>
      <c r="T242" s="271">
        <f t="shared" si="50"/>
        <v>1.0837693866022227</v>
      </c>
      <c r="U242" s="271">
        <f t="shared" si="51"/>
        <v>0.90259373650904373</v>
      </c>
    </row>
    <row r="243" spans="2:21" x14ac:dyDescent="0.2">
      <c r="B243" s="248">
        <f t="shared" si="35"/>
        <v>49522</v>
      </c>
      <c r="C243" s="240">
        <v>6.3183467773337441</v>
      </c>
      <c r="D243" s="240">
        <v>5.8775772151898726</v>
      </c>
      <c r="E243" s="249">
        <f t="shared" si="46"/>
        <v>2035</v>
      </c>
      <c r="K243" s="35">
        <f t="shared" si="47"/>
        <v>8</v>
      </c>
      <c r="L243" s="272">
        <f t="shared" si="48"/>
        <v>2035</v>
      </c>
      <c r="M243" s="244">
        <f t="shared" si="49"/>
        <v>49522</v>
      </c>
      <c r="N243" s="245">
        <v>70.426320000000004</v>
      </c>
      <c r="O243" s="245">
        <v>71.916880000000006</v>
      </c>
      <c r="P243" s="245">
        <v>57.277209999999997</v>
      </c>
      <c r="Q243" s="246">
        <v>59.006790000000002</v>
      </c>
      <c r="S243" s="269">
        <v>66.502971290322591</v>
      </c>
      <c r="T243" s="271">
        <f t="shared" si="50"/>
        <v>1.0814085236288569</v>
      </c>
      <c r="U243" s="271">
        <f t="shared" si="51"/>
        <v>0.88728050574465955</v>
      </c>
    </row>
    <row r="244" spans="2:21" x14ac:dyDescent="0.2">
      <c r="B244" s="248">
        <f t="shared" si="35"/>
        <v>49553</v>
      </c>
      <c r="C244" s="240">
        <v>6.1623881750179326</v>
      </c>
      <c r="D244" s="240">
        <v>5.9112987341772136</v>
      </c>
      <c r="E244" s="249">
        <f t="shared" si="46"/>
        <v>2035</v>
      </c>
      <c r="K244" s="35">
        <f t="shared" si="47"/>
        <v>9</v>
      </c>
      <c r="L244" s="272">
        <f t="shared" si="48"/>
        <v>2035</v>
      </c>
      <c r="M244" s="244">
        <f t="shared" si="49"/>
        <v>49553</v>
      </c>
      <c r="N244" s="245">
        <v>65.237710000000007</v>
      </c>
      <c r="O244" s="245">
        <v>62.781599999999997</v>
      </c>
      <c r="P244" s="245">
        <v>55.482410000000002</v>
      </c>
      <c r="Q244" s="246">
        <v>55.08184</v>
      </c>
      <c r="S244" s="269">
        <v>59.188378666666665</v>
      </c>
      <c r="T244" s="271">
        <f t="shared" si="50"/>
        <v>1.060708223713466</v>
      </c>
      <c r="U244" s="271">
        <f t="shared" si="51"/>
        <v>0.93061917289889606</v>
      </c>
    </row>
    <row r="245" spans="2:21" x14ac:dyDescent="0.2">
      <c r="B245" s="248">
        <f t="shared" si="35"/>
        <v>49583</v>
      </c>
      <c r="C245" s="240">
        <v>6.1649499129009122</v>
      </c>
      <c r="D245" s="240">
        <v>6.2144886075949355</v>
      </c>
      <c r="E245" s="249">
        <f t="shared" si="46"/>
        <v>2035</v>
      </c>
      <c r="K245" s="35">
        <f t="shared" si="47"/>
        <v>10</v>
      </c>
      <c r="L245" s="272">
        <f t="shared" si="48"/>
        <v>2035</v>
      </c>
      <c r="M245" s="244">
        <f t="shared" si="49"/>
        <v>49583</v>
      </c>
      <c r="N245" s="245">
        <v>62.556789999999999</v>
      </c>
      <c r="O245" s="245">
        <v>59.602760000000004</v>
      </c>
      <c r="P245" s="245">
        <v>54.836689999999997</v>
      </c>
      <c r="Q245" s="246">
        <v>54.310339999999997</v>
      </c>
      <c r="S245" s="269">
        <v>57.383358064516131</v>
      </c>
      <c r="T245" s="271">
        <f t="shared" si="50"/>
        <v>1.0386767524652112</v>
      </c>
      <c r="U245" s="271">
        <f t="shared" si="51"/>
        <v>0.94644757350970754</v>
      </c>
    </row>
    <row r="246" spans="2:21" x14ac:dyDescent="0.2">
      <c r="B246" s="248">
        <f t="shared" si="35"/>
        <v>49614</v>
      </c>
      <c r="C246" s="240">
        <v>6.1981500358643302</v>
      </c>
      <c r="D246" s="240">
        <v>6.5345898734177199</v>
      </c>
      <c r="E246" s="249">
        <f t="shared" si="46"/>
        <v>2035</v>
      </c>
      <c r="K246" s="35">
        <f t="shared" si="47"/>
        <v>11</v>
      </c>
      <c r="L246" s="272">
        <f t="shared" si="48"/>
        <v>2035</v>
      </c>
      <c r="M246" s="244">
        <f t="shared" si="49"/>
        <v>49614</v>
      </c>
      <c r="N246" s="245">
        <v>61.67727</v>
      </c>
      <c r="O246" s="245">
        <v>58.745130000000003</v>
      </c>
      <c r="P246" s="245">
        <v>55.635170000000002</v>
      </c>
      <c r="Q246" s="246">
        <v>54.949779999999997</v>
      </c>
      <c r="S246" s="269">
        <v>57.055383328710128</v>
      </c>
      <c r="T246" s="271">
        <f t="shared" si="50"/>
        <v>1.0296159025267577</v>
      </c>
      <c r="U246" s="271">
        <f t="shared" si="51"/>
        <v>0.96309544856478779</v>
      </c>
    </row>
    <row r="247" spans="2:21" x14ac:dyDescent="0.2">
      <c r="B247" s="250">
        <f t="shared" si="35"/>
        <v>49644</v>
      </c>
      <c r="C247" s="251">
        <v>6.5757501998155554</v>
      </c>
      <c r="D247" s="251">
        <v>6.8547924050632902</v>
      </c>
      <c r="E247" s="252">
        <f t="shared" si="46"/>
        <v>2035</v>
      </c>
      <c r="K247" s="35">
        <f t="shared" si="47"/>
        <v>12</v>
      </c>
      <c r="L247" s="272">
        <f t="shared" si="48"/>
        <v>2035</v>
      </c>
      <c r="M247" s="253">
        <f t="shared" si="49"/>
        <v>49644</v>
      </c>
      <c r="N247" s="254">
        <v>62.86103</v>
      </c>
      <c r="O247" s="254">
        <v>60.426310000000001</v>
      </c>
      <c r="P247" s="254">
        <v>58.068660000000001</v>
      </c>
      <c r="Q247" s="255">
        <v>58.251860000000001</v>
      </c>
      <c r="S247" s="269">
        <v>59.420919139784935</v>
      </c>
      <c r="T247" s="271">
        <f t="shared" si="50"/>
        <v>1.0169198133379582</v>
      </c>
      <c r="U247" s="271">
        <f t="shared" si="51"/>
        <v>0.98032579844423517</v>
      </c>
    </row>
    <row r="248" spans="2:21" x14ac:dyDescent="0.2">
      <c r="B248" s="239">
        <f t="shared" si="35"/>
        <v>49675</v>
      </c>
      <c r="C248" s="240">
        <v>6.8334610308433241</v>
      </c>
      <c r="D248" s="240">
        <v>7.1185898734177195</v>
      </c>
      <c r="E248" s="241">
        <f t="shared" ref="E248:E259" si="52">YEAR(B248)</f>
        <v>2036</v>
      </c>
      <c r="K248" s="35">
        <f t="shared" ref="K248:K259" si="53">MONTH(M248)</f>
        <v>1</v>
      </c>
      <c r="L248" s="272">
        <f t="shared" ref="L248:L259" si="54">YEAR(M248)</f>
        <v>2036</v>
      </c>
      <c r="M248" s="244">
        <f t="shared" ref="M248:M259" si="55">B248</f>
        <v>49675</v>
      </c>
      <c r="N248" s="256">
        <v>62.776400000000002</v>
      </c>
      <c r="O248" s="256">
        <v>62.280419999999999</v>
      </c>
      <c r="P248" s="256">
        <v>58.811019999999999</v>
      </c>
      <c r="Q248" s="257">
        <v>59.451979999999999</v>
      </c>
      <c r="S248" s="269">
        <v>61.033473333333333</v>
      </c>
      <c r="T248" s="271">
        <f t="shared" ref="T248:T259" si="56">O248/S248</f>
        <v>1.0204305375159708</v>
      </c>
      <c r="U248" s="271">
        <f t="shared" ref="U248:U259" si="57">Q248/S248</f>
        <v>0.97408809876023217</v>
      </c>
    </row>
    <row r="249" spans="2:21" x14ac:dyDescent="0.2">
      <c r="B249" s="248">
        <f t="shared" si="35"/>
        <v>49706</v>
      </c>
      <c r="C249" s="240">
        <v>6.8014905420637364</v>
      </c>
      <c r="D249" s="240">
        <v>7.2569189873417708</v>
      </c>
      <c r="E249" s="249">
        <f t="shared" si="52"/>
        <v>2036</v>
      </c>
      <c r="K249" s="35">
        <f t="shared" si="53"/>
        <v>2</v>
      </c>
      <c r="L249" s="272">
        <f t="shared" si="54"/>
        <v>2036</v>
      </c>
      <c r="M249" s="244">
        <f t="shared" si="55"/>
        <v>49706</v>
      </c>
      <c r="N249" s="245">
        <v>65.564970000000002</v>
      </c>
      <c r="O249" s="245">
        <v>62.797370000000001</v>
      </c>
      <c r="P249" s="245">
        <v>60.89425</v>
      </c>
      <c r="Q249" s="246">
        <v>59.575130000000001</v>
      </c>
      <c r="S249" s="269">
        <v>61.426992068965518</v>
      </c>
      <c r="T249" s="271">
        <f t="shared" si="56"/>
        <v>1.0223090515240585</v>
      </c>
      <c r="U249" s="271">
        <f t="shared" si="57"/>
        <v>0.96985263307559666</v>
      </c>
    </row>
    <row r="250" spans="2:21" x14ac:dyDescent="0.2">
      <c r="B250" s="248">
        <f t="shared" si="35"/>
        <v>49735</v>
      </c>
      <c r="C250" s="240">
        <v>6.6713542576083622</v>
      </c>
      <c r="D250" s="240">
        <v>6.9284126582278471</v>
      </c>
      <c r="E250" s="249">
        <f t="shared" si="52"/>
        <v>2036</v>
      </c>
      <c r="K250" s="35">
        <f t="shared" si="53"/>
        <v>3</v>
      </c>
      <c r="L250" s="272">
        <f t="shared" si="54"/>
        <v>2036</v>
      </c>
      <c r="M250" s="244">
        <f t="shared" si="55"/>
        <v>49735</v>
      </c>
      <c r="N250" s="245">
        <v>59.278010000000002</v>
      </c>
      <c r="O250" s="245">
        <v>57.184750000000001</v>
      </c>
      <c r="P250" s="245">
        <v>56.945500000000003</v>
      </c>
      <c r="Q250" s="246">
        <v>56.024700000000003</v>
      </c>
      <c r="S250" s="269">
        <v>56.674203095558553</v>
      </c>
      <c r="T250" s="271">
        <f t="shared" si="56"/>
        <v>1.0090084531683774</v>
      </c>
      <c r="U250" s="271">
        <f t="shared" si="57"/>
        <v>0.98853970483778275</v>
      </c>
    </row>
    <row r="251" spans="2:21" x14ac:dyDescent="0.2">
      <c r="B251" s="248">
        <f t="shared" si="35"/>
        <v>49766</v>
      </c>
      <c r="C251" s="240">
        <v>6.4841424531201977</v>
      </c>
      <c r="D251" s="240">
        <v>6.6691721518987332</v>
      </c>
      <c r="E251" s="249">
        <f t="shared" si="52"/>
        <v>2036</v>
      </c>
      <c r="K251" s="35">
        <f t="shared" si="53"/>
        <v>4</v>
      </c>
      <c r="L251" s="272">
        <f t="shared" si="54"/>
        <v>2036</v>
      </c>
      <c r="M251" s="244">
        <f t="shared" si="55"/>
        <v>49766</v>
      </c>
      <c r="N251" s="245">
        <v>54.57291</v>
      </c>
      <c r="O251" s="245">
        <v>52.560110000000002</v>
      </c>
      <c r="P251" s="245">
        <v>49.705300000000001</v>
      </c>
      <c r="Q251" s="246">
        <v>49.224130000000002</v>
      </c>
      <c r="S251" s="269">
        <v>51.151585111111117</v>
      </c>
      <c r="T251" s="271">
        <f t="shared" si="56"/>
        <v>1.0275362901429017</v>
      </c>
      <c r="U251" s="271">
        <f t="shared" si="57"/>
        <v>0.96231876085708179</v>
      </c>
    </row>
    <row r="252" spans="2:21" x14ac:dyDescent="0.2">
      <c r="B252" s="248">
        <f t="shared" si="35"/>
        <v>49796</v>
      </c>
      <c r="C252" s="240">
        <v>6.4666201660006157</v>
      </c>
      <c r="D252" s="240">
        <v>6.6173240506329094</v>
      </c>
      <c r="E252" s="249">
        <f t="shared" si="52"/>
        <v>2036</v>
      </c>
      <c r="K252" s="35">
        <f t="shared" si="53"/>
        <v>5</v>
      </c>
      <c r="L252" s="272">
        <f t="shared" si="54"/>
        <v>2036</v>
      </c>
      <c r="M252" s="244">
        <f t="shared" si="55"/>
        <v>49796</v>
      </c>
      <c r="N252" s="245">
        <v>50.67991</v>
      </c>
      <c r="O252" s="245">
        <v>54.187899999999999</v>
      </c>
      <c r="P252" s="245">
        <v>43.702599999999997</v>
      </c>
      <c r="Q252" s="246">
        <v>50.64199</v>
      </c>
      <c r="S252" s="269">
        <v>52.624649354838709</v>
      </c>
      <c r="T252" s="271">
        <f t="shared" si="56"/>
        <v>1.0297056733740984</v>
      </c>
      <c r="U252" s="271">
        <f t="shared" si="57"/>
        <v>0.96232451181821688</v>
      </c>
    </row>
    <row r="253" spans="2:21" x14ac:dyDescent="0.2">
      <c r="B253" s="248">
        <f t="shared" si="35"/>
        <v>49827</v>
      </c>
      <c r="C253" s="240">
        <v>6.3766519315503638</v>
      </c>
      <c r="D253" s="240">
        <v>6.3752987341772132</v>
      </c>
      <c r="E253" s="249">
        <f t="shared" si="52"/>
        <v>2036</v>
      </c>
      <c r="K253" s="35">
        <f t="shared" si="53"/>
        <v>6</v>
      </c>
      <c r="L253" s="272">
        <f t="shared" si="54"/>
        <v>2036</v>
      </c>
      <c r="M253" s="244">
        <f t="shared" si="55"/>
        <v>49827</v>
      </c>
      <c r="N253" s="245">
        <v>54.439309999999999</v>
      </c>
      <c r="O253" s="245">
        <v>55.48077</v>
      </c>
      <c r="P253" s="245">
        <v>45.828989999999997</v>
      </c>
      <c r="Q253" s="246">
        <v>50.777500000000003</v>
      </c>
      <c r="S253" s="269">
        <v>53.390427777777781</v>
      </c>
      <c r="T253" s="271">
        <f t="shared" si="56"/>
        <v>1.0391520036311128</v>
      </c>
      <c r="U253" s="271">
        <f t="shared" si="57"/>
        <v>0.95105999546110898</v>
      </c>
    </row>
    <row r="254" spans="2:21" x14ac:dyDescent="0.2">
      <c r="B254" s="248">
        <f t="shared" si="35"/>
        <v>49857</v>
      </c>
      <c r="C254" s="240">
        <v>6.6590579157700587</v>
      </c>
      <c r="D254" s="240">
        <v>6.3407670886075937</v>
      </c>
      <c r="E254" s="249">
        <f t="shared" si="52"/>
        <v>2036</v>
      </c>
      <c r="K254" s="35">
        <f t="shared" si="53"/>
        <v>7</v>
      </c>
      <c r="L254" s="272">
        <f t="shared" si="54"/>
        <v>2036</v>
      </c>
      <c r="M254" s="244">
        <f t="shared" si="55"/>
        <v>49857</v>
      </c>
      <c r="N254" s="245">
        <v>71.922820000000002</v>
      </c>
      <c r="O254" s="245">
        <v>73.051280000000006</v>
      </c>
      <c r="P254" s="245">
        <v>58.488280000000003</v>
      </c>
      <c r="Q254" s="246">
        <v>60.768279999999997</v>
      </c>
      <c r="S254" s="269">
        <v>67.636193978494632</v>
      </c>
      <c r="T254" s="271">
        <f t="shared" si="56"/>
        <v>1.0800619565203082</v>
      </c>
      <c r="U254" s="271">
        <f t="shared" si="57"/>
        <v>0.89845800636448681</v>
      </c>
    </row>
    <row r="255" spans="2:21" x14ac:dyDescent="0.2">
      <c r="B255" s="248">
        <f t="shared" si="35"/>
        <v>49888</v>
      </c>
      <c r="C255" s="240">
        <v>6.8864377702633472</v>
      </c>
      <c r="D255" s="240">
        <v>6.4789949367088591</v>
      </c>
      <c r="E255" s="249">
        <f t="shared" si="52"/>
        <v>2036</v>
      </c>
      <c r="K255" s="35">
        <f t="shared" si="53"/>
        <v>8</v>
      </c>
      <c r="L255" s="272">
        <f t="shared" si="54"/>
        <v>2036</v>
      </c>
      <c r="M255" s="244">
        <f t="shared" si="55"/>
        <v>49888</v>
      </c>
      <c r="N255" s="245">
        <v>74.172200000000004</v>
      </c>
      <c r="O255" s="245">
        <v>76.274150000000006</v>
      </c>
      <c r="P255" s="245">
        <v>61.74024</v>
      </c>
      <c r="Q255" s="246">
        <v>63.739490000000004</v>
      </c>
      <c r="S255" s="269">
        <v>70.748117096774195</v>
      </c>
      <c r="T255" s="271">
        <f t="shared" si="56"/>
        <v>1.0781085508702219</v>
      </c>
      <c r="U255" s="271">
        <f t="shared" si="57"/>
        <v>0.90093549645727955</v>
      </c>
    </row>
    <row r="256" spans="2:21" x14ac:dyDescent="0.2">
      <c r="B256" s="248">
        <f t="shared" si="35"/>
        <v>49919</v>
      </c>
      <c r="C256" s="240">
        <v>6.6914382826109238</v>
      </c>
      <c r="D256" s="240">
        <v>6.4444632911392397</v>
      </c>
      <c r="E256" s="249">
        <f t="shared" si="52"/>
        <v>2036</v>
      </c>
      <c r="K256" s="35">
        <f t="shared" si="53"/>
        <v>9</v>
      </c>
      <c r="L256" s="272">
        <f t="shared" si="54"/>
        <v>2036</v>
      </c>
      <c r="M256" s="244">
        <f t="shared" si="55"/>
        <v>49919</v>
      </c>
      <c r="N256" s="245">
        <v>68.924229999999994</v>
      </c>
      <c r="O256" s="245">
        <v>66.9285</v>
      </c>
      <c r="P256" s="245">
        <v>58.738210000000002</v>
      </c>
      <c r="Q256" s="246">
        <v>58.801090000000002</v>
      </c>
      <c r="S256" s="269">
        <v>63.316317777777776</v>
      </c>
      <c r="T256" s="271">
        <f t="shared" si="56"/>
        <v>1.0570497835155221</v>
      </c>
      <c r="U256" s="271">
        <f t="shared" si="57"/>
        <v>0.92868777060559748</v>
      </c>
    </row>
    <row r="257" spans="2:21" x14ac:dyDescent="0.2">
      <c r="B257" s="248">
        <f t="shared" si="35"/>
        <v>49949</v>
      </c>
      <c r="C257" s="240">
        <v>6.6940000204939034</v>
      </c>
      <c r="D257" s="240">
        <v>6.7555518987341765</v>
      </c>
      <c r="E257" s="249">
        <f t="shared" si="52"/>
        <v>2036</v>
      </c>
      <c r="K257" s="35">
        <f t="shared" si="53"/>
        <v>10</v>
      </c>
      <c r="L257" s="272">
        <f t="shared" si="54"/>
        <v>2036</v>
      </c>
      <c r="M257" s="244">
        <f t="shared" si="55"/>
        <v>49949</v>
      </c>
      <c r="N257" s="245">
        <v>65.868840000000006</v>
      </c>
      <c r="O257" s="245">
        <v>63.105589999999999</v>
      </c>
      <c r="P257" s="245">
        <v>58.326970000000003</v>
      </c>
      <c r="Q257" s="246">
        <v>57.984070000000003</v>
      </c>
      <c r="S257" s="269">
        <v>60.957855806451612</v>
      </c>
      <c r="T257" s="271">
        <f t="shared" si="56"/>
        <v>1.0352330994116279</v>
      </c>
      <c r="U257" s="271">
        <f t="shared" si="57"/>
        <v>0.9512157085069769</v>
      </c>
    </row>
    <row r="258" spans="2:21" x14ac:dyDescent="0.2">
      <c r="B258" s="248">
        <f t="shared" si="35"/>
        <v>49980</v>
      </c>
      <c r="C258" s="240">
        <v>6.7285322471564708</v>
      </c>
      <c r="D258" s="240">
        <v>7.1704379746835434</v>
      </c>
      <c r="E258" s="249">
        <f t="shared" si="52"/>
        <v>2036</v>
      </c>
      <c r="K258" s="35">
        <f t="shared" si="53"/>
        <v>11</v>
      </c>
      <c r="L258" s="272">
        <f t="shared" si="54"/>
        <v>2036</v>
      </c>
      <c r="M258" s="244">
        <f t="shared" si="55"/>
        <v>49980</v>
      </c>
      <c r="N258" s="245">
        <v>65.456789999999998</v>
      </c>
      <c r="O258" s="245">
        <v>63.209710000000001</v>
      </c>
      <c r="P258" s="245">
        <v>59.769210000000001</v>
      </c>
      <c r="Q258" s="246">
        <v>59.443049999999999</v>
      </c>
      <c r="S258" s="269">
        <v>61.449149084604713</v>
      </c>
      <c r="T258" s="271">
        <f t="shared" si="56"/>
        <v>1.0286506964151987</v>
      </c>
      <c r="U258" s="271">
        <f t="shared" si="57"/>
        <v>0.96735350912926932</v>
      </c>
    </row>
    <row r="259" spans="2:21" x14ac:dyDescent="0.2">
      <c r="B259" s="250">
        <f t="shared" si="35"/>
        <v>50010</v>
      </c>
      <c r="C259" s="251">
        <v>7.1333893021826009</v>
      </c>
      <c r="D259" s="251">
        <v>7.4816278481012644</v>
      </c>
      <c r="E259" s="252">
        <f t="shared" si="52"/>
        <v>2036</v>
      </c>
      <c r="K259" s="35">
        <f t="shared" si="53"/>
        <v>12</v>
      </c>
      <c r="L259" s="272">
        <f t="shared" si="54"/>
        <v>2036</v>
      </c>
      <c r="M259" s="253">
        <f t="shared" si="55"/>
        <v>50010</v>
      </c>
      <c r="N259" s="254">
        <v>66.85866</v>
      </c>
      <c r="O259" s="254">
        <v>64.982489999999999</v>
      </c>
      <c r="P259" s="254">
        <v>61.977490000000003</v>
      </c>
      <c r="Q259" s="255">
        <v>62.606200000000001</v>
      </c>
      <c r="S259" s="269">
        <v>63.934878279569894</v>
      </c>
      <c r="T259" s="271">
        <f t="shared" si="56"/>
        <v>1.0163856059262235</v>
      </c>
      <c r="U259" s="271">
        <f t="shared" si="57"/>
        <v>0.97921825589844802</v>
      </c>
    </row>
    <row r="260" spans="2:21" x14ac:dyDescent="0.2">
      <c r="B260" s="239">
        <f t="shared" si="35"/>
        <v>50041</v>
      </c>
      <c r="C260" s="240">
        <v>7.2931392765652223</v>
      </c>
      <c r="D260" s="240">
        <v>7.6678556962025306</v>
      </c>
      <c r="E260" s="241">
        <f t="shared" ref="E260:E271" si="58">YEAR(B260)</f>
        <v>2037</v>
      </c>
      <c r="K260" s="35">
        <f t="shared" ref="K260:K271" si="59">MONTH(M260)</f>
        <v>1</v>
      </c>
      <c r="L260" s="272">
        <f t="shared" ref="L260:L271" si="60">YEAR(M260)</f>
        <v>2037</v>
      </c>
      <c r="M260" s="244">
        <f t="shared" ref="M260:M271" si="61">B260</f>
        <v>50041</v>
      </c>
      <c r="N260" s="256">
        <v>67.681979999999996</v>
      </c>
      <c r="O260" s="256">
        <v>66.804810000000003</v>
      </c>
      <c r="P260" s="256">
        <v>62.94209</v>
      </c>
      <c r="Q260" s="257">
        <v>63.701129999999999</v>
      </c>
      <c r="S260" s="269">
        <v>65.436520967741941</v>
      </c>
      <c r="T260" s="271">
        <f t="shared" ref="T260:T271" si="62">O260/S260</f>
        <v>1.0209101738910078</v>
      </c>
      <c r="U260" s="271">
        <f t="shared" ref="U260:U271" si="63">Q260/S260</f>
        <v>0.97347977945530706</v>
      </c>
    </row>
    <row r="261" spans="2:21" x14ac:dyDescent="0.2">
      <c r="B261" s="248">
        <f t="shared" si="35"/>
        <v>50072</v>
      </c>
      <c r="C261" s="240">
        <v>7.2777688492673436</v>
      </c>
      <c r="D261" s="240">
        <v>7.756463291139239</v>
      </c>
      <c r="E261" s="249">
        <f t="shared" si="58"/>
        <v>2037</v>
      </c>
      <c r="K261" s="35">
        <f t="shared" si="59"/>
        <v>2</v>
      </c>
      <c r="L261" s="272">
        <f t="shared" si="60"/>
        <v>2037</v>
      </c>
      <c r="M261" s="244">
        <f t="shared" si="61"/>
        <v>50072</v>
      </c>
      <c r="N261" s="245">
        <v>69.741100000000003</v>
      </c>
      <c r="O261" s="245">
        <v>66.686260000000004</v>
      </c>
      <c r="P261" s="245">
        <v>64.992980000000003</v>
      </c>
      <c r="Q261" s="246">
        <v>63.747340000000001</v>
      </c>
      <c r="S261" s="269">
        <v>65.426722857142863</v>
      </c>
      <c r="T261" s="271">
        <f t="shared" si="62"/>
        <v>1.0192511115925416</v>
      </c>
      <c r="U261" s="271">
        <f t="shared" si="63"/>
        <v>0.97433185120994459</v>
      </c>
    </row>
    <row r="262" spans="2:21" x14ac:dyDescent="0.2">
      <c r="B262" s="248">
        <f t="shared" si="35"/>
        <v>50100</v>
      </c>
      <c r="C262" s="240">
        <v>6.9831689927246643</v>
      </c>
      <c r="D262" s="240">
        <v>7.4020329113924035</v>
      </c>
      <c r="E262" s="249">
        <f t="shared" si="58"/>
        <v>2037</v>
      </c>
      <c r="K262" s="35">
        <f t="shared" si="59"/>
        <v>3</v>
      </c>
      <c r="L262" s="272">
        <f t="shared" si="60"/>
        <v>2037</v>
      </c>
      <c r="M262" s="244">
        <f t="shared" si="61"/>
        <v>50100</v>
      </c>
      <c r="N262" s="245">
        <v>62.715490000000003</v>
      </c>
      <c r="O262" s="245">
        <v>60.054070000000003</v>
      </c>
      <c r="P262" s="245">
        <v>59.994779999999999</v>
      </c>
      <c r="Q262" s="246">
        <v>58.864899999999999</v>
      </c>
      <c r="S262" s="269">
        <v>59.530707160161505</v>
      </c>
      <c r="T262" s="271">
        <f t="shared" si="62"/>
        <v>1.0087914769503818</v>
      </c>
      <c r="U262" s="271">
        <f t="shared" si="63"/>
        <v>0.98881573574507997</v>
      </c>
    </row>
    <row r="263" spans="2:21" x14ac:dyDescent="0.2">
      <c r="B263" s="248">
        <f t="shared" si="35"/>
        <v>50131</v>
      </c>
      <c r="C263" s="240">
        <v>6.6476837995696281</v>
      </c>
      <c r="D263" s="240">
        <v>6.888210126582277</v>
      </c>
      <c r="E263" s="249">
        <f t="shared" si="58"/>
        <v>2037</v>
      </c>
      <c r="K263" s="35">
        <f t="shared" si="59"/>
        <v>4</v>
      </c>
      <c r="L263" s="272">
        <f t="shared" si="60"/>
        <v>2037</v>
      </c>
      <c r="M263" s="244">
        <f t="shared" si="61"/>
        <v>50131</v>
      </c>
      <c r="N263" s="245">
        <v>57.383789999999998</v>
      </c>
      <c r="O263" s="245">
        <v>55.000979999999998</v>
      </c>
      <c r="P263" s="245">
        <v>52.534520000000001</v>
      </c>
      <c r="Q263" s="246">
        <v>52.076160000000002</v>
      </c>
      <c r="S263" s="269">
        <v>53.766056000000006</v>
      </c>
      <c r="T263" s="271">
        <f t="shared" si="62"/>
        <v>1.0229684691769096</v>
      </c>
      <c r="U263" s="271">
        <f t="shared" si="63"/>
        <v>0.96856946323159721</v>
      </c>
    </row>
    <row r="264" spans="2:21" x14ac:dyDescent="0.2">
      <c r="B264" s="248">
        <f t="shared" si="35"/>
        <v>50161</v>
      </c>
      <c r="C264" s="240">
        <v>6.6476837995696281</v>
      </c>
      <c r="D264" s="240">
        <v>6.7997037974683527</v>
      </c>
      <c r="E264" s="249">
        <f t="shared" si="58"/>
        <v>2037</v>
      </c>
      <c r="K264" s="35">
        <f t="shared" si="59"/>
        <v>5</v>
      </c>
      <c r="L264" s="272">
        <f t="shared" si="60"/>
        <v>2037</v>
      </c>
      <c r="M264" s="244">
        <f t="shared" si="61"/>
        <v>50161</v>
      </c>
      <c r="N264" s="245">
        <v>54.686160000000001</v>
      </c>
      <c r="O264" s="245">
        <v>56.227440000000001</v>
      </c>
      <c r="P264" s="245">
        <v>48.350230000000003</v>
      </c>
      <c r="Q264" s="246">
        <v>52.473199999999999</v>
      </c>
      <c r="S264" s="269">
        <v>54.491608602150542</v>
      </c>
      <c r="T264" s="271">
        <f t="shared" si="62"/>
        <v>1.0318550221286906</v>
      </c>
      <c r="U264" s="271">
        <f t="shared" si="63"/>
        <v>0.9629592765945455</v>
      </c>
    </row>
    <row r="265" spans="2:21" x14ac:dyDescent="0.2">
      <c r="B265" s="248">
        <f t="shared" ref="B265:B271" si="64">EDATE(B264,1)</f>
        <v>50192</v>
      </c>
      <c r="C265" s="240">
        <v>6.573393400963214</v>
      </c>
      <c r="D265" s="240">
        <v>6.5161594936708847</v>
      </c>
      <c r="E265" s="249">
        <f t="shared" si="58"/>
        <v>2037</v>
      </c>
      <c r="K265" s="35">
        <f t="shared" si="59"/>
        <v>6</v>
      </c>
      <c r="L265" s="272">
        <f t="shared" si="60"/>
        <v>2037</v>
      </c>
      <c r="M265" s="244">
        <f t="shared" si="61"/>
        <v>50192</v>
      </c>
      <c r="N265" s="245">
        <v>58.298290000000001</v>
      </c>
      <c r="O265" s="245">
        <v>58.917319999999997</v>
      </c>
      <c r="P265" s="245">
        <v>48.516039999999997</v>
      </c>
      <c r="Q265" s="246">
        <v>53.451999999999998</v>
      </c>
      <c r="S265" s="269">
        <v>56.609740444444441</v>
      </c>
      <c r="T265" s="271">
        <f t="shared" si="62"/>
        <v>1.0407629418089306</v>
      </c>
      <c r="U265" s="271">
        <f t="shared" si="63"/>
        <v>0.94421913226146337</v>
      </c>
    </row>
    <row r="266" spans="2:21" x14ac:dyDescent="0.2">
      <c r="B266" s="248">
        <f t="shared" si="64"/>
        <v>50222</v>
      </c>
      <c r="C266" s="240">
        <v>6.8090732861973571</v>
      </c>
      <c r="D266" s="240">
        <v>6.4984379746835428</v>
      </c>
      <c r="E266" s="249">
        <f t="shared" si="58"/>
        <v>2037</v>
      </c>
      <c r="K266" s="35">
        <f t="shared" si="59"/>
        <v>7</v>
      </c>
      <c r="L266" s="272">
        <f t="shared" si="60"/>
        <v>2037</v>
      </c>
      <c r="M266" s="244">
        <f t="shared" si="61"/>
        <v>50222</v>
      </c>
      <c r="N266" s="245">
        <v>73.863919999999993</v>
      </c>
      <c r="O266" s="245">
        <v>74.806359999999998</v>
      </c>
      <c r="P266" s="245">
        <v>60.344079999999998</v>
      </c>
      <c r="Q266" s="246">
        <v>62.566009999999999</v>
      </c>
      <c r="S266" s="269">
        <v>69.410076666666669</v>
      </c>
      <c r="T266" s="271">
        <f t="shared" si="62"/>
        <v>1.07774495566758</v>
      </c>
      <c r="U266" s="271">
        <f t="shared" si="63"/>
        <v>0.90139664159233746</v>
      </c>
    </row>
    <row r="267" spans="2:21" x14ac:dyDescent="0.2">
      <c r="B267" s="248">
        <f t="shared" si="64"/>
        <v>50253</v>
      </c>
      <c r="C267" s="240">
        <v>6.9524281381289077</v>
      </c>
      <c r="D267" s="240">
        <v>6.604767088607594</v>
      </c>
      <c r="E267" s="249">
        <f t="shared" si="58"/>
        <v>2037</v>
      </c>
      <c r="K267" s="35">
        <f t="shared" si="59"/>
        <v>8</v>
      </c>
      <c r="L267" s="272">
        <f t="shared" si="60"/>
        <v>2037</v>
      </c>
      <c r="M267" s="244">
        <f t="shared" si="61"/>
        <v>50253</v>
      </c>
      <c r="N267" s="245">
        <v>75.763829999999999</v>
      </c>
      <c r="O267" s="245">
        <v>78.668949999999995</v>
      </c>
      <c r="P267" s="245">
        <v>63.504060000000003</v>
      </c>
      <c r="Q267" s="246">
        <v>65.373390000000001</v>
      </c>
      <c r="S267" s="269">
        <v>72.807466559139783</v>
      </c>
      <c r="T267" s="271">
        <f t="shared" si="62"/>
        <v>1.0805066254585176</v>
      </c>
      <c r="U267" s="271">
        <f t="shared" si="63"/>
        <v>0.89789403600383133</v>
      </c>
    </row>
    <row r="268" spans="2:21" x14ac:dyDescent="0.2">
      <c r="B268" s="248">
        <f t="shared" si="64"/>
        <v>50284</v>
      </c>
      <c r="C268" s="240">
        <v>6.7347828875909421</v>
      </c>
      <c r="D268" s="240">
        <v>6.5693240506329103</v>
      </c>
      <c r="E268" s="249">
        <f t="shared" si="58"/>
        <v>2037</v>
      </c>
      <c r="K268" s="35">
        <f t="shared" si="59"/>
        <v>9</v>
      </c>
      <c r="L268" s="272">
        <f t="shared" si="60"/>
        <v>2037</v>
      </c>
      <c r="M268" s="244">
        <f t="shared" si="61"/>
        <v>50284</v>
      </c>
      <c r="N268" s="245">
        <v>70.090580000000003</v>
      </c>
      <c r="O268" s="245">
        <v>68.147750000000002</v>
      </c>
      <c r="P268" s="245">
        <v>60.124899999999997</v>
      </c>
      <c r="Q268" s="246">
        <v>60.115729999999999</v>
      </c>
      <c r="S268" s="269">
        <v>64.577963333333329</v>
      </c>
      <c r="T268" s="271">
        <f t="shared" si="62"/>
        <v>1.0552787124648146</v>
      </c>
      <c r="U268" s="271">
        <f t="shared" si="63"/>
        <v>0.93090160941898192</v>
      </c>
    </row>
    <row r="269" spans="2:21" x14ac:dyDescent="0.2">
      <c r="B269" s="248">
        <f t="shared" si="64"/>
        <v>50314</v>
      </c>
      <c r="C269" s="240">
        <v>6.8090732861973571</v>
      </c>
      <c r="D269" s="240">
        <v>6.9413746835443026</v>
      </c>
      <c r="E269" s="249">
        <f t="shared" si="58"/>
        <v>2037</v>
      </c>
      <c r="K269" s="35">
        <f t="shared" si="59"/>
        <v>10</v>
      </c>
      <c r="L269" s="272">
        <f t="shared" si="60"/>
        <v>2037</v>
      </c>
      <c r="M269" s="244">
        <f t="shared" si="61"/>
        <v>50314</v>
      </c>
      <c r="N269" s="245">
        <v>66.768230000000003</v>
      </c>
      <c r="O269" s="245">
        <v>63.86795</v>
      </c>
      <c r="P269" s="245">
        <v>59.422960000000003</v>
      </c>
      <c r="Q269" s="246">
        <v>58.925359999999998</v>
      </c>
      <c r="S269" s="269">
        <v>61.795250967741936</v>
      </c>
      <c r="T269" s="271">
        <f t="shared" si="62"/>
        <v>1.033541396786948</v>
      </c>
      <c r="U269" s="271">
        <f t="shared" si="63"/>
        <v>0.95355806598730275</v>
      </c>
    </row>
    <row r="270" spans="2:21" x14ac:dyDescent="0.2">
      <c r="B270" s="248">
        <f t="shared" si="64"/>
        <v>50345</v>
      </c>
      <c r="C270" s="240">
        <v>6.8448351470437547</v>
      </c>
      <c r="D270" s="240">
        <v>7.2426405063291126</v>
      </c>
      <c r="E270" s="249">
        <f t="shared" si="58"/>
        <v>2037</v>
      </c>
      <c r="K270" s="35">
        <f t="shared" si="59"/>
        <v>11</v>
      </c>
      <c r="L270" s="272">
        <f t="shared" si="60"/>
        <v>2037</v>
      </c>
      <c r="M270" s="244">
        <f t="shared" si="61"/>
        <v>50345</v>
      </c>
      <c r="N270" s="245">
        <v>67.707089999999994</v>
      </c>
      <c r="O270" s="245">
        <v>65.020309999999995</v>
      </c>
      <c r="P270" s="245">
        <v>61.245019999999997</v>
      </c>
      <c r="Q270" s="246">
        <v>60.517330000000001</v>
      </c>
      <c r="S270" s="269">
        <v>62.91558841886269</v>
      </c>
      <c r="T270" s="271">
        <f t="shared" si="62"/>
        <v>1.0334531017515889</v>
      </c>
      <c r="U270" s="271">
        <f t="shared" si="63"/>
        <v>0.96188133212875315</v>
      </c>
    </row>
    <row r="271" spans="2:21" x14ac:dyDescent="0.2">
      <c r="B271" s="250">
        <f t="shared" si="64"/>
        <v>50375</v>
      </c>
      <c r="C271" s="251">
        <v>7.2777688492673436</v>
      </c>
      <c r="D271" s="251">
        <v>7.6855772151898725</v>
      </c>
      <c r="E271" s="252">
        <f t="shared" si="58"/>
        <v>2037</v>
      </c>
      <c r="K271" s="35">
        <f t="shared" si="59"/>
        <v>12</v>
      </c>
      <c r="L271" s="272">
        <f t="shared" si="60"/>
        <v>2037</v>
      </c>
      <c r="M271" s="253">
        <f t="shared" si="61"/>
        <v>50375</v>
      </c>
      <c r="N271" s="254">
        <v>68.744709999999998</v>
      </c>
      <c r="O271" s="254">
        <v>65.998919999999998</v>
      </c>
      <c r="P271" s="254">
        <v>63.777079999999998</v>
      </c>
      <c r="Q271" s="255">
        <v>64.082030000000003</v>
      </c>
      <c r="S271" s="269">
        <v>65.153839462365596</v>
      </c>
      <c r="T271" s="271">
        <f t="shared" si="62"/>
        <v>1.0129705408707732</v>
      </c>
      <c r="U271" s="271">
        <f t="shared" si="63"/>
        <v>0.98354955791999499</v>
      </c>
    </row>
    <row r="273" spans="2:17" x14ac:dyDescent="0.2">
      <c r="C273" s="262" t="s">
        <v>282</v>
      </c>
      <c r="D273" s="262" t="s">
        <v>326</v>
      </c>
      <c r="N273" s="262" t="s">
        <v>209</v>
      </c>
      <c r="O273" s="262" t="s">
        <v>210</v>
      </c>
      <c r="P273" s="262" t="s">
        <v>209</v>
      </c>
      <c r="Q273" s="262" t="s">
        <v>210</v>
      </c>
    </row>
    <row r="274" spans="2:17" x14ac:dyDescent="0.2">
      <c r="C274" s="264">
        <v>46</v>
      </c>
      <c r="D274" s="264">
        <v>43</v>
      </c>
      <c r="N274" s="264">
        <v>7</v>
      </c>
      <c r="O274" s="264">
        <v>6</v>
      </c>
      <c r="P274" s="264">
        <f>N274+8</f>
        <v>15</v>
      </c>
      <c r="Q274" s="264">
        <f>O274+8</f>
        <v>14</v>
      </c>
    </row>
    <row r="275" spans="2:17" x14ac:dyDescent="0.2">
      <c r="M275" s="265"/>
    </row>
    <row r="276" spans="2:17" x14ac:dyDescent="0.2">
      <c r="B276" s="267" t="s">
        <v>212</v>
      </c>
      <c r="C276" s="211">
        <v>0</v>
      </c>
      <c r="D276" s="211">
        <v>0</v>
      </c>
      <c r="M276" s="263" t="s">
        <v>212</v>
      </c>
      <c r="N276" s="268">
        <v>0</v>
      </c>
      <c r="O276" s="268">
        <v>0</v>
      </c>
      <c r="P276" s="268">
        <v>0</v>
      </c>
      <c r="Q276" s="268">
        <v>0</v>
      </c>
    </row>
  </sheetData>
  <printOptions horizontalCentered="1"/>
  <pageMargins left="0.3" right="0.3" top="0.8" bottom="0.4" header="0.5" footer="0.2"/>
  <pageSetup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Y133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6" width="15.33203125" style="35" customWidth="1"/>
    <col min="17" max="16384" width="9.33203125" style="35"/>
  </cols>
  <sheetData>
    <row r="1" spans="1:25" s="5" customFormat="1" ht="15.75" x14ac:dyDescent="0.25">
      <c r="A1" s="1" t="s">
        <v>150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25" s="7" customFormat="1" ht="15" x14ac:dyDescent="0.25">
      <c r="A2" s="3" t="s">
        <v>130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25" s="7" customFormat="1" ht="15" x14ac:dyDescent="0.25">
      <c r="A3" s="3" t="s">
        <v>344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25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25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25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25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25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25" ht="12.75" customHeight="1" x14ac:dyDescent="0.2">
      <c r="A9" s="12" t="s">
        <v>225</v>
      </c>
      <c r="C9" s="40"/>
      <c r="D9" s="40"/>
      <c r="E9" s="40"/>
      <c r="G9" s="40"/>
      <c r="H9" s="40"/>
      <c r="I9" s="40"/>
      <c r="J9" s="48"/>
      <c r="L9" s="40"/>
      <c r="M9" s="37"/>
    </row>
    <row r="10" spans="1:25" ht="12.75" customHeight="1" x14ac:dyDescent="0.2">
      <c r="A10" s="489">
        <v>2017</v>
      </c>
      <c r="B10" s="490"/>
      <c r="C10" s="491"/>
      <c r="D10" s="491"/>
      <c r="E10" s="491"/>
      <c r="F10" s="490"/>
      <c r="G10" s="333">
        <v>22.015030665915045</v>
      </c>
      <c r="H10" s="333">
        <v>20.628818081711891</v>
      </c>
      <c r="I10" s="333">
        <v>22.670554536236551</v>
      </c>
      <c r="J10" s="333">
        <v>20.553124417567417</v>
      </c>
      <c r="K10" s="333">
        <v>21.288398157070162</v>
      </c>
      <c r="L10" s="333">
        <v>22.079073543145011</v>
      </c>
      <c r="M10" s="334">
        <v>26.404257021281587</v>
      </c>
    </row>
    <row r="11" spans="1:25" ht="12.75" customHeight="1" x14ac:dyDescent="0.2">
      <c r="A11" s="492">
        <v>2018</v>
      </c>
      <c r="B11" s="53">
        <v>25.852704786479233</v>
      </c>
      <c r="C11" s="53">
        <v>24.460807912178073</v>
      </c>
      <c r="D11" s="53">
        <v>21.906661107633465</v>
      </c>
      <c r="E11" s="53">
        <v>17.947895942245506</v>
      </c>
      <c r="F11" s="53">
        <v>16.605913185682748</v>
      </c>
      <c r="G11" s="53">
        <v>16.730142763370853</v>
      </c>
      <c r="H11" s="53">
        <v>21.361463677102037</v>
      </c>
      <c r="I11" s="53">
        <v>21.781842187748001</v>
      </c>
      <c r="J11" s="53">
        <v>18.752897047245256</v>
      </c>
      <c r="K11" s="53">
        <v>18.65760167506874</v>
      </c>
      <c r="L11" s="53">
        <v>19.126036073480631</v>
      </c>
      <c r="M11" s="54">
        <v>21.41758140278279</v>
      </c>
    </row>
    <row r="12" spans="1:25" ht="12.75" customHeight="1" x14ac:dyDescent="0.2">
      <c r="A12" s="51">
        <f t="shared" ref="A12:A21" si="0">A11+1</f>
        <v>2019</v>
      </c>
      <c r="B12" s="53">
        <v>21.524631583862888</v>
      </c>
      <c r="C12" s="53">
        <v>18.995553266150612</v>
      </c>
      <c r="D12" s="53">
        <v>18.371424300213576</v>
      </c>
      <c r="E12" s="53">
        <v>16.465393763817847</v>
      </c>
      <c r="F12" s="53">
        <v>15.154195937646493</v>
      </c>
      <c r="G12" s="53">
        <v>16.891157066395714</v>
      </c>
      <c r="H12" s="53">
        <v>25.799394175578509</v>
      </c>
      <c r="I12" s="53">
        <v>22.249440148869351</v>
      </c>
      <c r="J12" s="53">
        <v>19.633237370881769</v>
      </c>
      <c r="K12" s="53">
        <v>19.798074941649553</v>
      </c>
      <c r="L12" s="53">
        <v>18.386656672048073</v>
      </c>
      <c r="M12" s="54">
        <v>21.731309706501424</v>
      </c>
    </row>
    <row r="13" spans="1:25" ht="12.75" customHeight="1" x14ac:dyDescent="0.2">
      <c r="A13" s="51">
        <f t="shared" si="0"/>
        <v>2020</v>
      </c>
      <c r="B13" s="53">
        <v>16.208112565223729</v>
      </c>
      <c r="C13" s="53">
        <v>17.755582289836617</v>
      </c>
      <c r="D13" s="53">
        <v>17.084495305768666</v>
      </c>
      <c r="E13" s="53">
        <v>16.212313039385609</v>
      </c>
      <c r="F13" s="53">
        <v>16.057410999002958</v>
      </c>
      <c r="G13" s="53">
        <v>15.813903385456651</v>
      </c>
      <c r="H13" s="53">
        <v>26.586321052704609</v>
      </c>
      <c r="I13" s="53">
        <v>22.268610881160825</v>
      </c>
      <c r="J13" s="53">
        <v>18.549244093485175</v>
      </c>
      <c r="K13" s="53">
        <v>18.53173346736779</v>
      </c>
      <c r="L13" s="53">
        <v>16.402622063075089</v>
      </c>
      <c r="M13" s="54">
        <v>20.309154808561328</v>
      </c>
      <c r="N13" s="131"/>
      <c r="O13" s="131"/>
      <c r="P13" s="131"/>
      <c r="Q13" s="131"/>
      <c r="R13" s="131"/>
      <c r="S13" s="131"/>
      <c r="T13" s="131"/>
      <c r="U13" s="131"/>
    </row>
    <row r="14" spans="1:25" ht="12.75" customHeight="1" x14ac:dyDescent="0.2">
      <c r="A14" s="51">
        <f t="shared" si="0"/>
        <v>2021</v>
      </c>
      <c r="B14" s="53">
        <v>18.357503535682635</v>
      </c>
      <c r="C14" s="53">
        <v>20.554561945873623</v>
      </c>
      <c r="D14" s="53">
        <v>15.363864867140849</v>
      </c>
      <c r="E14" s="53">
        <v>14.791939988432246</v>
      </c>
      <c r="F14" s="53">
        <v>14.873933240897474</v>
      </c>
      <c r="G14" s="53">
        <v>15.452796620174</v>
      </c>
      <c r="H14" s="53">
        <v>26.862263542485813</v>
      </c>
      <c r="I14" s="53">
        <v>21.350731889839455</v>
      </c>
      <c r="J14" s="53">
        <v>17.946302020015818</v>
      </c>
      <c r="K14" s="53">
        <v>18.936554196671214</v>
      </c>
      <c r="L14" s="53">
        <v>17.86371287142444</v>
      </c>
      <c r="M14" s="54">
        <v>23.032137037733548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ht="12.75" customHeight="1" x14ac:dyDescent="0.2">
      <c r="A15" s="51">
        <f t="shared" si="0"/>
        <v>2022</v>
      </c>
      <c r="B15" s="53">
        <v>20.894848073822676</v>
      </c>
      <c r="C15" s="53">
        <v>20.074211104990294</v>
      </c>
      <c r="D15" s="53">
        <v>18.347201139509917</v>
      </c>
      <c r="E15" s="53">
        <v>15.904585465519792</v>
      </c>
      <c r="F15" s="53">
        <v>16.188659726976546</v>
      </c>
      <c r="G15" s="53">
        <v>16.595074217725131</v>
      </c>
      <c r="H15" s="53">
        <v>28.85045435033258</v>
      </c>
      <c r="I15" s="53">
        <v>24.26771784411563</v>
      </c>
      <c r="J15" s="53">
        <v>19.69451358752325</v>
      </c>
      <c r="K15" s="53">
        <v>20.558788806075849</v>
      </c>
      <c r="L15" s="53">
        <v>19.710180555530307</v>
      </c>
      <c r="M15" s="54">
        <v>23.988109663349167</v>
      </c>
      <c r="N15" s="131"/>
      <c r="O15" s="131"/>
      <c r="P15" s="131"/>
      <c r="Q15" s="131"/>
      <c r="R15" s="131"/>
      <c r="S15" s="131"/>
      <c r="T15" s="131"/>
      <c r="U15" s="131"/>
    </row>
    <row r="16" spans="1:25" ht="12.75" customHeight="1" x14ac:dyDescent="0.2">
      <c r="A16" s="51">
        <f t="shared" si="0"/>
        <v>2023</v>
      </c>
      <c r="B16" s="53">
        <v>22.053752437820759</v>
      </c>
      <c r="C16" s="53">
        <v>20.20987565965569</v>
      </c>
      <c r="D16" s="53">
        <v>19.059761325430166</v>
      </c>
      <c r="E16" s="53">
        <v>16.454052613038154</v>
      </c>
      <c r="F16" s="53">
        <v>18.259438826564338</v>
      </c>
      <c r="G16" s="53">
        <v>18.052347804645283</v>
      </c>
      <c r="H16" s="53">
        <v>33.114987653349679</v>
      </c>
      <c r="I16" s="53">
        <v>25.089152204004989</v>
      </c>
      <c r="J16" s="53">
        <v>21.473638954593074</v>
      </c>
      <c r="K16" s="53">
        <v>23.554549742193633</v>
      </c>
      <c r="L16" s="53">
        <v>17.578631546077215</v>
      </c>
      <c r="M16" s="54">
        <v>27.372758281731638</v>
      </c>
      <c r="N16" s="131"/>
      <c r="O16" s="131"/>
      <c r="P16" s="131"/>
      <c r="Q16" s="131"/>
      <c r="R16" s="131"/>
      <c r="S16" s="131"/>
      <c r="T16" s="131"/>
      <c r="U16" s="131"/>
    </row>
    <row r="17" spans="1:21" ht="12.75" customHeight="1" x14ac:dyDescent="0.2">
      <c r="A17" s="51">
        <f t="shared" si="0"/>
        <v>2024</v>
      </c>
      <c r="B17" s="53">
        <v>25.467957443002891</v>
      </c>
      <c r="C17" s="53">
        <v>21.601213323746691</v>
      </c>
      <c r="D17" s="53">
        <v>21.498258504001122</v>
      </c>
      <c r="E17" s="53">
        <v>17.999397672634156</v>
      </c>
      <c r="F17" s="53">
        <v>21.749721786329744</v>
      </c>
      <c r="G17" s="53">
        <v>20.447664427715871</v>
      </c>
      <c r="H17" s="53">
        <v>36.677486655640827</v>
      </c>
      <c r="I17" s="53">
        <v>16.894025773126433</v>
      </c>
      <c r="J17" s="53">
        <v>35.26036393104949</v>
      </c>
      <c r="K17" s="53">
        <v>27.23774795641782</v>
      </c>
      <c r="L17" s="53">
        <v>24.237367620147349</v>
      </c>
      <c r="M17" s="54">
        <v>30.461711748224754</v>
      </c>
      <c r="N17" s="131"/>
      <c r="O17" s="131"/>
      <c r="P17" s="131"/>
      <c r="Q17" s="131"/>
      <c r="R17" s="131"/>
      <c r="S17" s="131"/>
      <c r="T17" s="131"/>
      <c r="U17" s="131"/>
    </row>
    <row r="18" spans="1:21" ht="12.75" customHeight="1" x14ac:dyDescent="0.2">
      <c r="A18" s="51">
        <f t="shared" si="0"/>
        <v>2025</v>
      </c>
      <c r="B18" s="53">
        <v>28.088833492225216</v>
      </c>
      <c r="C18" s="53">
        <v>27.054373892068508</v>
      </c>
      <c r="D18" s="53">
        <v>23.58602907900368</v>
      </c>
      <c r="E18" s="53">
        <v>21.321857897173615</v>
      </c>
      <c r="F18" s="53">
        <v>22.83241386654316</v>
      </c>
      <c r="G18" s="53">
        <v>20.99270509035637</v>
      </c>
      <c r="H18" s="53">
        <v>39.1675143304331</v>
      </c>
      <c r="I18" s="53">
        <v>31.823798859988649</v>
      </c>
      <c r="J18" s="53">
        <v>32.441020402827611</v>
      </c>
      <c r="K18" s="53">
        <v>26.425339210135562</v>
      </c>
      <c r="L18" s="53">
        <v>23.651196371855008</v>
      </c>
      <c r="M18" s="54">
        <v>31.670421779744569</v>
      </c>
      <c r="N18" s="131"/>
      <c r="O18" s="131"/>
      <c r="P18" s="131"/>
      <c r="Q18" s="131"/>
      <c r="R18" s="131"/>
      <c r="S18" s="131"/>
      <c r="T18" s="131"/>
      <c r="U18" s="131"/>
    </row>
    <row r="19" spans="1:21" ht="12.75" customHeight="1" x14ac:dyDescent="0.2">
      <c r="A19" s="51">
        <f t="shared" si="0"/>
        <v>2026</v>
      </c>
      <c r="B19" s="53">
        <v>30.551228785719122</v>
      </c>
      <c r="C19" s="53">
        <v>58.910433200476248</v>
      </c>
      <c r="D19" s="53">
        <v>23.93463399408245</v>
      </c>
      <c r="E19" s="53">
        <v>22.00552653671139</v>
      </c>
      <c r="F19" s="53">
        <v>23.344187926186589</v>
      </c>
      <c r="G19" s="53">
        <v>23.090925984076328</v>
      </c>
      <c r="H19" s="53">
        <v>40.252031075605942</v>
      </c>
      <c r="I19" s="53">
        <v>31.600752183330314</v>
      </c>
      <c r="J19" s="53">
        <v>26.705478579087391</v>
      </c>
      <c r="K19" s="53">
        <v>29.460055839819134</v>
      </c>
      <c r="L19" s="53">
        <v>25.23950909965982</v>
      </c>
      <c r="M19" s="54">
        <v>30.247998481171745</v>
      </c>
      <c r="N19" s="131"/>
      <c r="O19" s="131"/>
      <c r="P19" s="131"/>
      <c r="Q19" s="131"/>
      <c r="R19" s="131"/>
      <c r="S19" s="131"/>
      <c r="T19" s="131"/>
      <c r="U19" s="131"/>
    </row>
    <row r="20" spans="1:21" ht="12.75" customHeight="1" x14ac:dyDescent="0.2">
      <c r="A20" s="51">
        <f t="shared" si="0"/>
        <v>2027</v>
      </c>
      <c r="B20" s="53">
        <v>28.109976501502498</v>
      </c>
      <c r="C20" s="53">
        <v>27.056989180074915</v>
      </c>
      <c r="D20" s="53">
        <v>25.577406381351011</v>
      </c>
      <c r="E20" s="53">
        <v>24.396300053228106</v>
      </c>
      <c r="F20" s="53">
        <v>25.020286894986224</v>
      </c>
      <c r="G20" s="53">
        <v>24.327809220486216</v>
      </c>
      <c r="H20" s="53">
        <v>42.031680969036714</v>
      </c>
      <c r="I20" s="53">
        <v>33.667066813664889</v>
      </c>
      <c r="J20" s="53">
        <v>26.6378093312867</v>
      </c>
      <c r="K20" s="53">
        <v>28.743979839842407</v>
      </c>
      <c r="L20" s="53">
        <v>25.474525895149757</v>
      </c>
      <c r="M20" s="54">
        <v>28.333972092209162</v>
      </c>
      <c r="N20" s="131"/>
      <c r="O20" s="131"/>
      <c r="P20" s="131"/>
      <c r="Q20" s="131"/>
      <c r="R20" s="131"/>
      <c r="S20" s="131"/>
      <c r="T20" s="131"/>
      <c r="U20" s="131"/>
    </row>
    <row r="21" spans="1:21" ht="12.75" customHeight="1" x14ac:dyDescent="0.2">
      <c r="A21" s="51">
        <f t="shared" si="0"/>
        <v>2028</v>
      </c>
      <c r="B21" s="53">
        <v>31.868686075788993</v>
      </c>
      <c r="C21" s="53">
        <v>32.570875987406261</v>
      </c>
      <c r="D21" s="53">
        <v>29.52809549266853</v>
      </c>
      <c r="E21" s="53">
        <v>28.212006471419915</v>
      </c>
      <c r="F21" s="53">
        <v>29.744854645042491</v>
      </c>
      <c r="G21" s="53">
        <v>28.807161549354593</v>
      </c>
      <c r="H21" s="53">
        <v>47.263786234426242</v>
      </c>
      <c r="I21" s="53">
        <v>42.646440385534397</v>
      </c>
      <c r="J21" s="53">
        <v>34.080994556782144</v>
      </c>
      <c r="K21" s="53">
        <v>34.7581553783468</v>
      </c>
      <c r="L21" s="53">
        <v>31.840142303030525</v>
      </c>
      <c r="M21" s="54">
        <v>41.370836592397545</v>
      </c>
      <c r="N21" s="132"/>
      <c r="O21" s="132"/>
      <c r="P21" s="132"/>
      <c r="Q21" s="132"/>
      <c r="R21" s="132"/>
      <c r="S21" s="132"/>
      <c r="T21" s="132"/>
      <c r="U21" s="132"/>
    </row>
    <row r="22" spans="1:21" ht="12.75" customHeight="1" x14ac:dyDescent="0.2">
      <c r="A22" s="5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21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1" ht="12.75" hidden="1" customHeight="1" x14ac:dyDescent="0.2">
      <c r="A24" s="51"/>
      <c r="B24" s="52"/>
      <c r="C24" s="53"/>
      <c r="D24" s="53"/>
      <c r="E24" s="53"/>
      <c r="F24" s="53"/>
      <c r="G24" s="52"/>
      <c r="H24" s="53"/>
      <c r="I24" s="53"/>
      <c r="J24" s="53"/>
      <c r="K24" s="52"/>
      <c r="L24" s="53"/>
      <c r="M24" s="54"/>
    </row>
    <row r="25" spans="1:21" ht="12.75" hidden="1" customHeight="1" x14ac:dyDescent="0.2">
      <c r="A25" s="51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21" ht="12.75" hidden="1" customHeight="1" x14ac:dyDescent="0.2">
      <c r="A26" s="55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</row>
    <row r="27" spans="1:21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1" ht="12.75" customHeight="1" x14ac:dyDescent="0.2">
      <c r="A28" s="12" t="s">
        <v>218</v>
      </c>
      <c r="C28" s="40"/>
      <c r="D28" s="40"/>
      <c r="E28" s="40"/>
      <c r="F28" s="40"/>
      <c r="G28" s="40"/>
      <c r="H28" s="40"/>
      <c r="I28" s="40"/>
      <c r="J28" s="40"/>
      <c r="K28" s="48"/>
      <c r="L28" s="37"/>
      <c r="M28" s="37"/>
    </row>
    <row r="29" spans="1:21" ht="12.75" customHeight="1" x14ac:dyDescent="0.2">
      <c r="A29" s="489">
        <v>2017</v>
      </c>
      <c r="B29" s="490"/>
      <c r="C29" s="491"/>
      <c r="D29" s="491"/>
      <c r="E29" s="491"/>
      <c r="F29" s="490"/>
      <c r="G29" s="333">
        <f>G10*INDEX('OFPC Source'!$AD$8:$AO$21,MATCH($A29,'OFPC Source'!$AC$8:$AC$21,0),MATCH(G$7,'OFPC Source'!$AD$7:$AO$7,0))</f>
        <v>25.113032600650342</v>
      </c>
      <c r="H29" s="333">
        <f>H10*INDEX('OFPC Source'!$AD$8:$AO$21,MATCH($A29,'OFPC Source'!$AC$8:$AC$21,0),MATCH(H$7,'OFPC Source'!$AD$7:$AO$7,0))</f>
        <v>24.30765798540962</v>
      </c>
      <c r="I29" s="333">
        <f>I10*INDEX('OFPC Source'!$AD$8:$AO$21,MATCH($A29,'OFPC Source'!$AC$8:$AC$21,0),MATCH(I$7,'OFPC Source'!$AD$7:$AO$7,0))</f>
        <v>25.961951937495648</v>
      </c>
      <c r="J29" s="333">
        <f>J10*INDEX('OFPC Source'!$AD$8:$AO$21,MATCH($A29,'OFPC Source'!$AC$8:$AC$21,0),MATCH(J$7,'OFPC Source'!$AD$7:$AO$7,0))</f>
        <v>22.101748565936735</v>
      </c>
      <c r="K29" s="333">
        <f>K10*INDEX('OFPC Source'!$AD$8:$AO$21,MATCH($A29,'OFPC Source'!$AC$8:$AC$21,0),MATCH(K$7,'OFPC Source'!$AD$7:$AO$7,0))</f>
        <v>22.203212457918998</v>
      </c>
      <c r="L29" s="333">
        <f>L10*INDEX('OFPC Source'!$AD$8:$AO$21,MATCH($A29,'OFPC Source'!$AC$8:$AC$21,0),MATCH(L$7,'OFPC Source'!$AD$7:$AO$7,0))</f>
        <v>23.239433612565769</v>
      </c>
      <c r="M29" s="334">
        <f>M10*INDEX('OFPC Source'!$AD$8:$AO$21,MATCH($A29,'OFPC Source'!$AC$8:$AC$21,0),MATCH(M$7,'OFPC Source'!$AD$7:$AO$7,0))</f>
        <v>27.368386563296326</v>
      </c>
    </row>
    <row r="30" spans="1:21" ht="12.75" customHeight="1" x14ac:dyDescent="0.2">
      <c r="A30" s="492">
        <f>'Tables 3 to 5'!$B$14</f>
        <v>2018</v>
      </c>
      <c r="B30" s="53">
        <f>B11*INDEX('OFPC Source'!$AD$8:$AO$21,MATCH($A30,'OFPC Source'!$AC$8:$AC$21,0),MATCH(B$7,'OFPC Source'!$AD$7:$AO$7,0))</f>
        <v>26.95593604147799</v>
      </c>
      <c r="C30" s="53">
        <f>C11*INDEX('OFPC Source'!$AD$8:$AO$21,MATCH($A30,'OFPC Source'!$AC$8:$AC$21,0),MATCH(C$7,'OFPC Source'!$AD$7:$AO$7,0))</f>
        <v>25.063126027662619</v>
      </c>
      <c r="D30" s="53">
        <f>D11*INDEX('OFPC Source'!$AD$8:$AO$21,MATCH($A30,'OFPC Source'!$AC$8:$AC$21,0),MATCH(D$7,'OFPC Source'!$AD$7:$AO$7,0))</f>
        <v>22.993044110204586</v>
      </c>
      <c r="E30" s="53">
        <f>E11*INDEX('OFPC Source'!$AD$8:$AO$21,MATCH($A30,'OFPC Source'!$AC$8:$AC$21,0),MATCH(E$7,'OFPC Source'!$AD$7:$AO$7,0))</f>
        <v>19.142132504279207</v>
      </c>
      <c r="F30" s="53">
        <f>F11*INDEX('OFPC Source'!$AD$8:$AO$21,MATCH($A30,'OFPC Source'!$AC$8:$AC$21,0),MATCH(F$7,'OFPC Source'!$AD$7:$AO$7,0))</f>
        <v>18.435007747843859</v>
      </c>
      <c r="G30" s="53">
        <f>G11*INDEX('OFPC Source'!$AD$8:$AO$21,MATCH($A30,'OFPC Source'!$AC$8:$AC$21,0),MATCH(G$7,'OFPC Source'!$AD$7:$AO$7,0))</f>
        <v>18.526522369568053</v>
      </c>
      <c r="H30" s="53">
        <f>H11*INDEX('OFPC Source'!$AD$8:$AO$21,MATCH($A30,'OFPC Source'!$AC$8:$AC$21,0),MATCH(H$7,'OFPC Source'!$AD$7:$AO$7,0))</f>
        <v>25.136031141503334</v>
      </c>
      <c r="I30" s="53">
        <f>I11*INDEX('OFPC Source'!$AD$8:$AO$21,MATCH($A30,'OFPC Source'!$AC$8:$AC$21,0),MATCH(I$7,'OFPC Source'!$AD$7:$AO$7,0))</f>
        <v>24.771270978406967</v>
      </c>
      <c r="J30" s="53">
        <f>J11*INDEX('OFPC Source'!$AD$8:$AO$21,MATCH($A30,'OFPC Source'!$AC$8:$AC$21,0),MATCH(J$7,'OFPC Source'!$AD$7:$AO$7,0))</f>
        <v>20.888876562293564</v>
      </c>
      <c r="K30" s="53">
        <f>K11*INDEX('OFPC Source'!$AD$8:$AO$21,MATCH($A30,'OFPC Source'!$AC$8:$AC$21,0),MATCH(K$7,'OFPC Source'!$AD$7:$AO$7,0))</f>
        <v>19.389394969062383</v>
      </c>
      <c r="L30" s="53">
        <f>L11*INDEX('OFPC Source'!$AD$8:$AO$21,MATCH($A30,'OFPC Source'!$AC$8:$AC$21,0),MATCH(L$7,'OFPC Source'!$AD$7:$AO$7,0))</f>
        <v>20.060597698835764</v>
      </c>
      <c r="M30" s="54">
        <f>M11*INDEX('OFPC Source'!$AD$8:$AO$21,MATCH($A30,'OFPC Source'!$AC$8:$AC$21,0),MATCH(M$7,'OFPC Source'!$AD$7:$AO$7,0))</f>
        <v>22.162199533340253</v>
      </c>
    </row>
    <row r="31" spans="1:21" ht="12.75" customHeight="1" x14ac:dyDescent="0.2">
      <c r="A31" s="51">
        <f t="shared" ref="A31:A41" si="1">A30+1</f>
        <v>2019</v>
      </c>
      <c r="B31" s="53">
        <f>B12*INDEX('OFPC Source'!$AD$8:$AO$21,MATCH($A31,'OFPC Source'!$AC$8:$AC$21,0),MATCH(B$7,'OFPC Source'!$AD$7:$AO$7,0))</f>
        <v>21.994129452193935</v>
      </c>
      <c r="C31" s="53">
        <f>C12*INDEX('OFPC Source'!$AD$8:$AO$21,MATCH($A31,'OFPC Source'!$AC$8:$AC$21,0),MATCH(C$7,'OFPC Source'!$AD$7:$AO$7,0))</f>
        <v>19.641904795055545</v>
      </c>
      <c r="D31" s="53">
        <f>D12*INDEX('OFPC Source'!$AD$8:$AO$21,MATCH($A31,'OFPC Source'!$AC$8:$AC$21,0),MATCH(D$7,'OFPC Source'!$AD$7:$AO$7,0))</f>
        <v>18.850303532540309</v>
      </c>
      <c r="E31" s="53">
        <f>E12*INDEX('OFPC Source'!$AD$8:$AO$21,MATCH($A31,'OFPC Source'!$AC$8:$AC$21,0),MATCH(E$7,'OFPC Source'!$AD$7:$AO$7,0))</f>
        <v>18.729248260523917</v>
      </c>
      <c r="F31" s="53">
        <f>F12*INDEX('OFPC Source'!$AD$8:$AO$21,MATCH($A31,'OFPC Source'!$AC$8:$AC$21,0),MATCH(F$7,'OFPC Source'!$AD$7:$AO$7,0))</f>
        <v>19.493802143686615</v>
      </c>
      <c r="G31" s="53">
        <f>G12*INDEX('OFPC Source'!$AD$8:$AO$21,MATCH($A31,'OFPC Source'!$AC$8:$AC$21,0),MATCH(G$7,'OFPC Source'!$AD$7:$AO$7,0))</f>
        <v>22.021885141174675</v>
      </c>
      <c r="H31" s="53">
        <f>H12*INDEX('OFPC Source'!$AD$8:$AO$21,MATCH($A31,'OFPC Source'!$AC$8:$AC$21,0),MATCH(H$7,'OFPC Source'!$AD$7:$AO$7,0))</f>
        <v>29.105776943587696</v>
      </c>
      <c r="I31" s="53">
        <f>I12*INDEX('OFPC Source'!$AD$8:$AO$21,MATCH($A31,'OFPC Source'!$AC$8:$AC$21,0),MATCH(I$7,'OFPC Source'!$AD$7:$AO$7,0))</f>
        <v>24.690094668266006</v>
      </c>
      <c r="J31" s="53">
        <f>J12*INDEX('OFPC Source'!$AD$8:$AO$21,MATCH($A31,'OFPC Source'!$AC$8:$AC$21,0),MATCH(J$7,'OFPC Source'!$AD$7:$AO$7,0))</f>
        <v>22.539720070298774</v>
      </c>
      <c r="K31" s="53">
        <f>K12*INDEX('OFPC Source'!$AD$8:$AO$21,MATCH($A31,'OFPC Source'!$AC$8:$AC$21,0),MATCH(K$7,'OFPC Source'!$AD$7:$AO$7,0))</f>
        <v>20.697011982839712</v>
      </c>
      <c r="L31" s="53">
        <f>L12*INDEX('OFPC Source'!$AD$8:$AO$21,MATCH($A31,'OFPC Source'!$AC$8:$AC$21,0),MATCH(L$7,'OFPC Source'!$AD$7:$AO$7,0))</f>
        <v>19.43326736464299</v>
      </c>
      <c r="M31" s="54">
        <f>M12*INDEX('OFPC Source'!$AD$8:$AO$21,MATCH($A31,'OFPC Source'!$AC$8:$AC$21,0),MATCH(M$7,'OFPC Source'!$AD$7:$AO$7,0))</f>
        <v>22.63866370722263</v>
      </c>
    </row>
    <row r="32" spans="1:21" ht="12.75" customHeight="1" x14ac:dyDescent="0.2">
      <c r="A32" s="51">
        <f t="shared" si="1"/>
        <v>2020</v>
      </c>
      <c r="B32" s="53">
        <f>B13*INDEX('OFPC Source'!$AD$8:$AO$21,MATCH($A32,'OFPC Source'!$AC$8:$AC$21,0),MATCH(B$7,'OFPC Source'!$AD$7:$AO$7,0))</f>
        <v>17.002650513450138</v>
      </c>
      <c r="C32" s="53">
        <f>C13*INDEX('OFPC Source'!$AD$8:$AO$21,MATCH($A32,'OFPC Source'!$AC$8:$AC$21,0),MATCH(C$7,'OFPC Source'!$AD$7:$AO$7,0))</f>
        <v>18.671850599998127</v>
      </c>
      <c r="D32" s="53">
        <f>D13*INDEX('OFPC Source'!$AD$8:$AO$21,MATCH($A32,'OFPC Source'!$AC$8:$AC$21,0),MATCH(D$7,'OFPC Source'!$AD$7:$AO$7,0))</f>
        <v>17.874974225416906</v>
      </c>
      <c r="E32" s="53">
        <f>E13*INDEX('OFPC Source'!$AD$8:$AO$21,MATCH($A32,'OFPC Source'!$AC$8:$AC$21,0),MATCH(E$7,'OFPC Source'!$AD$7:$AO$7,0))</f>
        <v>17.998280147924472</v>
      </c>
      <c r="F32" s="53">
        <f>F13*INDEX('OFPC Source'!$AD$8:$AO$21,MATCH($A32,'OFPC Source'!$AC$8:$AC$21,0),MATCH(F$7,'OFPC Source'!$AD$7:$AO$7,0))</f>
        <v>20.0032309089443</v>
      </c>
      <c r="G32" s="53">
        <f>G13*INDEX('OFPC Source'!$AD$8:$AO$21,MATCH($A32,'OFPC Source'!$AC$8:$AC$21,0),MATCH(G$7,'OFPC Source'!$AD$7:$AO$7,0))</f>
        <v>19.521144572654105</v>
      </c>
      <c r="H32" s="53">
        <f>H13*INDEX('OFPC Source'!$AD$8:$AO$21,MATCH($A32,'OFPC Source'!$AC$8:$AC$21,0),MATCH(H$7,'OFPC Source'!$AD$7:$AO$7,0))</f>
        <v>31.379092808298314</v>
      </c>
      <c r="I32" s="53">
        <f>I13*INDEX('OFPC Source'!$AD$8:$AO$21,MATCH($A32,'OFPC Source'!$AC$8:$AC$21,0),MATCH(I$7,'OFPC Source'!$AD$7:$AO$7,0))</f>
        <v>26.040093343650028</v>
      </c>
      <c r="J32" s="53">
        <f>J13*INDEX('OFPC Source'!$AD$8:$AO$21,MATCH($A32,'OFPC Source'!$AC$8:$AC$21,0),MATCH(J$7,'OFPC Source'!$AD$7:$AO$7,0))</f>
        <v>22.25114523975704</v>
      </c>
      <c r="K32" s="53">
        <f>K13*INDEX('OFPC Source'!$AD$8:$AO$21,MATCH($A32,'OFPC Source'!$AC$8:$AC$21,0),MATCH(K$7,'OFPC Source'!$AD$7:$AO$7,0))</f>
        <v>19.252207794614947</v>
      </c>
      <c r="L32" s="53">
        <f>L13*INDEX('OFPC Source'!$AD$8:$AO$21,MATCH($A32,'OFPC Source'!$AC$8:$AC$21,0),MATCH(L$7,'OFPC Source'!$AD$7:$AO$7,0))</f>
        <v>17.259974516859383</v>
      </c>
      <c r="M32" s="54">
        <f>M13*INDEX('OFPC Source'!$AD$8:$AO$21,MATCH($A32,'OFPC Source'!$AC$8:$AC$21,0),MATCH(M$7,'OFPC Source'!$AD$7:$AO$7,0))</f>
        <v>20.988625281380202</v>
      </c>
    </row>
    <row r="33" spans="1:13" ht="12.75" customHeight="1" x14ac:dyDescent="0.2">
      <c r="A33" s="51">
        <f t="shared" si="1"/>
        <v>2021</v>
      </c>
      <c r="B33" s="53">
        <f>B14*INDEX('OFPC Source'!$AD$8:$AO$21,MATCH($A33,'OFPC Source'!$AC$8:$AC$21,0),MATCH(B$7,'OFPC Source'!$AD$7:$AO$7,0))</f>
        <v>19.039386750713863</v>
      </c>
      <c r="C33" s="53">
        <f>C14*INDEX('OFPC Source'!$AD$8:$AO$21,MATCH($A33,'OFPC Source'!$AC$8:$AC$21,0),MATCH(C$7,'OFPC Source'!$AD$7:$AO$7,0))</f>
        <v>21.340442796526986</v>
      </c>
      <c r="D33" s="53">
        <f>D14*INDEX('OFPC Source'!$AD$8:$AO$21,MATCH($A33,'OFPC Source'!$AC$8:$AC$21,0),MATCH(D$7,'OFPC Source'!$AD$7:$AO$7,0))</f>
        <v>15.824001229295074</v>
      </c>
      <c r="E33" s="53">
        <f>E14*INDEX('OFPC Source'!$AD$8:$AO$21,MATCH($A33,'OFPC Source'!$AC$8:$AC$21,0),MATCH(E$7,'OFPC Source'!$AD$7:$AO$7,0))</f>
        <v>16.292913360605525</v>
      </c>
      <c r="F33" s="53">
        <f>F14*INDEX('OFPC Source'!$AD$8:$AO$21,MATCH($A33,'OFPC Source'!$AC$8:$AC$21,0),MATCH(F$7,'OFPC Source'!$AD$7:$AO$7,0))</f>
        <v>18.250158329127487</v>
      </c>
      <c r="G33" s="53">
        <f>G14*INDEX('OFPC Source'!$AD$8:$AO$21,MATCH($A33,'OFPC Source'!$AC$8:$AC$21,0),MATCH(G$7,'OFPC Source'!$AD$7:$AO$7,0))</f>
        <v>18.823691261868408</v>
      </c>
      <c r="H33" s="53">
        <f>H14*INDEX('OFPC Source'!$AD$8:$AO$21,MATCH($A33,'OFPC Source'!$AC$8:$AC$21,0),MATCH(H$7,'OFPC Source'!$AD$7:$AO$7,0))</f>
        <v>31.495310222462791</v>
      </c>
      <c r="I33" s="53">
        <f>I14*INDEX('OFPC Source'!$AD$8:$AO$21,MATCH($A33,'OFPC Source'!$AC$8:$AC$21,0),MATCH(I$7,'OFPC Source'!$AD$7:$AO$7,0))</f>
        <v>24.808037706838146</v>
      </c>
      <c r="J33" s="53">
        <f>J14*INDEX('OFPC Source'!$AD$8:$AO$21,MATCH($A33,'OFPC Source'!$AC$8:$AC$21,0),MATCH(J$7,'OFPC Source'!$AD$7:$AO$7,0))</f>
        <v>21.351344710518998</v>
      </c>
      <c r="K33" s="53">
        <f>K14*INDEX('OFPC Source'!$AD$8:$AO$21,MATCH($A33,'OFPC Source'!$AC$8:$AC$21,0),MATCH(K$7,'OFPC Source'!$AD$7:$AO$7,0))</f>
        <v>19.512561380223708</v>
      </c>
      <c r="L33" s="53">
        <f>L14*INDEX('OFPC Source'!$AD$8:$AO$21,MATCH($A33,'OFPC Source'!$AC$8:$AC$21,0),MATCH(L$7,'OFPC Source'!$AD$7:$AO$7,0))</f>
        <v>18.548214340917571</v>
      </c>
      <c r="M33" s="54">
        <f>M14*INDEX('OFPC Source'!$AD$8:$AO$21,MATCH($A33,'OFPC Source'!$AC$8:$AC$21,0),MATCH(M$7,'OFPC Source'!$AD$7:$AO$7,0))</f>
        <v>23.585604322824537</v>
      </c>
    </row>
    <row r="34" spans="1:13" ht="12.75" customHeight="1" x14ac:dyDescent="0.2">
      <c r="A34" s="51">
        <f t="shared" si="1"/>
        <v>2022</v>
      </c>
      <c r="B34" s="53">
        <f>B15*INDEX('OFPC Source'!$AD$8:$AO$21,MATCH($A34,'OFPC Source'!$AC$8:$AC$21,0),MATCH(B$7,'OFPC Source'!$AD$7:$AO$7,0))</f>
        <v>21.749394711165934</v>
      </c>
      <c r="C34" s="53">
        <f>C15*INDEX('OFPC Source'!$AD$8:$AO$21,MATCH($A34,'OFPC Source'!$AC$8:$AC$21,0),MATCH(C$7,'OFPC Source'!$AD$7:$AO$7,0))</f>
        <v>20.909554697237006</v>
      </c>
      <c r="D34" s="53">
        <f>D15*INDEX('OFPC Source'!$AD$8:$AO$21,MATCH($A34,'OFPC Source'!$AC$8:$AC$21,0),MATCH(D$7,'OFPC Source'!$AD$7:$AO$7,0))</f>
        <v>18.966732143442535</v>
      </c>
      <c r="E34" s="53">
        <f>E15*INDEX('OFPC Source'!$AD$8:$AO$21,MATCH($A34,'OFPC Source'!$AC$8:$AC$21,0),MATCH(E$7,'OFPC Source'!$AD$7:$AO$7,0))</f>
        <v>17.228985221986008</v>
      </c>
      <c r="F34" s="53">
        <f>F15*INDEX('OFPC Source'!$AD$8:$AO$21,MATCH($A34,'OFPC Source'!$AC$8:$AC$21,0),MATCH(F$7,'OFPC Source'!$AD$7:$AO$7,0))</f>
        <v>19.375854753349035</v>
      </c>
      <c r="G34" s="53">
        <f>G15*INDEX('OFPC Source'!$AD$8:$AO$21,MATCH($A34,'OFPC Source'!$AC$8:$AC$21,0),MATCH(G$7,'OFPC Source'!$AD$7:$AO$7,0))</f>
        <v>19.784921808839016</v>
      </c>
      <c r="H34" s="53">
        <f>H15*INDEX('OFPC Source'!$AD$8:$AO$21,MATCH($A34,'OFPC Source'!$AC$8:$AC$21,0),MATCH(H$7,'OFPC Source'!$AD$7:$AO$7,0))</f>
        <v>33.423189770335298</v>
      </c>
      <c r="I34" s="53">
        <f>I15*INDEX('OFPC Source'!$AD$8:$AO$21,MATCH($A34,'OFPC Source'!$AC$8:$AC$21,0),MATCH(I$7,'OFPC Source'!$AD$7:$AO$7,0))</f>
        <v>27.466925294416917</v>
      </c>
      <c r="J34" s="53">
        <f>J15*INDEX('OFPC Source'!$AD$8:$AO$21,MATCH($A34,'OFPC Source'!$AC$8:$AC$21,0),MATCH(J$7,'OFPC Source'!$AD$7:$AO$7,0))</f>
        <v>22.91427932765761</v>
      </c>
      <c r="K34" s="53">
        <f>K15*INDEX('OFPC Source'!$AD$8:$AO$21,MATCH($A34,'OFPC Source'!$AC$8:$AC$21,0),MATCH(K$7,'OFPC Source'!$AD$7:$AO$7,0))</f>
        <v>20.806577318888841</v>
      </c>
      <c r="L34" s="53">
        <f>L15*INDEX('OFPC Source'!$AD$8:$AO$21,MATCH($A34,'OFPC Source'!$AC$8:$AC$21,0),MATCH(L$7,'OFPC Source'!$AD$7:$AO$7,0))</f>
        <v>20.084654719737845</v>
      </c>
      <c r="M34" s="54">
        <f>M15*INDEX('OFPC Source'!$AD$8:$AO$21,MATCH($A34,'OFPC Source'!$AC$8:$AC$21,0),MATCH(M$7,'OFPC Source'!$AD$7:$AO$7,0))</f>
        <v>24.159436100875872</v>
      </c>
    </row>
    <row r="35" spans="1:13" ht="12.75" customHeight="1" x14ac:dyDescent="0.2">
      <c r="A35" s="51">
        <f t="shared" si="1"/>
        <v>2023</v>
      </c>
      <c r="B35" s="53">
        <f>B16*INDEX('OFPC Source'!$AD$8:$AO$21,MATCH($A35,'OFPC Source'!$AC$8:$AC$21,0),MATCH(B$7,'OFPC Source'!$AD$7:$AO$7,0))</f>
        <v>23.032416798374996</v>
      </c>
      <c r="C35" s="53">
        <f>C16*INDEX('OFPC Source'!$AD$8:$AO$21,MATCH($A35,'OFPC Source'!$AC$8:$AC$21,0),MATCH(C$7,'OFPC Source'!$AD$7:$AO$7,0))</f>
        <v>21.114032290150185</v>
      </c>
      <c r="D35" s="53">
        <f>D16*INDEX('OFPC Source'!$AD$8:$AO$21,MATCH($A35,'OFPC Source'!$AC$8:$AC$21,0),MATCH(D$7,'OFPC Source'!$AD$7:$AO$7,0))</f>
        <v>19.770307711898894</v>
      </c>
      <c r="E35" s="53">
        <f>E16*INDEX('OFPC Source'!$AD$8:$AO$21,MATCH($A35,'OFPC Source'!$AC$8:$AC$21,0),MATCH(E$7,'OFPC Source'!$AD$7:$AO$7,0))</f>
        <v>16.754676005017618</v>
      </c>
      <c r="F35" s="53">
        <f>F16*INDEX('OFPC Source'!$AD$8:$AO$21,MATCH($A35,'OFPC Source'!$AC$8:$AC$21,0),MATCH(F$7,'OFPC Source'!$AD$7:$AO$7,0))</f>
        <v>20.226210371580223</v>
      </c>
      <c r="G35" s="53">
        <f>G16*INDEX('OFPC Source'!$AD$8:$AO$21,MATCH($A35,'OFPC Source'!$AC$8:$AC$21,0),MATCH(G$7,'OFPC Source'!$AD$7:$AO$7,0))</f>
        <v>20.084313102241456</v>
      </c>
      <c r="H35" s="53">
        <f>H16*INDEX('OFPC Source'!$AD$8:$AO$21,MATCH($A35,'OFPC Source'!$AC$8:$AC$21,0),MATCH(H$7,'OFPC Source'!$AD$7:$AO$7,0))</f>
        <v>37.594913862869255</v>
      </c>
      <c r="I35" s="53">
        <f>I16*INDEX('OFPC Source'!$AD$8:$AO$21,MATCH($A35,'OFPC Source'!$AC$8:$AC$21,0),MATCH(I$7,'OFPC Source'!$AD$7:$AO$7,0))</f>
        <v>28.06753869634349</v>
      </c>
      <c r="J35" s="53">
        <f>J16*INDEX('OFPC Source'!$AD$8:$AO$21,MATCH($A35,'OFPC Source'!$AC$8:$AC$21,0),MATCH(J$7,'OFPC Source'!$AD$7:$AO$7,0))</f>
        <v>24.080340049392802</v>
      </c>
      <c r="K35" s="53">
        <f>K16*INDEX('OFPC Source'!$AD$8:$AO$21,MATCH($A35,'OFPC Source'!$AC$8:$AC$21,0),MATCH(K$7,'OFPC Source'!$AD$7:$AO$7,0))</f>
        <v>24.359158241728281</v>
      </c>
      <c r="L35" s="53">
        <f>L16*INDEX('OFPC Source'!$AD$8:$AO$21,MATCH($A35,'OFPC Source'!$AC$8:$AC$21,0),MATCH(L$7,'OFPC Source'!$AD$7:$AO$7,0))</f>
        <v>18.235877801816013</v>
      </c>
      <c r="M35" s="54">
        <f>M16*INDEX('OFPC Source'!$AD$8:$AO$21,MATCH($A35,'OFPC Source'!$AC$8:$AC$21,0),MATCH(M$7,'OFPC Source'!$AD$7:$AO$7,0))</f>
        <v>28.123223771531013</v>
      </c>
    </row>
    <row r="36" spans="1:13" ht="12.75" customHeight="1" x14ac:dyDescent="0.2">
      <c r="A36" s="51">
        <f t="shared" si="1"/>
        <v>2024</v>
      </c>
      <c r="B36" s="53">
        <f>B17*INDEX('OFPC Source'!$AD$8:$AO$21,MATCH($A36,'OFPC Source'!$AC$8:$AC$21,0),MATCH(B$7,'OFPC Source'!$AD$7:$AO$7,0))</f>
        <v>26.557095974266506</v>
      </c>
      <c r="C36" s="53">
        <f>C17*INDEX('OFPC Source'!$AD$8:$AO$21,MATCH($A36,'OFPC Source'!$AC$8:$AC$21,0),MATCH(C$7,'OFPC Source'!$AD$7:$AO$7,0))</f>
        <v>22.486333909228893</v>
      </c>
      <c r="D36" s="53">
        <f>D17*INDEX('OFPC Source'!$AD$8:$AO$21,MATCH($A36,'OFPC Source'!$AC$8:$AC$21,0),MATCH(D$7,'OFPC Source'!$AD$7:$AO$7,0))</f>
        <v>22.153124924680071</v>
      </c>
      <c r="E36" s="53">
        <f>E17*INDEX('OFPC Source'!$AD$8:$AO$21,MATCH($A36,'OFPC Source'!$AC$8:$AC$21,0),MATCH(E$7,'OFPC Source'!$AD$7:$AO$7,0))</f>
        <v>18.509079370562844</v>
      </c>
      <c r="F36" s="53">
        <f>F17*INDEX('OFPC Source'!$AD$8:$AO$21,MATCH($A36,'OFPC Source'!$AC$8:$AC$21,0),MATCH(F$7,'OFPC Source'!$AD$7:$AO$7,0))</f>
        <v>22.667852495852795</v>
      </c>
      <c r="G36" s="53">
        <f>G17*INDEX('OFPC Source'!$AD$8:$AO$21,MATCH($A36,'OFPC Source'!$AC$8:$AC$21,0),MATCH(G$7,'OFPC Source'!$AD$7:$AO$7,0))</f>
        <v>21.413384986632046</v>
      </c>
      <c r="H36" s="53">
        <f>H17*INDEX('OFPC Source'!$AD$8:$AO$21,MATCH($A36,'OFPC Source'!$AC$8:$AC$21,0),MATCH(H$7,'OFPC Source'!$AD$7:$AO$7,0))</f>
        <v>40.693664314284774</v>
      </c>
      <c r="I36" s="53">
        <f>I17*INDEX('OFPC Source'!$AD$8:$AO$21,MATCH($A36,'OFPC Source'!$AC$8:$AC$21,0),MATCH(I$7,'OFPC Source'!$AD$7:$AO$7,0))</f>
        <v>18.723385323266942</v>
      </c>
      <c r="J36" s="53">
        <f>J17*INDEX('OFPC Source'!$AD$8:$AO$21,MATCH($A36,'OFPC Source'!$AC$8:$AC$21,0),MATCH(J$7,'OFPC Source'!$AD$7:$AO$7,0))</f>
        <v>38.457962230498133</v>
      </c>
      <c r="K36" s="53">
        <f>K17*INDEX('OFPC Source'!$AD$8:$AO$21,MATCH($A36,'OFPC Source'!$AC$8:$AC$21,0),MATCH(K$7,'OFPC Source'!$AD$7:$AO$7,0))</f>
        <v>28.588099545709582</v>
      </c>
      <c r="L36" s="53">
        <f>L17*INDEX('OFPC Source'!$AD$8:$AO$21,MATCH($A36,'OFPC Source'!$AC$8:$AC$21,0),MATCH(L$7,'OFPC Source'!$AD$7:$AO$7,0))</f>
        <v>25.488675428371433</v>
      </c>
      <c r="M36" s="54">
        <f>M17*INDEX('OFPC Source'!$AD$8:$AO$21,MATCH($A36,'OFPC Source'!$AC$8:$AC$21,0),MATCH(M$7,'OFPC Source'!$AD$7:$AO$7,0))</f>
        <v>31.787257164410804</v>
      </c>
    </row>
    <row r="37" spans="1:13" ht="12.75" customHeight="1" x14ac:dyDescent="0.2">
      <c r="A37" s="51">
        <f t="shared" si="1"/>
        <v>2025</v>
      </c>
      <c r="B37" s="53">
        <f>B18*INDEX('OFPC Source'!$AD$8:$AO$21,MATCH($A37,'OFPC Source'!$AC$8:$AC$21,0),MATCH(B$7,'OFPC Source'!$AD$7:$AO$7,0))</f>
        <v>29.302886420492463</v>
      </c>
      <c r="C37" s="53">
        <f>C18*INDEX('OFPC Source'!$AD$8:$AO$21,MATCH($A37,'OFPC Source'!$AC$8:$AC$21,0),MATCH(C$7,'OFPC Source'!$AD$7:$AO$7,0))</f>
        <v>28.09750006380445</v>
      </c>
      <c r="D37" s="53">
        <f>D18*INDEX('OFPC Source'!$AD$8:$AO$21,MATCH($A37,'OFPC Source'!$AC$8:$AC$21,0),MATCH(D$7,'OFPC Source'!$AD$7:$AO$7,0))</f>
        <v>24.134013987420527</v>
      </c>
      <c r="E37" s="53">
        <f>E18*INDEX('OFPC Source'!$AD$8:$AO$21,MATCH($A37,'OFPC Source'!$AC$8:$AC$21,0),MATCH(E$7,'OFPC Source'!$AD$7:$AO$7,0))</f>
        <v>22.144225387157263</v>
      </c>
      <c r="F37" s="53">
        <f>F18*INDEX('OFPC Source'!$AD$8:$AO$21,MATCH($A37,'OFPC Source'!$AC$8:$AC$21,0),MATCH(F$7,'OFPC Source'!$AD$7:$AO$7,0))</f>
        <v>23.697039293548851</v>
      </c>
      <c r="G37" s="53">
        <f>G18*INDEX('OFPC Source'!$AD$8:$AO$21,MATCH($A37,'OFPC Source'!$AC$8:$AC$21,0),MATCH(G$7,'OFPC Source'!$AD$7:$AO$7,0))</f>
        <v>22.190817877834117</v>
      </c>
      <c r="H37" s="53">
        <f>H18*INDEX('OFPC Source'!$AD$8:$AO$21,MATCH($A37,'OFPC Source'!$AC$8:$AC$21,0),MATCH(H$7,'OFPC Source'!$AD$7:$AO$7,0))</f>
        <v>43.434268006452299</v>
      </c>
      <c r="I37" s="53">
        <f>I18*INDEX('OFPC Source'!$AD$8:$AO$21,MATCH($A37,'OFPC Source'!$AC$8:$AC$21,0),MATCH(I$7,'OFPC Source'!$AD$7:$AO$7,0))</f>
        <v>35.57199592506484</v>
      </c>
      <c r="J37" s="53">
        <f>J18*INDEX('OFPC Source'!$AD$8:$AO$21,MATCH($A37,'OFPC Source'!$AC$8:$AC$21,0),MATCH(J$7,'OFPC Source'!$AD$7:$AO$7,0))</f>
        <v>35.576101216061588</v>
      </c>
      <c r="K37" s="53">
        <f>K18*INDEX('OFPC Source'!$AD$8:$AO$21,MATCH($A37,'OFPC Source'!$AC$8:$AC$21,0),MATCH(K$7,'OFPC Source'!$AD$7:$AO$7,0))</f>
        <v>27.767163111116659</v>
      </c>
      <c r="L37" s="53">
        <f>L18*INDEX('OFPC Source'!$AD$8:$AO$21,MATCH($A37,'OFPC Source'!$AC$8:$AC$21,0),MATCH(L$7,'OFPC Source'!$AD$7:$AO$7,0))</f>
        <v>24.911590514781686</v>
      </c>
      <c r="M37" s="54">
        <f>M18*INDEX('OFPC Source'!$AD$8:$AO$21,MATCH($A37,'OFPC Source'!$AC$8:$AC$21,0),MATCH(M$7,'OFPC Source'!$AD$7:$AO$7,0))</f>
        <v>33.151308597775788</v>
      </c>
    </row>
    <row r="38" spans="1:13" ht="12.75" customHeight="1" x14ac:dyDescent="0.2">
      <c r="A38" s="51">
        <f t="shared" si="1"/>
        <v>2026</v>
      </c>
      <c r="B38" s="53">
        <f>B19*INDEX('OFPC Source'!$AD$8:$AO$21,MATCH($A38,'OFPC Source'!$AC$8:$AC$21,0),MATCH(B$7,'OFPC Source'!$AD$7:$AO$7,0))</f>
        <v>31.930055338502974</v>
      </c>
      <c r="C38" s="53">
        <f>C19*INDEX('OFPC Source'!$AD$8:$AO$21,MATCH($A38,'OFPC Source'!$AC$8:$AC$21,0),MATCH(C$7,'OFPC Source'!$AD$7:$AO$7,0))</f>
        <v>61.283518351008802</v>
      </c>
      <c r="D38" s="53">
        <f>D19*INDEX('OFPC Source'!$AD$8:$AO$21,MATCH($A38,'OFPC Source'!$AC$8:$AC$21,0),MATCH(D$7,'OFPC Source'!$AD$7:$AO$7,0))</f>
        <v>24.453560685428812</v>
      </c>
      <c r="E38" s="53">
        <f>E19*INDEX('OFPC Source'!$AD$8:$AO$21,MATCH($A38,'OFPC Source'!$AC$8:$AC$21,0),MATCH(E$7,'OFPC Source'!$AD$7:$AO$7,0))</f>
        <v>22.701256726784809</v>
      </c>
      <c r="F38" s="53">
        <f>F19*INDEX('OFPC Source'!$AD$8:$AO$21,MATCH($A38,'OFPC Source'!$AC$8:$AC$21,0),MATCH(F$7,'OFPC Source'!$AD$7:$AO$7,0))</f>
        <v>24.343141470889165</v>
      </c>
      <c r="G38" s="53">
        <f>G19*INDEX('OFPC Source'!$AD$8:$AO$21,MATCH($A38,'OFPC Source'!$AC$8:$AC$21,0),MATCH(G$7,'OFPC Source'!$AD$7:$AO$7,0))</f>
        <v>24.415336889381219</v>
      </c>
      <c r="H38" s="53">
        <f>H19*INDEX('OFPC Source'!$AD$8:$AO$21,MATCH($A38,'OFPC Source'!$AC$8:$AC$21,0),MATCH(H$7,'OFPC Source'!$AD$7:$AO$7,0))</f>
        <v>44.597418237621504</v>
      </c>
      <c r="I38" s="53">
        <f>I19*INDEX('OFPC Source'!$AD$8:$AO$21,MATCH($A38,'OFPC Source'!$AC$8:$AC$21,0),MATCH(I$7,'OFPC Source'!$AD$7:$AO$7,0))</f>
        <v>35.205955360969412</v>
      </c>
      <c r="J38" s="53">
        <f>J19*INDEX('OFPC Source'!$AD$8:$AO$21,MATCH($A38,'OFPC Source'!$AC$8:$AC$21,0),MATCH(J$7,'OFPC Source'!$AD$7:$AO$7,0))</f>
        <v>29.128733527045835</v>
      </c>
      <c r="K38" s="53">
        <f>K19*INDEX('OFPC Source'!$AD$8:$AO$21,MATCH($A38,'OFPC Source'!$AC$8:$AC$21,0),MATCH(K$7,'OFPC Source'!$AD$7:$AO$7,0))</f>
        <v>30.860452365034448</v>
      </c>
      <c r="L38" s="53">
        <f>L19*INDEX('OFPC Source'!$AD$8:$AO$21,MATCH($A38,'OFPC Source'!$AC$8:$AC$21,0),MATCH(L$7,'OFPC Source'!$AD$7:$AO$7,0))</f>
        <v>26.594012162778011</v>
      </c>
      <c r="M38" s="54">
        <f>M19*INDEX('OFPC Source'!$AD$8:$AO$21,MATCH($A38,'OFPC Source'!$AC$8:$AC$21,0),MATCH(M$7,'OFPC Source'!$AD$7:$AO$7,0))</f>
        <v>31.619145301689439</v>
      </c>
    </row>
    <row r="39" spans="1:13" ht="12.75" customHeight="1" x14ac:dyDescent="0.2">
      <c r="A39" s="51">
        <f t="shared" si="1"/>
        <v>2027</v>
      </c>
      <c r="B39" s="53">
        <f>B20*INDEX('OFPC Source'!$AD$8:$AO$21,MATCH($A39,'OFPC Source'!$AC$8:$AC$21,0),MATCH(B$7,'OFPC Source'!$AD$7:$AO$7,0))</f>
        <v>29.204531518954948</v>
      </c>
      <c r="C39" s="53">
        <f>C20*INDEX('OFPC Source'!$AD$8:$AO$21,MATCH($A39,'OFPC Source'!$AC$8:$AC$21,0),MATCH(C$7,'OFPC Source'!$AD$7:$AO$7,0))</f>
        <v>28.066607806091657</v>
      </c>
      <c r="D39" s="53">
        <f>D20*INDEX('OFPC Source'!$AD$8:$AO$21,MATCH($A39,'OFPC Source'!$AC$8:$AC$21,0),MATCH(D$7,'OFPC Source'!$AD$7:$AO$7,0))</f>
        <v>25.968857282388154</v>
      </c>
      <c r="E39" s="53">
        <f>E20*INDEX('OFPC Source'!$AD$8:$AO$21,MATCH($A39,'OFPC Source'!$AC$8:$AC$21,0),MATCH(E$7,'OFPC Source'!$AD$7:$AO$7,0))</f>
        <v>25.226332222253095</v>
      </c>
      <c r="F39" s="53">
        <f>F20*INDEX('OFPC Source'!$AD$8:$AO$21,MATCH($A39,'OFPC Source'!$AC$8:$AC$21,0),MATCH(F$7,'OFPC Source'!$AD$7:$AO$7,0))</f>
        <v>25.954881262692066</v>
      </c>
      <c r="G39" s="53">
        <f>G20*INDEX('OFPC Source'!$AD$8:$AO$21,MATCH($A39,'OFPC Source'!$AC$8:$AC$21,0),MATCH(G$7,'OFPC Source'!$AD$7:$AO$7,0))</f>
        <v>25.596495536244344</v>
      </c>
      <c r="H39" s="53">
        <f>H20*INDEX('OFPC Source'!$AD$8:$AO$21,MATCH($A39,'OFPC Source'!$AC$8:$AC$21,0),MATCH(H$7,'OFPC Source'!$AD$7:$AO$7,0))</f>
        <v>46.272714823631176</v>
      </c>
      <c r="I39" s="53">
        <f>I20*INDEX('OFPC Source'!$AD$8:$AO$21,MATCH($A39,'OFPC Source'!$AC$8:$AC$21,0),MATCH(I$7,'OFPC Source'!$AD$7:$AO$7,0))</f>
        <v>37.392385068707107</v>
      </c>
      <c r="J39" s="53">
        <f>J20*INDEX('OFPC Source'!$AD$8:$AO$21,MATCH($A39,'OFPC Source'!$AC$8:$AC$21,0),MATCH(J$7,'OFPC Source'!$AD$7:$AO$7,0))</f>
        <v>28.845276635624124</v>
      </c>
      <c r="K39" s="53">
        <f>K20*INDEX('OFPC Source'!$AD$8:$AO$21,MATCH($A39,'OFPC Source'!$AC$8:$AC$21,0),MATCH(K$7,'OFPC Source'!$AD$7:$AO$7,0))</f>
        <v>30.161233725966827</v>
      </c>
      <c r="L39" s="53">
        <f>L20*INDEX('OFPC Source'!$AD$8:$AO$21,MATCH($A39,'OFPC Source'!$AC$8:$AC$21,0),MATCH(L$7,'OFPC Source'!$AD$7:$AO$7,0))</f>
        <v>26.865654856823266</v>
      </c>
      <c r="M39" s="54">
        <f>M20*INDEX('OFPC Source'!$AD$8:$AO$21,MATCH($A39,'OFPC Source'!$AC$8:$AC$21,0),MATCH(M$7,'OFPC Source'!$AD$7:$AO$7,0))</f>
        <v>29.41958330894089</v>
      </c>
    </row>
    <row r="40" spans="1:13" ht="12.75" customHeight="1" x14ac:dyDescent="0.2">
      <c r="A40" s="51">
        <f t="shared" si="1"/>
        <v>2028</v>
      </c>
      <c r="B40" s="53">
        <f>B21*INDEX('OFPC Source'!$AD$8:$AO$21,MATCH($A40,'OFPC Source'!$AC$8:$AC$21,0),MATCH(B$7,'OFPC Source'!$AD$7:$AO$7,0))</f>
        <v>33.071463683594104</v>
      </c>
      <c r="C40" s="53">
        <f>C21*INDEX('OFPC Source'!$AD$8:$AO$21,MATCH($A40,'OFPC Source'!$AC$8:$AC$21,0),MATCH(C$7,'OFPC Source'!$AD$7:$AO$7,0))</f>
        <v>33.694536634397721</v>
      </c>
      <c r="D40" s="53">
        <f>D21*INDEX('OFPC Source'!$AD$8:$AO$21,MATCH($A40,'OFPC Source'!$AC$8:$AC$21,0),MATCH(D$7,'OFPC Source'!$AD$7:$AO$7,0))</f>
        <v>30.04351019339013</v>
      </c>
      <c r="E40" s="53">
        <f>E21*INDEX('OFPC Source'!$AD$8:$AO$21,MATCH($A40,'OFPC Source'!$AC$8:$AC$21,0),MATCH(E$7,'OFPC Source'!$AD$7:$AO$7,0))</f>
        <v>29.172318229870957</v>
      </c>
      <c r="F40" s="53">
        <f>F21*INDEX('OFPC Source'!$AD$8:$AO$21,MATCH($A40,'OFPC Source'!$AC$8:$AC$21,0),MATCH(F$7,'OFPC Source'!$AD$7:$AO$7,0))</f>
        <v>30.824819793618946</v>
      </c>
      <c r="G40" s="53">
        <f>G21*INDEX('OFPC Source'!$AD$8:$AO$21,MATCH($A40,'OFPC Source'!$AC$8:$AC$21,0),MATCH(G$7,'OFPC Source'!$AD$7:$AO$7,0))</f>
        <v>30.317068706414855</v>
      </c>
      <c r="H40" s="53">
        <f>H21*INDEX('OFPC Source'!$AD$8:$AO$21,MATCH($A40,'OFPC Source'!$AC$8:$AC$21,0),MATCH(H$7,'OFPC Source'!$AD$7:$AO$7,0))</f>
        <v>52.103165153713348</v>
      </c>
      <c r="I40" s="53">
        <f>I21*INDEX('OFPC Source'!$AD$8:$AO$21,MATCH($A40,'OFPC Source'!$AC$8:$AC$21,0),MATCH(I$7,'OFPC Source'!$AD$7:$AO$7,0))</f>
        <v>47.033449918299361</v>
      </c>
      <c r="J40" s="53">
        <f>J21*INDEX('OFPC Source'!$AD$8:$AO$21,MATCH($A40,'OFPC Source'!$AC$8:$AC$21,0),MATCH(J$7,'OFPC Source'!$AD$7:$AO$7,0))</f>
        <v>36.523895778335799</v>
      </c>
      <c r="K40" s="53">
        <f>K21*INDEX('OFPC Source'!$AD$8:$AO$21,MATCH($A40,'OFPC Source'!$AC$8:$AC$21,0),MATCH(K$7,'OFPC Source'!$AD$7:$AO$7,0))</f>
        <v>36.380948022572476</v>
      </c>
      <c r="L40" s="53">
        <f>L21*INDEX('OFPC Source'!$AD$8:$AO$21,MATCH($A40,'OFPC Source'!$AC$8:$AC$21,0),MATCH(L$7,'OFPC Source'!$AD$7:$AO$7,0))</f>
        <v>33.458778569943533</v>
      </c>
      <c r="M40" s="54">
        <f>M21*INDEX('OFPC Source'!$AD$8:$AO$21,MATCH($A40,'OFPC Source'!$AC$8:$AC$21,0),MATCH(M$7,'OFPC Source'!$AD$7:$AO$7,0))</f>
        <v>42.771879322862176</v>
      </c>
    </row>
    <row r="41" spans="1:13" ht="12.75" hidden="1" customHeight="1" x14ac:dyDescent="0.2">
      <c r="A41" s="51">
        <f t="shared" si="1"/>
        <v>2029</v>
      </c>
      <c r="B41" s="53" t="e">
        <f>B22*INDEX('OFPC Source'!$AD$8:$AO$21,MATCH($A41,'OFPC Source'!$AC$8:$AC$21,0),MATCH(B$7,'OFPC Source'!$AD$7:$AO$7,0))</f>
        <v>#N/A</v>
      </c>
      <c r="C41" s="53" t="e">
        <f>C22*INDEX('OFPC Source'!$AD$8:$AO$21,MATCH($A41,'OFPC Source'!$AC$8:$AC$21,0),MATCH(C$7,'OFPC Source'!$AD$7:$AO$7,0))</f>
        <v>#N/A</v>
      </c>
      <c r="D41" s="53" t="e">
        <f>D22*INDEX('OFPC Source'!$AD$8:$AO$21,MATCH($A41,'OFPC Source'!$AC$8:$AC$21,0),MATCH(D$7,'OFPC Source'!$AD$7:$AO$7,0))</f>
        <v>#N/A</v>
      </c>
      <c r="E41" s="53" t="e">
        <f>E22*INDEX('OFPC Source'!$AD$8:$AO$21,MATCH($A41,'OFPC Source'!$AC$8:$AC$21,0),MATCH(E$7,'OFPC Source'!$AD$7:$AO$7,0))</f>
        <v>#N/A</v>
      </c>
      <c r="F41" s="53" t="e">
        <f>F22*INDEX('OFPC Source'!$AD$8:$AO$21,MATCH($A41,'OFPC Source'!$AC$8:$AC$21,0),MATCH(F$7,'OFPC Source'!$AD$7:$AO$7,0))</f>
        <v>#N/A</v>
      </c>
      <c r="G41" s="53" t="e">
        <f>G22*INDEX('OFPC Source'!$AD$8:$AO$21,MATCH($A41,'OFPC Source'!$AC$8:$AC$21,0),MATCH(G$7,'OFPC Source'!$AD$7:$AO$7,0))</f>
        <v>#N/A</v>
      </c>
      <c r="H41" s="53" t="e">
        <f>H22*INDEX('OFPC Source'!$AD$8:$AO$21,MATCH($A41,'OFPC Source'!$AC$8:$AC$21,0),MATCH(H$7,'OFPC Source'!$AD$7:$AO$7,0))</f>
        <v>#N/A</v>
      </c>
      <c r="I41" s="53" t="e">
        <f>I22*INDEX('OFPC Source'!$AD$8:$AO$21,MATCH($A41,'OFPC Source'!$AC$8:$AC$21,0),MATCH(I$7,'OFPC Source'!$AD$7:$AO$7,0))</f>
        <v>#N/A</v>
      </c>
      <c r="J41" s="53" t="e">
        <f>J22*INDEX('OFPC Source'!$AD$8:$AO$21,MATCH($A41,'OFPC Source'!$AC$8:$AC$21,0),MATCH(J$7,'OFPC Source'!$AD$7:$AO$7,0))</f>
        <v>#N/A</v>
      </c>
      <c r="K41" s="53" t="e">
        <f>K22*INDEX('OFPC Source'!$AD$8:$AO$21,MATCH($A41,'OFPC Source'!$AC$8:$AC$21,0),MATCH(K$7,'OFPC Source'!$AD$7:$AO$7,0))</f>
        <v>#N/A</v>
      </c>
      <c r="L41" s="53" t="e">
        <f>L22*INDEX('OFPC Source'!$AD$8:$AO$21,MATCH($A41,'OFPC Source'!$AC$8:$AC$21,0),MATCH(L$7,'OFPC Source'!$AD$7:$AO$7,0))</f>
        <v>#N/A</v>
      </c>
      <c r="M41" s="54" t="e">
        <f>M22*INDEX('OFPC Source'!$AD$8:$AO$21,MATCH($A41,'OFPC Source'!$AC$8:$AC$21,0),MATCH(M$7,'OFPC Source'!$AD$7:$AO$7,0))</f>
        <v>#N/A</v>
      </c>
    </row>
    <row r="42" spans="1:13" ht="12.75" hidden="1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 ht="12.75" hidden="1" customHeight="1" x14ac:dyDescent="0.2">
      <c r="A43" s="51"/>
      <c r="B43" s="52"/>
      <c r="C43" s="53"/>
      <c r="D43" s="53"/>
      <c r="E43" s="53"/>
      <c r="F43" s="54"/>
      <c r="G43" s="53"/>
      <c r="H43" s="53"/>
      <c r="I43" s="53"/>
      <c r="J43" s="54"/>
      <c r="K43" s="53"/>
      <c r="L43" s="53"/>
      <c r="M43" s="54"/>
    </row>
    <row r="44" spans="1:13" ht="12.75" hidden="1" customHeight="1" x14ac:dyDescent="0.2">
      <c r="A44" s="51"/>
      <c r="B44" s="52"/>
      <c r="C44" s="53"/>
      <c r="D44" s="53"/>
      <c r="E44" s="53"/>
      <c r="F44" s="54"/>
      <c r="G44" s="53"/>
      <c r="H44" s="53"/>
      <c r="I44" s="53"/>
      <c r="J44" s="54"/>
      <c r="K44" s="53"/>
      <c r="L44" s="53"/>
      <c r="M44" s="54"/>
    </row>
    <row r="45" spans="1:13" ht="12.75" hidden="1" customHeight="1" x14ac:dyDescent="0.2">
      <c r="A45" s="55"/>
      <c r="B45" s="56"/>
      <c r="C45" s="57"/>
      <c r="D45" s="57"/>
      <c r="E45" s="57"/>
      <c r="F45" s="58"/>
      <c r="G45" s="57"/>
      <c r="H45" s="57"/>
      <c r="I45" s="57"/>
      <c r="J45" s="58"/>
      <c r="K45" s="57"/>
      <c r="L45" s="57"/>
      <c r="M45" s="58"/>
    </row>
    <row r="46" spans="1:13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13" ht="12.75" customHeight="1" x14ac:dyDescent="0.2">
      <c r="A47" s="12" t="s">
        <v>219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13" ht="12.75" customHeight="1" x14ac:dyDescent="0.2">
      <c r="A48" s="489">
        <v>2017</v>
      </c>
      <c r="B48" s="490"/>
      <c r="C48" s="491"/>
      <c r="D48" s="491"/>
      <c r="E48" s="491"/>
      <c r="F48" s="490"/>
      <c r="G48" s="333">
        <f>G10*INDEX('OFPC Source'!$AD$26:$AO$39,MATCH($A48,'OFPC Source'!$AC$26:$AC$39,0),MATCH(G$7,'OFPC Source'!$AD$25:$AO$25,0))</f>
        <v>17.775659597329895</v>
      </c>
      <c r="H48" s="333">
        <f>H10*INDEX('OFPC Source'!$AD$26:$AO$39,MATCH($A48,'OFPC Source'!$AC$26:$AC$39,0),MATCH(H$7,'OFPC Source'!$AD$25:$AO$25,0))</f>
        <v>16.351097263458723</v>
      </c>
      <c r="I48" s="333">
        <f>I10*INDEX('OFPC Source'!$AD$26:$AO$39,MATCH($A48,'OFPC Source'!$AC$26:$AC$39,0),MATCH(I$7,'OFPC Source'!$AD$25:$AO$25,0))</f>
        <v>18.113235057570105</v>
      </c>
      <c r="J48" s="333">
        <f>J10*INDEX('OFPC Source'!$AD$26:$AO$39,MATCH($A48,'OFPC Source'!$AC$26:$AC$39,0),MATCH(J$7,'OFPC Source'!$AD$25:$AO$25,0))</f>
        <v>18.617344232105772</v>
      </c>
      <c r="K48" s="333">
        <f>K10*INDEX('OFPC Source'!$AD$26:$AO$39,MATCH($A48,'OFPC Source'!$AC$26:$AC$39,0),MATCH(K$7,'OFPC Source'!$AD$25:$AO$25,0))</f>
        <v>20.128145873066757</v>
      </c>
      <c r="L48" s="333">
        <f>L10*INDEX('OFPC Source'!$AD$26:$AO$39,MATCH($A48,'OFPC Source'!$AC$26:$AC$39,0),MATCH(L$7,'OFPC Source'!$AD$25:$AO$25,0))</f>
        <v>20.633141992464935</v>
      </c>
      <c r="M48" s="334">
        <f>M10*INDEX('OFPC Source'!$AD$26:$AO$39,MATCH($A48,'OFPC Source'!$AC$26:$AC$39,0),MATCH(M$7,'OFPC Source'!$AD$25:$AO$25,0))</f>
        <v>25.283176158473754</v>
      </c>
    </row>
    <row r="49" spans="1:25" ht="12.75" customHeight="1" x14ac:dyDescent="0.2">
      <c r="A49" s="492">
        <f>'Tables 3 to 5'!$B$14</f>
        <v>2018</v>
      </c>
      <c r="B49" s="53">
        <f>B11*INDEX('OFPC Source'!$AD$26:$AO$39,MATCH($A49,'OFPC Source'!$AC$26:$AC$39,0),MATCH(B$7,'OFPC Source'!$AD$25:$AO$25,0))</f>
        <v>24.453484658188135</v>
      </c>
      <c r="C49" s="53">
        <f>C11*INDEX('OFPC Source'!$AD$26:$AO$39,MATCH($A49,'OFPC Source'!$AC$26:$AC$39,0),MATCH(C$7,'OFPC Source'!$AD$25:$AO$25,0))</f>
        <v>23.657717091532007</v>
      </c>
      <c r="D49" s="53">
        <f>D11*INDEX('OFPC Source'!$AD$26:$AO$39,MATCH($A49,'OFPC Source'!$AC$26:$AC$39,0),MATCH(D$7,'OFPC Source'!$AD$25:$AO$25,0))</f>
        <v>20.397601760010552</v>
      </c>
      <c r="E49" s="53">
        <f>E11*INDEX('OFPC Source'!$AD$26:$AO$39,MATCH($A49,'OFPC Source'!$AC$26:$AC$39,0),MATCH(E$7,'OFPC Source'!$AD$25:$AO$25,0))</f>
        <v>16.45510023970337</v>
      </c>
      <c r="F49" s="53">
        <f>F11*INDEX('OFPC Source'!$AD$26:$AO$39,MATCH($A49,'OFPC Source'!$AC$26:$AC$39,0),MATCH(F$7,'OFPC Source'!$AD$25:$AO$25,0))</f>
        <v>14.286085936112558</v>
      </c>
      <c r="G49" s="53">
        <f>G11*INDEX('OFPC Source'!$AD$26:$AO$39,MATCH($A49,'OFPC Source'!$AC$26:$AC$39,0),MATCH(G$7,'OFPC Source'!$AD$25:$AO$25,0))</f>
        <v>14.271939091732579</v>
      </c>
      <c r="H49" s="53">
        <f>H11*INDEX('OFPC Source'!$AD$26:$AO$39,MATCH($A49,'OFPC Source'!$AC$26:$AC$39,0),MATCH(H$7,'OFPC Source'!$AD$25:$AO$25,0))</f>
        <v>16.972431741751691</v>
      </c>
      <c r="I49" s="53">
        <f>I11*INDEX('OFPC Source'!$AD$26:$AO$39,MATCH($A49,'OFPC Source'!$AC$26:$AC$39,0),MATCH(I$7,'OFPC Source'!$AD$25:$AO$25,0))</f>
        <v>17.642633092989431</v>
      </c>
      <c r="J49" s="53">
        <f>J11*INDEX('OFPC Source'!$AD$26:$AO$39,MATCH($A49,'OFPC Source'!$AC$26:$AC$39,0),MATCH(J$7,'OFPC Source'!$AD$25:$AO$25,0))</f>
        <v>16.311777601475757</v>
      </c>
      <c r="K49" s="53">
        <f>K11*INDEX('OFPC Source'!$AD$26:$AO$39,MATCH($A49,'OFPC Source'!$AC$26:$AC$39,0),MATCH(K$7,'OFPC Source'!$AD$25:$AO$25,0))</f>
        <v>17.644349421846769</v>
      </c>
      <c r="L49" s="53">
        <f>L11*INDEX('OFPC Source'!$AD$26:$AO$39,MATCH($A49,'OFPC Source'!$AC$26:$AC$39,0),MATCH(L$7,'OFPC Source'!$AD$25:$AO$25,0))</f>
        <v>17.961473300452433</v>
      </c>
      <c r="M49" s="54">
        <f>M11*INDEX('OFPC Source'!$AD$26:$AO$39,MATCH($A49,'OFPC Source'!$AC$26:$AC$39,0),MATCH(M$7,'OFPC Source'!$AD$25:$AO$25,0))</f>
        <v>20.551746367250864</v>
      </c>
    </row>
    <row r="50" spans="1:25" ht="12.75" customHeight="1" x14ac:dyDescent="0.2">
      <c r="A50" s="51">
        <f t="shared" ref="A50:A60" si="2">A49+1</f>
        <v>2019</v>
      </c>
      <c r="B50" s="53">
        <f>B12*INDEX('OFPC Source'!$AD$26:$AO$39,MATCH($A50,'OFPC Source'!$AC$26:$AC$39,0),MATCH(B$7,'OFPC Source'!$AD$25:$AO$25,0))</f>
        <v>20.929170872808882</v>
      </c>
      <c r="C50" s="53">
        <f>C12*INDEX('OFPC Source'!$AD$26:$AO$39,MATCH($A50,'OFPC Source'!$AC$26:$AC$39,0),MATCH(C$7,'OFPC Source'!$AD$25:$AO$25,0))</f>
        <v>18.133751227610698</v>
      </c>
      <c r="D50" s="53">
        <f>D12*INDEX('OFPC Source'!$AD$26:$AO$39,MATCH($A50,'OFPC Source'!$AC$26:$AC$39,0),MATCH(D$7,'OFPC Source'!$AD$25:$AO$25,0))</f>
        <v>17.762207906794856</v>
      </c>
      <c r="E50" s="53">
        <f>E12*INDEX('OFPC Source'!$AD$26:$AO$39,MATCH($A50,'OFPC Source'!$AC$26:$AC$39,0),MATCH(E$7,'OFPC Source'!$AD$25:$AO$25,0))</f>
        <v>13.367487610430594</v>
      </c>
      <c r="F50" s="53">
        <f>F12*INDEX('OFPC Source'!$AD$26:$AO$39,MATCH($A50,'OFPC Source'!$AC$26:$AC$39,0),MATCH(F$7,'OFPC Source'!$AD$25:$AO$25,0))</f>
        <v>9.6503051397419455</v>
      </c>
      <c r="G50" s="53">
        <f>G12*INDEX('OFPC Source'!$AD$26:$AO$39,MATCH($A50,'OFPC Source'!$AC$26:$AC$39,0),MATCH(G$7,'OFPC Source'!$AD$25:$AO$25,0))</f>
        <v>10.477746972922013</v>
      </c>
      <c r="H50" s="53">
        <f>H12*INDEX('OFPC Source'!$AD$26:$AO$39,MATCH($A50,'OFPC Source'!$AC$26:$AC$39,0),MATCH(H$7,'OFPC Source'!$AD$25:$AO$25,0))</f>
        <v>21.605933103957092</v>
      </c>
      <c r="I50" s="53">
        <f>I12*INDEX('OFPC Source'!$AD$26:$AO$39,MATCH($A50,'OFPC Source'!$AC$26:$AC$39,0),MATCH(I$7,'OFPC Source'!$AD$25:$AO$25,0))</f>
        <v>18.870072352781673</v>
      </c>
      <c r="J50" s="53">
        <f>J12*INDEX('OFPC Source'!$AD$26:$AO$39,MATCH($A50,'OFPC Source'!$AC$26:$AC$39,0),MATCH(J$7,'OFPC Source'!$AD$25:$AO$25,0))</f>
        <v>16.311542857262339</v>
      </c>
      <c r="K50" s="53">
        <f>K12*INDEX('OFPC Source'!$AD$26:$AO$39,MATCH($A50,'OFPC Source'!$AC$26:$AC$39,0),MATCH(K$7,'OFPC Source'!$AD$25:$AO$25,0))</f>
        <v>18.553392884617026</v>
      </c>
      <c r="L50" s="53">
        <f>L12*INDEX('OFPC Source'!$AD$26:$AO$39,MATCH($A50,'OFPC Source'!$AC$26:$AC$39,0),MATCH(L$7,'OFPC Source'!$AD$25:$AO$25,0))</f>
        <v>17.082468893113596</v>
      </c>
      <c r="M50" s="54">
        <f>M12*INDEX('OFPC Source'!$AD$26:$AO$39,MATCH($A50,'OFPC Source'!$AC$26:$AC$39,0),MATCH(M$7,'OFPC Source'!$AD$25:$AO$25,0))</f>
        <v>20.676246914965144</v>
      </c>
    </row>
    <row r="51" spans="1:25" ht="12.75" customHeight="1" x14ac:dyDescent="0.2">
      <c r="A51" s="51">
        <f t="shared" si="2"/>
        <v>2020</v>
      </c>
      <c r="B51" s="53">
        <f>B13*INDEX('OFPC Source'!$AD$26:$AO$39,MATCH($A51,'OFPC Source'!$AC$26:$AC$39,0),MATCH(B$7,'OFPC Source'!$AD$25:$AO$25,0))</f>
        <v>15.200405899180476</v>
      </c>
      <c r="C51" s="53">
        <f>C13*INDEX('OFPC Source'!$AD$26:$AO$39,MATCH($A51,'OFPC Source'!$AC$26:$AC$39,0),MATCH(C$7,'OFPC Source'!$AD$25:$AO$25,0))</f>
        <v>16.517381870699435</v>
      </c>
      <c r="D51" s="53">
        <f>D13*INDEX('OFPC Source'!$AD$26:$AO$39,MATCH($A51,'OFPC Source'!$AC$26:$AC$39,0),MATCH(D$7,'OFPC Source'!$AD$25:$AO$25,0))</f>
        <v>16.078870747439407</v>
      </c>
      <c r="E51" s="53">
        <f>E13*INDEX('OFPC Source'!$AD$26:$AO$39,MATCH($A51,'OFPC Source'!$AC$26:$AC$39,0),MATCH(E$7,'OFPC Source'!$AD$25:$AO$25,0))</f>
        <v>13.76835804875348</v>
      </c>
      <c r="F51" s="53">
        <f>F13*INDEX('OFPC Source'!$AD$26:$AO$39,MATCH($A51,'OFPC Source'!$AC$26:$AC$39,0),MATCH(F$7,'OFPC Source'!$AD$25:$AO$25,0))</f>
        <v>11.469248313024654</v>
      </c>
      <c r="G51" s="53">
        <f>G13*INDEX('OFPC Source'!$AD$26:$AO$39,MATCH($A51,'OFPC Source'!$AC$26:$AC$39,0),MATCH(G$7,'OFPC Source'!$AD$25:$AO$25,0))</f>
        <v>10.740836497712763</v>
      </c>
      <c r="H51" s="53">
        <f>H13*INDEX('OFPC Source'!$AD$26:$AO$39,MATCH($A51,'OFPC Source'!$AC$26:$AC$39,0),MATCH(H$7,'OFPC Source'!$AD$25:$AO$25,0))</f>
        <v>20.507683704146736</v>
      </c>
      <c r="I51" s="53">
        <f>I13*INDEX('OFPC Source'!$AD$26:$AO$39,MATCH($A51,'OFPC Source'!$AC$26:$AC$39,0),MATCH(I$7,'OFPC Source'!$AD$25:$AO$25,0))</f>
        <v>17.485267270198914</v>
      </c>
      <c r="J51" s="53">
        <f>J13*INDEX('OFPC Source'!$AD$26:$AO$39,MATCH($A51,'OFPC Source'!$AC$26:$AC$39,0),MATCH(J$7,'OFPC Source'!$AD$25:$AO$25,0))</f>
        <v>13.92186766064534</v>
      </c>
      <c r="K51" s="53">
        <f>K13*INDEX('OFPC Source'!$AD$26:$AO$39,MATCH($A51,'OFPC Source'!$AC$26:$AC$39,0),MATCH(K$7,'OFPC Source'!$AD$25:$AO$25,0))</f>
        <v>17.534153629640958</v>
      </c>
      <c r="L51" s="53">
        <f>L13*INDEX('OFPC Source'!$AD$26:$AO$39,MATCH($A51,'OFPC Source'!$AC$26:$AC$39,0),MATCH(L$7,'OFPC Source'!$AD$25:$AO$25,0))</f>
        <v>15.425698198822362</v>
      </c>
      <c r="M51" s="54">
        <f>M13*INDEX('OFPC Source'!$AD$26:$AO$39,MATCH($A51,'OFPC Source'!$AC$26:$AC$39,0),MATCH(M$7,'OFPC Source'!$AD$25:$AO$25,0))</f>
        <v>19.447387379620316</v>
      </c>
      <c r="N51" s="131"/>
      <c r="O51" s="131"/>
      <c r="P51" s="131"/>
      <c r="Q51" s="131"/>
      <c r="R51" s="131"/>
      <c r="S51" s="131"/>
      <c r="T51" s="131"/>
      <c r="U51" s="131"/>
    </row>
    <row r="52" spans="1:25" ht="12.75" customHeight="1" x14ac:dyDescent="0.2">
      <c r="A52" s="51">
        <f t="shared" si="2"/>
        <v>2021</v>
      </c>
      <c r="B52" s="53">
        <f>B14*INDEX('OFPC Source'!$AD$26:$AO$39,MATCH($A52,'OFPC Source'!$AC$26:$AC$39,0),MATCH(B$7,'OFPC Source'!$AD$25:$AO$25,0))</f>
        <v>17.564616076344002</v>
      </c>
      <c r="C52" s="53">
        <f>C14*INDEX('OFPC Source'!$AD$26:$AO$39,MATCH($A52,'OFPC Source'!$AC$26:$AC$39,0),MATCH(C$7,'OFPC Source'!$AD$25:$AO$25,0))</f>
        <v>19.506720811669137</v>
      </c>
      <c r="D52" s="53">
        <f>D14*INDEX('OFPC Source'!$AD$26:$AO$39,MATCH($A52,'OFPC Source'!$AC$26:$AC$39,0),MATCH(D$7,'OFPC Source'!$AD$25:$AO$25,0))</f>
        <v>14.724704389807647</v>
      </c>
      <c r="E52" s="53">
        <f>E14*INDEX('OFPC Source'!$AD$26:$AO$39,MATCH($A52,'OFPC Source'!$AC$26:$AC$39,0),MATCH(E$7,'OFPC Source'!$AD$25:$AO$25,0))</f>
        <v>12.737976426510913</v>
      </c>
      <c r="F52" s="53">
        <f>F14*INDEX('OFPC Source'!$AD$26:$AO$39,MATCH($A52,'OFPC Source'!$AC$26:$AC$39,0),MATCH(F$7,'OFPC Source'!$AD$25:$AO$25,0))</f>
        <v>10.94809011504862</v>
      </c>
      <c r="G52" s="53">
        <f>G14*INDEX('OFPC Source'!$AD$26:$AO$39,MATCH($A52,'OFPC Source'!$AC$26:$AC$39,0),MATCH(G$7,'OFPC Source'!$AD$25:$AO$25,0))</f>
        <v>10.839993426276381</v>
      </c>
      <c r="H52" s="53">
        <f>H14*INDEX('OFPC Source'!$AD$26:$AO$39,MATCH($A52,'OFPC Source'!$AC$26:$AC$39,0),MATCH(H$7,'OFPC Source'!$AD$25:$AO$25,0))</f>
        <v>20.986204338612573</v>
      </c>
      <c r="I52" s="53">
        <f>I14*INDEX('OFPC Source'!$AD$26:$AO$39,MATCH($A52,'OFPC Source'!$AC$26:$AC$39,0),MATCH(I$7,'OFPC Source'!$AD$25:$AO$25,0))</f>
        <v>16.965856219499646</v>
      </c>
      <c r="J52" s="53">
        <f>J14*INDEX('OFPC Source'!$AD$26:$AO$39,MATCH($A52,'OFPC Source'!$AC$26:$AC$39,0),MATCH(J$7,'OFPC Source'!$AD$25:$AO$25,0))</f>
        <v>13.689998656886843</v>
      </c>
      <c r="K52" s="53">
        <f>K14*INDEX('OFPC Source'!$AD$26:$AO$39,MATCH($A52,'OFPC Source'!$AC$26:$AC$39,0),MATCH(K$7,'OFPC Source'!$AD$25:$AO$25,0))</f>
        <v>18.206008500458289</v>
      </c>
      <c r="L52" s="53">
        <f>L14*INDEX('OFPC Source'!$AD$26:$AO$39,MATCH($A52,'OFPC Source'!$AC$26:$AC$39,0),MATCH(L$7,'OFPC Source'!$AD$25:$AO$25,0))</f>
        <v>17.010751538722719</v>
      </c>
      <c r="M52" s="54">
        <f>M14*INDEX('OFPC Source'!$AD$26:$AO$39,MATCH($A52,'OFPC Source'!$AC$26:$AC$39,0),MATCH(M$7,'OFPC Source'!$AD$25:$AO$25,0))</f>
        <v>22.330178529813267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</row>
    <row r="53" spans="1:25" ht="12.75" customHeight="1" x14ac:dyDescent="0.2">
      <c r="A53" s="51">
        <f t="shared" si="2"/>
        <v>2022</v>
      </c>
      <c r="B53" s="53">
        <f>B15*INDEX('OFPC Source'!$AD$26:$AO$39,MATCH($A53,'OFPC Source'!$AC$26:$AC$39,0),MATCH(B$7,'OFPC Source'!$AD$25:$AO$25,0))</f>
        <v>19.901189193190984</v>
      </c>
      <c r="C53" s="53">
        <f>C15*INDEX('OFPC Source'!$AD$26:$AO$39,MATCH($A53,'OFPC Source'!$AC$26:$AC$39,0),MATCH(C$7,'OFPC Source'!$AD$25:$AO$25,0))</f>
        <v>18.96041964866134</v>
      </c>
      <c r="D53" s="53">
        <f>D15*INDEX('OFPC Source'!$AD$26:$AO$39,MATCH($A53,'OFPC Source'!$AC$26:$AC$39,0),MATCH(D$7,'OFPC Source'!$AD$25:$AO$25,0))</f>
        <v>17.486630741764284</v>
      </c>
      <c r="E53" s="53">
        <f>E15*INDEX('OFPC Source'!$AD$26:$AO$39,MATCH($A53,'OFPC Source'!$AC$26:$AC$39,0),MATCH(E$7,'OFPC Source'!$AD$25:$AO$25,0))</f>
        <v>14.092248956671286</v>
      </c>
      <c r="F53" s="53">
        <f>F15*INDEX('OFPC Source'!$AD$26:$AO$39,MATCH($A53,'OFPC Source'!$AC$26:$AC$39,0),MATCH(F$7,'OFPC Source'!$AD$25:$AO$25,0))</f>
        <v>12.48261899863644</v>
      </c>
      <c r="G53" s="53">
        <f>G15*INDEX('OFPC Source'!$AD$26:$AO$39,MATCH($A53,'OFPC Source'!$AC$26:$AC$39,0),MATCH(G$7,'OFPC Source'!$AD$25:$AO$25,0))</f>
        <v>12.230019619358764</v>
      </c>
      <c r="H53" s="53">
        <f>H15*INDEX('OFPC Source'!$AD$26:$AO$39,MATCH($A53,'OFPC Source'!$AC$26:$AC$39,0),MATCH(H$7,'OFPC Source'!$AD$25:$AO$25,0))</f>
        <v>23.533320141027104</v>
      </c>
      <c r="I53" s="53">
        <f>I15*INDEX('OFPC Source'!$AD$26:$AO$39,MATCH($A53,'OFPC Source'!$AC$26:$AC$39,0),MATCH(I$7,'OFPC Source'!$AD$25:$AO$25,0))</f>
        <v>19.838045989852304</v>
      </c>
      <c r="J53" s="53">
        <f>J15*INDEX('OFPC Source'!$AD$26:$AO$39,MATCH($A53,'OFPC Source'!$AC$26:$AC$39,0),MATCH(J$7,'OFPC Source'!$AD$25:$AO$25,0))</f>
        <v>15.669806412355305</v>
      </c>
      <c r="K53" s="53">
        <f>K15*INDEX('OFPC Source'!$AD$26:$AO$39,MATCH($A53,'OFPC Source'!$AC$26:$AC$39,0),MATCH(K$7,'OFPC Source'!$AD$25:$AO$25,0))</f>
        <v>20.244520448361811</v>
      </c>
      <c r="L53" s="53">
        <f>L15*INDEX('OFPC Source'!$AD$26:$AO$39,MATCH($A53,'OFPC Source'!$AC$26:$AC$39,0),MATCH(L$7,'OFPC Source'!$AD$25:$AO$25,0))</f>
        <v>19.243546082997554</v>
      </c>
      <c r="M53" s="54">
        <f>M15*INDEX('OFPC Source'!$AD$26:$AO$39,MATCH($A53,'OFPC Source'!$AC$26:$AC$39,0),MATCH(M$7,'OFPC Source'!$AD$25:$AO$25,0))</f>
        <v>23.770817596242132</v>
      </c>
      <c r="N53" s="131"/>
      <c r="O53" s="131"/>
      <c r="P53" s="131"/>
      <c r="Q53" s="131"/>
      <c r="R53" s="131"/>
      <c r="S53" s="131"/>
      <c r="T53" s="131"/>
      <c r="U53" s="131"/>
    </row>
    <row r="54" spans="1:25" ht="12.75" customHeight="1" x14ac:dyDescent="0.2">
      <c r="A54" s="51">
        <f t="shared" si="2"/>
        <v>2023</v>
      </c>
      <c r="B54" s="53">
        <f>B16*INDEX('OFPC Source'!$AD$26:$AO$39,MATCH($A54,'OFPC Source'!$AC$26:$AC$39,0),MATCH(B$7,'OFPC Source'!$AD$25:$AO$25,0))</f>
        <v>20.915770623222809</v>
      </c>
      <c r="C54" s="53">
        <f>C16*INDEX('OFPC Source'!$AD$26:$AO$39,MATCH($A54,'OFPC Source'!$AC$26:$AC$39,0),MATCH(C$7,'OFPC Source'!$AD$25:$AO$25,0))</f>
        <v>19.004333485663025</v>
      </c>
      <c r="D54" s="53">
        <f>D16*INDEX('OFPC Source'!$AD$26:$AO$39,MATCH($A54,'OFPC Source'!$AC$26:$AC$39,0),MATCH(D$7,'OFPC Source'!$AD$25:$AO$25,0))</f>
        <v>18.072764415608649</v>
      </c>
      <c r="E54" s="53">
        <f>E16*INDEX('OFPC Source'!$AD$26:$AO$39,MATCH($A54,'OFPC Source'!$AC$26:$AC$39,0),MATCH(E$7,'OFPC Source'!$AD$25:$AO$25,0))</f>
        <v>16.078273373063823</v>
      </c>
      <c r="F54" s="53">
        <f>F16*INDEX('OFPC Source'!$AD$26:$AO$39,MATCH($A54,'OFPC Source'!$AC$26:$AC$39,0),MATCH(F$7,'OFPC Source'!$AD$25:$AO$25,0))</f>
        <v>15.764996867032</v>
      </c>
      <c r="G54" s="53">
        <f>G16*INDEX('OFPC Source'!$AD$26:$AO$39,MATCH($A54,'OFPC Source'!$AC$26:$AC$39,0),MATCH(G$7,'OFPC Source'!$AD$25:$AO$25,0))</f>
        <v>15.271763713197888</v>
      </c>
      <c r="H54" s="53">
        <f>H16*INDEX('OFPC Source'!$AD$26:$AO$39,MATCH($A54,'OFPC Source'!$AC$26:$AC$39,0),MATCH(H$7,'OFPC Source'!$AD$25:$AO$25,0))</f>
        <v>27.905771130652511</v>
      </c>
      <c r="I54" s="53">
        <f>I16*INDEX('OFPC Source'!$AD$26:$AO$39,MATCH($A54,'OFPC Source'!$AC$26:$AC$39,0),MATCH(I$7,'OFPC Source'!$AD$25:$AO$25,0))</f>
        <v>20.965232445382448</v>
      </c>
      <c r="J54" s="53">
        <f>J16*INDEX('OFPC Source'!$AD$26:$AO$39,MATCH($A54,'OFPC Source'!$AC$26:$AC$39,0),MATCH(J$7,'OFPC Source'!$AD$25:$AO$25,0))</f>
        <v>18.215262586093417</v>
      </c>
      <c r="K54" s="53">
        <f>K16*INDEX('OFPC Source'!$AD$26:$AO$39,MATCH($A54,'OFPC Source'!$AC$26:$AC$39,0),MATCH(K$7,'OFPC Source'!$AD$25:$AO$25,0))</f>
        <v>22.534070669613101</v>
      </c>
      <c r="L54" s="53">
        <f>L16*INDEX('OFPC Source'!$AD$26:$AO$39,MATCH($A54,'OFPC Source'!$AC$26:$AC$39,0),MATCH(L$7,'OFPC Source'!$AD$25:$AO$25,0))</f>
        <v>16.759633096558463</v>
      </c>
      <c r="M54" s="54">
        <f>M16*INDEX('OFPC Source'!$AD$26:$AO$39,MATCH($A54,'OFPC Source'!$AC$26:$AC$39,0),MATCH(M$7,'OFPC Source'!$AD$25:$AO$25,0))</f>
        <v>26.500123991267255</v>
      </c>
      <c r="N54" s="131"/>
      <c r="O54" s="131"/>
      <c r="P54" s="131"/>
      <c r="Q54" s="131"/>
      <c r="R54" s="131"/>
      <c r="S54" s="131"/>
      <c r="T54" s="131"/>
      <c r="U54" s="131"/>
    </row>
    <row r="55" spans="1:25" ht="12.75" customHeight="1" x14ac:dyDescent="0.2">
      <c r="A55" s="51">
        <f t="shared" si="2"/>
        <v>2024</v>
      </c>
      <c r="B55" s="53">
        <f>B17*INDEX('OFPC Source'!$AD$26:$AO$39,MATCH($A55,'OFPC Source'!$AC$26:$AC$39,0),MATCH(B$7,'OFPC Source'!$AD$25:$AO$25,0))</f>
        <v>24.086611013107575</v>
      </c>
      <c r="C55" s="53">
        <f>C17*INDEX('OFPC Source'!$AD$26:$AO$39,MATCH($A55,'OFPC Source'!$AC$26:$AC$39,0),MATCH(C$7,'OFPC Source'!$AD$25:$AO$25,0))</f>
        <v>20.405104424446414</v>
      </c>
      <c r="D55" s="53">
        <f>D17*INDEX('OFPC Source'!$AD$26:$AO$39,MATCH($A55,'OFPC Source'!$AC$26:$AC$39,0),MATCH(D$7,'OFPC Source'!$AD$25:$AO$25,0))</f>
        <v>20.665156268519642</v>
      </c>
      <c r="E55" s="53">
        <f>E17*INDEX('OFPC Source'!$AD$26:$AO$39,MATCH($A55,'OFPC Source'!$AC$26:$AC$39,0),MATCH(E$7,'OFPC Source'!$AD$25:$AO$25,0))</f>
        <v>17.301938507047527</v>
      </c>
      <c r="F55" s="53">
        <f>F17*INDEX('OFPC Source'!$AD$26:$AO$39,MATCH($A55,'OFPC Source'!$AC$26:$AC$39,0),MATCH(F$7,'OFPC Source'!$AD$25:$AO$25,0))</f>
        <v>20.585263325471249</v>
      </c>
      <c r="G55" s="53">
        <f>G17*INDEX('OFPC Source'!$AD$26:$AO$39,MATCH($A55,'OFPC Source'!$AC$26:$AC$39,0),MATCH(G$7,'OFPC Source'!$AD$25:$AO$25,0))</f>
        <v>19.240513729070653</v>
      </c>
      <c r="H55" s="53">
        <f>H17*INDEX('OFPC Source'!$AD$26:$AO$39,MATCH($A55,'OFPC Source'!$AC$26:$AC$39,0),MATCH(H$7,'OFPC Source'!$AD$25:$AO$25,0))</f>
        <v>31.583797917848507</v>
      </c>
      <c r="I55" s="53">
        <f>I17*INDEX('OFPC Source'!$AD$26:$AO$39,MATCH($A55,'OFPC Source'!$AC$26:$AC$39,0),MATCH(I$7,'OFPC Source'!$AD$25:$AO$25,0))</f>
        <v>14.361066396008807</v>
      </c>
      <c r="J55" s="53">
        <f>J17*INDEX('OFPC Source'!$AD$26:$AO$39,MATCH($A55,'OFPC Source'!$AC$26:$AC$39,0),MATCH(J$7,'OFPC Source'!$AD$25:$AO$25,0))</f>
        <v>31.605965874536757</v>
      </c>
      <c r="K55" s="53">
        <f>K17*INDEX('OFPC Source'!$AD$26:$AO$39,MATCH($A55,'OFPC Source'!$AC$26:$AC$39,0),MATCH(K$7,'OFPC Source'!$AD$25:$AO$25,0))</f>
        <v>25.368030371244611</v>
      </c>
      <c r="L55" s="53">
        <f>L17*INDEX('OFPC Source'!$AD$26:$AO$39,MATCH($A55,'OFPC Source'!$AC$26:$AC$39,0),MATCH(L$7,'OFPC Source'!$AD$25:$AO$25,0))</f>
        <v>22.678105553824501</v>
      </c>
      <c r="M55" s="54">
        <f>M17*INDEX('OFPC Source'!$AD$26:$AO$39,MATCH($A55,'OFPC Source'!$AC$26:$AC$39,0),MATCH(M$7,'OFPC Source'!$AD$25:$AO$25,0))</f>
        <v>28.92037986893865</v>
      </c>
      <c r="N55" s="131"/>
      <c r="O55" s="131"/>
      <c r="P55" s="131"/>
      <c r="Q55" s="131"/>
      <c r="R55" s="131"/>
      <c r="S55" s="131"/>
      <c r="T55" s="131"/>
      <c r="U55" s="131"/>
    </row>
    <row r="56" spans="1:25" ht="12.75" customHeight="1" x14ac:dyDescent="0.2">
      <c r="A56" s="51">
        <f t="shared" si="2"/>
        <v>2025</v>
      </c>
      <c r="B56" s="53">
        <f>B18*INDEX('OFPC Source'!$AD$26:$AO$39,MATCH($A56,'OFPC Source'!$AC$26:$AC$39,0),MATCH(B$7,'OFPC Source'!$AD$25:$AO$25,0))</f>
        <v>26.549059046617977</v>
      </c>
      <c r="C56" s="53">
        <f>C18*INDEX('OFPC Source'!$AD$26:$AO$39,MATCH($A56,'OFPC Source'!$AC$26:$AC$39,0),MATCH(C$7,'OFPC Source'!$AD$25:$AO$25,0))</f>
        <v>25.663538996420581</v>
      </c>
      <c r="D56" s="53">
        <f>D18*INDEX('OFPC Source'!$AD$26:$AO$39,MATCH($A56,'OFPC Source'!$AC$26:$AC$39,0),MATCH(D$7,'OFPC Source'!$AD$25:$AO$25,0))</f>
        <v>22.888898430987144</v>
      </c>
      <c r="E56" s="53">
        <f>E18*INDEX('OFPC Source'!$AD$26:$AO$39,MATCH($A56,'OFPC Source'!$AC$26:$AC$39,0),MATCH(E$7,'OFPC Source'!$AD$25:$AO$25,0))</f>
        <v>20.196512910880198</v>
      </c>
      <c r="F56" s="53">
        <f>F18*INDEX('OFPC Source'!$AD$26:$AO$39,MATCH($A56,'OFPC Source'!$AC$26:$AC$39,0),MATCH(F$7,'OFPC Source'!$AD$25:$AO$25,0))</f>
        <v>21.735815763999355</v>
      </c>
      <c r="G56" s="53">
        <f>G18*INDEX('OFPC Source'!$AD$26:$AO$39,MATCH($A56,'OFPC Source'!$AC$26:$AC$39,0),MATCH(G$7,'OFPC Source'!$AD$25:$AO$25,0))</f>
        <v>19.495064106009185</v>
      </c>
      <c r="H56" s="53">
        <f>H18*INDEX('OFPC Source'!$AD$26:$AO$39,MATCH($A56,'OFPC Source'!$AC$26:$AC$39,0),MATCH(H$7,'OFPC Source'!$AD$25:$AO$25,0))</f>
        <v>33.756021863286797</v>
      </c>
      <c r="I56" s="53">
        <f>I18*INDEX('OFPC Source'!$AD$26:$AO$39,MATCH($A56,'OFPC Source'!$AC$26:$AC$39,0),MATCH(I$7,'OFPC Source'!$AD$25:$AO$25,0))</f>
        <v>27.069987948184711</v>
      </c>
      <c r="J56" s="53">
        <f>J18*INDEX('OFPC Source'!$AD$26:$AO$39,MATCH($A56,'OFPC Source'!$AC$26:$AC$39,0),MATCH(J$7,'OFPC Source'!$AD$25:$AO$25,0))</f>
        <v>28.522169386285142</v>
      </c>
      <c r="K56" s="53">
        <f>K18*INDEX('OFPC Source'!$AD$26:$AO$39,MATCH($A56,'OFPC Source'!$AC$26:$AC$39,0),MATCH(K$7,'OFPC Source'!$AD$25:$AO$25,0))</f>
        <v>24.567429193392499</v>
      </c>
      <c r="L56" s="53">
        <f>L18*INDEX('OFPC Source'!$AD$26:$AO$39,MATCH($A56,'OFPC Source'!$AC$26:$AC$39,0),MATCH(L$7,'OFPC Source'!$AD$25:$AO$25,0))</f>
        <v>22.21502025647268</v>
      </c>
      <c r="M56" s="54">
        <f>M18*INDEX('OFPC Source'!$AD$26:$AO$39,MATCH($A56,'OFPC Source'!$AC$26:$AC$39,0),MATCH(M$7,'OFPC Source'!$AD$25:$AO$25,0))</f>
        <v>29.792223864192778</v>
      </c>
      <c r="N56" s="131"/>
      <c r="O56" s="131"/>
      <c r="P56" s="131"/>
      <c r="Q56" s="131"/>
      <c r="R56" s="131"/>
      <c r="S56" s="131"/>
      <c r="T56" s="131"/>
      <c r="U56" s="131"/>
    </row>
    <row r="57" spans="1:25" ht="12.75" customHeight="1" x14ac:dyDescent="0.2">
      <c r="A57" s="51">
        <f t="shared" si="2"/>
        <v>2026</v>
      </c>
      <c r="B57" s="53">
        <f>B19*INDEX('OFPC Source'!$AD$26:$AO$39,MATCH($A57,'OFPC Source'!$AC$26:$AC$39,0),MATCH(B$7,'OFPC Source'!$AD$25:$AO$25,0))</f>
        <v>28.802473157798136</v>
      </c>
      <c r="C57" s="53">
        <f>C19*INDEX('OFPC Source'!$AD$26:$AO$39,MATCH($A57,'OFPC Source'!$AC$26:$AC$39,0),MATCH(C$7,'OFPC Source'!$AD$25:$AO$25,0))</f>
        <v>55.746319666432832</v>
      </c>
      <c r="D57" s="53">
        <f>D19*INDEX('OFPC Source'!$AD$26:$AO$39,MATCH($A57,'OFPC Source'!$AC$26:$AC$39,0),MATCH(D$7,'OFPC Source'!$AD$25:$AO$25,0))</f>
        <v>23.274470374510319</v>
      </c>
      <c r="E57" s="53">
        <f>E19*INDEX('OFPC Source'!$AD$26:$AO$39,MATCH($A57,'OFPC Source'!$AC$26:$AC$39,0),MATCH(E$7,'OFPC Source'!$AD$25:$AO$25,0))</f>
        <v>21.05347469766355</v>
      </c>
      <c r="F57" s="53">
        <f>F19*INDEX('OFPC Source'!$AD$26:$AO$39,MATCH($A57,'OFPC Source'!$AC$26:$AC$39,0),MATCH(F$7,'OFPC Source'!$AD$25:$AO$25,0))</f>
        <v>22.182614036997538</v>
      </c>
      <c r="G57" s="53">
        <f>G19*INDEX('OFPC Source'!$AD$26:$AO$39,MATCH($A57,'OFPC Source'!$AC$26:$AC$39,0),MATCH(G$7,'OFPC Source'!$AD$25:$AO$25,0))</f>
        <v>21.278574218922266</v>
      </c>
      <c r="H57" s="53">
        <f>H19*INDEX('OFPC Source'!$AD$26:$AO$39,MATCH($A57,'OFPC Source'!$AC$26:$AC$39,0),MATCH(H$7,'OFPC Source'!$AD$25:$AO$25,0))</f>
        <v>34.74080833353743</v>
      </c>
      <c r="I57" s="53">
        <f>I19*INDEX('OFPC Source'!$AD$26:$AO$39,MATCH($A57,'OFPC Source'!$AC$26:$AC$39,0),MATCH(I$7,'OFPC Source'!$AD$25:$AO$25,0))</f>
        <v>27.028299372666091</v>
      </c>
      <c r="J57" s="53">
        <f>J19*INDEX('OFPC Source'!$AD$26:$AO$39,MATCH($A57,'OFPC Source'!$AC$26:$AC$39,0),MATCH(J$7,'OFPC Source'!$AD$25:$AO$25,0))</f>
        <v>23.676409894139336</v>
      </c>
      <c r="K57" s="53">
        <f>K19*INDEX('OFPC Source'!$AD$26:$AO$39,MATCH($A57,'OFPC Source'!$AC$26:$AC$39,0),MATCH(K$7,'OFPC Source'!$AD$25:$AO$25,0))</f>
        <v>27.52104526644408</v>
      </c>
      <c r="L57" s="53">
        <f>L19*INDEX('OFPC Source'!$AD$26:$AO$39,MATCH($A57,'OFPC Source'!$AC$26:$AC$39,0),MATCH(L$7,'OFPC Source'!$AD$25:$AO$25,0))</f>
        <v>23.696099081151253</v>
      </c>
      <c r="M57" s="54">
        <f>M19*INDEX('OFPC Source'!$AD$26:$AO$39,MATCH($A57,'OFPC Source'!$AC$26:$AC$39,0),MATCH(M$7,'OFPC Source'!$AD$25:$AO$25,0))</f>
        <v>28.508983001490765</v>
      </c>
      <c r="N57" s="131"/>
      <c r="O57" s="131"/>
      <c r="P57" s="131"/>
      <c r="Q57" s="131"/>
      <c r="R57" s="131"/>
      <c r="S57" s="131"/>
      <c r="T57" s="131"/>
      <c r="U57" s="131"/>
    </row>
    <row r="58" spans="1:25" ht="12.75" customHeight="1" x14ac:dyDescent="0.2">
      <c r="A58" s="51">
        <f t="shared" si="2"/>
        <v>2027</v>
      </c>
      <c r="B58" s="53">
        <f>B20*INDEX('OFPC Source'!$AD$26:$AO$39,MATCH($A58,'OFPC Source'!$AC$26:$AC$39,0),MATCH(B$7,'OFPC Source'!$AD$25:$AO$25,0))</f>
        <v>26.837238109115933</v>
      </c>
      <c r="C58" s="53">
        <f>C20*INDEX('OFPC Source'!$AD$26:$AO$39,MATCH($A58,'OFPC Source'!$AC$26:$AC$39,0),MATCH(C$7,'OFPC Source'!$AD$25:$AO$25,0))</f>
        <v>25.710831012052591</v>
      </c>
      <c r="D58" s="53">
        <f>D20*INDEX('OFPC Source'!$AD$26:$AO$39,MATCH($A58,'OFPC Source'!$AC$26:$AC$39,0),MATCH(D$7,'OFPC Source'!$AD$25:$AO$25,0))</f>
        <v>25.033654647434467</v>
      </c>
      <c r="E58" s="53">
        <f>E20*INDEX('OFPC Source'!$AD$26:$AO$39,MATCH($A58,'OFPC Source'!$AC$26:$AC$39,0),MATCH(E$7,'OFPC Source'!$AD$25:$AO$25,0))</f>
        <v>23.260466558772851</v>
      </c>
      <c r="F58" s="53">
        <f>F20*INDEX('OFPC Source'!$AD$26:$AO$39,MATCH($A58,'OFPC Source'!$AC$26:$AC$39,0),MATCH(F$7,'OFPC Source'!$AD$25:$AO$25,0))</f>
        <v>23.933549258118965</v>
      </c>
      <c r="G58" s="53">
        <f>G20*INDEX('OFPC Source'!$AD$26:$AO$39,MATCH($A58,'OFPC Source'!$AC$26:$AC$39,0),MATCH(G$7,'OFPC Source'!$AD$25:$AO$25,0))</f>
        <v>22.591712156817191</v>
      </c>
      <c r="H58" s="53">
        <f>H20*INDEX('OFPC Source'!$AD$26:$AO$39,MATCH($A58,'OFPC Source'!$AC$26:$AC$39,0),MATCH(H$7,'OFPC Source'!$AD$25:$AO$25,0))</f>
        <v>36.652808763209585</v>
      </c>
      <c r="I58" s="53">
        <f>I20*INDEX('OFPC Source'!$AD$26:$AO$39,MATCH($A58,'OFPC Source'!$AC$26:$AC$39,0),MATCH(I$7,'OFPC Source'!$AD$25:$AO$25,0))</f>
        <v>28.94227292922109</v>
      </c>
      <c r="J58" s="53">
        <f>J20*INDEX('OFPC Source'!$AD$26:$AO$39,MATCH($A58,'OFPC Source'!$AC$26:$AC$39,0),MATCH(J$7,'OFPC Source'!$AD$25:$AO$25,0))</f>
        <v>23.878475200864916</v>
      </c>
      <c r="K58" s="53">
        <f>K20*INDEX('OFPC Source'!$AD$26:$AO$39,MATCH($A58,'OFPC Source'!$AC$26:$AC$39,0),MATCH(K$7,'OFPC Source'!$AD$25:$AO$25,0))</f>
        <v>26.946487106221181</v>
      </c>
      <c r="L58" s="53">
        <f>L20*INDEX('OFPC Source'!$AD$26:$AO$39,MATCH($A58,'OFPC Source'!$AC$26:$AC$39,0),MATCH(L$7,'OFPC Source'!$AD$25:$AO$25,0))</f>
        <v>23.741031861911743</v>
      </c>
      <c r="M58" s="54">
        <f>M20*INDEX('OFPC Source'!$AD$26:$AO$39,MATCH($A58,'OFPC Source'!$AC$26:$AC$39,0),MATCH(M$7,'OFPC Source'!$AD$25:$AO$25,0))</f>
        <v>26.957099329525018</v>
      </c>
      <c r="N58" s="131"/>
      <c r="O58" s="131"/>
      <c r="P58" s="131"/>
      <c r="Q58" s="131"/>
      <c r="R58" s="131"/>
      <c r="S58" s="131"/>
      <c r="T58" s="131"/>
      <c r="U58" s="131"/>
    </row>
    <row r="59" spans="1:25" ht="12.75" customHeight="1" x14ac:dyDescent="0.2">
      <c r="A59" s="51">
        <f t="shared" si="2"/>
        <v>2028</v>
      </c>
      <c r="B59" s="53">
        <f>B21*INDEX('OFPC Source'!$AD$26:$AO$39,MATCH($A59,'OFPC Source'!$AC$26:$AC$39,0),MATCH(B$7,'OFPC Source'!$AD$25:$AO$25,0))</f>
        <v>30.470107462062117</v>
      </c>
      <c r="C59" s="53">
        <f>C21*INDEX('OFPC Source'!$AD$26:$AO$39,MATCH($A59,'OFPC Source'!$AC$26:$AC$39,0),MATCH(C$7,'OFPC Source'!$AD$25:$AO$25,0))</f>
        <v>31.052415653634021</v>
      </c>
      <c r="D59" s="53">
        <f>D21*INDEX('OFPC Source'!$AD$26:$AO$39,MATCH($A59,'OFPC Source'!$AC$26:$AC$39,0),MATCH(D$7,'OFPC Source'!$AD$25:$AO$25,0))</f>
        <v>28.81214967044431</v>
      </c>
      <c r="E59" s="53">
        <f>E21*INDEX('OFPC Source'!$AD$26:$AO$39,MATCH($A59,'OFPC Source'!$AC$26:$AC$39,0),MATCH(E$7,'OFPC Source'!$AD$25:$AO$25,0))</f>
        <v>27.011616773356106</v>
      </c>
      <c r="F59" s="53">
        <f>F21*INDEX('OFPC Source'!$AD$26:$AO$39,MATCH($A59,'OFPC Source'!$AC$26:$AC$39,0),MATCH(F$7,'OFPC Source'!$AD$25:$AO$25,0))</f>
        <v>28.375142749286994</v>
      </c>
      <c r="G59" s="53">
        <f>G21*INDEX('OFPC Source'!$AD$26:$AO$39,MATCH($A59,'OFPC Source'!$AC$26:$AC$39,0),MATCH(G$7,'OFPC Source'!$AD$25:$AO$25,0))</f>
        <v>26.740972808114233</v>
      </c>
      <c r="H59" s="53">
        <f>H21*INDEX('OFPC Source'!$AD$26:$AO$39,MATCH($A59,'OFPC Source'!$AC$26:$AC$39,0),MATCH(H$7,'OFPC Source'!$AD$25:$AO$25,0))</f>
        <v>41.636601444557535</v>
      </c>
      <c r="I59" s="53">
        <f>I21*INDEX('OFPC Source'!$AD$26:$AO$39,MATCH($A59,'OFPC Source'!$AC$26:$AC$39,0),MATCH(I$7,'OFPC Source'!$AD$25:$AO$25,0))</f>
        <v>36.572119494013684</v>
      </c>
      <c r="J59" s="53">
        <f>J21*INDEX('OFPC Source'!$AD$26:$AO$39,MATCH($A59,'OFPC Source'!$AC$26:$AC$39,0),MATCH(J$7,'OFPC Source'!$AD$25:$AO$25,0))</f>
        <v>31.027368029840069</v>
      </c>
      <c r="K59" s="53">
        <f>K21*INDEX('OFPC Source'!$AD$26:$AO$39,MATCH($A59,'OFPC Source'!$AC$26:$AC$39,0),MATCH(K$7,'OFPC Source'!$AD$25:$AO$25,0))</f>
        <v>32.699979341767893</v>
      </c>
      <c r="L59" s="53">
        <f>L21*INDEX('OFPC Source'!$AD$26:$AO$39,MATCH($A59,'OFPC Source'!$AC$26:$AC$39,0),MATCH(L$7,'OFPC Source'!$AD$25:$AO$25,0))</f>
        <v>29.823150070117116</v>
      </c>
      <c r="M59" s="54">
        <f>M21*INDEX('OFPC Source'!$AD$26:$AO$39,MATCH($A59,'OFPC Source'!$AC$26:$AC$39,0),MATCH(M$7,'OFPC Source'!$AD$25:$AO$25,0))</f>
        <v>39.741717138368905</v>
      </c>
      <c r="N59" s="132"/>
      <c r="O59" s="132"/>
      <c r="P59" s="132"/>
      <c r="Q59" s="132"/>
      <c r="R59" s="132"/>
      <c r="S59" s="132"/>
      <c r="T59" s="132"/>
      <c r="U59" s="132"/>
    </row>
    <row r="60" spans="1:25" ht="12.75" hidden="1" customHeight="1" x14ac:dyDescent="0.2">
      <c r="A60" s="51">
        <f t="shared" si="2"/>
        <v>2029</v>
      </c>
      <c r="B60" s="53" t="e">
        <f>B22*INDEX('OFPC Source'!$AD$26:$AO$39,MATCH($A60,'OFPC Source'!$AC$26:$AC$39,0),MATCH(B$7,'OFPC Source'!$AD$25:$AO$25,0))</f>
        <v>#N/A</v>
      </c>
      <c r="C60" s="53" t="e">
        <f>C22*INDEX('OFPC Source'!$AD$26:$AO$39,MATCH($A60,'OFPC Source'!$AC$26:$AC$39,0),MATCH(C$7,'OFPC Source'!$AD$25:$AO$25,0))</f>
        <v>#N/A</v>
      </c>
      <c r="D60" s="53" t="e">
        <f>D22*INDEX('OFPC Source'!$AD$26:$AO$39,MATCH($A60,'OFPC Source'!$AC$26:$AC$39,0),MATCH(D$7,'OFPC Source'!$AD$25:$AO$25,0))</f>
        <v>#N/A</v>
      </c>
      <c r="E60" s="53" t="e">
        <f>E22*INDEX('OFPC Source'!$AD$26:$AO$39,MATCH($A60,'OFPC Source'!$AC$26:$AC$39,0),MATCH(E$7,'OFPC Source'!$AD$25:$AO$25,0))</f>
        <v>#N/A</v>
      </c>
      <c r="F60" s="53" t="e">
        <f>F22*INDEX('OFPC Source'!$AD$26:$AO$39,MATCH($A60,'OFPC Source'!$AC$26:$AC$39,0),MATCH(F$7,'OFPC Source'!$AD$25:$AO$25,0))</f>
        <v>#N/A</v>
      </c>
      <c r="G60" s="53" t="e">
        <f>G22*INDEX('OFPC Source'!$AD$26:$AO$39,MATCH($A60,'OFPC Source'!$AC$26:$AC$39,0),MATCH(G$7,'OFPC Source'!$AD$25:$AO$25,0))</f>
        <v>#N/A</v>
      </c>
      <c r="H60" s="53" t="e">
        <f>H22*INDEX('OFPC Source'!$AD$26:$AO$39,MATCH($A60,'OFPC Source'!$AC$26:$AC$39,0),MATCH(H$7,'OFPC Source'!$AD$25:$AO$25,0))</f>
        <v>#N/A</v>
      </c>
      <c r="I60" s="53" t="e">
        <f>I22*INDEX('OFPC Source'!$AD$26:$AO$39,MATCH($A60,'OFPC Source'!$AC$26:$AC$39,0),MATCH(I$7,'OFPC Source'!$AD$25:$AO$25,0))</f>
        <v>#N/A</v>
      </c>
      <c r="J60" s="53" t="e">
        <f>J22*INDEX('OFPC Source'!$AD$26:$AO$39,MATCH($A60,'OFPC Source'!$AC$26:$AC$39,0),MATCH(J$7,'OFPC Source'!$AD$25:$AO$25,0))</f>
        <v>#N/A</v>
      </c>
      <c r="K60" s="53" t="e">
        <f>K22*INDEX('OFPC Source'!$AD$26:$AO$39,MATCH($A60,'OFPC Source'!$AC$26:$AC$39,0),MATCH(K$7,'OFPC Source'!$AD$25:$AO$25,0))</f>
        <v>#N/A</v>
      </c>
      <c r="L60" s="53" t="e">
        <f>L22*INDEX('OFPC Source'!$AD$26:$AO$39,MATCH($A60,'OFPC Source'!$AC$26:$AC$39,0),MATCH(L$7,'OFPC Source'!$AD$25:$AO$25,0))</f>
        <v>#N/A</v>
      </c>
      <c r="M60" s="54" t="e">
        <f>M22*INDEX('OFPC Source'!$AD$26:$AO$39,MATCH($A60,'OFPC Source'!$AC$26:$AC$39,0),MATCH(M$7,'OFPC Source'!$AD$25:$AO$25,0))</f>
        <v>#N/A</v>
      </c>
    </row>
    <row r="61" spans="1:25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25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25" ht="12.75" hidden="1" customHeight="1" x14ac:dyDescent="0.2">
      <c r="A63" s="5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25" ht="12.75" hidden="1" customHeight="1" x14ac:dyDescent="0.2">
      <c r="A64" s="55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8"/>
    </row>
    <row r="65" spans="1:13" ht="12.75" customHeight="1" x14ac:dyDescent="0.2">
      <c r="A65" s="109"/>
      <c r="B65" s="107"/>
      <c r="C65" s="107"/>
      <c r="D65" s="107"/>
      <c r="E65" s="107"/>
      <c r="F65" s="106"/>
      <c r="G65" s="106"/>
      <c r="H65" s="106"/>
      <c r="I65" s="106"/>
      <c r="J65" s="108"/>
      <c r="K65" s="106"/>
      <c r="L65" s="106"/>
      <c r="M65" s="106"/>
    </row>
    <row r="66" spans="1:13" ht="12.75" customHeight="1" x14ac:dyDescent="0.2">
      <c r="A66" s="12" t="s">
        <v>220</v>
      </c>
      <c r="C66" s="40"/>
      <c r="D66" s="40"/>
      <c r="E66" s="40"/>
      <c r="G66" s="40"/>
      <c r="H66" s="40"/>
      <c r="I66" s="40"/>
      <c r="J66" s="48"/>
      <c r="L66" s="40"/>
      <c r="M66" s="37"/>
    </row>
    <row r="67" spans="1:13" ht="12.75" customHeight="1" x14ac:dyDescent="0.2">
      <c r="A67" s="489">
        <v>2017</v>
      </c>
      <c r="B67" s="490"/>
      <c r="C67" s="491"/>
      <c r="D67" s="491"/>
      <c r="E67" s="491"/>
      <c r="F67" s="490"/>
      <c r="G67" s="333">
        <f t="shared" ref="G67:M68" si="3">G29*0.56+G48*0.44</f>
        <v>21.884588479189347</v>
      </c>
      <c r="H67" s="333">
        <f t="shared" si="3"/>
        <v>20.806771267751223</v>
      </c>
      <c r="I67" s="333">
        <f t="shared" si="3"/>
        <v>22.508516510328413</v>
      </c>
      <c r="J67" s="333">
        <f t="shared" si="3"/>
        <v>20.56861065905111</v>
      </c>
      <c r="K67" s="333">
        <f t="shared" si="3"/>
        <v>21.290183160584014</v>
      </c>
      <c r="L67" s="333">
        <f t="shared" si="3"/>
        <v>22.092665299721403</v>
      </c>
      <c r="M67" s="334">
        <f t="shared" si="3"/>
        <v>26.450893985174396</v>
      </c>
    </row>
    <row r="68" spans="1:13" ht="12.75" customHeight="1" x14ac:dyDescent="0.2">
      <c r="A68" s="492">
        <f>'Tables 3 to 5'!$B$14</f>
        <v>2018</v>
      </c>
      <c r="B68" s="53">
        <f t="shared" ref="B68:E68" si="4">B30*0.56+B49*0.44</f>
        <v>25.854857432830457</v>
      </c>
      <c r="C68" s="53">
        <f t="shared" si="4"/>
        <v>24.444746095765151</v>
      </c>
      <c r="D68" s="53">
        <f t="shared" si="4"/>
        <v>21.851049476119211</v>
      </c>
      <c r="E68" s="53">
        <f t="shared" si="4"/>
        <v>17.959838307865837</v>
      </c>
      <c r="F68" s="53">
        <f t="shared" ref="F68" si="5">F30*0.56+F49*0.44</f>
        <v>16.609482150682087</v>
      </c>
      <c r="G68" s="53">
        <f t="shared" si="3"/>
        <v>16.654505727320444</v>
      </c>
      <c r="H68" s="53">
        <f t="shared" si="3"/>
        <v>21.544047405612613</v>
      </c>
      <c r="I68" s="53">
        <f t="shared" si="3"/>
        <v>21.634670308823253</v>
      </c>
      <c r="J68" s="53">
        <f t="shared" si="3"/>
        <v>18.874953019533731</v>
      </c>
      <c r="K68" s="53">
        <f t="shared" si="3"/>
        <v>18.621574928287515</v>
      </c>
      <c r="L68" s="53">
        <f t="shared" si="3"/>
        <v>19.136982963547098</v>
      </c>
      <c r="M68" s="54">
        <f t="shared" si="3"/>
        <v>21.453600140260924</v>
      </c>
    </row>
    <row r="69" spans="1:13" ht="12.75" customHeight="1" x14ac:dyDescent="0.2">
      <c r="A69" s="51">
        <f t="shared" ref="A69:A79" si="6">A68+1</f>
        <v>2019</v>
      </c>
      <c r="B69" s="53">
        <f t="shared" ref="B69:M69" si="7">B31*0.56+B50*0.44</f>
        <v>21.525547677264512</v>
      </c>
      <c r="C69" s="53">
        <f t="shared" si="7"/>
        <v>18.978317225379811</v>
      </c>
      <c r="D69" s="53">
        <f t="shared" si="7"/>
        <v>18.371541457212309</v>
      </c>
      <c r="E69" s="53">
        <f t="shared" si="7"/>
        <v>16.370073574482856</v>
      </c>
      <c r="F69" s="53">
        <f t="shared" si="7"/>
        <v>15.162663461950963</v>
      </c>
      <c r="G69" s="53">
        <f t="shared" si="7"/>
        <v>16.942464347143506</v>
      </c>
      <c r="H69" s="53">
        <f t="shared" si="7"/>
        <v>25.805845654150232</v>
      </c>
      <c r="I69" s="53">
        <f t="shared" si="7"/>
        <v>22.129284849452901</v>
      </c>
      <c r="J69" s="53">
        <f t="shared" si="7"/>
        <v>19.799322096562744</v>
      </c>
      <c r="K69" s="53">
        <f t="shared" si="7"/>
        <v>19.753819579621734</v>
      </c>
      <c r="L69" s="53">
        <f t="shared" si="7"/>
        <v>18.398916037170057</v>
      </c>
      <c r="M69" s="54">
        <f t="shared" si="7"/>
        <v>21.775200318629338</v>
      </c>
    </row>
    <row r="70" spans="1:13" ht="12.75" customHeight="1" x14ac:dyDescent="0.2">
      <c r="A70" s="51">
        <f t="shared" si="6"/>
        <v>2020</v>
      </c>
      <c r="B70" s="53">
        <f t="shared" ref="B70:M70" si="8">B32*0.56+B51*0.44</f>
        <v>16.20966288317149</v>
      </c>
      <c r="C70" s="53">
        <f t="shared" si="8"/>
        <v>17.723884359106705</v>
      </c>
      <c r="D70" s="53">
        <f t="shared" si="8"/>
        <v>17.084688695106809</v>
      </c>
      <c r="E70" s="53">
        <f t="shared" si="8"/>
        <v>16.137114424289237</v>
      </c>
      <c r="F70" s="53">
        <f t="shared" si="8"/>
        <v>16.248278566739657</v>
      </c>
      <c r="G70" s="53">
        <f t="shared" si="8"/>
        <v>15.657809019679917</v>
      </c>
      <c r="H70" s="53">
        <f t="shared" si="8"/>
        <v>26.595672802471622</v>
      </c>
      <c r="I70" s="53">
        <f t="shared" si="8"/>
        <v>22.27596987133154</v>
      </c>
      <c r="J70" s="53">
        <f t="shared" si="8"/>
        <v>18.586263104947893</v>
      </c>
      <c r="K70" s="53">
        <f t="shared" si="8"/>
        <v>18.496263962026394</v>
      </c>
      <c r="L70" s="53">
        <f t="shared" si="8"/>
        <v>16.452892936923096</v>
      </c>
      <c r="M70" s="54">
        <f t="shared" si="8"/>
        <v>20.310480604605853</v>
      </c>
    </row>
    <row r="71" spans="1:13" ht="12.75" customHeight="1" x14ac:dyDescent="0.2">
      <c r="A71" s="51">
        <f t="shared" si="6"/>
        <v>2021</v>
      </c>
      <c r="B71" s="53">
        <f t="shared" ref="B71:M71" si="9">B33*0.56+B52*0.44</f>
        <v>18.390487653991123</v>
      </c>
      <c r="C71" s="53">
        <f t="shared" si="9"/>
        <v>20.533605123189531</v>
      </c>
      <c r="D71" s="53">
        <f t="shared" si="9"/>
        <v>15.340310619920608</v>
      </c>
      <c r="E71" s="53">
        <f t="shared" si="9"/>
        <v>14.728741109603897</v>
      </c>
      <c r="F71" s="53">
        <f t="shared" si="9"/>
        <v>15.037248314932786</v>
      </c>
      <c r="G71" s="53">
        <f t="shared" si="9"/>
        <v>15.310864214207918</v>
      </c>
      <c r="H71" s="53">
        <f t="shared" si="9"/>
        <v>26.871303633568694</v>
      </c>
      <c r="I71" s="53">
        <f t="shared" si="9"/>
        <v>21.357477852409207</v>
      </c>
      <c r="J71" s="53">
        <f t="shared" si="9"/>
        <v>17.98035244692085</v>
      </c>
      <c r="K71" s="53">
        <f t="shared" si="9"/>
        <v>18.937678113126925</v>
      </c>
      <c r="L71" s="53">
        <f t="shared" si="9"/>
        <v>17.871730707951837</v>
      </c>
      <c r="M71" s="54">
        <f t="shared" si="9"/>
        <v>23.033216973899577</v>
      </c>
    </row>
    <row r="72" spans="1:13" ht="12.75" customHeight="1" x14ac:dyDescent="0.2">
      <c r="A72" s="51">
        <f t="shared" si="6"/>
        <v>2022</v>
      </c>
      <c r="B72" s="53">
        <f t="shared" ref="B72:M72" si="10">B34*0.56+B53*0.44</f>
        <v>20.936184283256956</v>
      </c>
      <c r="C72" s="53">
        <f t="shared" si="10"/>
        <v>20.051935275863713</v>
      </c>
      <c r="D72" s="53">
        <f t="shared" si="10"/>
        <v>18.315487526704104</v>
      </c>
      <c r="E72" s="53">
        <f t="shared" si="10"/>
        <v>15.84882126524753</v>
      </c>
      <c r="F72" s="53">
        <f t="shared" si="10"/>
        <v>16.342831021275494</v>
      </c>
      <c r="G72" s="53">
        <f t="shared" si="10"/>
        <v>16.460764845467708</v>
      </c>
      <c r="H72" s="53">
        <f t="shared" si="10"/>
        <v>29.071647133439694</v>
      </c>
      <c r="I72" s="53">
        <f t="shared" si="10"/>
        <v>24.110218400408488</v>
      </c>
      <c r="J72" s="53">
        <f t="shared" si="10"/>
        <v>19.726711244924598</v>
      </c>
      <c r="K72" s="53">
        <f t="shared" si="10"/>
        <v>20.55927229585695</v>
      </c>
      <c r="L72" s="53">
        <f t="shared" si="10"/>
        <v>19.714566919572118</v>
      </c>
      <c r="M72" s="54">
        <f t="shared" si="10"/>
        <v>23.988443958837028</v>
      </c>
    </row>
    <row r="73" spans="1:13" ht="12.75" customHeight="1" x14ac:dyDescent="0.2">
      <c r="A73" s="51">
        <f t="shared" si="6"/>
        <v>2023</v>
      </c>
      <c r="B73" s="53">
        <f t="shared" ref="B73:M73" si="11">B35*0.56+B54*0.44</f>
        <v>22.101092481308036</v>
      </c>
      <c r="C73" s="53">
        <f t="shared" si="11"/>
        <v>20.185764816175833</v>
      </c>
      <c r="D73" s="53">
        <f t="shared" si="11"/>
        <v>19.023388661531186</v>
      </c>
      <c r="E73" s="53">
        <f t="shared" si="11"/>
        <v>16.457058846957949</v>
      </c>
      <c r="F73" s="53">
        <f t="shared" si="11"/>
        <v>18.263276429579005</v>
      </c>
      <c r="G73" s="53">
        <f t="shared" si="11"/>
        <v>17.966791371062286</v>
      </c>
      <c r="H73" s="53">
        <f t="shared" si="11"/>
        <v>33.331691060693892</v>
      </c>
      <c r="I73" s="53">
        <f t="shared" si="11"/>
        <v>24.942523945920634</v>
      </c>
      <c r="J73" s="53">
        <f t="shared" si="11"/>
        <v>21.499705965541075</v>
      </c>
      <c r="K73" s="53">
        <f t="shared" si="11"/>
        <v>23.556119709997603</v>
      </c>
      <c r="L73" s="53">
        <f t="shared" si="11"/>
        <v>17.586330131502692</v>
      </c>
      <c r="M73" s="54">
        <f t="shared" si="11"/>
        <v>27.40905986821496</v>
      </c>
    </row>
    <row r="74" spans="1:13" ht="12.75" customHeight="1" x14ac:dyDescent="0.2">
      <c r="A74" s="51">
        <f t="shared" si="6"/>
        <v>2024</v>
      </c>
      <c r="B74" s="53">
        <f t="shared" ref="B74:M74" si="12">B36*0.56+B55*0.44</f>
        <v>25.470082591356579</v>
      </c>
      <c r="C74" s="53">
        <f t="shared" si="12"/>
        <v>21.570592935924601</v>
      </c>
      <c r="D74" s="53">
        <f t="shared" si="12"/>
        <v>21.498418715969486</v>
      </c>
      <c r="E74" s="53">
        <f t="shared" si="12"/>
        <v>17.977937390616106</v>
      </c>
      <c r="F74" s="53">
        <f t="shared" si="12"/>
        <v>21.751513260884916</v>
      </c>
      <c r="G74" s="53">
        <f t="shared" si="12"/>
        <v>20.457321633305035</v>
      </c>
      <c r="H74" s="53">
        <f t="shared" si="12"/>
        <v>36.685323099852816</v>
      </c>
      <c r="I74" s="53">
        <f t="shared" si="12"/>
        <v>16.803964995273365</v>
      </c>
      <c r="J74" s="53">
        <f t="shared" si="12"/>
        <v>35.443083833875129</v>
      </c>
      <c r="K74" s="53">
        <f t="shared" si="12"/>
        <v>27.171269108944998</v>
      </c>
      <c r="L74" s="53">
        <f t="shared" si="12"/>
        <v>24.252024683570784</v>
      </c>
      <c r="M74" s="54">
        <f t="shared" si="12"/>
        <v>30.525831154403058</v>
      </c>
    </row>
    <row r="75" spans="1:13" ht="12.75" customHeight="1" x14ac:dyDescent="0.2">
      <c r="A75" s="51">
        <f t="shared" si="6"/>
        <v>2025</v>
      </c>
      <c r="B75" s="53">
        <f t="shared" ref="B75:M75" si="13">B37*0.56+B56*0.44</f>
        <v>28.091202375987692</v>
      </c>
      <c r="C75" s="53">
        <f t="shared" si="13"/>
        <v>27.026557194155551</v>
      </c>
      <c r="D75" s="53">
        <f t="shared" si="13"/>
        <v>23.586163142589839</v>
      </c>
      <c r="E75" s="53">
        <f t="shared" si="13"/>
        <v>21.287231897595355</v>
      </c>
      <c r="F75" s="53">
        <f t="shared" si="13"/>
        <v>22.834100940547074</v>
      </c>
      <c r="G75" s="53">
        <f t="shared" si="13"/>
        <v>21.00468621823115</v>
      </c>
      <c r="H75" s="53">
        <f t="shared" si="13"/>
        <v>39.175839703459481</v>
      </c>
      <c r="I75" s="53">
        <f t="shared" si="13"/>
        <v>31.831112415237584</v>
      </c>
      <c r="J75" s="53">
        <f t="shared" si="13"/>
        <v>32.472371210959956</v>
      </c>
      <c r="K75" s="53">
        <f t="shared" si="13"/>
        <v>26.359280187318031</v>
      </c>
      <c r="L75" s="53">
        <f t="shared" si="13"/>
        <v>23.725099601125727</v>
      </c>
      <c r="M75" s="54">
        <f t="shared" si="13"/>
        <v>31.673311314999268</v>
      </c>
    </row>
    <row r="76" spans="1:13" ht="12.75" customHeight="1" x14ac:dyDescent="0.2">
      <c r="A76" s="51">
        <f t="shared" si="6"/>
        <v>2026</v>
      </c>
      <c r="B76" s="53">
        <f t="shared" ref="B76:M76" si="14">B38*0.56+B57*0.44</f>
        <v>30.553919178992846</v>
      </c>
      <c r="C76" s="53">
        <f t="shared" si="14"/>
        <v>58.847150929795376</v>
      </c>
      <c r="D76" s="53">
        <f t="shared" si="14"/>
        <v>23.934760948624678</v>
      </c>
      <c r="E76" s="53">
        <f t="shared" si="14"/>
        <v>21.976232633971456</v>
      </c>
      <c r="F76" s="53">
        <f t="shared" si="14"/>
        <v>23.392509399976852</v>
      </c>
      <c r="G76" s="53">
        <f t="shared" si="14"/>
        <v>23.03516131437928</v>
      </c>
      <c r="H76" s="53">
        <f t="shared" si="14"/>
        <v>40.260509879824518</v>
      </c>
      <c r="I76" s="53">
        <f t="shared" si="14"/>
        <v>31.607786726115954</v>
      </c>
      <c r="J76" s="53">
        <f t="shared" si="14"/>
        <v>26.729711128566976</v>
      </c>
      <c r="K76" s="53">
        <f t="shared" si="14"/>
        <v>29.391113241654686</v>
      </c>
      <c r="L76" s="53">
        <f t="shared" si="14"/>
        <v>25.31893040686224</v>
      </c>
      <c r="M76" s="54">
        <f t="shared" si="14"/>
        <v>30.250673889602027</v>
      </c>
    </row>
    <row r="77" spans="1:13" ht="12.75" customHeight="1" x14ac:dyDescent="0.2">
      <c r="A77" s="51">
        <f t="shared" si="6"/>
        <v>2027</v>
      </c>
      <c r="B77" s="53">
        <f t="shared" ref="B77:M77" si="15">B39*0.56+B58*0.44</f>
        <v>28.162922418625783</v>
      </c>
      <c r="C77" s="53">
        <f t="shared" si="15"/>
        <v>27.030066016714471</v>
      </c>
      <c r="D77" s="53">
        <f t="shared" si="15"/>
        <v>25.55736812300853</v>
      </c>
      <c r="E77" s="53">
        <f t="shared" si="15"/>
        <v>24.361351330321789</v>
      </c>
      <c r="F77" s="53">
        <f t="shared" si="15"/>
        <v>25.065495180679903</v>
      </c>
      <c r="G77" s="53">
        <f t="shared" si="15"/>
        <v>24.274390849296395</v>
      </c>
      <c r="H77" s="53">
        <f t="shared" si="15"/>
        <v>42.03995615704568</v>
      </c>
      <c r="I77" s="53">
        <f t="shared" si="15"/>
        <v>33.674335727333258</v>
      </c>
      <c r="J77" s="53">
        <f t="shared" si="15"/>
        <v>26.659884004330074</v>
      </c>
      <c r="K77" s="53">
        <f t="shared" si="15"/>
        <v>28.746745213278743</v>
      </c>
      <c r="L77" s="53">
        <f t="shared" si="15"/>
        <v>25.490820739062197</v>
      </c>
      <c r="M77" s="54">
        <f t="shared" si="15"/>
        <v>28.336090357997907</v>
      </c>
    </row>
    <row r="78" spans="1:13" ht="12.75" customHeight="1" x14ac:dyDescent="0.2">
      <c r="A78" s="51">
        <f t="shared" si="6"/>
        <v>2028</v>
      </c>
      <c r="B78" s="53">
        <f t="shared" ref="B78:M78" si="16">B40*0.56+B59*0.44</f>
        <v>31.926866946120033</v>
      </c>
      <c r="C78" s="53">
        <f t="shared" si="16"/>
        <v>32.532003402861697</v>
      </c>
      <c r="D78" s="53">
        <f t="shared" si="16"/>
        <v>29.501711563293973</v>
      </c>
      <c r="E78" s="53">
        <f t="shared" si="16"/>
        <v>28.221609589004423</v>
      </c>
      <c r="F78" s="53">
        <f t="shared" si="16"/>
        <v>29.746961894112893</v>
      </c>
      <c r="G78" s="53">
        <f t="shared" si="16"/>
        <v>28.743586511162583</v>
      </c>
      <c r="H78" s="53">
        <f t="shared" si="16"/>
        <v>47.497877121684795</v>
      </c>
      <c r="I78" s="53">
        <f t="shared" si="16"/>
        <v>42.430464531613666</v>
      </c>
      <c r="J78" s="53">
        <f t="shared" si="16"/>
        <v>34.105423568997679</v>
      </c>
      <c r="K78" s="53">
        <f t="shared" si="16"/>
        <v>34.761321803018461</v>
      </c>
      <c r="L78" s="53">
        <f t="shared" si="16"/>
        <v>31.859102030019912</v>
      </c>
      <c r="M78" s="54">
        <f t="shared" si="16"/>
        <v>41.438607961685136</v>
      </c>
    </row>
    <row r="79" spans="1:13" ht="12.75" hidden="1" customHeight="1" x14ac:dyDescent="0.2">
      <c r="A79" s="51">
        <f t="shared" si="6"/>
        <v>2029</v>
      </c>
      <c r="B79" s="53" t="e">
        <f t="shared" ref="B79:M79" si="17">B41*0.56+B60*0.44</f>
        <v>#N/A</v>
      </c>
      <c r="C79" s="53" t="e">
        <f t="shared" si="17"/>
        <v>#N/A</v>
      </c>
      <c r="D79" s="53" t="e">
        <f t="shared" si="17"/>
        <v>#N/A</v>
      </c>
      <c r="E79" s="53" t="e">
        <f t="shared" si="17"/>
        <v>#N/A</v>
      </c>
      <c r="F79" s="53" t="e">
        <f t="shared" si="17"/>
        <v>#N/A</v>
      </c>
      <c r="G79" s="53" t="e">
        <f t="shared" si="17"/>
        <v>#N/A</v>
      </c>
      <c r="H79" s="53" t="e">
        <f t="shared" si="17"/>
        <v>#N/A</v>
      </c>
      <c r="I79" s="53" t="e">
        <f t="shared" si="17"/>
        <v>#N/A</v>
      </c>
      <c r="J79" s="53" t="e">
        <f t="shared" si="17"/>
        <v>#N/A</v>
      </c>
      <c r="K79" s="53" t="e">
        <f t="shared" si="17"/>
        <v>#N/A</v>
      </c>
      <c r="L79" s="53" t="e">
        <f t="shared" si="17"/>
        <v>#N/A</v>
      </c>
      <c r="M79" s="54" t="e">
        <f t="shared" si="17"/>
        <v>#N/A</v>
      </c>
    </row>
    <row r="80" spans="1:13" ht="12.75" customHeight="1" x14ac:dyDescent="0.2">
      <c r="A80" s="55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8"/>
    </row>
    <row r="81" spans="1:13" ht="12.75" hidden="1" customHeight="1" x14ac:dyDescent="0.2">
      <c r="A81" s="51"/>
      <c r="B81" s="52"/>
      <c r="C81" s="53"/>
      <c r="D81" s="53"/>
      <c r="E81" s="53"/>
      <c r="F81" s="53"/>
      <c r="G81" s="52"/>
      <c r="H81" s="53"/>
      <c r="I81" s="53"/>
      <c r="J81" s="53"/>
      <c r="K81" s="52"/>
      <c r="L81" s="53"/>
      <c r="M81" s="54"/>
    </row>
    <row r="82" spans="1:13" ht="12.75" hidden="1" customHeight="1" x14ac:dyDescent="0.2">
      <c r="A82" s="51"/>
      <c r="B82" s="52"/>
      <c r="C82" s="53"/>
      <c r="D82" s="53"/>
      <c r="E82" s="53"/>
      <c r="F82" s="53"/>
      <c r="G82" s="52"/>
      <c r="H82" s="53"/>
      <c r="I82" s="53"/>
      <c r="J82" s="53"/>
      <c r="K82" s="52"/>
      <c r="L82" s="53"/>
      <c r="M82" s="54"/>
    </row>
    <row r="83" spans="1:13" ht="12.75" hidden="1" customHeight="1" x14ac:dyDescent="0.2">
      <c r="A83" s="55"/>
      <c r="B83" s="56"/>
      <c r="C83" s="57"/>
      <c r="D83" s="57"/>
      <c r="E83" s="57"/>
      <c r="F83" s="57"/>
      <c r="G83" s="56"/>
      <c r="H83" s="57"/>
      <c r="I83" s="57"/>
      <c r="J83" s="57"/>
      <c r="K83" s="56"/>
      <c r="L83" s="57"/>
      <c r="M83" s="58"/>
    </row>
    <row r="84" spans="1:13" ht="12.75" customHeight="1" x14ac:dyDescent="0.2">
      <c r="A84" s="106"/>
      <c r="B84" s="107"/>
      <c r="C84" s="107"/>
      <c r="D84" s="107"/>
      <c r="E84" s="106"/>
      <c r="F84" s="106"/>
      <c r="G84" s="106"/>
      <c r="H84" s="106"/>
      <c r="I84" s="106"/>
      <c r="J84" s="106"/>
      <c r="K84" s="108"/>
      <c r="L84" s="106"/>
      <c r="M84" s="106"/>
    </row>
    <row r="85" spans="1:13" ht="12.75" customHeight="1" x14ac:dyDescent="0.2">
      <c r="A85" s="12" t="s">
        <v>66</v>
      </c>
      <c r="C85" s="60"/>
      <c r="D85" s="60"/>
      <c r="K85" s="59"/>
    </row>
    <row r="86" spans="1:13" ht="12.75" customHeight="1" x14ac:dyDescent="0.2">
      <c r="A86" s="61" t="s">
        <v>2</v>
      </c>
      <c r="C86" s="62" t="s">
        <v>56</v>
      </c>
      <c r="D86" s="33"/>
      <c r="E86" s="34"/>
      <c r="F86" s="37"/>
      <c r="G86" s="62" t="s">
        <v>57</v>
      </c>
      <c r="H86" s="33"/>
      <c r="I86" s="34"/>
      <c r="J86" s="37"/>
      <c r="K86" s="62" t="s">
        <v>67</v>
      </c>
      <c r="L86" s="33"/>
      <c r="M86" s="34"/>
    </row>
    <row r="87" spans="1:13" s="37" customFormat="1" ht="12.75" customHeight="1" x14ac:dyDescent="0.2">
      <c r="A87" s="47"/>
      <c r="C87" s="17" t="s">
        <v>79</v>
      </c>
      <c r="D87" s="18" t="s">
        <v>1</v>
      </c>
      <c r="E87" s="18" t="s">
        <v>10</v>
      </c>
      <c r="F87" s="47"/>
      <c r="G87" s="17" t="s">
        <v>79</v>
      </c>
      <c r="H87" s="18" t="s">
        <v>1</v>
      </c>
      <c r="I87" s="18" t="s">
        <v>10</v>
      </c>
      <c r="J87" s="47"/>
      <c r="K87" s="17" t="s">
        <v>79</v>
      </c>
      <c r="L87" s="18" t="s">
        <v>1</v>
      </c>
      <c r="M87" s="18" t="s">
        <v>10</v>
      </c>
    </row>
    <row r="88" spans="1:13" s="37" customFormat="1" ht="12.75" customHeight="1" x14ac:dyDescent="0.2">
      <c r="A88" s="63">
        <f t="shared" ref="A88:A99" si="18">A29</f>
        <v>2017</v>
      </c>
      <c r="C88" s="38">
        <f t="shared" ref="C88" si="19">ROUND(AVERAGE(B29:F29,K29:M29),2)</f>
        <v>24.27</v>
      </c>
      <c r="D88" s="38">
        <f t="shared" ref="D88" si="20">ROUND(AVERAGE(B48:F48,K48:M48),2)</f>
        <v>22.01</v>
      </c>
      <c r="E88" s="38">
        <f>ROUND(AVERAGE(B67:F67,K67:M67),2)</f>
        <v>23.28</v>
      </c>
      <c r="G88" s="53">
        <f t="shared" ref="G88" si="21">ROUND(AVERAGE(G29:J29),2)</f>
        <v>24.37</v>
      </c>
      <c r="H88" s="53">
        <f t="shared" ref="H88" si="22">ROUND(AVERAGE(G48:J48),2)</f>
        <v>17.71</v>
      </c>
      <c r="I88" s="53">
        <f>ROUND(AVERAGE(G67:J67),2)</f>
        <v>21.44</v>
      </c>
      <c r="K88" s="38">
        <f t="shared" ref="K88:K94" si="23">ROUND(AVERAGE(B29:M29),2)</f>
        <v>24.33</v>
      </c>
      <c r="L88" s="38">
        <f t="shared" ref="L88:L100" si="24">ROUND(AVERAGE(B48:M48),2)</f>
        <v>19.559999999999999</v>
      </c>
      <c r="M88" s="38">
        <f>ROUND(AVERAGE(B67:M67),2)</f>
        <v>22.23</v>
      </c>
    </row>
    <row r="89" spans="1:13" s="37" customFormat="1" ht="12.75" customHeight="1" x14ac:dyDescent="0.2">
      <c r="A89" s="63">
        <f t="shared" si="18"/>
        <v>2018</v>
      </c>
      <c r="C89" s="38">
        <f t="shared" ref="C89" si="25">ROUND(AVERAGE(B30:F30,K30:M30),2)</f>
        <v>21.78</v>
      </c>
      <c r="D89" s="38">
        <f t="shared" ref="D89" si="26">ROUND(AVERAGE(B49:F49,K49:M49),2)</f>
        <v>19.43</v>
      </c>
      <c r="E89" s="38">
        <f>ROUND(AVERAGE(B68:F68,K68:M68),2)</f>
        <v>20.74</v>
      </c>
      <c r="G89" s="53">
        <f t="shared" ref="G89" si="27">ROUND(AVERAGE(G30:J30),2)</f>
        <v>22.33</v>
      </c>
      <c r="H89" s="53">
        <f t="shared" ref="H89" si="28">ROUND(AVERAGE(G49:J49),2)</f>
        <v>16.3</v>
      </c>
      <c r="I89" s="53">
        <f>ROUND(AVERAGE(G68:J68),2)</f>
        <v>19.68</v>
      </c>
      <c r="K89" s="38">
        <f t="shared" si="23"/>
        <v>21.96</v>
      </c>
      <c r="L89" s="38">
        <f t="shared" si="24"/>
        <v>18.38</v>
      </c>
      <c r="M89" s="38">
        <f>ROUND(AVERAGE(B68:M68),2)</f>
        <v>20.39</v>
      </c>
    </row>
    <row r="90" spans="1:13" s="37" customFormat="1" ht="12.75" customHeight="1" x14ac:dyDescent="0.2">
      <c r="A90" s="63">
        <f t="shared" si="18"/>
        <v>2019</v>
      </c>
      <c r="C90" s="38">
        <f t="shared" ref="C90:C100" si="29">ROUND(AVERAGE(B31:F31,K31:M31),2)</f>
        <v>20.18</v>
      </c>
      <c r="D90" s="38">
        <f t="shared" ref="D90:D100" si="30">ROUND(AVERAGE(B50:F50,K50:M50),2)</f>
        <v>17.02</v>
      </c>
      <c r="E90" s="38">
        <f>ROUND(AVERAGE(B69:F69,K69:M69),2)</f>
        <v>18.79</v>
      </c>
      <c r="G90" s="53">
        <f t="shared" ref="G90:G100" si="31">ROUND(AVERAGE(G31:J31),2)</f>
        <v>24.59</v>
      </c>
      <c r="H90" s="53">
        <f t="shared" ref="H90:H100" si="32">ROUND(AVERAGE(G50:J50),2)</f>
        <v>16.82</v>
      </c>
      <c r="I90" s="53">
        <f>ROUND(AVERAGE(G69:J69),2)</f>
        <v>21.17</v>
      </c>
      <c r="K90" s="38">
        <f t="shared" si="23"/>
        <v>21.65</v>
      </c>
      <c r="L90" s="38">
        <f t="shared" si="24"/>
        <v>16.95</v>
      </c>
      <c r="M90" s="38">
        <f>ROUND(AVERAGE(B69:M69),2)</f>
        <v>19.579999999999998</v>
      </c>
    </row>
    <row r="91" spans="1:13" s="37" customFormat="1" ht="12.75" customHeight="1" x14ac:dyDescent="0.2">
      <c r="A91" s="63">
        <f t="shared" si="18"/>
        <v>2020</v>
      </c>
      <c r="C91" s="38">
        <f t="shared" si="29"/>
        <v>18.63</v>
      </c>
      <c r="D91" s="38">
        <f t="shared" si="30"/>
        <v>15.68</v>
      </c>
      <c r="E91" s="38">
        <f t="shared" ref="E91:E96" si="33">ROUND(AVERAGE(B70:F70,K70:M70),2)</f>
        <v>17.329999999999998</v>
      </c>
      <c r="G91" s="53">
        <f t="shared" si="31"/>
        <v>24.8</v>
      </c>
      <c r="H91" s="53">
        <f t="shared" si="32"/>
        <v>15.66</v>
      </c>
      <c r="I91" s="53">
        <f t="shared" ref="I91:I96" si="34">ROUND(AVERAGE(G70:J70),2)</f>
        <v>20.78</v>
      </c>
      <c r="K91" s="38">
        <f t="shared" si="23"/>
        <v>20.69</v>
      </c>
      <c r="L91" s="38">
        <f t="shared" si="24"/>
        <v>15.67</v>
      </c>
      <c r="M91" s="38">
        <f t="shared" ref="M91:M96" si="35">ROUND(AVERAGE(B70:M70),2)</f>
        <v>18.48</v>
      </c>
    </row>
    <row r="92" spans="1:13" s="37" customFormat="1" ht="12.75" customHeight="1" x14ac:dyDescent="0.2">
      <c r="A92" s="63">
        <f t="shared" si="18"/>
        <v>2021</v>
      </c>
      <c r="C92" s="38">
        <f t="shared" si="29"/>
        <v>19.05</v>
      </c>
      <c r="D92" s="38">
        <f t="shared" si="30"/>
        <v>16.63</v>
      </c>
      <c r="E92" s="38">
        <f t="shared" si="33"/>
        <v>17.98</v>
      </c>
      <c r="G92" s="53">
        <f t="shared" si="31"/>
        <v>24.12</v>
      </c>
      <c r="H92" s="53">
        <f t="shared" si="32"/>
        <v>15.62</v>
      </c>
      <c r="I92" s="53">
        <f t="shared" si="34"/>
        <v>20.38</v>
      </c>
      <c r="K92" s="38">
        <f t="shared" si="23"/>
        <v>20.74</v>
      </c>
      <c r="L92" s="38">
        <f t="shared" si="24"/>
        <v>16.29</v>
      </c>
      <c r="M92" s="38">
        <f t="shared" si="35"/>
        <v>18.78</v>
      </c>
    </row>
    <row r="93" spans="1:13" s="37" customFormat="1" ht="12.75" customHeight="1" x14ac:dyDescent="0.2">
      <c r="A93" s="63">
        <f t="shared" si="18"/>
        <v>2022</v>
      </c>
      <c r="C93" s="38">
        <f t="shared" si="29"/>
        <v>20.41</v>
      </c>
      <c r="D93" s="38">
        <f t="shared" si="30"/>
        <v>18.27</v>
      </c>
      <c r="E93" s="38">
        <f t="shared" si="33"/>
        <v>19.47</v>
      </c>
      <c r="G93" s="53">
        <f t="shared" si="31"/>
        <v>25.9</v>
      </c>
      <c r="H93" s="53">
        <f t="shared" si="32"/>
        <v>17.82</v>
      </c>
      <c r="I93" s="53">
        <f t="shared" si="34"/>
        <v>22.34</v>
      </c>
      <c r="K93" s="38">
        <f t="shared" si="23"/>
        <v>22.24</v>
      </c>
      <c r="L93" s="38">
        <f t="shared" si="24"/>
        <v>18.12</v>
      </c>
      <c r="M93" s="38">
        <f t="shared" si="35"/>
        <v>20.43</v>
      </c>
    </row>
    <row r="94" spans="1:13" s="37" customFormat="1" ht="12.75" customHeight="1" x14ac:dyDescent="0.2">
      <c r="A94" s="63">
        <f t="shared" si="18"/>
        <v>2023</v>
      </c>
      <c r="C94" s="38">
        <f t="shared" si="29"/>
        <v>21.45</v>
      </c>
      <c r="D94" s="38">
        <f t="shared" si="30"/>
        <v>19.45</v>
      </c>
      <c r="E94" s="38">
        <f t="shared" si="33"/>
        <v>20.57</v>
      </c>
      <c r="G94" s="53">
        <f t="shared" si="31"/>
        <v>27.46</v>
      </c>
      <c r="H94" s="53">
        <f t="shared" si="32"/>
        <v>20.59</v>
      </c>
      <c r="I94" s="53">
        <f t="shared" si="34"/>
        <v>24.44</v>
      </c>
      <c r="K94" s="38">
        <f t="shared" si="23"/>
        <v>23.45</v>
      </c>
      <c r="L94" s="38">
        <f t="shared" si="24"/>
        <v>19.829999999999998</v>
      </c>
      <c r="M94" s="38">
        <f t="shared" si="35"/>
        <v>21.86</v>
      </c>
    </row>
    <row r="95" spans="1:13" s="37" customFormat="1" ht="12.75" customHeight="1" x14ac:dyDescent="0.2">
      <c r="A95" s="63">
        <f t="shared" si="18"/>
        <v>2024</v>
      </c>
      <c r="C95" s="38">
        <f t="shared" si="29"/>
        <v>24.78</v>
      </c>
      <c r="D95" s="38">
        <f t="shared" si="30"/>
        <v>22.5</v>
      </c>
      <c r="E95" s="38">
        <f t="shared" si="33"/>
        <v>23.78</v>
      </c>
      <c r="G95" s="53">
        <f t="shared" si="31"/>
        <v>29.82</v>
      </c>
      <c r="H95" s="53">
        <f t="shared" si="32"/>
        <v>24.2</v>
      </c>
      <c r="I95" s="53">
        <f t="shared" si="34"/>
        <v>27.35</v>
      </c>
      <c r="K95" s="38">
        <f t="shared" ref="K95:K100" si="36">ROUND(AVERAGE(B36:M36),2)</f>
        <v>26.46</v>
      </c>
      <c r="L95" s="38">
        <f t="shared" si="24"/>
        <v>23.07</v>
      </c>
      <c r="M95" s="38">
        <f t="shared" si="35"/>
        <v>24.97</v>
      </c>
    </row>
    <row r="96" spans="1:13" s="37" customFormat="1" ht="12.75" customHeight="1" x14ac:dyDescent="0.2">
      <c r="A96" s="63">
        <f t="shared" si="18"/>
        <v>2025</v>
      </c>
      <c r="C96" s="38">
        <f t="shared" si="29"/>
        <v>26.65</v>
      </c>
      <c r="D96" s="38">
        <f t="shared" si="30"/>
        <v>24.2</v>
      </c>
      <c r="E96" s="38">
        <f t="shared" si="33"/>
        <v>25.57</v>
      </c>
      <c r="G96" s="53">
        <f t="shared" si="31"/>
        <v>34.19</v>
      </c>
      <c r="H96" s="53">
        <f t="shared" si="32"/>
        <v>27.21</v>
      </c>
      <c r="I96" s="53">
        <f t="shared" si="34"/>
        <v>31.12</v>
      </c>
      <c r="K96" s="38">
        <f t="shared" si="36"/>
        <v>29.16</v>
      </c>
      <c r="L96" s="38">
        <f t="shared" si="24"/>
        <v>25.2</v>
      </c>
      <c r="M96" s="38">
        <f t="shared" si="35"/>
        <v>27.42</v>
      </c>
    </row>
    <row r="97" spans="1:13" s="37" customFormat="1" ht="12.75" customHeight="1" x14ac:dyDescent="0.2">
      <c r="A97" s="63">
        <f t="shared" si="18"/>
        <v>2026</v>
      </c>
      <c r="C97" s="38">
        <f t="shared" si="29"/>
        <v>31.72</v>
      </c>
      <c r="D97" s="38">
        <f t="shared" si="30"/>
        <v>28.85</v>
      </c>
      <c r="E97" s="38">
        <f t="shared" ref="E97:E99" si="37">ROUND(AVERAGE(B76:F76,K76:M76),2)</f>
        <v>30.46</v>
      </c>
      <c r="G97" s="53">
        <f t="shared" si="31"/>
        <v>33.340000000000003</v>
      </c>
      <c r="H97" s="53">
        <f t="shared" si="32"/>
        <v>26.68</v>
      </c>
      <c r="I97" s="53">
        <f t="shared" ref="I97:I99" si="38">ROUND(AVERAGE(G76:J76),2)</f>
        <v>30.41</v>
      </c>
      <c r="K97" s="38">
        <f t="shared" si="36"/>
        <v>32.26</v>
      </c>
      <c r="L97" s="38">
        <f t="shared" si="24"/>
        <v>28.13</v>
      </c>
      <c r="M97" s="38">
        <f t="shared" ref="M97:M99" si="39">ROUND(AVERAGE(B76:M76),2)</f>
        <v>30.44</v>
      </c>
    </row>
    <row r="98" spans="1:13" s="37" customFormat="1" ht="12.75" customHeight="1" x14ac:dyDescent="0.2">
      <c r="A98" s="63">
        <f t="shared" si="18"/>
        <v>2027</v>
      </c>
      <c r="C98" s="38">
        <f t="shared" si="29"/>
        <v>27.61</v>
      </c>
      <c r="D98" s="38">
        <f t="shared" si="30"/>
        <v>25.3</v>
      </c>
      <c r="E98" s="38">
        <f t="shared" si="37"/>
        <v>26.59</v>
      </c>
      <c r="G98" s="53">
        <f t="shared" si="31"/>
        <v>34.53</v>
      </c>
      <c r="H98" s="53">
        <f t="shared" si="32"/>
        <v>28.02</v>
      </c>
      <c r="I98" s="53">
        <f t="shared" si="38"/>
        <v>31.66</v>
      </c>
      <c r="K98" s="38">
        <f t="shared" si="36"/>
        <v>29.91</v>
      </c>
      <c r="L98" s="38">
        <f t="shared" si="24"/>
        <v>26.21</v>
      </c>
      <c r="M98" s="38">
        <f t="shared" si="39"/>
        <v>28.28</v>
      </c>
    </row>
    <row r="99" spans="1:13" s="37" customFormat="1" ht="12.75" customHeight="1" x14ac:dyDescent="0.2">
      <c r="A99" s="63">
        <f t="shared" si="18"/>
        <v>2028</v>
      </c>
      <c r="C99" s="38">
        <f t="shared" si="29"/>
        <v>33.68</v>
      </c>
      <c r="D99" s="38">
        <f t="shared" si="30"/>
        <v>31</v>
      </c>
      <c r="E99" s="38">
        <f t="shared" si="37"/>
        <v>32.5</v>
      </c>
      <c r="G99" s="53">
        <f t="shared" si="31"/>
        <v>41.49</v>
      </c>
      <c r="H99" s="53">
        <f t="shared" si="32"/>
        <v>33.99</v>
      </c>
      <c r="I99" s="53">
        <f t="shared" si="38"/>
        <v>38.19</v>
      </c>
      <c r="K99" s="38">
        <f t="shared" si="36"/>
        <v>36.28</v>
      </c>
      <c r="L99" s="38">
        <f t="shared" si="24"/>
        <v>32</v>
      </c>
      <c r="M99" s="38">
        <f t="shared" si="39"/>
        <v>34.4</v>
      </c>
    </row>
    <row r="100" spans="1:13" s="37" customFormat="1" ht="12.75" hidden="1" customHeight="1" x14ac:dyDescent="0.2">
      <c r="A100" s="63">
        <f t="shared" ref="A100" si="40">A41</f>
        <v>2029</v>
      </c>
      <c r="C100" s="38" t="e">
        <f t="shared" si="29"/>
        <v>#N/A</v>
      </c>
      <c r="D100" s="38" t="e">
        <f t="shared" si="30"/>
        <v>#N/A</v>
      </c>
      <c r="E100" s="38" t="e">
        <f t="shared" ref="E100" si="41">ROUND(AVERAGE(B79:F79,K79:M79),2)</f>
        <v>#N/A</v>
      </c>
      <c r="G100" s="53" t="e">
        <f t="shared" si="31"/>
        <v>#N/A</v>
      </c>
      <c r="H100" s="53" t="e">
        <f t="shared" si="32"/>
        <v>#N/A</v>
      </c>
      <c r="I100" s="53" t="e">
        <f t="shared" ref="I100" si="42">ROUND(AVERAGE(G79:J79),2)</f>
        <v>#N/A</v>
      </c>
      <c r="K100" s="38" t="e">
        <f t="shared" si="36"/>
        <v>#N/A</v>
      </c>
      <c r="L100" s="38" t="e">
        <f t="shared" si="24"/>
        <v>#N/A</v>
      </c>
      <c r="M100" s="38" t="e">
        <f t="shared" ref="M100" si="43">ROUND(AVERAGE(B79:M79),2)</f>
        <v>#N/A</v>
      </c>
    </row>
    <row r="101" spans="1:13" s="37" customFormat="1" ht="12.75" customHeight="1" x14ac:dyDescent="0.2">
      <c r="A101" s="63"/>
      <c r="C101" s="38"/>
      <c r="D101" s="38"/>
      <c r="E101" s="38"/>
      <c r="G101" s="53"/>
      <c r="H101" s="53"/>
      <c r="I101" s="53"/>
      <c r="K101" s="38"/>
      <c r="L101" s="38"/>
      <c r="M101" s="38"/>
    </row>
    <row r="102" spans="1:13" s="37" customFormat="1" ht="12.75" customHeight="1" x14ac:dyDescent="0.2">
      <c r="A102" s="63"/>
      <c r="C102" s="38"/>
      <c r="D102" s="38"/>
      <c r="E102" s="38"/>
      <c r="G102" s="53"/>
      <c r="H102" s="53"/>
      <c r="I102" s="53"/>
      <c r="K102" s="38"/>
      <c r="L102" s="38"/>
      <c r="M102" s="38"/>
    </row>
    <row r="103" spans="1:13" s="37" customFormat="1" ht="12.75" hidden="1" customHeight="1" x14ac:dyDescent="0.2">
      <c r="A103" s="64"/>
      <c r="K103" s="59"/>
    </row>
    <row r="104" spans="1:13" s="37" customFormat="1" ht="12.75" hidden="1" customHeight="1" x14ac:dyDescent="0.2">
      <c r="A104" s="64"/>
      <c r="K104" s="59"/>
    </row>
    <row r="105" spans="1:13" s="37" customFormat="1" ht="12.75" customHeight="1" x14ac:dyDescent="0.2">
      <c r="A105" s="35" t="s">
        <v>80</v>
      </c>
      <c r="D105" s="38"/>
      <c r="E105" s="53"/>
      <c r="F105" s="53"/>
      <c r="G105" s="53"/>
      <c r="J105" s="53"/>
      <c r="K105" s="53"/>
    </row>
    <row r="106" spans="1:13" ht="12.75" customHeight="1" x14ac:dyDescent="0.2">
      <c r="A106" s="35" t="s">
        <v>272</v>
      </c>
      <c r="C106" s="65"/>
      <c r="D106" s="38"/>
      <c r="E106" s="53"/>
      <c r="F106" s="53"/>
      <c r="G106" s="53"/>
      <c r="H106" s="37"/>
    </row>
    <row r="107" spans="1:13" ht="12.75" customHeight="1" x14ac:dyDescent="0.2">
      <c r="A107" s="35" t="s">
        <v>273</v>
      </c>
      <c r="C107" s="65"/>
      <c r="D107" s="38"/>
      <c r="E107" s="53"/>
      <c r="F107" s="53"/>
      <c r="G107" s="53"/>
      <c r="H107" s="37"/>
    </row>
    <row r="108" spans="1:13" ht="12.75" customHeight="1" x14ac:dyDescent="0.2">
      <c r="A108" s="35" t="s">
        <v>271</v>
      </c>
      <c r="C108" s="65"/>
      <c r="D108" s="38"/>
      <c r="E108" s="53"/>
      <c r="F108" s="53"/>
      <c r="G108" s="53"/>
      <c r="H108" s="37"/>
    </row>
    <row r="109" spans="1:13" ht="12.75" customHeight="1" x14ac:dyDescent="0.2">
      <c r="A109" s="35" t="s">
        <v>274</v>
      </c>
      <c r="C109" s="65"/>
      <c r="D109" s="38"/>
      <c r="E109" s="53"/>
      <c r="F109" s="53"/>
      <c r="G109" s="53"/>
      <c r="H109" s="37"/>
    </row>
    <row r="110" spans="1:13" ht="12.75" customHeight="1" x14ac:dyDescent="0.2">
      <c r="A110" s="35" t="s">
        <v>275</v>
      </c>
      <c r="C110" s="65"/>
      <c r="D110" s="38"/>
      <c r="E110" s="53"/>
      <c r="F110" s="53"/>
      <c r="G110" s="53"/>
      <c r="H110" s="37"/>
    </row>
    <row r="111" spans="1:13" ht="12.75" customHeight="1" x14ac:dyDescent="0.2">
      <c r="A111" s="35" t="s">
        <v>271</v>
      </c>
      <c r="C111" s="65"/>
      <c r="D111" s="38"/>
      <c r="E111" s="53"/>
      <c r="F111" s="53"/>
      <c r="G111" s="53"/>
      <c r="H111" s="37"/>
    </row>
    <row r="112" spans="1:13" ht="12.75" customHeight="1" x14ac:dyDescent="0.2">
      <c r="A112" s="35" t="s">
        <v>276</v>
      </c>
      <c r="D112" s="37"/>
      <c r="E112" s="37"/>
      <c r="F112" s="37"/>
      <c r="G112" s="37"/>
    </row>
    <row r="113" spans="3:5" ht="3.75" customHeight="1" x14ac:dyDescent="0.2"/>
    <row r="114" spans="3:5" x14ac:dyDescent="0.2">
      <c r="C114" s="35" t="s">
        <v>128</v>
      </c>
    </row>
    <row r="115" spans="3:5" x14ac:dyDescent="0.2">
      <c r="C115" s="35" t="s">
        <v>138</v>
      </c>
      <c r="E115" s="131">
        <v>1</v>
      </c>
    </row>
    <row r="117" spans="3:5" x14ac:dyDescent="0.2">
      <c r="C117" s="273"/>
    </row>
    <row r="118" spans="3:5" x14ac:dyDescent="0.2">
      <c r="C118" s="211"/>
    </row>
    <row r="133" ht="24.75" customHeight="1" x14ac:dyDescent="0.2"/>
  </sheetData>
  <phoneticPr fontId="9" type="noConversion"/>
  <printOptions horizontalCentered="1"/>
  <pageMargins left="0.25" right="0.25" top="0.75" bottom="0.75" header="0.3" footer="0.3"/>
  <pageSetup scale="57" fitToWidth="0" orientation="portrait" r:id="rId1"/>
  <headerFooter alignWithMargins="0">
    <oddFooter>&amp;L&amp;8NPC Group - &amp;F   ( &amp;A )&amp;C &amp;R &amp;8&amp;D  &amp;T</oddFooter>
  </headerFooter>
  <rowBreaks count="1" manualBreakCount="1">
    <brk id="6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15"/>
  <sheetViews>
    <sheetView zoomScaleNormal="100" workbookViewId="0">
      <selection activeCell="A20" sqref="A20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151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">
        <v>344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BaseLoad'!A28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89">
        <v>2017</v>
      </c>
      <c r="B10" s="333"/>
      <c r="C10" s="333"/>
      <c r="D10" s="333"/>
      <c r="E10" s="333"/>
      <c r="F10" s="333"/>
      <c r="G10" s="333">
        <f>'Table 2A BaseLoad'!G29-INDEX('Table 10'!$E:$E,MATCH($A10,'Table 10'!$B:$B,0),1)</f>
        <v>24.52693353902864</v>
      </c>
      <c r="H10" s="333">
        <f>'Table 2A BaseLoad'!H29-INDEX('Table 10'!$E:$E,MATCH($A10,'Table 10'!$B:$B,0),1)</f>
        <v>23.721558923787917</v>
      </c>
      <c r="I10" s="333">
        <f>'Table 2A BaseLoad'!I29-INDEX('Table 10'!$E:$E,MATCH($A10,'Table 10'!$B:$B,0),1)</f>
        <v>25.375852875873946</v>
      </c>
      <c r="J10" s="333">
        <f>'Table 2A BaseLoad'!J29-INDEX('Table 10'!$E:$E,MATCH($A10,'Table 10'!$B:$B,0),1)</f>
        <v>21.515649504315032</v>
      </c>
      <c r="K10" s="333">
        <f>'Table 2A BaseLoad'!K29-INDEX('Table 10'!$E:$E,MATCH($A10,'Table 10'!$B:$B,0),1)</f>
        <v>21.617113396297295</v>
      </c>
      <c r="L10" s="333">
        <f>'Table 2A BaseLoad'!L29-INDEX('Table 10'!$E:$E,MATCH($A10,'Table 10'!$B:$B,0),1)</f>
        <v>22.653334550944066</v>
      </c>
      <c r="M10" s="334">
        <f>'Table 2A BaseLoad'!M29-INDEX('Table 10'!$E:$E,MATCH($A10,'Table 10'!$B:$B,0),1)</f>
        <v>26.782287501674624</v>
      </c>
    </row>
    <row r="11" spans="1:13" ht="12.75" customHeight="1" x14ac:dyDescent="0.2">
      <c r="A11" s="492">
        <f>'Tables 3 to 5'!$B$14</f>
        <v>2018</v>
      </c>
      <c r="B11" s="53">
        <f>'Table 2A BaseLoad'!B30-INDEX('Table 10'!$E:$E,MATCH($A11,'Table 10'!$B:$B,0),1)</f>
        <v>26.357127966524583</v>
      </c>
      <c r="C11" s="53">
        <f>'Table 2A BaseLoad'!C30-INDEX('Table 10'!$E:$E,MATCH($A11,'Table 10'!$B:$B,0),1)</f>
        <v>24.464317952709212</v>
      </c>
      <c r="D11" s="53">
        <f>'Table 2A BaseLoad'!D30-INDEX('Table 10'!$E:$E,MATCH($A11,'Table 10'!$B:$B,0),1)</f>
        <v>22.394236035251179</v>
      </c>
      <c r="E11" s="53">
        <f>'Table 2A BaseLoad'!E30-INDEX('Table 10'!$E:$E,MATCH($A11,'Table 10'!$B:$B,0),1)</f>
        <v>18.5433244293258</v>
      </c>
      <c r="F11" s="53">
        <f>'Table 2A BaseLoad'!F30-INDEX('Table 10'!$E:$E,MATCH($A11,'Table 10'!$B:$B,0),1)</f>
        <v>17.836199672890451</v>
      </c>
      <c r="G11" s="53">
        <f>'Table 2A BaseLoad'!G30-INDEX('Table 10'!$E:$E,MATCH($A11,'Table 10'!$B:$B,0),1)</f>
        <v>17.927714294614645</v>
      </c>
      <c r="H11" s="53">
        <f>'Table 2A BaseLoad'!H30-INDEX('Table 10'!$E:$E,MATCH($A11,'Table 10'!$B:$B,0),1)</f>
        <v>24.537223066549927</v>
      </c>
      <c r="I11" s="53">
        <f>'Table 2A BaseLoad'!I30-INDEX('Table 10'!$E:$E,MATCH($A11,'Table 10'!$B:$B,0),1)</f>
        <v>24.17246290345356</v>
      </c>
      <c r="J11" s="53">
        <f>'Table 2A BaseLoad'!J30-INDEX('Table 10'!$E:$E,MATCH($A11,'Table 10'!$B:$B,0),1)</f>
        <v>20.290068487340157</v>
      </c>
      <c r="K11" s="53">
        <f>'Table 2A BaseLoad'!K30-INDEX('Table 10'!$E:$E,MATCH($A11,'Table 10'!$B:$B,0),1)</f>
        <v>18.790586894108976</v>
      </c>
      <c r="L11" s="53">
        <f>'Table 2A BaseLoad'!L30-INDEX('Table 10'!$E:$E,MATCH($A11,'Table 10'!$B:$B,0),1)</f>
        <v>19.461789623882357</v>
      </c>
      <c r="M11" s="54">
        <f>'Table 2A BaseLoad'!M30-INDEX('Table 10'!$E:$E,MATCH($A11,'Table 10'!$B:$B,0),1)</f>
        <v>21.563391458386846</v>
      </c>
    </row>
    <row r="12" spans="1:13" ht="12.75" customHeight="1" x14ac:dyDescent="0.2">
      <c r="A12" s="51">
        <f t="shared" ref="A12:A22" si="0">A11+1</f>
        <v>2019</v>
      </c>
      <c r="B12" s="53">
        <f>'Table 2A BaseLoad'!B31-INDEX('Table 10'!$E:$E,MATCH($A12,'Table 10'!$B:$B,0),1)</f>
        <v>21.383331176513177</v>
      </c>
      <c r="C12" s="53">
        <f>'Table 2A BaseLoad'!C31-INDEX('Table 10'!$E:$E,MATCH($A12,'Table 10'!$B:$B,0),1)</f>
        <v>19.031106519374788</v>
      </c>
      <c r="D12" s="53">
        <f>'Table 2A BaseLoad'!D31-INDEX('Table 10'!$E:$E,MATCH($A12,'Table 10'!$B:$B,0),1)</f>
        <v>18.239505256859552</v>
      </c>
      <c r="E12" s="53">
        <f>'Table 2A BaseLoad'!E31-INDEX('Table 10'!$E:$E,MATCH($A12,'Table 10'!$B:$B,0),1)</f>
        <v>18.11844998484316</v>
      </c>
      <c r="F12" s="53">
        <f>'Table 2A BaseLoad'!F31-INDEX('Table 10'!$E:$E,MATCH($A12,'Table 10'!$B:$B,0),1)</f>
        <v>18.883003868005858</v>
      </c>
      <c r="G12" s="53">
        <f>'Table 2A BaseLoad'!G31-INDEX('Table 10'!$E:$E,MATCH($A12,'Table 10'!$B:$B,0),1)</f>
        <v>21.411086865493917</v>
      </c>
      <c r="H12" s="53">
        <f>'Table 2A BaseLoad'!H31-INDEX('Table 10'!$E:$E,MATCH($A12,'Table 10'!$B:$B,0),1)</f>
        <v>28.494978667906938</v>
      </c>
      <c r="I12" s="53">
        <f>'Table 2A BaseLoad'!I31-INDEX('Table 10'!$E:$E,MATCH($A12,'Table 10'!$B:$B,0),1)</f>
        <v>24.079296392585249</v>
      </c>
      <c r="J12" s="53">
        <f>'Table 2A BaseLoad'!J31-INDEX('Table 10'!$E:$E,MATCH($A12,'Table 10'!$B:$B,0),1)</f>
        <v>21.928921794618017</v>
      </c>
      <c r="K12" s="53">
        <f>'Table 2A BaseLoad'!K31-INDEX('Table 10'!$E:$E,MATCH($A12,'Table 10'!$B:$B,0),1)</f>
        <v>20.086213707158954</v>
      </c>
      <c r="L12" s="53">
        <f>'Table 2A BaseLoad'!L31-INDEX('Table 10'!$E:$E,MATCH($A12,'Table 10'!$B:$B,0),1)</f>
        <v>18.822469088962233</v>
      </c>
      <c r="M12" s="54">
        <f>'Table 2A BaseLoad'!M31-INDEX('Table 10'!$E:$E,MATCH($A12,'Table 10'!$B:$B,0),1)</f>
        <v>22.027865431541873</v>
      </c>
    </row>
    <row r="13" spans="1:13" ht="12.75" customHeight="1" x14ac:dyDescent="0.2">
      <c r="A13" s="51">
        <f t="shared" si="0"/>
        <v>2020</v>
      </c>
      <c r="B13" s="53">
        <f>'Table 2A BaseLoad'!B32-INDEX('Table 10'!$E:$E,MATCH($A13,'Table 10'!$B:$B,0),1)</f>
        <v>16.378766709675162</v>
      </c>
      <c r="C13" s="53">
        <f>'Table 2A BaseLoad'!C32-INDEX('Table 10'!$E:$E,MATCH($A13,'Table 10'!$B:$B,0),1)</f>
        <v>18.04796679622315</v>
      </c>
      <c r="D13" s="53">
        <f>'Table 2A BaseLoad'!D32-INDEX('Table 10'!$E:$E,MATCH($A13,'Table 10'!$B:$B,0),1)</f>
        <v>17.25109042164193</v>
      </c>
      <c r="E13" s="53">
        <f>'Table 2A BaseLoad'!E32-INDEX('Table 10'!$E:$E,MATCH($A13,'Table 10'!$B:$B,0),1)</f>
        <v>17.374396344149496</v>
      </c>
      <c r="F13" s="53">
        <f>'Table 2A BaseLoad'!F32-INDEX('Table 10'!$E:$E,MATCH($A13,'Table 10'!$B:$B,0),1)</f>
        <v>19.379347105169323</v>
      </c>
      <c r="G13" s="53">
        <f>'Table 2A BaseLoad'!G32-INDEX('Table 10'!$E:$E,MATCH($A13,'Table 10'!$B:$B,0),1)</f>
        <v>18.897260768879129</v>
      </c>
      <c r="H13" s="53">
        <f>'Table 2A BaseLoad'!H32-INDEX('Table 10'!$E:$E,MATCH($A13,'Table 10'!$B:$B,0),1)</f>
        <v>30.755209004523337</v>
      </c>
      <c r="I13" s="53">
        <f>'Table 2A BaseLoad'!I32-INDEX('Table 10'!$E:$E,MATCH($A13,'Table 10'!$B:$B,0),1)</f>
        <v>25.416209539875052</v>
      </c>
      <c r="J13" s="53">
        <f>'Table 2A BaseLoad'!J32-INDEX('Table 10'!$E:$E,MATCH($A13,'Table 10'!$B:$B,0),1)</f>
        <v>21.627261435982064</v>
      </c>
      <c r="K13" s="53">
        <f>'Table 2A BaseLoad'!K32-INDEX('Table 10'!$E:$E,MATCH($A13,'Table 10'!$B:$B,0),1)</f>
        <v>18.62832399083997</v>
      </c>
      <c r="L13" s="53">
        <f>'Table 2A BaseLoad'!L32-INDEX('Table 10'!$E:$E,MATCH($A13,'Table 10'!$B:$B,0),1)</f>
        <v>16.636090713084407</v>
      </c>
      <c r="M13" s="54">
        <f>'Table 2A BaseLoad'!M32-INDEX('Table 10'!$E:$E,MATCH($A13,'Table 10'!$B:$B,0),1)</f>
        <v>20.364741477605225</v>
      </c>
    </row>
    <row r="14" spans="1:13" ht="12.75" customHeight="1" x14ac:dyDescent="0.2">
      <c r="A14" s="51">
        <f t="shared" si="0"/>
        <v>2021</v>
      </c>
      <c r="B14" s="53">
        <f>'Table 2A BaseLoad'!B33-INDEX('Table 10'!$E:$E,MATCH($A14,'Table 10'!$B:$B,0),1)</f>
        <v>18.40150012237336</v>
      </c>
      <c r="C14" s="53">
        <f>'Table 2A BaseLoad'!C33-INDEX('Table 10'!$E:$E,MATCH($A14,'Table 10'!$B:$B,0),1)</f>
        <v>20.702556168186483</v>
      </c>
      <c r="D14" s="53">
        <f>'Table 2A BaseLoad'!D33-INDEX('Table 10'!$E:$E,MATCH($A14,'Table 10'!$B:$B,0),1)</f>
        <v>15.186114600954573</v>
      </c>
      <c r="E14" s="53">
        <f>'Table 2A BaseLoad'!E33-INDEX('Table 10'!$E:$E,MATCH($A14,'Table 10'!$B:$B,0),1)</f>
        <v>15.655026732265023</v>
      </c>
      <c r="F14" s="53">
        <f>'Table 2A BaseLoad'!F33-INDEX('Table 10'!$E:$E,MATCH($A14,'Table 10'!$B:$B,0),1)</f>
        <v>17.612271700786984</v>
      </c>
      <c r="G14" s="53">
        <f>'Table 2A BaseLoad'!G33-INDEX('Table 10'!$E:$E,MATCH($A14,'Table 10'!$B:$B,0),1)</f>
        <v>18.185804633527905</v>
      </c>
      <c r="H14" s="53">
        <f>'Table 2A BaseLoad'!H33-INDEX('Table 10'!$E:$E,MATCH($A14,'Table 10'!$B:$B,0),1)</f>
        <v>30.857423594122288</v>
      </c>
      <c r="I14" s="53">
        <f>'Table 2A BaseLoad'!I33-INDEX('Table 10'!$E:$E,MATCH($A14,'Table 10'!$B:$B,0),1)</f>
        <v>24.170151078497643</v>
      </c>
      <c r="J14" s="53">
        <f>'Table 2A BaseLoad'!J33-INDEX('Table 10'!$E:$E,MATCH($A14,'Table 10'!$B:$B,0),1)</f>
        <v>20.713458082178494</v>
      </c>
      <c r="K14" s="53">
        <f>'Table 2A BaseLoad'!K33-INDEX('Table 10'!$E:$E,MATCH($A14,'Table 10'!$B:$B,0),1)</f>
        <v>18.874674751883205</v>
      </c>
      <c r="L14" s="53">
        <f>'Table 2A BaseLoad'!L33-INDEX('Table 10'!$E:$E,MATCH($A14,'Table 10'!$B:$B,0),1)</f>
        <v>17.910327712577068</v>
      </c>
      <c r="M14" s="54">
        <f>'Table 2A BaseLoad'!M33-INDEX('Table 10'!$E:$E,MATCH($A14,'Table 10'!$B:$B,0),1)</f>
        <v>22.947717694484034</v>
      </c>
    </row>
    <row r="15" spans="1:13" ht="12.75" customHeight="1" x14ac:dyDescent="0.2">
      <c r="A15" s="51">
        <f t="shared" si="0"/>
        <v>2022</v>
      </c>
      <c r="B15" s="53">
        <f>'Table 2A BaseLoad'!B34-INDEX('Table 10'!$E:$E,MATCH($A15,'Table 10'!$B:$B,0),1)</f>
        <v>21.097117809518977</v>
      </c>
      <c r="C15" s="53">
        <f>'Table 2A BaseLoad'!C34-INDEX('Table 10'!$E:$E,MATCH($A15,'Table 10'!$B:$B,0),1)</f>
        <v>20.257277795590049</v>
      </c>
      <c r="D15" s="53">
        <f>'Table 2A BaseLoad'!D34-INDEX('Table 10'!$E:$E,MATCH($A15,'Table 10'!$B:$B,0),1)</f>
        <v>18.314455241795578</v>
      </c>
      <c r="E15" s="53">
        <f>'Table 2A BaseLoad'!E34-INDEX('Table 10'!$E:$E,MATCH($A15,'Table 10'!$B:$B,0),1)</f>
        <v>16.576708320339051</v>
      </c>
      <c r="F15" s="53">
        <f>'Table 2A BaseLoad'!F34-INDEX('Table 10'!$E:$E,MATCH($A15,'Table 10'!$B:$B,0),1)</f>
        <v>18.723577851702078</v>
      </c>
      <c r="G15" s="53">
        <f>'Table 2A BaseLoad'!G34-INDEX('Table 10'!$E:$E,MATCH($A15,'Table 10'!$B:$B,0),1)</f>
        <v>19.132644907192059</v>
      </c>
      <c r="H15" s="53">
        <f>'Table 2A BaseLoad'!H34-INDEX('Table 10'!$E:$E,MATCH($A15,'Table 10'!$B:$B,0),1)</f>
        <v>32.770912868688342</v>
      </c>
      <c r="I15" s="53">
        <f>'Table 2A BaseLoad'!I34-INDEX('Table 10'!$E:$E,MATCH($A15,'Table 10'!$B:$B,0),1)</f>
        <v>26.814648392769961</v>
      </c>
      <c r="J15" s="53">
        <f>'Table 2A BaseLoad'!J34-INDEX('Table 10'!$E:$E,MATCH($A15,'Table 10'!$B:$B,0),1)</f>
        <v>22.262002426010653</v>
      </c>
      <c r="K15" s="53">
        <f>'Table 2A BaseLoad'!K34-INDEX('Table 10'!$E:$E,MATCH($A15,'Table 10'!$B:$B,0),1)</f>
        <v>20.154300417241885</v>
      </c>
      <c r="L15" s="53">
        <f>'Table 2A BaseLoad'!L34-INDEX('Table 10'!$E:$E,MATCH($A15,'Table 10'!$B:$B,0),1)</f>
        <v>19.432377818090888</v>
      </c>
      <c r="M15" s="54">
        <f>'Table 2A BaseLoad'!M34-INDEX('Table 10'!$E:$E,MATCH($A15,'Table 10'!$B:$B,0),1)</f>
        <v>23.507159199228916</v>
      </c>
    </row>
    <row r="16" spans="1:13" ht="12.75" customHeight="1" x14ac:dyDescent="0.2">
      <c r="A16" s="51">
        <f t="shared" si="0"/>
        <v>2023</v>
      </c>
      <c r="B16" s="53">
        <f>'Table 2A BaseLoad'!B35-INDEX('Table 10'!$E:$E,MATCH($A16,'Table 10'!$B:$B,0),1)</f>
        <v>22.365117253564211</v>
      </c>
      <c r="C16" s="53">
        <f>'Table 2A BaseLoad'!C35-INDEX('Table 10'!$E:$E,MATCH($A16,'Table 10'!$B:$B,0),1)</f>
        <v>20.4467327453394</v>
      </c>
      <c r="D16" s="53">
        <f>'Table 2A BaseLoad'!D35-INDEX('Table 10'!$E:$E,MATCH($A16,'Table 10'!$B:$B,0),1)</f>
        <v>19.10300816708811</v>
      </c>
      <c r="E16" s="53">
        <f>'Table 2A BaseLoad'!E35-INDEX('Table 10'!$E:$E,MATCH($A16,'Table 10'!$B:$B,0),1)</f>
        <v>16.087376460206833</v>
      </c>
      <c r="F16" s="53">
        <f>'Table 2A BaseLoad'!F35-INDEX('Table 10'!$E:$E,MATCH($A16,'Table 10'!$B:$B,0),1)</f>
        <v>19.558910826769438</v>
      </c>
      <c r="G16" s="53">
        <f>'Table 2A BaseLoad'!G35-INDEX('Table 10'!$E:$E,MATCH($A16,'Table 10'!$B:$B,0),1)</f>
        <v>19.417013557430671</v>
      </c>
      <c r="H16" s="53">
        <f>'Table 2A BaseLoad'!H35-INDEX('Table 10'!$E:$E,MATCH($A16,'Table 10'!$B:$B,0),1)</f>
        <v>36.927614318058474</v>
      </c>
      <c r="I16" s="53">
        <f>'Table 2A BaseLoad'!I35-INDEX('Table 10'!$E:$E,MATCH($A16,'Table 10'!$B:$B,0),1)</f>
        <v>27.400239151532706</v>
      </c>
      <c r="J16" s="53">
        <f>'Table 2A BaseLoad'!J35-INDEX('Table 10'!$E:$E,MATCH($A16,'Table 10'!$B:$B,0),1)</f>
        <v>23.413040504582018</v>
      </c>
      <c r="K16" s="53">
        <f>'Table 2A BaseLoad'!K35-INDEX('Table 10'!$E:$E,MATCH($A16,'Table 10'!$B:$B,0),1)</f>
        <v>23.691858696917496</v>
      </c>
      <c r="L16" s="53">
        <f>'Table 2A BaseLoad'!L35-INDEX('Table 10'!$E:$E,MATCH($A16,'Table 10'!$B:$B,0),1)</f>
        <v>17.568578257005228</v>
      </c>
      <c r="M16" s="54">
        <f>'Table 2A BaseLoad'!M35-INDEX('Table 10'!$E:$E,MATCH($A16,'Table 10'!$B:$B,0),1)</f>
        <v>27.455924226720228</v>
      </c>
    </row>
    <row r="17" spans="1:20" ht="12.75" customHeight="1" x14ac:dyDescent="0.2">
      <c r="A17" s="51">
        <f t="shared" si="0"/>
        <v>2024</v>
      </c>
      <c r="B17" s="53">
        <f>'Table 2A BaseLoad'!B36-INDEX('Table 10'!$E:$E,MATCH($A17,'Table 10'!$B:$B,0),1)</f>
        <v>25.874358938287411</v>
      </c>
      <c r="C17" s="53">
        <f>'Table 2A BaseLoad'!C36-INDEX('Table 10'!$E:$E,MATCH($A17,'Table 10'!$B:$B,0),1)</f>
        <v>21.803596873249798</v>
      </c>
      <c r="D17" s="53">
        <f>'Table 2A BaseLoad'!D36-INDEX('Table 10'!$E:$E,MATCH($A17,'Table 10'!$B:$B,0),1)</f>
        <v>21.470387888700976</v>
      </c>
      <c r="E17" s="53">
        <f>'Table 2A BaseLoad'!E36-INDEX('Table 10'!$E:$E,MATCH($A17,'Table 10'!$B:$B,0),1)</f>
        <v>17.82634233458375</v>
      </c>
      <c r="F17" s="53">
        <f>'Table 2A BaseLoad'!F36-INDEX('Table 10'!$E:$E,MATCH($A17,'Table 10'!$B:$B,0),1)</f>
        <v>21.9851154598737</v>
      </c>
      <c r="G17" s="53">
        <f>'Table 2A BaseLoad'!G36-INDEX('Table 10'!$E:$E,MATCH($A17,'Table 10'!$B:$B,0),1)</f>
        <v>20.730647950652951</v>
      </c>
      <c r="H17" s="53">
        <f>'Table 2A BaseLoad'!H36-INDEX('Table 10'!$E:$E,MATCH($A17,'Table 10'!$B:$B,0),1)</f>
        <v>40.01092727830568</v>
      </c>
      <c r="I17" s="53">
        <f>'Table 2A BaseLoad'!I36-INDEX('Table 10'!$E:$E,MATCH($A17,'Table 10'!$B:$B,0),1)</f>
        <v>18.040648287287848</v>
      </c>
      <c r="J17" s="53">
        <f>'Table 2A BaseLoad'!J36-INDEX('Table 10'!$E:$E,MATCH($A17,'Table 10'!$B:$B,0),1)</f>
        <v>37.775225194519038</v>
      </c>
      <c r="K17" s="53">
        <f>'Table 2A BaseLoad'!K36-INDEX('Table 10'!$E:$E,MATCH($A17,'Table 10'!$B:$B,0),1)</f>
        <v>27.905362509730487</v>
      </c>
      <c r="L17" s="53">
        <f>'Table 2A BaseLoad'!L36-INDEX('Table 10'!$E:$E,MATCH($A17,'Table 10'!$B:$B,0),1)</f>
        <v>24.805938392392338</v>
      </c>
      <c r="M17" s="54">
        <f>'Table 2A BaseLoad'!M36-INDEX('Table 10'!$E:$E,MATCH($A17,'Table 10'!$B:$B,0),1)</f>
        <v>31.104520128431709</v>
      </c>
    </row>
    <row r="18" spans="1:20" ht="12.75" customHeight="1" x14ac:dyDescent="0.2">
      <c r="A18" s="51">
        <f t="shared" si="0"/>
        <v>2025</v>
      </c>
      <c r="B18" s="53">
        <f>'Table 2A BaseLoad'!B37-INDEX('Table 10'!$E:$E,MATCH($A18,'Table 10'!$B:$B,0),1)</f>
        <v>28.604337822648304</v>
      </c>
      <c r="C18" s="53">
        <f>'Table 2A BaseLoad'!C37-INDEX('Table 10'!$E:$E,MATCH($A18,'Table 10'!$B:$B,0),1)</f>
        <v>27.398951465960291</v>
      </c>
      <c r="D18" s="53">
        <f>'Table 2A BaseLoad'!D37-INDEX('Table 10'!$E:$E,MATCH($A18,'Table 10'!$B:$B,0),1)</f>
        <v>23.435465389576368</v>
      </c>
      <c r="E18" s="53">
        <f>'Table 2A BaseLoad'!E37-INDEX('Table 10'!$E:$E,MATCH($A18,'Table 10'!$B:$B,0),1)</f>
        <v>21.445676789313104</v>
      </c>
      <c r="F18" s="53">
        <f>'Table 2A BaseLoad'!F37-INDEX('Table 10'!$E:$E,MATCH($A18,'Table 10'!$B:$B,0),1)</f>
        <v>22.998490695704692</v>
      </c>
      <c r="G18" s="53">
        <f>'Table 2A BaseLoad'!G37-INDEX('Table 10'!$E:$E,MATCH($A18,'Table 10'!$B:$B,0),1)</f>
        <v>21.492269279989959</v>
      </c>
      <c r="H18" s="53">
        <f>'Table 2A BaseLoad'!H37-INDEX('Table 10'!$E:$E,MATCH($A18,'Table 10'!$B:$B,0),1)</f>
        <v>42.735719408608141</v>
      </c>
      <c r="I18" s="53">
        <f>'Table 2A BaseLoad'!I37-INDEX('Table 10'!$E:$E,MATCH($A18,'Table 10'!$B:$B,0),1)</f>
        <v>34.873447327220681</v>
      </c>
      <c r="J18" s="53">
        <f>'Table 2A BaseLoad'!J37-INDEX('Table 10'!$E:$E,MATCH($A18,'Table 10'!$B:$B,0),1)</f>
        <v>34.877552618217429</v>
      </c>
      <c r="K18" s="53">
        <f>'Table 2A BaseLoad'!K37-INDEX('Table 10'!$E:$E,MATCH($A18,'Table 10'!$B:$B,0),1)</f>
        <v>27.0686145132725</v>
      </c>
      <c r="L18" s="53">
        <f>'Table 2A BaseLoad'!L37-INDEX('Table 10'!$E:$E,MATCH($A18,'Table 10'!$B:$B,0),1)</f>
        <v>24.213041916937527</v>
      </c>
      <c r="M18" s="54">
        <f>'Table 2A BaseLoad'!M37-INDEX('Table 10'!$E:$E,MATCH($A18,'Table 10'!$B:$B,0),1)</f>
        <v>32.452759999931629</v>
      </c>
    </row>
    <row r="19" spans="1:20" ht="12.75" customHeight="1" x14ac:dyDescent="0.2">
      <c r="A19" s="51">
        <f t="shared" si="0"/>
        <v>2026</v>
      </c>
      <c r="B19" s="53">
        <f>'Table 2A BaseLoad'!B38-INDEX('Table 10'!$E:$E,MATCH($A19,'Table 10'!$B:$B,0),1)</f>
        <v>31.215479200561344</v>
      </c>
      <c r="C19" s="53">
        <f>'Table 2A BaseLoad'!C38-INDEX('Table 10'!$E:$E,MATCH($A19,'Table 10'!$B:$B,0),1)</f>
        <v>60.568942213067167</v>
      </c>
      <c r="D19" s="53">
        <f>'Table 2A BaseLoad'!D38-INDEX('Table 10'!$E:$E,MATCH($A19,'Table 10'!$B:$B,0),1)</f>
        <v>23.738984547487181</v>
      </c>
      <c r="E19" s="53">
        <f>'Table 2A BaseLoad'!E38-INDEX('Table 10'!$E:$E,MATCH($A19,'Table 10'!$B:$B,0),1)</f>
        <v>21.986680588843178</v>
      </c>
      <c r="F19" s="53">
        <f>'Table 2A BaseLoad'!F38-INDEX('Table 10'!$E:$E,MATCH($A19,'Table 10'!$B:$B,0),1)</f>
        <v>23.628565332947534</v>
      </c>
      <c r="G19" s="53">
        <f>'Table 2A BaseLoad'!G38-INDEX('Table 10'!$E:$E,MATCH($A19,'Table 10'!$B:$B,0),1)</f>
        <v>23.700760751439589</v>
      </c>
      <c r="H19" s="53">
        <f>'Table 2A BaseLoad'!H38-INDEX('Table 10'!$E:$E,MATCH($A19,'Table 10'!$B:$B,0),1)</f>
        <v>43.88284209967987</v>
      </c>
      <c r="I19" s="53">
        <f>'Table 2A BaseLoad'!I38-INDEX('Table 10'!$E:$E,MATCH($A19,'Table 10'!$B:$B,0),1)</f>
        <v>34.491379223027778</v>
      </c>
      <c r="J19" s="53">
        <f>'Table 2A BaseLoad'!J38-INDEX('Table 10'!$E:$E,MATCH($A19,'Table 10'!$B:$B,0),1)</f>
        <v>28.414157389104204</v>
      </c>
      <c r="K19" s="53">
        <f>'Table 2A BaseLoad'!K38-INDEX('Table 10'!$E:$E,MATCH($A19,'Table 10'!$B:$B,0),1)</f>
        <v>30.145876227092817</v>
      </c>
      <c r="L19" s="53">
        <f>'Table 2A BaseLoad'!L38-INDEX('Table 10'!$E:$E,MATCH($A19,'Table 10'!$B:$B,0),1)</f>
        <v>25.87943602483638</v>
      </c>
      <c r="M19" s="54">
        <f>'Table 2A BaseLoad'!M38-INDEX('Table 10'!$E:$E,MATCH($A19,'Table 10'!$B:$B,0),1)</f>
        <v>30.904569163747809</v>
      </c>
    </row>
    <row r="20" spans="1:20" ht="12.75" customHeight="1" x14ac:dyDescent="0.2">
      <c r="A20" s="51">
        <f t="shared" si="0"/>
        <v>2027</v>
      </c>
      <c r="B20" s="53">
        <f>'Table 2A BaseLoad'!B39-INDEX('Table 10'!$E:$E,MATCH($A20,'Table 10'!$B:$B,0),1)</f>
        <v>28.473402881316993</v>
      </c>
      <c r="C20" s="53">
        <f>'Table 2A BaseLoad'!C39-INDEX('Table 10'!$E:$E,MATCH($A20,'Table 10'!$B:$B,0),1)</f>
        <v>27.335479168453702</v>
      </c>
      <c r="D20" s="53">
        <f>'Table 2A BaseLoad'!D39-INDEX('Table 10'!$E:$E,MATCH($A20,'Table 10'!$B:$B,0),1)</f>
        <v>25.237728644750199</v>
      </c>
      <c r="E20" s="53">
        <f>'Table 2A BaseLoad'!E39-INDEX('Table 10'!$E:$E,MATCH($A20,'Table 10'!$B:$B,0),1)</f>
        <v>24.49520358461514</v>
      </c>
      <c r="F20" s="53">
        <f>'Table 2A BaseLoad'!F39-INDEX('Table 10'!$E:$E,MATCH($A20,'Table 10'!$B:$B,0),1)</f>
        <v>25.223752625054111</v>
      </c>
      <c r="G20" s="53">
        <f>'Table 2A BaseLoad'!G39-INDEX('Table 10'!$E:$E,MATCH($A20,'Table 10'!$B:$B,0),1)</f>
        <v>24.865366898606389</v>
      </c>
      <c r="H20" s="53">
        <f>'Table 2A BaseLoad'!H39-INDEX('Table 10'!$E:$E,MATCH($A20,'Table 10'!$B:$B,0),1)</f>
        <v>45.541586185993225</v>
      </c>
      <c r="I20" s="53">
        <f>'Table 2A BaseLoad'!I39-INDEX('Table 10'!$E:$E,MATCH($A20,'Table 10'!$B:$B,0),1)</f>
        <v>36.661256431069155</v>
      </c>
      <c r="J20" s="53">
        <f>'Table 2A BaseLoad'!J39-INDEX('Table 10'!$E:$E,MATCH($A20,'Table 10'!$B:$B,0),1)</f>
        <v>28.114147997986169</v>
      </c>
      <c r="K20" s="53">
        <f>'Table 2A BaseLoad'!K39-INDEX('Table 10'!$E:$E,MATCH($A20,'Table 10'!$B:$B,0),1)</f>
        <v>29.430105088328872</v>
      </c>
      <c r="L20" s="53">
        <f>'Table 2A BaseLoad'!L39-INDEX('Table 10'!$E:$E,MATCH($A20,'Table 10'!$B:$B,0),1)</f>
        <v>26.134526219185311</v>
      </c>
      <c r="M20" s="54">
        <f>'Table 2A BaseLoad'!M39-INDEX('Table 10'!$E:$E,MATCH($A20,'Table 10'!$B:$B,0),1)</f>
        <v>28.688454671302935</v>
      </c>
    </row>
    <row r="21" spans="1:20" ht="12.75" customHeight="1" x14ac:dyDescent="0.2">
      <c r="A21" s="51">
        <f t="shared" si="0"/>
        <v>2028</v>
      </c>
      <c r="B21" s="53">
        <f>'Table 2A BaseLoad'!B40-INDEX('Table 10'!$E:$E,MATCH($A21,'Table 10'!$B:$B,0),1)</f>
        <v>32.323322035382731</v>
      </c>
      <c r="C21" s="53">
        <f>'Table 2A BaseLoad'!C40-INDEX('Table 10'!$E:$E,MATCH($A21,'Table 10'!$B:$B,0),1)</f>
        <v>32.946394986186348</v>
      </c>
      <c r="D21" s="53">
        <f>'Table 2A BaseLoad'!D40-INDEX('Table 10'!$E:$E,MATCH($A21,'Table 10'!$B:$B,0),1)</f>
        <v>29.295368545178757</v>
      </c>
      <c r="E21" s="53">
        <f>'Table 2A BaseLoad'!E40-INDEX('Table 10'!$E:$E,MATCH($A21,'Table 10'!$B:$B,0),1)</f>
        <v>28.424176581659584</v>
      </c>
      <c r="F21" s="53">
        <f>'Table 2A BaseLoad'!F40-INDEX('Table 10'!$E:$E,MATCH($A21,'Table 10'!$B:$B,0),1)</f>
        <v>30.076678145407573</v>
      </c>
      <c r="G21" s="53">
        <f>'Table 2A BaseLoad'!G40-INDEX('Table 10'!$E:$E,MATCH($A21,'Table 10'!$B:$B,0),1)</f>
        <v>29.568927058203482</v>
      </c>
      <c r="H21" s="53">
        <f>'Table 2A BaseLoad'!H40-INDEX('Table 10'!$E:$E,MATCH($A21,'Table 10'!$B:$B,0),1)</f>
        <v>51.355023505501975</v>
      </c>
      <c r="I21" s="53">
        <f>'Table 2A BaseLoad'!I40-INDEX('Table 10'!$E:$E,MATCH($A21,'Table 10'!$B:$B,0),1)</f>
        <v>46.285308270087988</v>
      </c>
      <c r="J21" s="53">
        <f>'Table 2A BaseLoad'!J40-INDEX('Table 10'!$E:$E,MATCH($A21,'Table 10'!$B:$B,0),1)</f>
        <v>35.775754130124426</v>
      </c>
      <c r="K21" s="53">
        <f>'Table 2A BaseLoad'!K40-INDEX('Table 10'!$E:$E,MATCH($A21,'Table 10'!$B:$B,0),1)</f>
        <v>35.632806374361103</v>
      </c>
      <c r="L21" s="53">
        <f>'Table 2A BaseLoad'!L40-INDEX('Table 10'!$E:$E,MATCH($A21,'Table 10'!$B:$B,0),1)</f>
        <v>32.71063692173216</v>
      </c>
      <c r="M21" s="54">
        <f>'Table 2A BaseLoad'!M40-INDEX('Table 10'!$E:$E,MATCH($A21,'Table 10'!$B:$B,0),1)</f>
        <v>42.023737674650803</v>
      </c>
    </row>
    <row r="22" spans="1:20" ht="12.75" hidden="1" customHeight="1" x14ac:dyDescent="0.2">
      <c r="A22" s="51">
        <f t="shared" si="0"/>
        <v>2029</v>
      </c>
      <c r="B22" s="53" t="e">
        <f>'Table 2A BaseLoad'!B41-INDEX('Table 10'!$E:$E,MATCH($A22,'Table 10'!$B:$B,0),1)</f>
        <v>#N/A</v>
      </c>
      <c r="C22" s="53" t="e">
        <f>'Table 2A BaseLoad'!C41-INDEX('Table 10'!$E:$E,MATCH($A22,'Table 10'!$B:$B,0),1)</f>
        <v>#N/A</v>
      </c>
      <c r="D22" s="53" t="e">
        <f>'Table 2A BaseLoad'!D41-INDEX('Table 10'!$E:$E,MATCH($A22,'Table 10'!$B:$B,0),1)</f>
        <v>#N/A</v>
      </c>
      <c r="E22" s="53" t="e">
        <f>'Table 2A BaseLoad'!E41-INDEX('Table 10'!$E:$E,MATCH($A22,'Table 10'!$B:$B,0),1)</f>
        <v>#N/A</v>
      </c>
      <c r="F22" s="53" t="e">
        <f>'Table 2A BaseLoad'!F41-INDEX('Table 10'!$E:$E,MATCH($A22,'Table 10'!$B:$B,0),1)</f>
        <v>#N/A</v>
      </c>
      <c r="G22" s="53" t="e">
        <f>'Table 2A BaseLoad'!G41-INDEX('Table 10'!$E:$E,MATCH($A22,'Table 10'!$B:$B,0),1)</f>
        <v>#N/A</v>
      </c>
      <c r="H22" s="53" t="e">
        <f>'Table 2A BaseLoad'!H41-INDEX('Table 10'!$E:$E,MATCH($A22,'Table 10'!$B:$B,0),1)</f>
        <v>#N/A</v>
      </c>
      <c r="I22" s="53" t="e">
        <f>'Table 2A BaseLoad'!I41-INDEX('Table 10'!$E:$E,MATCH($A22,'Table 10'!$B:$B,0),1)</f>
        <v>#N/A</v>
      </c>
      <c r="J22" s="53" t="e">
        <f>'Table 2A BaseLoad'!J41-INDEX('Table 10'!$E:$E,MATCH($A22,'Table 10'!$B:$B,0),1)</f>
        <v>#N/A</v>
      </c>
      <c r="K22" s="53" t="e">
        <f>'Table 2A BaseLoad'!K41-INDEX('Table 10'!$E:$E,MATCH($A22,'Table 10'!$B:$B,0),1)</f>
        <v>#N/A</v>
      </c>
      <c r="L22" s="53" t="e">
        <f>'Table 2A BaseLoad'!L41-INDEX('Table 10'!$E:$E,MATCH($A22,'Table 10'!$B:$B,0),1)</f>
        <v>#N/A</v>
      </c>
      <c r="M22" s="54" t="e">
        <f>'Table 2A BaseLoad'!M41-INDEX('Table 10'!$E:$E,MATCH($A22,'Table 10'!$B:$B,0),1)</f>
        <v>#N/A</v>
      </c>
    </row>
    <row r="23" spans="1:20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0" ht="12.75" hidden="1" customHeight="1" x14ac:dyDescent="0.2">
      <c r="A24" s="51"/>
      <c r="B24" s="52"/>
      <c r="C24" s="53"/>
      <c r="D24" s="53"/>
      <c r="E24" s="53"/>
      <c r="F24" s="54"/>
      <c r="G24" s="53"/>
      <c r="H24" s="53"/>
      <c r="I24" s="53"/>
      <c r="J24" s="54"/>
      <c r="K24" s="53"/>
      <c r="L24" s="53"/>
      <c r="M24" s="54"/>
    </row>
    <row r="25" spans="1:20" ht="12.75" hidden="1" customHeight="1" x14ac:dyDescent="0.2">
      <c r="A25" s="51"/>
      <c r="B25" s="52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4"/>
    </row>
    <row r="26" spans="1:20" ht="12.75" hidden="1" customHeight="1" x14ac:dyDescent="0.2">
      <c r="A26" s="55"/>
      <c r="B26" s="56"/>
      <c r="C26" s="57"/>
      <c r="D26" s="57"/>
      <c r="E26" s="57"/>
      <c r="F26" s="58"/>
      <c r="G26" s="57"/>
      <c r="H26" s="57"/>
      <c r="I26" s="57"/>
      <c r="J26" s="58"/>
      <c r="K26" s="57"/>
      <c r="L26" s="57"/>
      <c r="M26" s="58"/>
    </row>
    <row r="27" spans="1:20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0" ht="12.75" customHeight="1" x14ac:dyDescent="0.2">
      <c r="A28" s="12" t="s">
        <v>219</v>
      </c>
      <c r="C28" s="40"/>
      <c r="D28" s="40"/>
      <c r="E28" s="40"/>
      <c r="G28" s="40"/>
      <c r="H28" s="40"/>
      <c r="I28" s="40"/>
      <c r="J28" s="48"/>
      <c r="L28" s="40"/>
      <c r="M28" s="37"/>
    </row>
    <row r="29" spans="1:20" ht="12.75" customHeight="1" x14ac:dyDescent="0.2">
      <c r="A29" s="489">
        <v>2017</v>
      </c>
      <c r="B29" s="333"/>
      <c r="C29" s="333"/>
      <c r="D29" s="333"/>
      <c r="E29" s="333"/>
      <c r="F29" s="333"/>
      <c r="G29" s="333">
        <f>'Table 2A BaseLoad'!G48-INDEX('Table 10'!$E:$E,MATCH($A10,'Table 10'!$B:$B,0),1)</f>
        <v>17.189560535708193</v>
      </c>
      <c r="H29" s="333">
        <f>'Table 2A BaseLoad'!H48-INDEX('Table 10'!$E:$E,MATCH($A10,'Table 10'!$B:$B,0),1)</f>
        <v>15.76499820183702</v>
      </c>
      <c r="I29" s="333">
        <f>'Table 2A BaseLoad'!I48-INDEX('Table 10'!$E:$E,MATCH($A10,'Table 10'!$B:$B,0),1)</f>
        <v>17.527135995948402</v>
      </c>
      <c r="J29" s="333">
        <f>'Table 2A BaseLoad'!J48-INDEX('Table 10'!$E:$E,MATCH($A10,'Table 10'!$B:$B,0),1)</f>
        <v>18.03124517048407</v>
      </c>
      <c r="K29" s="333">
        <f>'Table 2A BaseLoad'!K48-INDEX('Table 10'!$E:$E,MATCH($A10,'Table 10'!$B:$B,0),1)</f>
        <v>19.542046811445054</v>
      </c>
      <c r="L29" s="333">
        <f>'Table 2A BaseLoad'!L48-INDEX('Table 10'!$E:$E,MATCH($A10,'Table 10'!$B:$B,0),1)</f>
        <v>20.047042930843233</v>
      </c>
      <c r="M29" s="334">
        <f>'Table 2A BaseLoad'!M48-INDEX('Table 10'!$E:$E,MATCH($A10,'Table 10'!$B:$B,0),1)</f>
        <v>24.697077096852052</v>
      </c>
    </row>
    <row r="30" spans="1:20" ht="12.75" customHeight="1" x14ac:dyDescent="0.2">
      <c r="A30" s="492">
        <f>'Tables 3 to 5'!$B$14</f>
        <v>2018</v>
      </c>
      <c r="B30" s="53">
        <f>'Table 2A BaseLoad'!B49-INDEX('Table 10'!$E:$E,MATCH($A11,'Table 10'!$B:$B,0),1)</f>
        <v>23.854676583234728</v>
      </c>
      <c r="C30" s="53">
        <f>'Table 2A BaseLoad'!C49-INDEX('Table 10'!$E:$E,MATCH($A11,'Table 10'!$B:$B,0),1)</f>
        <v>23.0589090165786</v>
      </c>
      <c r="D30" s="53">
        <f>'Table 2A BaseLoad'!D49-INDEX('Table 10'!$E:$E,MATCH($A11,'Table 10'!$B:$B,0),1)</f>
        <v>19.798793685057145</v>
      </c>
      <c r="E30" s="53">
        <f>'Table 2A BaseLoad'!E49-INDEX('Table 10'!$E:$E,MATCH($A11,'Table 10'!$B:$B,0),1)</f>
        <v>15.856292164749963</v>
      </c>
      <c r="F30" s="53">
        <f>'Table 2A BaseLoad'!F49-INDEX('Table 10'!$E:$E,MATCH($A11,'Table 10'!$B:$B,0),1)</f>
        <v>13.687277861159151</v>
      </c>
      <c r="G30" s="53">
        <f>'Table 2A BaseLoad'!G49-INDEX('Table 10'!$E:$E,MATCH($A11,'Table 10'!$B:$B,0),1)</f>
        <v>13.673131016779172</v>
      </c>
      <c r="H30" s="53">
        <f>'Table 2A BaseLoad'!H49-INDEX('Table 10'!$E:$E,MATCH($A11,'Table 10'!$B:$B,0),1)</f>
        <v>16.373623666798284</v>
      </c>
      <c r="I30" s="53">
        <f>'Table 2A BaseLoad'!I49-INDEX('Table 10'!$E:$E,MATCH($A11,'Table 10'!$B:$B,0),1)</f>
        <v>17.043825018036024</v>
      </c>
      <c r="J30" s="53">
        <f>'Table 2A BaseLoad'!J49-INDEX('Table 10'!$E:$E,MATCH($A11,'Table 10'!$B:$B,0),1)</f>
        <v>15.71296952652235</v>
      </c>
      <c r="K30" s="53">
        <f>'Table 2A BaseLoad'!K49-INDEX('Table 10'!$E:$E,MATCH($A11,'Table 10'!$B:$B,0),1)</f>
        <v>17.045541346893362</v>
      </c>
      <c r="L30" s="53">
        <f>'Table 2A BaseLoad'!L49-INDEX('Table 10'!$E:$E,MATCH($A11,'Table 10'!$B:$B,0),1)</f>
        <v>17.362665225499025</v>
      </c>
      <c r="M30" s="54">
        <f>'Table 2A BaseLoad'!M49-INDEX('Table 10'!$E:$E,MATCH($A11,'Table 10'!$B:$B,0),1)</f>
        <v>19.952938292297457</v>
      </c>
    </row>
    <row r="31" spans="1:20" ht="12.75" customHeight="1" x14ac:dyDescent="0.2">
      <c r="A31" s="51">
        <f t="shared" ref="A31:A41" si="1">A30+1</f>
        <v>2019</v>
      </c>
      <c r="B31" s="53">
        <f>'Table 2A BaseLoad'!B50-INDEX('Table 10'!$E:$E,MATCH($A12,'Table 10'!$B:$B,0),1)</f>
        <v>20.318372597128125</v>
      </c>
      <c r="C31" s="53">
        <f>'Table 2A BaseLoad'!C50-INDEX('Table 10'!$E:$E,MATCH($A12,'Table 10'!$B:$B,0),1)</f>
        <v>17.522952951929941</v>
      </c>
      <c r="D31" s="53">
        <f>'Table 2A BaseLoad'!D50-INDEX('Table 10'!$E:$E,MATCH($A12,'Table 10'!$B:$B,0),1)</f>
        <v>17.151409631114099</v>
      </c>
      <c r="E31" s="53">
        <f>'Table 2A BaseLoad'!E50-INDEX('Table 10'!$E:$E,MATCH($A12,'Table 10'!$B:$B,0),1)</f>
        <v>12.756689334749836</v>
      </c>
      <c r="F31" s="53">
        <f>'Table 2A BaseLoad'!F50-INDEX('Table 10'!$E:$E,MATCH($A12,'Table 10'!$B:$B,0),1)</f>
        <v>9.0395068640611882</v>
      </c>
      <c r="G31" s="53">
        <f>'Table 2A BaseLoad'!G50-INDEX('Table 10'!$E:$E,MATCH($A12,'Table 10'!$B:$B,0),1)</f>
        <v>9.8669486972412557</v>
      </c>
      <c r="H31" s="53">
        <f>'Table 2A BaseLoad'!H50-INDEX('Table 10'!$E:$E,MATCH($A12,'Table 10'!$B:$B,0),1)</f>
        <v>20.995134828276335</v>
      </c>
      <c r="I31" s="53">
        <f>'Table 2A BaseLoad'!I50-INDEX('Table 10'!$E:$E,MATCH($A12,'Table 10'!$B:$B,0),1)</f>
        <v>18.259274077100915</v>
      </c>
      <c r="J31" s="53">
        <f>'Table 2A BaseLoad'!J50-INDEX('Table 10'!$E:$E,MATCH($A12,'Table 10'!$B:$B,0),1)</f>
        <v>15.700744581581581</v>
      </c>
      <c r="K31" s="53">
        <f>'Table 2A BaseLoad'!K50-INDEX('Table 10'!$E:$E,MATCH($A12,'Table 10'!$B:$B,0),1)</f>
        <v>17.942594608936268</v>
      </c>
      <c r="L31" s="53">
        <f>'Table 2A BaseLoad'!L50-INDEX('Table 10'!$E:$E,MATCH($A12,'Table 10'!$B:$B,0),1)</f>
        <v>16.471670617432839</v>
      </c>
      <c r="M31" s="54">
        <f>'Table 2A BaseLoad'!M50-INDEX('Table 10'!$E:$E,MATCH($A12,'Table 10'!$B:$B,0),1)</f>
        <v>20.065448639284387</v>
      </c>
    </row>
    <row r="32" spans="1:20" ht="12.75" customHeight="1" x14ac:dyDescent="0.2">
      <c r="A32" s="51">
        <f t="shared" si="1"/>
        <v>2020</v>
      </c>
      <c r="B32" s="53">
        <f>'Table 2A BaseLoad'!B51-INDEX('Table 10'!$E:$E,MATCH($A13,'Table 10'!$B:$B,0),1)</f>
        <v>14.576522095405499</v>
      </c>
      <c r="C32" s="53">
        <f>'Table 2A BaseLoad'!C51-INDEX('Table 10'!$E:$E,MATCH($A13,'Table 10'!$B:$B,0),1)</f>
        <v>15.893498066924458</v>
      </c>
      <c r="D32" s="53">
        <f>'Table 2A BaseLoad'!D51-INDEX('Table 10'!$E:$E,MATCH($A13,'Table 10'!$B:$B,0),1)</f>
        <v>15.45498694366443</v>
      </c>
      <c r="E32" s="53">
        <f>'Table 2A BaseLoad'!E51-INDEX('Table 10'!$E:$E,MATCH($A13,'Table 10'!$B:$B,0),1)</f>
        <v>13.144474244978504</v>
      </c>
      <c r="F32" s="53">
        <f>'Table 2A BaseLoad'!F51-INDEX('Table 10'!$E:$E,MATCH($A13,'Table 10'!$B:$B,0),1)</f>
        <v>10.845364509249677</v>
      </c>
      <c r="G32" s="53">
        <f>'Table 2A BaseLoad'!G51-INDEX('Table 10'!$E:$E,MATCH($A13,'Table 10'!$B:$B,0),1)</f>
        <v>10.116952693937787</v>
      </c>
      <c r="H32" s="53">
        <f>'Table 2A BaseLoad'!H51-INDEX('Table 10'!$E:$E,MATCH($A13,'Table 10'!$B:$B,0),1)</f>
        <v>19.883799900371759</v>
      </c>
      <c r="I32" s="53">
        <f>'Table 2A BaseLoad'!I51-INDEX('Table 10'!$E:$E,MATCH($A13,'Table 10'!$B:$B,0),1)</f>
        <v>16.861383466423938</v>
      </c>
      <c r="J32" s="53">
        <f>'Table 2A BaseLoad'!J51-INDEX('Table 10'!$E:$E,MATCH($A13,'Table 10'!$B:$B,0),1)</f>
        <v>13.297983856870363</v>
      </c>
      <c r="K32" s="53">
        <f>'Table 2A BaseLoad'!K51-INDEX('Table 10'!$E:$E,MATCH($A13,'Table 10'!$B:$B,0),1)</f>
        <v>16.910269825865981</v>
      </c>
      <c r="L32" s="53">
        <f>'Table 2A BaseLoad'!L51-INDEX('Table 10'!$E:$E,MATCH($A13,'Table 10'!$B:$B,0),1)</f>
        <v>14.801814395047385</v>
      </c>
      <c r="M32" s="54">
        <f>'Table 2A BaseLoad'!M51-INDEX('Table 10'!$E:$E,MATCH($A13,'Table 10'!$B:$B,0),1)</f>
        <v>18.82350357584534</v>
      </c>
      <c r="N32" s="131"/>
      <c r="O32" s="131"/>
      <c r="P32" s="131"/>
      <c r="Q32" s="131"/>
      <c r="R32" s="131"/>
      <c r="S32" s="131"/>
      <c r="T32" s="131"/>
    </row>
    <row r="33" spans="1:24" ht="12.75" customHeight="1" x14ac:dyDescent="0.2">
      <c r="A33" s="51">
        <f t="shared" si="1"/>
        <v>2021</v>
      </c>
      <c r="B33" s="53">
        <f>'Table 2A BaseLoad'!B52-INDEX('Table 10'!$E:$E,MATCH($A14,'Table 10'!$B:$B,0),1)</f>
        <v>16.926729448003499</v>
      </c>
      <c r="C33" s="53">
        <f>'Table 2A BaseLoad'!C52-INDEX('Table 10'!$E:$E,MATCH($A14,'Table 10'!$B:$B,0),1)</f>
        <v>18.868834183328634</v>
      </c>
      <c r="D33" s="53">
        <f>'Table 2A BaseLoad'!D52-INDEX('Table 10'!$E:$E,MATCH($A14,'Table 10'!$B:$B,0),1)</f>
        <v>14.086817761467145</v>
      </c>
      <c r="E33" s="53">
        <f>'Table 2A BaseLoad'!E52-INDEX('Table 10'!$E:$E,MATCH($A14,'Table 10'!$B:$B,0),1)</f>
        <v>12.100089798170412</v>
      </c>
      <c r="F33" s="53">
        <f>'Table 2A BaseLoad'!F52-INDEX('Table 10'!$E:$E,MATCH($A14,'Table 10'!$B:$B,0),1)</f>
        <v>10.310203486708119</v>
      </c>
      <c r="G33" s="53">
        <f>'Table 2A BaseLoad'!G52-INDEX('Table 10'!$E:$E,MATCH($A14,'Table 10'!$B:$B,0),1)</f>
        <v>10.20210679793588</v>
      </c>
      <c r="H33" s="53">
        <f>'Table 2A BaseLoad'!H52-INDEX('Table 10'!$E:$E,MATCH($A14,'Table 10'!$B:$B,0),1)</f>
        <v>20.34831771027207</v>
      </c>
      <c r="I33" s="53">
        <f>'Table 2A BaseLoad'!I52-INDEX('Table 10'!$E:$E,MATCH($A14,'Table 10'!$B:$B,0),1)</f>
        <v>16.327969591159142</v>
      </c>
      <c r="J33" s="53">
        <f>'Table 2A BaseLoad'!J52-INDEX('Table 10'!$E:$E,MATCH($A14,'Table 10'!$B:$B,0),1)</f>
        <v>13.052112028546341</v>
      </c>
      <c r="K33" s="53">
        <f>'Table 2A BaseLoad'!K52-INDEX('Table 10'!$E:$E,MATCH($A14,'Table 10'!$B:$B,0),1)</f>
        <v>17.568121872117786</v>
      </c>
      <c r="L33" s="53">
        <f>'Table 2A BaseLoad'!L52-INDEX('Table 10'!$E:$E,MATCH($A14,'Table 10'!$B:$B,0),1)</f>
        <v>16.372864910382216</v>
      </c>
      <c r="M33" s="54">
        <f>'Table 2A BaseLoad'!M52-INDEX('Table 10'!$E:$E,MATCH($A14,'Table 10'!$B:$B,0),1)</f>
        <v>21.692291901472764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12.75" customHeight="1" x14ac:dyDescent="0.2">
      <c r="A34" s="51">
        <f t="shared" si="1"/>
        <v>2022</v>
      </c>
      <c r="B34" s="53">
        <f>'Table 2A BaseLoad'!B53-INDEX('Table 10'!$E:$E,MATCH($A15,'Table 10'!$B:$B,0),1)</f>
        <v>19.248912291544027</v>
      </c>
      <c r="C34" s="53">
        <f>'Table 2A BaseLoad'!C53-INDEX('Table 10'!$E:$E,MATCH($A15,'Table 10'!$B:$B,0),1)</f>
        <v>18.308142747014383</v>
      </c>
      <c r="D34" s="53">
        <f>'Table 2A BaseLoad'!D53-INDEX('Table 10'!$E:$E,MATCH($A15,'Table 10'!$B:$B,0),1)</f>
        <v>16.834353840117327</v>
      </c>
      <c r="E34" s="53">
        <f>'Table 2A BaseLoad'!E53-INDEX('Table 10'!$E:$E,MATCH($A15,'Table 10'!$B:$B,0),1)</f>
        <v>13.439972055024329</v>
      </c>
      <c r="F34" s="53">
        <f>'Table 2A BaseLoad'!F53-INDEX('Table 10'!$E:$E,MATCH($A15,'Table 10'!$B:$B,0),1)</f>
        <v>11.830342096989483</v>
      </c>
      <c r="G34" s="53">
        <f>'Table 2A BaseLoad'!G53-INDEX('Table 10'!$E:$E,MATCH($A15,'Table 10'!$B:$B,0),1)</f>
        <v>11.577742717711807</v>
      </c>
      <c r="H34" s="53">
        <f>'Table 2A BaseLoad'!H53-INDEX('Table 10'!$E:$E,MATCH($A15,'Table 10'!$B:$B,0),1)</f>
        <v>22.881043239380148</v>
      </c>
      <c r="I34" s="53">
        <f>'Table 2A BaseLoad'!I53-INDEX('Table 10'!$E:$E,MATCH($A15,'Table 10'!$B:$B,0),1)</f>
        <v>19.185769088205348</v>
      </c>
      <c r="J34" s="53">
        <f>'Table 2A BaseLoad'!J53-INDEX('Table 10'!$E:$E,MATCH($A15,'Table 10'!$B:$B,0),1)</f>
        <v>15.017529510708348</v>
      </c>
      <c r="K34" s="53">
        <f>'Table 2A BaseLoad'!K53-INDEX('Table 10'!$E:$E,MATCH($A15,'Table 10'!$B:$B,0),1)</f>
        <v>19.592243546714855</v>
      </c>
      <c r="L34" s="53">
        <f>'Table 2A BaseLoad'!L53-INDEX('Table 10'!$E:$E,MATCH($A15,'Table 10'!$B:$B,0),1)</f>
        <v>18.591269181350597</v>
      </c>
      <c r="M34" s="54">
        <f>'Table 2A BaseLoad'!M53-INDEX('Table 10'!$E:$E,MATCH($A15,'Table 10'!$B:$B,0),1)</f>
        <v>23.118540694595175</v>
      </c>
      <c r="N34" s="131"/>
      <c r="O34" s="131"/>
      <c r="P34" s="131"/>
      <c r="Q34" s="131"/>
      <c r="R34" s="131"/>
      <c r="S34" s="131"/>
      <c r="T34" s="131"/>
    </row>
    <row r="35" spans="1:24" ht="12.75" customHeight="1" x14ac:dyDescent="0.2">
      <c r="A35" s="51">
        <f t="shared" si="1"/>
        <v>2023</v>
      </c>
      <c r="B35" s="53">
        <f>'Table 2A BaseLoad'!B54-INDEX('Table 10'!$E:$E,MATCH($A16,'Table 10'!$B:$B,0),1)</f>
        <v>20.248471078412024</v>
      </c>
      <c r="C35" s="53">
        <f>'Table 2A BaseLoad'!C54-INDEX('Table 10'!$E:$E,MATCH($A16,'Table 10'!$B:$B,0),1)</f>
        <v>18.33703394085224</v>
      </c>
      <c r="D35" s="53">
        <f>'Table 2A BaseLoad'!D54-INDEX('Table 10'!$E:$E,MATCH($A16,'Table 10'!$B:$B,0),1)</f>
        <v>17.405464870797864</v>
      </c>
      <c r="E35" s="53">
        <f>'Table 2A BaseLoad'!E54-INDEX('Table 10'!$E:$E,MATCH($A16,'Table 10'!$B:$B,0),1)</f>
        <v>15.410973828253038</v>
      </c>
      <c r="F35" s="53">
        <f>'Table 2A BaseLoad'!F54-INDEX('Table 10'!$E:$E,MATCH($A16,'Table 10'!$B:$B,0),1)</f>
        <v>15.097697322221215</v>
      </c>
      <c r="G35" s="53">
        <f>'Table 2A BaseLoad'!G54-INDEX('Table 10'!$E:$E,MATCH($A16,'Table 10'!$B:$B,0),1)</f>
        <v>14.604464168387103</v>
      </c>
      <c r="H35" s="53">
        <f>'Table 2A BaseLoad'!H54-INDEX('Table 10'!$E:$E,MATCH($A16,'Table 10'!$B:$B,0),1)</f>
        <v>27.238471585841726</v>
      </c>
      <c r="I35" s="53">
        <f>'Table 2A BaseLoad'!I54-INDEX('Table 10'!$E:$E,MATCH($A16,'Table 10'!$B:$B,0),1)</f>
        <v>20.297932900571663</v>
      </c>
      <c r="J35" s="53">
        <f>'Table 2A BaseLoad'!J54-INDEX('Table 10'!$E:$E,MATCH($A16,'Table 10'!$B:$B,0),1)</f>
        <v>17.547963041282632</v>
      </c>
      <c r="K35" s="53">
        <f>'Table 2A BaseLoad'!K54-INDEX('Table 10'!$E:$E,MATCH($A16,'Table 10'!$B:$B,0),1)</f>
        <v>21.866771124802316</v>
      </c>
      <c r="L35" s="53">
        <f>'Table 2A BaseLoad'!L54-INDEX('Table 10'!$E:$E,MATCH($A16,'Table 10'!$B:$B,0),1)</f>
        <v>16.092333551747679</v>
      </c>
      <c r="M35" s="54">
        <f>'Table 2A BaseLoad'!M54-INDEX('Table 10'!$E:$E,MATCH($A16,'Table 10'!$B:$B,0),1)</f>
        <v>25.83282444645647</v>
      </c>
      <c r="N35" s="131"/>
      <c r="O35" s="131"/>
      <c r="P35" s="131"/>
      <c r="Q35" s="131"/>
      <c r="R35" s="131"/>
      <c r="S35" s="131"/>
      <c r="T35" s="131"/>
    </row>
    <row r="36" spans="1:24" ht="12.75" customHeight="1" x14ac:dyDescent="0.2">
      <c r="A36" s="51">
        <f t="shared" si="1"/>
        <v>2024</v>
      </c>
      <c r="B36" s="53">
        <f>'Table 2A BaseLoad'!B55-INDEX('Table 10'!$E:$E,MATCH($A17,'Table 10'!$B:$B,0),1)</f>
        <v>23.40387397712848</v>
      </c>
      <c r="C36" s="53">
        <f>'Table 2A BaseLoad'!C55-INDEX('Table 10'!$E:$E,MATCH($A17,'Table 10'!$B:$B,0),1)</f>
        <v>19.722367388467319</v>
      </c>
      <c r="D36" s="53">
        <f>'Table 2A BaseLoad'!D55-INDEX('Table 10'!$E:$E,MATCH($A17,'Table 10'!$B:$B,0),1)</f>
        <v>19.982419232540547</v>
      </c>
      <c r="E36" s="53">
        <f>'Table 2A BaseLoad'!E55-INDEX('Table 10'!$E:$E,MATCH($A17,'Table 10'!$B:$B,0),1)</f>
        <v>16.619201471068433</v>
      </c>
      <c r="F36" s="53">
        <f>'Table 2A BaseLoad'!F55-INDEX('Table 10'!$E:$E,MATCH($A17,'Table 10'!$B:$B,0),1)</f>
        <v>19.902526289492155</v>
      </c>
      <c r="G36" s="53">
        <f>'Table 2A BaseLoad'!G55-INDEX('Table 10'!$E:$E,MATCH($A17,'Table 10'!$B:$B,0),1)</f>
        <v>18.557776693091558</v>
      </c>
      <c r="H36" s="53">
        <f>'Table 2A BaseLoad'!H55-INDEX('Table 10'!$E:$E,MATCH($A17,'Table 10'!$B:$B,0),1)</f>
        <v>30.901060881869412</v>
      </c>
      <c r="I36" s="53">
        <f>'Table 2A BaseLoad'!I55-INDEX('Table 10'!$E:$E,MATCH($A17,'Table 10'!$B:$B,0),1)</f>
        <v>13.678329360029714</v>
      </c>
      <c r="J36" s="53">
        <f>'Table 2A BaseLoad'!J55-INDEX('Table 10'!$E:$E,MATCH($A17,'Table 10'!$B:$B,0),1)</f>
        <v>30.923228838557662</v>
      </c>
      <c r="K36" s="53">
        <f>'Table 2A BaseLoad'!K55-INDEX('Table 10'!$E:$E,MATCH($A17,'Table 10'!$B:$B,0),1)</f>
        <v>24.685293335265516</v>
      </c>
      <c r="L36" s="53">
        <f>'Table 2A BaseLoad'!L55-INDEX('Table 10'!$E:$E,MATCH($A17,'Table 10'!$B:$B,0),1)</f>
        <v>21.995368517845407</v>
      </c>
      <c r="M36" s="54">
        <f>'Table 2A BaseLoad'!M55-INDEX('Table 10'!$E:$E,MATCH($A17,'Table 10'!$B:$B,0),1)</f>
        <v>28.237642832959555</v>
      </c>
      <c r="N36" s="131"/>
      <c r="O36" s="131"/>
      <c r="P36" s="131"/>
      <c r="Q36" s="131"/>
      <c r="R36" s="131"/>
      <c r="S36" s="131"/>
      <c r="T36" s="131"/>
    </row>
    <row r="37" spans="1:24" ht="12.75" customHeight="1" x14ac:dyDescent="0.2">
      <c r="A37" s="51">
        <f t="shared" si="1"/>
        <v>2025</v>
      </c>
      <c r="B37" s="53">
        <f>'Table 2A BaseLoad'!B56-INDEX('Table 10'!$E:$E,MATCH($A18,'Table 10'!$B:$B,0),1)</f>
        <v>25.850510448773818</v>
      </c>
      <c r="C37" s="53">
        <f>'Table 2A BaseLoad'!C56-INDEX('Table 10'!$E:$E,MATCH($A18,'Table 10'!$B:$B,0),1)</f>
        <v>24.964990398576422</v>
      </c>
      <c r="D37" s="53">
        <f>'Table 2A BaseLoad'!D56-INDEX('Table 10'!$E:$E,MATCH($A18,'Table 10'!$B:$B,0),1)</f>
        <v>22.190349833142985</v>
      </c>
      <c r="E37" s="53">
        <f>'Table 2A BaseLoad'!E56-INDEX('Table 10'!$E:$E,MATCH($A18,'Table 10'!$B:$B,0),1)</f>
        <v>19.497964313036039</v>
      </c>
      <c r="F37" s="53">
        <f>'Table 2A BaseLoad'!F56-INDEX('Table 10'!$E:$E,MATCH($A18,'Table 10'!$B:$B,0),1)</f>
        <v>21.037267166155196</v>
      </c>
      <c r="G37" s="53">
        <f>'Table 2A BaseLoad'!G56-INDEX('Table 10'!$E:$E,MATCH($A18,'Table 10'!$B:$B,0),1)</f>
        <v>18.796515508165026</v>
      </c>
      <c r="H37" s="53">
        <f>'Table 2A BaseLoad'!H56-INDEX('Table 10'!$E:$E,MATCH($A18,'Table 10'!$B:$B,0),1)</f>
        <v>33.057473265442638</v>
      </c>
      <c r="I37" s="53">
        <f>'Table 2A BaseLoad'!I56-INDEX('Table 10'!$E:$E,MATCH($A18,'Table 10'!$B:$B,0),1)</f>
        <v>26.371439350340552</v>
      </c>
      <c r="J37" s="53">
        <f>'Table 2A BaseLoad'!J56-INDEX('Table 10'!$E:$E,MATCH($A18,'Table 10'!$B:$B,0),1)</f>
        <v>27.823620788440984</v>
      </c>
      <c r="K37" s="53">
        <f>'Table 2A BaseLoad'!K56-INDEX('Table 10'!$E:$E,MATCH($A18,'Table 10'!$B:$B,0),1)</f>
        <v>23.86888059554834</v>
      </c>
      <c r="L37" s="53">
        <f>'Table 2A BaseLoad'!L56-INDEX('Table 10'!$E:$E,MATCH($A18,'Table 10'!$B:$B,0),1)</f>
        <v>21.516471658628522</v>
      </c>
      <c r="M37" s="54">
        <f>'Table 2A BaseLoad'!M56-INDEX('Table 10'!$E:$E,MATCH($A18,'Table 10'!$B:$B,0),1)</f>
        <v>29.093675266348619</v>
      </c>
      <c r="N37" s="131"/>
      <c r="O37" s="131"/>
      <c r="P37" s="131"/>
      <c r="Q37" s="131"/>
      <c r="R37" s="131"/>
      <c r="S37" s="131"/>
      <c r="T37" s="131"/>
    </row>
    <row r="38" spans="1:24" ht="12.75" customHeight="1" x14ac:dyDescent="0.2">
      <c r="A38" s="51">
        <f t="shared" si="1"/>
        <v>2026</v>
      </c>
      <c r="B38" s="53">
        <f>'Table 2A BaseLoad'!B57-INDEX('Table 10'!$E:$E,MATCH($A19,'Table 10'!$B:$B,0),1)</f>
        <v>28.087897019856506</v>
      </c>
      <c r="C38" s="53">
        <f>'Table 2A BaseLoad'!C57-INDEX('Table 10'!$E:$E,MATCH($A19,'Table 10'!$B:$B,0),1)</f>
        <v>55.031743528491198</v>
      </c>
      <c r="D38" s="53">
        <f>'Table 2A BaseLoad'!D57-INDEX('Table 10'!$E:$E,MATCH($A19,'Table 10'!$B:$B,0),1)</f>
        <v>22.559894236568688</v>
      </c>
      <c r="E38" s="53">
        <f>'Table 2A BaseLoad'!E57-INDEX('Table 10'!$E:$E,MATCH($A19,'Table 10'!$B:$B,0),1)</f>
        <v>20.338898559721919</v>
      </c>
      <c r="F38" s="53">
        <f>'Table 2A BaseLoad'!F57-INDEX('Table 10'!$E:$E,MATCH($A19,'Table 10'!$B:$B,0),1)</f>
        <v>21.468037899055908</v>
      </c>
      <c r="G38" s="53">
        <f>'Table 2A BaseLoad'!G57-INDEX('Table 10'!$E:$E,MATCH($A19,'Table 10'!$B:$B,0),1)</f>
        <v>20.563998080980635</v>
      </c>
      <c r="H38" s="53">
        <f>'Table 2A BaseLoad'!H57-INDEX('Table 10'!$E:$E,MATCH($A19,'Table 10'!$B:$B,0),1)</f>
        <v>34.026232195595796</v>
      </c>
      <c r="I38" s="53">
        <f>'Table 2A BaseLoad'!I57-INDEX('Table 10'!$E:$E,MATCH($A19,'Table 10'!$B:$B,0),1)</f>
        <v>26.31372323472446</v>
      </c>
      <c r="J38" s="53">
        <f>'Table 2A BaseLoad'!J57-INDEX('Table 10'!$E:$E,MATCH($A19,'Table 10'!$B:$B,0),1)</f>
        <v>22.961833756197706</v>
      </c>
      <c r="K38" s="53">
        <f>'Table 2A BaseLoad'!K57-INDEX('Table 10'!$E:$E,MATCH($A19,'Table 10'!$B:$B,0),1)</f>
        <v>26.806469128502449</v>
      </c>
      <c r="L38" s="53">
        <f>'Table 2A BaseLoad'!L57-INDEX('Table 10'!$E:$E,MATCH($A19,'Table 10'!$B:$B,0),1)</f>
        <v>22.981522943209622</v>
      </c>
      <c r="M38" s="54">
        <f>'Table 2A BaseLoad'!M57-INDEX('Table 10'!$E:$E,MATCH($A19,'Table 10'!$B:$B,0),1)</f>
        <v>27.794406863549135</v>
      </c>
      <c r="N38" s="131"/>
      <c r="O38" s="131"/>
      <c r="P38" s="131"/>
      <c r="Q38" s="131"/>
      <c r="R38" s="131"/>
      <c r="S38" s="131"/>
      <c r="T38" s="131"/>
    </row>
    <row r="39" spans="1:24" ht="12.75" customHeight="1" x14ac:dyDescent="0.2">
      <c r="A39" s="51">
        <f t="shared" si="1"/>
        <v>2027</v>
      </c>
      <c r="B39" s="53">
        <f>'Table 2A BaseLoad'!B58-INDEX('Table 10'!$E:$E,MATCH($A20,'Table 10'!$B:$B,0),1)</f>
        <v>26.106109471477978</v>
      </c>
      <c r="C39" s="53">
        <f>'Table 2A BaseLoad'!C58-INDEX('Table 10'!$E:$E,MATCH($A20,'Table 10'!$B:$B,0),1)</f>
        <v>24.979702374414636</v>
      </c>
      <c r="D39" s="53">
        <f>'Table 2A BaseLoad'!D58-INDEX('Table 10'!$E:$E,MATCH($A20,'Table 10'!$B:$B,0),1)</f>
        <v>24.302526009796512</v>
      </c>
      <c r="E39" s="53">
        <f>'Table 2A BaseLoad'!E58-INDEX('Table 10'!$E:$E,MATCH($A20,'Table 10'!$B:$B,0),1)</f>
        <v>22.529337921134896</v>
      </c>
      <c r="F39" s="53">
        <f>'Table 2A BaseLoad'!F58-INDEX('Table 10'!$E:$E,MATCH($A20,'Table 10'!$B:$B,0),1)</f>
        <v>23.202420620481011</v>
      </c>
      <c r="G39" s="53">
        <f>'Table 2A BaseLoad'!G58-INDEX('Table 10'!$E:$E,MATCH($A20,'Table 10'!$B:$B,0),1)</f>
        <v>21.860583519179237</v>
      </c>
      <c r="H39" s="53">
        <f>'Table 2A BaseLoad'!H58-INDEX('Table 10'!$E:$E,MATCH($A20,'Table 10'!$B:$B,0),1)</f>
        <v>35.921680125571633</v>
      </c>
      <c r="I39" s="53">
        <f>'Table 2A BaseLoad'!I58-INDEX('Table 10'!$E:$E,MATCH($A20,'Table 10'!$B:$B,0),1)</f>
        <v>28.211144291583135</v>
      </c>
      <c r="J39" s="53">
        <f>'Table 2A BaseLoad'!J58-INDEX('Table 10'!$E:$E,MATCH($A20,'Table 10'!$B:$B,0),1)</f>
        <v>23.147346563226961</v>
      </c>
      <c r="K39" s="53">
        <f>'Table 2A BaseLoad'!K58-INDEX('Table 10'!$E:$E,MATCH($A20,'Table 10'!$B:$B,0),1)</f>
        <v>26.215358468583226</v>
      </c>
      <c r="L39" s="53">
        <f>'Table 2A BaseLoad'!L58-INDEX('Table 10'!$E:$E,MATCH($A20,'Table 10'!$B:$B,0),1)</f>
        <v>23.009903224273788</v>
      </c>
      <c r="M39" s="54">
        <f>'Table 2A BaseLoad'!M58-INDEX('Table 10'!$E:$E,MATCH($A20,'Table 10'!$B:$B,0),1)</f>
        <v>26.225970691887063</v>
      </c>
      <c r="N39" s="131"/>
      <c r="O39" s="131"/>
      <c r="P39" s="131"/>
      <c r="Q39" s="131"/>
      <c r="R39" s="131"/>
      <c r="S39" s="131"/>
      <c r="T39" s="131"/>
    </row>
    <row r="40" spans="1:24" ht="12.75" customHeight="1" x14ac:dyDescent="0.2">
      <c r="A40" s="51">
        <f t="shared" si="1"/>
        <v>2028</v>
      </c>
      <c r="B40" s="53">
        <f>'Table 2A BaseLoad'!B59-INDEX('Table 10'!$E:$E,MATCH($A21,'Table 10'!$B:$B,0),1)</f>
        <v>29.721965813850744</v>
      </c>
      <c r="C40" s="53">
        <f>'Table 2A BaseLoad'!C59-INDEX('Table 10'!$E:$E,MATCH($A21,'Table 10'!$B:$B,0),1)</f>
        <v>30.304274005422648</v>
      </c>
      <c r="D40" s="53">
        <f>'Table 2A BaseLoad'!D59-INDEX('Table 10'!$E:$E,MATCH($A21,'Table 10'!$B:$B,0),1)</f>
        <v>28.064008022232937</v>
      </c>
      <c r="E40" s="53">
        <f>'Table 2A BaseLoad'!E59-INDEX('Table 10'!$E:$E,MATCH($A21,'Table 10'!$B:$B,0),1)</f>
        <v>26.263475125144733</v>
      </c>
      <c r="F40" s="53">
        <f>'Table 2A BaseLoad'!F59-INDEX('Table 10'!$E:$E,MATCH($A21,'Table 10'!$B:$B,0),1)</f>
        <v>27.627001101075621</v>
      </c>
      <c r="G40" s="53">
        <f>'Table 2A BaseLoad'!G59-INDEX('Table 10'!$E:$E,MATCH($A21,'Table 10'!$B:$B,0),1)</f>
        <v>25.99283115990286</v>
      </c>
      <c r="H40" s="53">
        <f>'Table 2A BaseLoad'!H59-INDEX('Table 10'!$E:$E,MATCH($A21,'Table 10'!$B:$B,0),1)</f>
        <v>40.888459796346162</v>
      </c>
      <c r="I40" s="53">
        <f>'Table 2A BaseLoad'!I59-INDEX('Table 10'!$E:$E,MATCH($A21,'Table 10'!$B:$B,0),1)</f>
        <v>35.823977845802311</v>
      </c>
      <c r="J40" s="53">
        <f>'Table 2A BaseLoad'!J59-INDEX('Table 10'!$E:$E,MATCH($A21,'Table 10'!$B:$B,0),1)</f>
        <v>30.279226381628696</v>
      </c>
      <c r="K40" s="53">
        <f>'Table 2A BaseLoad'!K59-INDEX('Table 10'!$E:$E,MATCH($A21,'Table 10'!$B:$B,0),1)</f>
        <v>31.95183769355652</v>
      </c>
      <c r="L40" s="53">
        <f>'Table 2A BaseLoad'!L59-INDEX('Table 10'!$E:$E,MATCH($A21,'Table 10'!$B:$B,0),1)</f>
        <v>29.075008421905743</v>
      </c>
      <c r="M40" s="54">
        <f>'Table 2A BaseLoad'!M59-INDEX('Table 10'!$E:$E,MATCH($A21,'Table 10'!$B:$B,0),1)</f>
        <v>38.993575490157532</v>
      </c>
      <c r="N40" s="132"/>
      <c r="O40" s="132"/>
      <c r="P40" s="132"/>
      <c r="Q40" s="132"/>
      <c r="R40" s="132"/>
      <c r="S40" s="132"/>
      <c r="T40" s="132"/>
    </row>
    <row r="41" spans="1:24" ht="12.75" hidden="1" customHeight="1" x14ac:dyDescent="0.2">
      <c r="A41" s="51">
        <f t="shared" si="1"/>
        <v>2029</v>
      </c>
      <c r="B41" s="53" t="e">
        <f>'Table 2A BaseLoad'!B60-INDEX('Table 10'!$E:$E,MATCH($A22,'Table 10'!$B:$B,0),1)</f>
        <v>#N/A</v>
      </c>
      <c r="C41" s="53" t="e">
        <f>'Table 2A BaseLoad'!C60-INDEX('Table 10'!$E:$E,MATCH($A22,'Table 10'!$B:$B,0),1)</f>
        <v>#N/A</v>
      </c>
      <c r="D41" s="53" t="e">
        <f>'Table 2A BaseLoad'!D60-INDEX('Table 10'!$E:$E,MATCH($A22,'Table 10'!$B:$B,0),1)</f>
        <v>#N/A</v>
      </c>
      <c r="E41" s="53" t="e">
        <f>'Table 2A BaseLoad'!E60-INDEX('Table 10'!$E:$E,MATCH($A22,'Table 10'!$B:$B,0),1)</f>
        <v>#N/A</v>
      </c>
      <c r="F41" s="53" t="e">
        <f>'Table 2A BaseLoad'!F60-INDEX('Table 10'!$E:$E,MATCH($A22,'Table 10'!$B:$B,0),1)</f>
        <v>#N/A</v>
      </c>
      <c r="G41" s="53" t="e">
        <f>'Table 2A BaseLoad'!G60-INDEX('Table 10'!$E:$E,MATCH($A22,'Table 10'!$B:$B,0),1)</f>
        <v>#N/A</v>
      </c>
      <c r="H41" s="53" t="e">
        <f>'Table 2A BaseLoad'!H60-INDEX('Table 10'!$E:$E,MATCH($A22,'Table 10'!$B:$B,0),1)</f>
        <v>#N/A</v>
      </c>
      <c r="I41" s="53" t="e">
        <f>'Table 2A BaseLoad'!I60-INDEX('Table 10'!$E:$E,MATCH($A22,'Table 10'!$B:$B,0),1)</f>
        <v>#N/A</v>
      </c>
      <c r="J41" s="53" t="e">
        <f>'Table 2A BaseLoad'!J60-INDEX('Table 10'!$E:$E,MATCH($A22,'Table 10'!$B:$B,0),1)</f>
        <v>#N/A</v>
      </c>
      <c r="K41" s="53" t="e">
        <f>'Table 2A BaseLoad'!K60-INDEX('Table 10'!$E:$E,MATCH($A22,'Table 10'!$B:$B,0),1)</f>
        <v>#N/A</v>
      </c>
      <c r="L41" s="53" t="e">
        <f>'Table 2A BaseLoad'!L60-INDEX('Table 10'!$E:$E,MATCH($A22,'Table 10'!$B:$B,0),1)</f>
        <v>#N/A</v>
      </c>
      <c r="M41" s="54" t="e">
        <f>'Table 2A BaseLoad'!M60-INDEX('Table 10'!$E:$E,MATCH($A22,'Table 10'!$B:$B,0),1)</f>
        <v>#N/A</v>
      </c>
    </row>
    <row r="42" spans="1:24" ht="12.75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24" ht="12.75" hidden="1" customHeight="1" x14ac:dyDescent="0.2">
      <c r="A43" s="51"/>
      <c r="B43" s="52"/>
      <c r="C43" s="53"/>
      <c r="D43" s="53"/>
      <c r="E43" s="53"/>
      <c r="F43" s="53"/>
      <c r="G43" s="52"/>
      <c r="H43" s="53"/>
      <c r="I43" s="53"/>
      <c r="J43" s="53"/>
      <c r="K43" s="52"/>
      <c r="L43" s="53"/>
      <c r="M43" s="54"/>
    </row>
    <row r="44" spans="1:24" ht="12.75" hidden="1" customHeight="1" x14ac:dyDescent="0.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24" ht="12.75" hidden="1" customHeight="1" x14ac:dyDescent="0.2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24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24" ht="12.75" customHeight="1" x14ac:dyDescent="0.2">
      <c r="A47" s="12" t="s">
        <v>220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24" ht="12.75" customHeight="1" x14ac:dyDescent="0.2">
      <c r="A48" s="489">
        <v>2017</v>
      </c>
      <c r="B48" s="333"/>
      <c r="C48" s="333"/>
      <c r="D48" s="333"/>
      <c r="E48" s="333"/>
      <c r="F48" s="333"/>
      <c r="G48" s="333">
        <f t="shared" ref="F48:G49" si="2">G10*0.56+G29*0.44</f>
        <v>21.298489417567644</v>
      </c>
      <c r="H48" s="333">
        <f t="shared" ref="H48:M60" si="3">H10*0.56+H29*0.44</f>
        <v>20.220672206129525</v>
      </c>
      <c r="I48" s="333">
        <f t="shared" si="3"/>
        <v>21.92241744870671</v>
      </c>
      <c r="J48" s="333">
        <f t="shared" si="3"/>
        <v>19.982511597429408</v>
      </c>
      <c r="K48" s="333">
        <f t="shared" si="3"/>
        <v>20.704084098962312</v>
      </c>
      <c r="L48" s="333">
        <f t="shared" si="3"/>
        <v>21.506566238099701</v>
      </c>
      <c r="M48" s="334">
        <f t="shared" si="3"/>
        <v>25.864794923552694</v>
      </c>
    </row>
    <row r="49" spans="1:13" ht="12.75" customHeight="1" x14ac:dyDescent="0.2">
      <c r="A49" s="492">
        <f>'Tables 3 to 5'!$B$14</f>
        <v>2018</v>
      </c>
      <c r="B49" s="53">
        <f t="shared" ref="B49:E49" si="4">B11*0.56+B30*0.44</f>
        <v>25.256049357877046</v>
      </c>
      <c r="C49" s="53">
        <f t="shared" si="4"/>
        <v>23.845938020811744</v>
      </c>
      <c r="D49" s="53">
        <f t="shared" si="4"/>
        <v>21.252241401165804</v>
      </c>
      <c r="E49" s="53">
        <f t="shared" si="4"/>
        <v>17.361030232912434</v>
      </c>
      <c r="F49" s="53">
        <f t="shared" si="2"/>
        <v>16.01067407572868</v>
      </c>
      <c r="G49" s="53">
        <f t="shared" si="2"/>
        <v>16.055697652367037</v>
      </c>
      <c r="H49" s="53">
        <f t="shared" si="3"/>
        <v>20.945239330659206</v>
      </c>
      <c r="I49" s="53">
        <f t="shared" si="3"/>
        <v>21.035862233869846</v>
      </c>
      <c r="J49" s="53">
        <f t="shared" si="3"/>
        <v>18.276144944580324</v>
      </c>
      <c r="K49" s="53">
        <f t="shared" si="3"/>
        <v>18.022766853334105</v>
      </c>
      <c r="L49" s="53">
        <f t="shared" si="3"/>
        <v>18.538174888593691</v>
      </c>
      <c r="M49" s="54">
        <f t="shared" si="3"/>
        <v>20.854792065307514</v>
      </c>
    </row>
    <row r="50" spans="1:13" ht="12.75" customHeight="1" x14ac:dyDescent="0.2">
      <c r="A50" s="51">
        <f t="shared" ref="A50:A60" si="5">A49+1</f>
        <v>2019</v>
      </c>
      <c r="B50" s="53">
        <f t="shared" ref="B50:G60" si="6">B12*0.56+B31*0.44</f>
        <v>20.914749401583755</v>
      </c>
      <c r="C50" s="53">
        <f t="shared" si="6"/>
        <v>18.367518949699054</v>
      </c>
      <c r="D50" s="53">
        <f t="shared" si="6"/>
        <v>17.760743181531552</v>
      </c>
      <c r="E50" s="53">
        <f t="shared" si="6"/>
        <v>15.759275298802098</v>
      </c>
      <c r="F50" s="53">
        <f t="shared" si="6"/>
        <v>14.551865186270206</v>
      </c>
      <c r="G50" s="53">
        <f t="shared" si="6"/>
        <v>16.331666071462749</v>
      </c>
      <c r="H50" s="53">
        <f t="shared" si="3"/>
        <v>25.195047378469475</v>
      </c>
      <c r="I50" s="53">
        <f t="shared" si="3"/>
        <v>21.518486573772144</v>
      </c>
      <c r="J50" s="53">
        <f t="shared" si="3"/>
        <v>19.188523820881986</v>
      </c>
      <c r="K50" s="53">
        <f t="shared" si="3"/>
        <v>19.143021303940973</v>
      </c>
      <c r="L50" s="53">
        <f t="shared" si="3"/>
        <v>17.7881177614893</v>
      </c>
      <c r="M50" s="54">
        <f t="shared" si="3"/>
        <v>21.164402042948581</v>
      </c>
    </row>
    <row r="51" spans="1:13" ht="12.75" customHeight="1" x14ac:dyDescent="0.2">
      <c r="A51" s="51">
        <f t="shared" si="5"/>
        <v>2020</v>
      </c>
      <c r="B51" s="53">
        <f t="shared" si="6"/>
        <v>15.585779079396513</v>
      </c>
      <c r="C51" s="53">
        <f t="shared" si="6"/>
        <v>17.100000555331725</v>
      </c>
      <c r="D51" s="53">
        <f t="shared" si="6"/>
        <v>16.460804891331829</v>
      </c>
      <c r="E51" s="53">
        <f t="shared" si="6"/>
        <v>15.51323062051426</v>
      </c>
      <c r="F51" s="53">
        <f t="shared" si="6"/>
        <v>15.62439476296468</v>
      </c>
      <c r="G51" s="53">
        <f t="shared" si="6"/>
        <v>15.03392521590494</v>
      </c>
      <c r="H51" s="53">
        <f t="shared" si="3"/>
        <v>25.971788998696645</v>
      </c>
      <c r="I51" s="53">
        <f t="shared" si="3"/>
        <v>21.652086067556564</v>
      </c>
      <c r="J51" s="53">
        <f t="shared" si="3"/>
        <v>17.962379301172916</v>
      </c>
      <c r="K51" s="53">
        <f t="shared" si="3"/>
        <v>17.872380158251417</v>
      </c>
      <c r="L51" s="53">
        <f t="shared" si="3"/>
        <v>15.829009133148119</v>
      </c>
      <c r="M51" s="54">
        <f t="shared" si="3"/>
        <v>19.686596800830877</v>
      </c>
    </row>
    <row r="52" spans="1:13" ht="12.75" customHeight="1" x14ac:dyDescent="0.2">
      <c r="A52" s="51">
        <f t="shared" si="5"/>
        <v>2021</v>
      </c>
      <c r="B52" s="53">
        <f t="shared" si="6"/>
        <v>17.752601025650623</v>
      </c>
      <c r="C52" s="53">
        <f t="shared" si="6"/>
        <v>19.895718494849028</v>
      </c>
      <c r="D52" s="53">
        <f t="shared" si="6"/>
        <v>14.702423991580105</v>
      </c>
      <c r="E52" s="53">
        <f t="shared" si="6"/>
        <v>14.090854481263396</v>
      </c>
      <c r="F52" s="53">
        <f t="shared" si="6"/>
        <v>14.399361686592284</v>
      </c>
      <c r="G52" s="53">
        <f t="shared" si="6"/>
        <v>14.672977585867415</v>
      </c>
      <c r="H52" s="53">
        <f t="shared" si="3"/>
        <v>26.233417005228198</v>
      </c>
      <c r="I52" s="53">
        <f t="shared" si="3"/>
        <v>20.719591224068704</v>
      </c>
      <c r="J52" s="53">
        <f t="shared" si="3"/>
        <v>17.342465818580351</v>
      </c>
      <c r="K52" s="53">
        <f t="shared" si="3"/>
        <v>18.299791484786422</v>
      </c>
      <c r="L52" s="53">
        <f t="shared" si="3"/>
        <v>17.233844079611334</v>
      </c>
      <c r="M52" s="54">
        <f t="shared" si="3"/>
        <v>22.395330345559074</v>
      </c>
    </row>
    <row r="53" spans="1:13" ht="12.75" customHeight="1" x14ac:dyDescent="0.2">
      <c r="A53" s="51">
        <f t="shared" si="5"/>
        <v>2022</v>
      </c>
      <c r="B53" s="53">
        <f t="shared" si="6"/>
        <v>20.28390738161</v>
      </c>
      <c r="C53" s="53">
        <f t="shared" si="6"/>
        <v>19.399658374216756</v>
      </c>
      <c r="D53" s="53">
        <f t="shared" si="6"/>
        <v>17.663210625057147</v>
      </c>
      <c r="E53" s="53">
        <f t="shared" si="6"/>
        <v>15.196544363600573</v>
      </c>
      <c r="F53" s="53">
        <f t="shared" si="6"/>
        <v>15.690554119628537</v>
      </c>
      <c r="G53" s="53">
        <f t="shared" si="6"/>
        <v>15.808487943820751</v>
      </c>
      <c r="H53" s="53">
        <f t="shared" si="3"/>
        <v>28.41937023179274</v>
      </c>
      <c r="I53" s="53">
        <f t="shared" si="3"/>
        <v>23.457941498761532</v>
      </c>
      <c r="J53" s="53">
        <f t="shared" si="3"/>
        <v>19.074434343277641</v>
      </c>
      <c r="K53" s="53">
        <f t="shared" si="3"/>
        <v>19.906995394209993</v>
      </c>
      <c r="L53" s="53">
        <f t="shared" si="3"/>
        <v>19.062290017925164</v>
      </c>
      <c r="M53" s="54">
        <f t="shared" si="3"/>
        <v>23.336167057190071</v>
      </c>
    </row>
    <row r="54" spans="1:13" ht="12.75" customHeight="1" x14ac:dyDescent="0.2">
      <c r="A54" s="51">
        <f t="shared" si="5"/>
        <v>2023</v>
      </c>
      <c r="B54" s="53">
        <f t="shared" si="6"/>
        <v>21.433792936497248</v>
      </c>
      <c r="C54" s="53">
        <f t="shared" si="6"/>
        <v>19.518465271365052</v>
      </c>
      <c r="D54" s="53">
        <f t="shared" si="6"/>
        <v>18.356089116720401</v>
      </c>
      <c r="E54" s="53">
        <f t="shared" si="6"/>
        <v>15.789759302147164</v>
      </c>
      <c r="F54" s="53">
        <f t="shared" si="6"/>
        <v>17.59597688476822</v>
      </c>
      <c r="G54" s="53">
        <f t="shared" si="6"/>
        <v>17.299491826251501</v>
      </c>
      <c r="H54" s="53">
        <f t="shared" si="3"/>
        <v>32.664391515883104</v>
      </c>
      <c r="I54" s="53">
        <f t="shared" si="3"/>
        <v>24.275224401109849</v>
      </c>
      <c r="J54" s="53">
        <f t="shared" si="3"/>
        <v>20.83240642073029</v>
      </c>
      <c r="K54" s="53">
        <f t="shared" si="3"/>
        <v>22.888820165186818</v>
      </c>
      <c r="L54" s="53">
        <f t="shared" si="3"/>
        <v>16.919030586691907</v>
      </c>
      <c r="M54" s="54">
        <f t="shared" si="3"/>
        <v>26.741760323404176</v>
      </c>
    </row>
    <row r="55" spans="1:13" ht="12.75" customHeight="1" x14ac:dyDescent="0.2">
      <c r="A55" s="51">
        <f t="shared" si="5"/>
        <v>2024</v>
      </c>
      <c r="B55" s="53">
        <f t="shared" si="6"/>
        <v>24.787345555377485</v>
      </c>
      <c r="C55" s="53">
        <f t="shared" si="6"/>
        <v>20.887855899945507</v>
      </c>
      <c r="D55" s="53">
        <f t="shared" si="6"/>
        <v>20.815681679990391</v>
      </c>
      <c r="E55" s="53">
        <f t="shared" si="6"/>
        <v>17.295200354637011</v>
      </c>
      <c r="F55" s="53">
        <f t="shared" si="6"/>
        <v>21.068776224905822</v>
      </c>
      <c r="G55" s="53">
        <f t="shared" si="6"/>
        <v>19.774584597325941</v>
      </c>
      <c r="H55" s="53">
        <f t="shared" si="3"/>
        <v>36.002586063873721</v>
      </c>
      <c r="I55" s="53">
        <f t="shared" si="3"/>
        <v>16.12122795929427</v>
      </c>
      <c r="J55" s="53">
        <f t="shared" si="3"/>
        <v>34.760346797896034</v>
      </c>
      <c r="K55" s="53">
        <f t="shared" si="3"/>
        <v>26.488532072965903</v>
      </c>
      <c r="L55" s="53">
        <f t="shared" si="3"/>
        <v>23.56928764759169</v>
      </c>
      <c r="M55" s="54">
        <f t="shared" si="3"/>
        <v>29.843094118423963</v>
      </c>
    </row>
    <row r="56" spans="1:13" ht="12.75" customHeight="1" x14ac:dyDescent="0.2">
      <c r="A56" s="51">
        <f t="shared" si="5"/>
        <v>2025</v>
      </c>
      <c r="B56" s="53">
        <f t="shared" si="6"/>
        <v>27.392653778143533</v>
      </c>
      <c r="C56" s="53">
        <f t="shared" si="6"/>
        <v>26.328008596311392</v>
      </c>
      <c r="D56" s="53">
        <f t="shared" si="6"/>
        <v>22.887614544745681</v>
      </c>
      <c r="E56" s="53">
        <f t="shared" si="6"/>
        <v>20.588683299751196</v>
      </c>
      <c r="F56" s="53">
        <f t="shared" si="6"/>
        <v>22.135552342702915</v>
      </c>
      <c r="G56" s="53">
        <f t="shared" si="6"/>
        <v>20.306137620386991</v>
      </c>
      <c r="H56" s="53">
        <f t="shared" si="3"/>
        <v>38.477291105615322</v>
      </c>
      <c r="I56" s="53">
        <f t="shared" si="3"/>
        <v>31.132563817393425</v>
      </c>
      <c r="J56" s="53">
        <f t="shared" si="3"/>
        <v>31.773822613115794</v>
      </c>
      <c r="K56" s="53">
        <f t="shared" si="3"/>
        <v>25.660731589473869</v>
      </c>
      <c r="L56" s="53">
        <f t="shared" si="3"/>
        <v>23.026551003281568</v>
      </c>
      <c r="M56" s="54">
        <f t="shared" si="3"/>
        <v>30.974762717155105</v>
      </c>
    </row>
    <row r="57" spans="1:13" ht="12.75" customHeight="1" x14ac:dyDescent="0.2">
      <c r="A57" s="51">
        <f t="shared" si="5"/>
        <v>2026</v>
      </c>
      <c r="B57" s="53">
        <f t="shared" si="6"/>
        <v>29.839343041051215</v>
      </c>
      <c r="C57" s="53">
        <f t="shared" si="6"/>
        <v>58.132574791853742</v>
      </c>
      <c r="D57" s="53">
        <f t="shared" si="6"/>
        <v>23.220184810683044</v>
      </c>
      <c r="E57" s="53">
        <f t="shared" si="6"/>
        <v>21.261656496029826</v>
      </c>
      <c r="F57" s="53">
        <f t="shared" si="6"/>
        <v>22.677933262035218</v>
      </c>
      <c r="G57" s="53">
        <f t="shared" si="6"/>
        <v>22.32058517643765</v>
      </c>
      <c r="H57" s="53">
        <f t="shared" si="3"/>
        <v>39.545933741882877</v>
      </c>
      <c r="I57" s="53">
        <f t="shared" si="3"/>
        <v>30.89321058817432</v>
      </c>
      <c r="J57" s="53">
        <f t="shared" si="3"/>
        <v>26.015134990625349</v>
      </c>
      <c r="K57" s="53">
        <f t="shared" si="3"/>
        <v>28.676537103713059</v>
      </c>
      <c r="L57" s="53">
        <f t="shared" si="3"/>
        <v>24.604354268920609</v>
      </c>
      <c r="M57" s="54">
        <f t="shared" si="3"/>
        <v>29.536097751660392</v>
      </c>
    </row>
    <row r="58" spans="1:13" ht="12.75" customHeight="1" x14ac:dyDescent="0.2">
      <c r="A58" s="51">
        <f t="shared" si="5"/>
        <v>2027</v>
      </c>
      <c r="B58" s="53">
        <f t="shared" si="6"/>
        <v>27.431793780987828</v>
      </c>
      <c r="C58" s="53">
        <f t="shared" si="6"/>
        <v>26.298937379076513</v>
      </c>
      <c r="D58" s="53">
        <f t="shared" si="6"/>
        <v>24.826239485370579</v>
      </c>
      <c r="E58" s="53">
        <f t="shared" si="6"/>
        <v>23.630222692683837</v>
      </c>
      <c r="F58" s="53">
        <f t="shared" si="6"/>
        <v>24.334366543041948</v>
      </c>
      <c r="G58" s="53">
        <f t="shared" si="6"/>
        <v>23.543262211658444</v>
      </c>
      <c r="H58" s="53">
        <f t="shared" si="3"/>
        <v>41.308827519407728</v>
      </c>
      <c r="I58" s="53">
        <f t="shared" si="3"/>
        <v>32.943207089695306</v>
      </c>
      <c r="J58" s="53">
        <f t="shared" si="3"/>
        <v>25.928755366692119</v>
      </c>
      <c r="K58" s="53">
        <f t="shared" si="3"/>
        <v>28.015616575640792</v>
      </c>
      <c r="L58" s="53">
        <f t="shared" si="3"/>
        <v>24.759692101424243</v>
      </c>
      <c r="M58" s="54">
        <f t="shared" si="3"/>
        <v>27.604961720359952</v>
      </c>
    </row>
    <row r="59" spans="1:13" ht="12.75" customHeight="1" x14ac:dyDescent="0.2">
      <c r="A59" s="51">
        <f t="shared" si="5"/>
        <v>2028</v>
      </c>
      <c r="B59" s="53">
        <f t="shared" si="6"/>
        <v>31.17872529790866</v>
      </c>
      <c r="C59" s="53">
        <f t="shared" si="6"/>
        <v>31.783861754650324</v>
      </c>
      <c r="D59" s="53">
        <f t="shared" si="6"/>
        <v>28.753569915082597</v>
      </c>
      <c r="E59" s="53">
        <f t="shared" si="6"/>
        <v>27.47346794079305</v>
      </c>
      <c r="F59" s="53">
        <f t="shared" si="6"/>
        <v>28.99882024590152</v>
      </c>
      <c r="G59" s="53">
        <f t="shared" si="6"/>
        <v>27.99544486295121</v>
      </c>
      <c r="H59" s="53">
        <f t="shared" si="3"/>
        <v>46.749735473473422</v>
      </c>
      <c r="I59" s="53">
        <f t="shared" si="3"/>
        <v>41.682322883402293</v>
      </c>
      <c r="J59" s="53">
        <f t="shared" si="3"/>
        <v>33.357281920786306</v>
      </c>
      <c r="K59" s="53">
        <f t="shared" si="3"/>
        <v>34.013180154807088</v>
      </c>
      <c r="L59" s="53">
        <f t="shared" si="3"/>
        <v>31.110960381808539</v>
      </c>
      <c r="M59" s="54">
        <f t="shared" si="3"/>
        <v>40.690466313473763</v>
      </c>
    </row>
    <row r="60" spans="1:13" ht="12.75" hidden="1" customHeight="1" x14ac:dyDescent="0.2">
      <c r="A60" s="51">
        <f t="shared" si="5"/>
        <v>2029</v>
      </c>
      <c r="B60" s="53" t="e">
        <f t="shared" si="6"/>
        <v>#N/A</v>
      </c>
      <c r="C60" s="53" t="e">
        <f t="shared" si="6"/>
        <v>#N/A</v>
      </c>
      <c r="D60" s="53" t="e">
        <f t="shared" si="6"/>
        <v>#N/A</v>
      </c>
      <c r="E60" s="53" t="e">
        <f t="shared" si="6"/>
        <v>#N/A</v>
      </c>
      <c r="F60" s="53" t="e">
        <f t="shared" si="6"/>
        <v>#N/A</v>
      </c>
      <c r="G60" s="53" t="e">
        <f t="shared" si="6"/>
        <v>#N/A</v>
      </c>
      <c r="H60" s="53" t="e">
        <f t="shared" si="3"/>
        <v>#N/A</v>
      </c>
      <c r="I60" s="53" t="e">
        <f t="shared" si="3"/>
        <v>#N/A</v>
      </c>
      <c r="J60" s="53" t="e">
        <f t="shared" si="3"/>
        <v>#N/A</v>
      </c>
      <c r="K60" s="53" t="e">
        <f t="shared" si="3"/>
        <v>#N/A</v>
      </c>
      <c r="L60" s="53" t="e">
        <f t="shared" si="3"/>
        <v>#N/A</v>
      </c>
      <c r="M60" s="54" t="e">
        <f t="shared" si="3"/>
        <v>#N/A</v>
      </c>
    </row>
    <row r="61" spans="1:13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13" ht="12.75" hidden="1" customHeight="1" x14ac:dyDescent="0.2">
      <c r="A63" s="51"/>
      <c r="B63" s="52"/>
      <c r="C63" s="53"/>
      <c r="D63" s="53"/>
      <c r="E63" s="53"/>
      <c r="F63" s="53"/>
      <c r="G63" s="52"/>
      <c r="H63" s="53"/>
      <c r="I63" s="53"/>
      <c r="J63" s="53"/>
      <c r="K63" s="52"/>
      <c r="L63" s="53"/>
      <c r="M63" s="54"/>
    </row>
    <row r="64" spans="1:13" ht="12.75" hidden="1" customHeight="1" x14ac:dyDescent="0.2">
      <c r="A64" s="55"/>
      <c r="B64" s="56"/>
      <c r="C64" s="57"/>
      <c r="D64" s="57"/>
      <c r="E64" s="57"/>
      <c r="F64" s="57"/>
      <c r="G64" s="56"/>
      <c r="H64" s="57"/>
      <c r="I64" s="57"/>
      <c r="J64" s="57"/>
      <c r="K64" s="56"/>
      <c r="L64" s="57"/>
      <c r="M64" s="58"/>
    </row>
    <row r="65" spans="1:13" ht="12.75" customHeight="1" x14ac:dyDescent="0.2">
      <c r="A65" s="106"/>
      <c r="B65" s="107"/>
      <c r="C65" s="107"/>
      <c r="D65" s="107"/>
      <c r="E65" s="106"/>
      <c r="F65" s="106"/>
      <c r="G65" s="106"/>
      <c r="H65" s="106"/>
      <c r="I65" s="106"/>
      <c r="J65" s="106"/>
      <c r="K65" s="108"/>
      <c r="L65" s="106"/>
      <c r="M65" s="106"/>
    </row>
    <row r="66" spans="1:13" ht="12.75" customHeight="1" x14ac:dyDescent="0.2">
      <c r="A66" s="12" t="s">
        <v>66</v>
      </c>
      <c r="C66" s="60"/>
      <c r="D66" s="60"/>
      <c r="K66" s="59"/>
    </row>
    <row r="67" spans="1:13" ht="12.75" customHeight="1" x14ac:dyDescent="0.2">
      <c r="A67" s="61" t="s">
        <v>2</v>
      </c>
      <c r="C67" s="62" t="s">
        <v>56</v>
      </c>
      <c r="D67" s="33"/>
      <c r="E67" s="34"/>
      <c r="F67" s="37"/>
      <c r="G67" s="62" t="s">
        <v>57</v>
      </c>
      <c r="H67" s="33"/>
      <c r="I67" s="34"/>
      <c r="J67" s="37"/>
      <c r="K67" s="62" t="s">
        <v>67</v>
      </c>
      <c r="L67" s="33"/>
      <c r="M67" s="34"/>
    </row>
    <row r="68" spans="1:13" s="37" customFormat="1" ht="12.75" customHeight="1" x14ac:dyDescent="0.2">
      <c r="A68" s="47"/>
      <c r="C68" s="17" t="s">
        <v>79</v>
      </c>
      <c r="D68" s="18" t="s">
        <v>1</v>
      </c>
      <c r="E68" s="18" t="s">
        <v>10</v>
      </c>
      <c r="F68" s="47"/>
      <c r="G68" s="17" t="s">
        <v>79</v>
      </c>
      <c r="H68" s="18" t="s">
        <v>1</v>
      </c>
      <c r="I68" s="18" t="s">
        <v>10</v>
      </c>
      <c r="J68" s="47"/>
      <c r="K68" s="17" t="s">
        <v>79</v>
      </c>
      <c r="L68" s="18" t="s">
        <v>1</v>
      </c>
      <c r="M68" s="18" t="s">
        <v>10</v>
      </c>
    </row>
    <row r="69" spans="1:13" s="37" customFormat="1" ht="12.75" customHeight="1" x14ac:dyDescent="0.2">
      <c r="A69" s="63">
        <f t="shared" ref="A69:A81" si="7">A10</f>
        <v>2017</v>
      </c>
      <c r="C69" s="38">
        <f t="shared" ref="C69:C81" si="8">ROUND(AVERAGE(B10:F10,K10:M10),2)</f>
        <v>23.68</v>
      </c>
      <c r="D69" s="38">
        <f t="shared" ref="D69:D81" si="9">ROUND(AVERAGE(B29:F29,K29:M29),2)</f>
        <v>21.43</v>
      </c>
      <c r="E69" s="38">
        <f t="shared" ref="E69" si="10">ROUND(AVERAGE(B48:F48,K48:M48),2)</f>
        <v>22.69</v>
      </c>
      <c r="G69" s="53">
        <f t="shared" ref="G69:G81" si="11">ROUND(AVERAGE(G10:J10),2)</f>
        <v>23.78</v>
      </c>
      <c r="H69" s="53">
        <f t="shared" ref="H69:H81" si="12">ROUND(AVERAGE(G29:J29),2)</f>
        <v>17.13</v>
      </c>
      <c r="I69" s="53">
        <f t="shared" ref="I69" si="13">ROUND(AVERAGE(G48:J48),2)</f>
        <v>20.86</v>
      </c>
      <c r="K69" s="38">
        <f t="shared" ref="K69:K81" si="14">ROUND(AVERAGE(B10:M10),2)</f>
        <v>23.74</v>
      </c>
      <c r="L69" s="38">
        <f t="shared" ref="L69:L81" si="15">ROUND(AVERAGE(B29:M29),2)</f>
        <v>18.97</v>
      </c>
      <c r="M69" s="38">
        <f t="shared" ref="M69" si="16">ROUND(AVERAGE(B48:M48),2)</f>
        <v>21.64</v>
      </c>
    </row>
    <row r="70" spans="1:13" s="37" customFormat="1" ht="12.75" customHeight="1" x14ac:dyDescent="0.2">
      <c r="A70" s="63">
        <f t="shared" si="7"/>
        <v>2018</v>
      </c>
      <c r="C70" s="38">
        <f t="shared" si="8"/>
        <v>21.18</v>
      </c>
      <c r="D70" s="38">
        <f t="shared" si="9"/>
        <v>18.829999999999998</v>
      </c>
      <c r="E70" s="38">
        <f t="shared" ref="E70:E81" si="17">ROUND(AVERAGE(B49:F49,K49:M49),2)</f>
        <v>20.14</v>
      </c>
      <c r="G70" s="53">
        <f t="shared" si="11"/>
        <v>21.73</v>
      </c>
      <c r="H70" s="53">
        <f t="shared" si="12"/>
        <v>15.7</v>
      </c>
      <c r="I70" s="53">
        <f t="shared" ref="I70:I81" si="18">ROUND(AVERAGE(G49:J49),2)</f>
        <v>19.079999999999998</v>
      </c>
      <c r="K70" s="38">
        <f t="shared" si="14"/>
        <v>21.36</v>
      </c>
      <c r="L70" s="38">
        <f t="shared" si="15"/>
        <v>17.79</v>
      </c>
      <c r="M70" s="38">
        <f t="shared" ref="M70:M81" si="19">ROUND(AVERAGE(B49:M49),2)</f>
        <v>19.79</v>
      </c>
    </row>
    <row r="71" spans="1:13" s="37" customFormat="1" ht="12.75" customHeight="1" x14ac:dyDescent="0.2">
      <c r="A71" s="63">
        <f t="shared" si="7"/>
        <v>2019</v>
      </c>
      <c r="C71" s="38">
        <f t="shared" si="8"/>
        <v>19.57</v>
      </c>
      <c r="D71" s="38">
        <f t="shared" si="9"/>
        <v>16.41</v>
      </c>
      <c r="E71" s="38">
        <f t="shared" si="17"/>
        <v>18.18</v>
      </c>
      <c r="G71" s="53">
        <f t="shared" si="11"/>
        <v>23.98</v>
      </c>
      <c r="H71" s="53">
        <f t="shared" si="12"/>
        <v>16.21</v>
      </c>
      <c r="I71" s="53">
        <f t="shared" si="18"/>
        <v>20.56</v>
      </c>
      <c r="K71" s="38">
        <f t="shared" si="14"/>
        <v>21.04</v>
      </c>
      <c r="L71" s="38">
        <f t="shared" si="15"/>
        <v>16.34</v>
      </c>
      <c r="M71" s="38">
        <f t="shared" si="19"/>
        <v>18.97</v>
      </c>
    </row>
    <row r="72" spans="1:13" s="37" customFormat="1" ht="12.75" customHeight="1" x14ac:dyDescent="0.2">
      <c r="A72" s="63">
        <f t="shared" si="7"/>
        <v>2020</v>
      </c>
      <c r="C72" s="38">
        <f t="shared" si="8"/>
        <v>18.010000000000002</v>
      </c>
      <c r="D72" s="38">
        <f t="shared" si="9"/>
        <v>15.06</v>
      </c>
      <c r="E72" s="38">
        <f t="shared" si="17"/>
        <v>16.71</v>
      </c>
      <c r="G72" s="53">
        <f t="shared" si="11"/>
        <v>24.17</v>
      </c>
      <c r="H72" s="53">
        <f t="shared" si="12"/>
        <v>15.04</v>
      </c>
      <c r="I72" s="53">
        <f t="shared" si="18"/>
        <v>20.16</v>
      </c>
      <c r="K72" s="38">
        <f t="shared" si="14"/>
        <v>20.059999999999999</v>
      </c>
      <c r="L72" s="38">
        <f t="shared" si="15"/>
        <v>15.05</v>
      </c>
      <c r="M72" s="38">
        <f t="shared" si="19"/>
        <v>17.86</v>
      </c>
    </row>
    <row r="73" spans="1:13" s="37" customFormat="1" ht="12.75" customHeight="1" x14ac:dyDescent="0.2">
      <c r="A73" s="63">
        <f t="shared" si="7"/>
        <v>2021</v>
      </c>
      <c r="C73" s="38">
        <f t="shared" si="8"/>
        <v>18.41</v>
      </c>
      <c r="D73" s="38">
        <f t="shared" si="9"/>
        <v>15.99</v>
      </c>
      <c r="E73" s="38">
        <f t="shared" si="17"/>
        <v>17.350000000000001</v>
      </c>
      <c r="G73" s="53">
        <f t="shared" si="11"/>
        <v>23.48</v>
      </c>
      <c r="H73" s="53">
        <f t="shared" si="12"/>
        <v>14.98</v>
      </c>
      <c r="I73" s="53">
        <f t="shared" si="18"/>
        <v>19.739999999999998</v>
      </c>
      <c r="K73" s="38">
        <f t="shared" si="14"/>
        <v>20.100000000000001</v>
      </c>
      <c r="L73" s="38">
        <f t="shared" si="15"/>
        <v>15.65</v>
      </c>
      <c r="M73" s="38">
        <f t="shared" si="19"/>
        <v>18.14</v>
      </c>
    </row>
    <row r="74" spans="1:13" s="37" customFormat="1" ht="12.75" customHeight="1" x14ac:dyDescent="0.2">
      <c r="A74" s="63">
        <f t="shared" si="7"/>
        <v>2022</v>
      </c>
      <c r="C74" s="38">
        <f t="shared" si="8"/>
        <v>19.760000000000002</v>
      </c>
      <c r="D74" s="38">
        <f t="shared" si="9"/>
        <v>17.62</v>
      </c>
      <c r="E74" s="38">
        <f t="shared" si="17"/>
        <v>18.82</v>
      </c>
      <c r="G74" s="53">
        <f t="shared" si="11"/>
        <v>25.25</v>
      </c>
      <c r="H74" s="53">
        <f t="shared" si="12"/>
        <v>17.170000000000002</v>
      </c>
      <c r="I74" s="53">
        <f t="shared" si="18"/>
        <v>21.69</v>
      </c>
      <c r="K74" s="38">
        <f t="shared" si="14"/>
        <v>21.59</v>
      </c>
      <c r="L74" s="38">
        <f t="shared" si="15"/>
        <v>17.47</v>
      </c>
      <c r="M74" s="38">
        <f t="shared" si="19"/>
        <v>19.77</v>
      </c>
    </row>
    <row r="75" spans="1:13" s="37" customFormat="1" ht="12.75" customHeight="1" x14ac:dyDescent="0.2">
      <c r="A75" s="63">
        <f t="shared" si="7"/>
        <v>2023</v>
      </c>
      <c r="C75" s="38">
        <f t="shared" si="8"/>
        <v>20.78</v>
      </c>
      <c r="D75" s="38">
        <f t="shared" si="9"/>
        <v>18.79</v>
      </c>
      <c r="E75" s="38">
        <f t="shared" si="17"/>
        <v>19.91</v>
      </c>
      <c r="G75" s="53">
        <f t="shared" si="11"/>
        <v>26.79</v>
      </c>
      <c r="H75" s="53">
        <f t="shared" si="12"/>
        <v>19.920000000000002</v>
      </c>
      <c r="I75" s="53">
        <f t="shared" si="18"/>
        <v>23.77</v>
      </c>
      <c r="K75" s="38">
        <f t="shared" si="14"/>
        <v>22.79</v>
      </c>
      <c r="L75" s="38">
        <f t="shared" si="15"/>
        <v>19.170000000000002</v>
      </c>
      <c r="M75" s="38">
        <f t="shared" si="19"/>
        <v>21.19</v>
      </c>
    </row>
    <row r="76" spans="1:13" s="37" customFormat="1" ht="12.75" customHeight="1" x14ac:dyDescent="0.2">
      <c r="A76" s="63">
        <f t="shared" si="7"/>
        <v>2024</v>
      </c>
      <c r="C76" s="38">
        <f t="shared" si="8"/>
        <v>24.1</v>
      </c>
      <c r="D76" s="38">
        <f t="shared" si="9"/>
        <v>21.82</v>
      </c>
      <c r="E76" s="38">
        <f t="shared" si="17"/>
        <v>23.09</v>
      </c>
      <c r="G76" s="53">
        <f t="shared" si="11"/>
        <v>29.14</v>
      </c>
      <c r="H76" s="53">
        <f t="shared" si="12"/>
        <v>23.52</v>
      </c>
      <c r="I76" s="53">
        <f t="shared" si="18"/>
        <v>26.66</v>
      </c>
      <c r="K76" s="38">
        <f t="shared" si="14"/>
        <v>25.78</v>
      </c>
      <c r="L76" s="38">
        <f t="shared" si="15"/>
        <v>22.38</v>
      </c>
      <c r="M76" s="38">
        <f t="shared" si="19"/>
        <v>24.28</v>
      </c>
    </row>
    <row r="77" spans="1:13" s="37" customFormat="1" ht="12.75" customHeight="1" x14ac:dyDescent="0.2">
      <c r="A77" s="63">
        <f t="shared" si="7"/>
        <v>2025</v>
      </c>
      <c r="C77" s="38">
        <f t="shared" si="8"/>
        <v>25.95</v>
      </c>
      <c r="D77" s="38">
        <f t="shared" si="9"/>
        <v>23.5</v>
      </c>
      <c r="E77" s="38">
        <f t="shared" si="17"/>
        <v>24.87</v>
      </c>
      <c r="G77" s="53">
        <f t="shared" si="11"/>
        <v>33.49</v>
      </c>
      <c r="H77" s="53">
        <f t="shared" si="12"/>
        <v>26.51</v>
      </c>
      <c r="I77" s="53">
        <f t="shared" si="18"/>
        <v>30.42</v>
      </c>
      <c r="K77" s="38">
        <f t="shared" si="14"/>
        <v>28.47</v>
      </c>
      <c r="L77" s="38">
        <f t="shared" si="15"/>
        <v>24.51</v>
      </c>
      <c r="M77" s="38">
        <f t="shared" si="19"/>
        <v>26.72</v>
      </c>
    </row>
    <row r="78" spans="1:13" s="37" customFormat="1" ht="12.75" customHeight="1" x14ac:dyDescent="0.2">
      <c r="A78" s="63">
        <f t="shared" si="7"/>
        <v>2026</v>
      </c>
      <c r="C78" s="38">
        <f t="shared" si="8"/>
        <v>31.01</v>
      </c>
      <c r="D78" s="38">
        <f t="shared" si="9"/>
        <v>28.13</v>
      </c>
      <c r="E78" s="38">
        <f t="shared" si="17"/>
        <v>29.74</v>
      </c>
      <c r="G78" s="53">
        <f t="shared" si="11"/>
        <v>32.619999999999997</v>
      </c>
      <c r="H78" s="53">
        <f t="shared" si="12"/>
        <v>25.97</v>
      </c>
      <c r="I78" s="53">
        <f t="shared" si="18"/>
        <v>29.69</v>
      </c>
      <c r="K78" s="38">
        <f t="shared" si="14"/>
        <v>31.55</v>
      </c>
      <c r="L78" s="38">
        <f t="shared" si="15"/>
        <v>27.41</v>
      </c>
      <c r="M78" s="38">
        <f t="shared" si="19"/>
        <v>29.73</v>
      </c>
    </row>
    <row r="79" spans="1:13" s="37" customFormat="1" ht="12.75" customHeight="1" x14ac:dyDescent="0.2">
      <c r="A79" s="63">
        <f t="shared" si="7"/>
        <v>2027</v>
      </c>
      <c r="C79" s="38">
        <f t="shared" si="8"/>
        <v>26.88</v>
      </c>
      <c r="D79" s="38">
        <f t="shared" si="9"/>
        <v>24.57</v>
      </c>
      <c r="E79" s="38">
        <f t="shared" si="17"/>
        <v>25.86</v>
      </c>
      <c r="G79" s="53">
        <f t="shared" si="11"/>
        <v>33.799999999999997</v>
      </c>
      <c r="H79" s="53">
        <f t="shared" si="12"/>
        <v>27.29</v>
      </c>
      <c r="I79" s="53">
        <f t="shared" si="18"/>
        <v>30.93</v>
      </c>
      <c r="K79" s="38">
        <f t="shared" si="14"/>
        <v>29.18</v>
      </c>
      <c r="L79" s="38">
        <f t="shared" si="15"/>
        <v>25.48</v>
      </c>
      <c r="M79" s="38">
        <f t="shared" si="19"/>
        <v>27.55</v>
      </c>
    </row>
    <row r="80" spans="1:13" s="37" customFormat="1" ht="12.75" customHeight="1" x14ac:dyDescent="0.2">
      <c r="A80" s="63">
        <f t="shared" si="7"/>
        <v>2028</v>
      </c>
      <c r="C80" s="38">
        <f t="shared" si="8"/>
        <v>32.93</v>
      </c>
      <c r="D80" s="38">
        <f t="shared" si="9"/>
        <v>30.25</v>
      </c>
      <c r="E80" s="38">
        <f t="shared" si="17"/>
        <v>31.75</v>
      </c>
      <c r="G80" s="53">
        <f t="shared" si="11"/>
        <v>40.75</v>
      </c>
      <c r="H80" s="53">
        <f t="shared" si="12"/>
        <v>33.25</v>
      </c>
      <c r="I80" s="53">
        <f t="shared" si="18"/>
        <v>37.450000000000003</v>
      </c>
      <c r="K80" s="38">
        <f t="shared" si="14"/>
        <v>35.53</v>
      </c>
      <c r="L80" s="38">
        <f t="shared" si="15"/>
        <v>31.25</v>
      </c>
      <c r="M80" s="38">
        <f t="shared" si="19"/>
        <v>33.65</v>
      </c>
    </row>
    <row r="81" spans="1:16" s="37" customFormat="1" ht="12.75" hidden="1" customHeight="1" x14ac:dyDescent="0.2">
      <c r="A81" s="63">
        <f t="shared" si="7"/>
        <v>2029</v>
      </c>
      <c r="C81" s="38" t="e">
        <f t="shared" si="8"/>
        <v>#N/A</v>
      </c>
      <c r="D81" s="38" t="e">
        <f t="shared" si="9"/>
        <v>#N/A</v>
      </c>
      <c r="E81" s="38" t="e">
        <f t="shared" si="17"/>
        <v>#N/A</v>
      </c>
      <c r="G81" s="53" t="e">
        <f t="shared" si="11"/>
        <v>#N/A</v>
      </c>
      <c r="H81" s="53" t="e">
        <f t="shared" si="12"/>
        <v>#N/A</v>
      </c>
      <c r="I81" s="53" t="e">
        <f t="shared" si="18"/>
        <v>#N/A</v>
      </c>
      <c r="K81" s="38" t="e">
        <f t="shared" si="14"/>
        <v>#N/A</v>
      </c>
      <c r="L81" s="38" t="e">
        <f t="shared" si="15"/>
        <v>#N/A</v>
      </c>
      <c r="M81" s="38" t="e">
        <f t="shared" si="19"/>
        <v>#N/A</v>
      </c>
    </row>
    <row r="82" spans="1:16" s="37" customFormat="1" ht="12.75" customHeight="1" x14ac:dyDescent="0.2">
      <c r="A82" s="63"/>
      <c r="C82" s="38"/>
      <c r="D82" s="38"/>
      <c r="E82" s="38"/>
      <c r="G82" s="53"/>
      <c r="H82" s="53"/>
      <c r="I82" s="53"/>
      <c r="K82" s="38"/>
      <c r="L82" s="38"/>
      <c r="M82" s="38"/>
    </row>
    <row r="83" spans="1:16" s="37" customFormat="1" ht="12.75" customHeight="1" x14ac:dyDescent="0.2">
      <c r="A83" s="63"/>
      <c r="C83" s="38"/>
      <c r="D83" s="38"/>
      <c r="E83" s="38"/>
      <c r="G83" s="53"/>
      <c r="H83" s="53"/>
      <c r="I83" s="53"/>
      <c r="K83" s="38"/>
      <c r="L83" s="38"/>
      <c r="M83" s="38"/>
    </row>
    <row r="84" spans="1:16" s="37" customFormat="1" ht="12.75" hidden="1" customHeight="1" x14ac:dyDescent="0.2">
      <c r="A84" s="64"/>
      <c r="K84" s="59"/>
    </row>
    <row r="85" spans="1:16" s="37" customFormat="1" ht="12.75" hidden="1" customHeight="1" x14ac:dyDescent="0.2">
      <c r="A85" s="64"/>
      <c r="K85" s="59"/>
    </row>
    <row r="86" spans="1:16" s="37" customFormat="1" ht="12.75" customHeight="1" x14ac:dyDescent="0.2">
      <c r="A86" s="35" t="s">
        <v>80</v>
      </c>
      <c r="D86" s="38"/>
      <c r="E86" s="53"/>
      <c r="F86" s="53"/>
      <c r="G86" s="53"/>
      <c r="J86" s="53"/>
      <c r="K86" s="53"/>
    </row>
    <row r="87" spans="1:16" ht="12.75" customHeight="1" x14ac:dyDescent="0.2">
      <c r="A87" s="273" t="s">
        <v>278</v>
      </c>
      <c r="C87" s="65"/>
      <c r="D87" s="38"/>
      <c r="E87" s="53"/>
      <c r="F87" s="53"/>
      <c r="G87" s="53"/>
      <c r="H87" s="37"/>
    </row>
    <row r="88" spans="1:16" ht="12.75" customHeight="1" x14ac:dyDescent="0.2">
      <c r="A88" s="273" t="s">
        <v>279</v>
      </c>
      <c r="C88" s="65"/>
      <c r="D88" s="38"/>
      <c r="E88" s="53"/>
      <c r="F88" s="53"/>
      <c r="G88" s="53"/>
      <c r="H88" s="37"/>
    </row>
    <row r="89" spans="1:16" ht="12.75" customHeight="1" x14ac:dyDescent="0.2">
      <c r="A89" s="211" t="s">
        <v>273</v>
      </c>
      <c r="C89" s="65"/>
      <c r="D89" s="38"/>
      <c r="E89" s="53"/>
      <c r="F89" s="53"/>
      <c r="G89" s="53"/>
      <c r="H89" s="37"/>
    </row>
    <row r="90" spans="1:16" ht="12.75" customHeight="1" x14ac:dyDescent="0.2">
      <c r="A90" s="211" t="s">
        <v>281</v>
      </c>
      <c r="C90" s="65"/>
      <c r="D90" s="38"/>
      <c r="E90" s="53"/>
      <c r="F90" s="53"/>
      <c r="G90" s="53"/>
      <c r="H90" s="37"/>
    </row>
    <row r="91" spans="1:16" ht="12.75" customHeight="1" x14ac:dyDescent="0.2">
      <c r="A91" s="211" t="s">
        <v>274</v>
      </c>
      <c r="C91" s="65"/>
      <c r="D91" s="38"/>
      <c r="E91" s="53"/>
      <c r="F91" s="53"/>
      <c r="G91" s="53"/>
      <c r="H91" s="37"/>
    </row>
    <row r="92" spans="1:16" ht="12.75" customHeight="1" x14ac:dyDescent="0.2">
      <c r="A92" s="211" t="s">
        <v>275</v>
      </c>
      <c r="C92" s="65"/>
      <c r="D92" s="38"/>
      <c r="E92" s="53"/>
      <c r="F92" s="53"/>
      <c r="G92" s="53"/>
      <c r="H92" s="37"/>
    </row>
    <row r="93" spans="1:16" ht="12.75" customHeight="1" x14ac:dyDescent="0.2">
      <c r="A93" s="211" t="s">
        <v>281</v>
      </c>
      <c r="C93" s="65"/>
      <c r="D93" s="38"/>
      <c r="E93" s="53"/>
      <c r="F93" s="53"/>
      <c r="G93" s="53"/>
      <c r="H93" s="37"/>
    </row>
    <row r="94" spans="1:16" ht="12.75" customHeight="1" x14ac:dyDescent="0.2">
      <c r="A94" s="35" t="s">
        <v>276</v>
      </c>
      <c r="D94" s="37"/>
      <c r="E94" s="37"/>
      <c r="F94" s="37"/>
      <c r="G94" s="37"/>
    </row>
    <row r="95" spans="1:16" ht="7.5" customHeight="1" x14ac:dyDescent="0.2">
      <c r="N95" s="37"/>
      <c r="O95" s="37"/>
      <c r="P95" s="37"/>
    </row>
    <row r="96" spans="1:16" x14ac:dyDescent="0.2">
      <c r="C96" s="35" t="s">
        <v>128</v>
      </c>
      <c r="D96" s="131"/>
      <c r="H96" s="35" t="s">
        <v>277</v>
      </c>
      <c r="N96" s="482"/>
      <c r="O96" s="482"/>
      <c r="P96" s="37"/>
    </row>
    <row r="97" spans="3:16" x14ac:dyDescent="0.2">
      <c r="C97" s="35" t="s">
        <v>139</v>
      </c>
      <c r="E97" s="36">
        <v>0.158</v>
      </c>
      <c r="H97" s="35" t="str">
        <f>"  "&amp;'Table 10'!$B$1&amp;"  Column "&amp;"(c)"</f>
        <v xml:space="preserve">  Table 10  Column (c)</v>
      </c>
      <c r="N97" s="483"/>
      <c r="O97" s="483"/>
      <c r="P97" s="37"/>
    </row>
    <row r="98" spans="3:16" x14ac:dyDescent="0.2">
      <c r="N98" s="483"/>
      <c r="O98" s="484"/>
      <c r="P98" s="37"/>
    </row>
    <row r="99" spans="3:16" x14ac:dyDescent="0.2">
      <c r="N99" s="483"/>
      <c r="O99" s="484"/>
      <c r="P99" s="37"/>
    </row>
    <row r="100" spans="3:16" x14ac:dyDescent="0.2">
      <c r="N100" s="483"/>
      <c r="O100" s="484"/>
      <c r="P100" s="37"/>
    </row>
    <row r="101" spans="3:16" x14ac:dyDescent="0.2">
      <c r="N101" s="483"/>
      <c r="O101" s="484"/>
      <c r="P101" s="37"/>
    </row>
    <row r="102" spans="3:16" x14ac:dyDescent="0.2">
      <c r="N102" s="483"/>
      <c r="O102" s="484"/>
      <c r="P102" s="37"/>
    </row>
    <row r="115" ht="24.75" customHeight="1" x14ac:dyDescent="0.2"/>
  </sheetData>
  <printOptions horizontalCentered="1"/>
  <pageMargins left="0.25" right="0.25" top="0.75" bottom="0.75" header="0.3" footer="0.3"/>
  <pageSetup scale="63" fitToWidth="0" orientation="portrait" r:id="rId1"/>
  <headerFooter alignWithMargins="0">
    <oddFooter>&amp;L&amp;8NPC Group - &amp;F   ( &amp;A )&amp;C &amp;R &amp;8&amp;D  &amp;T</oddFooter>
  </headerFooter>
  <rowBreaks count="1" manualBreakCount="1">
    <brk id="4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15"/>
  <sheetViews>
    <sheetView topLeftCell="A91" zoomScaleNormal="100" workbookViewId="0">
      <selection activeCell="A114" sqref="A114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152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"&amp;MAX(A10:A21)&amp;")"</f>
        <v>Avoided Resource (2017 through 2028)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BaseLoad'!A28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89">
        <v>2017</v>
      </c>
      <c r="B10" s="333"/>
      <c r="C10" s="333"/>
      <c r="D10" s="333"/>
      <c r="E10" s="333"/>
      <c r="F10" s="333"/>
      <c r="G10" s="333">
        <f>'Table 2A BaseLoad'!G29-INDEX('Table 10'!$G:$G,MATCH($A10,'Table 10'!$B:$B,0),1)</f>
        <v>24.497176495306849</v>
      </c>
      <c r="H10" s="333">
        <f>'Table 2A BaseLoad'!H29-INDEX('Table 10'!$G:$G,MATCH($A10,'Table 10'!$B:$B,0),1)</f>
        <v>23.691801880066127</v>
      </c>
      <c r="I10" s="333">
        <f>'Table 2A BaseLoad'!I29-INDEX('Table 10'!$G:$G,MATCH($A10,'Table 10'!$B:$B,0),1)</f>
        <v>25.346095832152155</v>
      </c>
      <c r="J10" s="333">
        <f>'Table 2A BaseLoad'!J29-INDEX('Table 10'!$G:$G,MATCH($A10,'Table 10'!$B:$B,0),1)</f>
        <v>21.485892460593242</v>
      </c>
      <c r="K10" s="333">
        <f>'Table 2A BaseLoad'!K29-INDEX('Table 10'!$G:$G,MATCH($A10,'Table 10'!$B:$B,0),1)</f>
        <v>21.587356352575505</v>
      </c>
      <c r="L10" s="333">
        <f>'Table 2A BaseLoad'!L29-INDEX('Table 10'!$G:$G,MATCH($A10,'Table 10'!$B:$B,0),1)</f>
        <v>22.623577507222276</v>
      </c>
      <c r="M10" s="334">
        <f>'Table 2A BaseLoad'!M29-INDEX('Table 10'!$G:$G,MATCH($A10,'Table 10'!$B:$B,0),1)</f>
        <v>26.752530457952833</v>
      </c>
    </row>
    <row r="11" spans="1:13" ht="12.75" customHeight="1" x14ac:dyDescent="0.2">
      <c r="A11" s="492">
        <f>'Tables 3 to 5'!$B$14</f>
        <v>2018</v>
      </c>
      <c r="B11" s="53">
        <f>'Table 2A BaseLoad'!B30-INDEX('Table 10'!$G:$G,MATCH($A11,'Table 10'!$B:$B,0),1)</f>
        <v>26.326725668970916</v>
      </c>
      <c r="C11" s="53">
        <f>'Table 2A BaseLoad'!C30-INDEX('Table 10'!$G:$G,MATCH($A11,'Table 10'!$B:$B,0),1)</f>
        <v>24.433915655155545</v>
      </c>
      <c r="D11" s="53">
        <f>'Table 2A BaseLoad'!D30-INDEX('Table 10'!$G:$G,MATCH($A11,'Table 10'!$B:$B,0),1)</f>
        <v>22.363833737697512</v>
      </c>
      <c r="E11" s="53">
        <f>'Table 2A BaseLoad'!E30-INDEX('Table 10'!$G:$G,MATCH($A11,'Table 10'!$B:$B,0),1)</f>
        <v>18.512922131772132</v>
      </c>
      <c r="F11" s="53">
        <f>'Table 2A BaseLoad'!F30-INDEX('Table 10'!$G:$G,MATCH($A11,'Table 10'!$B:$B,0),1)</f>
        <v>17.805797375336784</v>
      </c>
      <c r="G11" s="53">
        <f>'Table 2A BaseLoad'!G30-INDEX('Table 10'!$G:$G,MATCH($A11,'Table 10'!$B:$B,0),1)</f>
        <v>17.897311997060978</v>
      </c>
      <c r="H11" s="53">
        <f>'Table 2A BaseLoad'!H30-INDEX('Table 10'!$G:$G,MATCH($A11,'Table 10'!$B:$B,0),1)</f>
        <v>24.50682076899626</v>
      </c>
      <c r="I11" s="53">
        <f>'Table 2A BaseLoad'!I30-INDEX('Table 10'!$G:$G,MATCH($A11,'Table 10'!$B:$B,0),1)</f>
        <v>24.142060605899893</v>
      </c>
      <c r="J11" s="53">
        <f>'Table 2A BaseLoad'!J30-INDEX('Table 10'!$G:$G,MATCH($A11,'Table 10'!$B:$B,0),1)</f>
        <v>20.25966618978649</v>
      </c>
      <c r="K11" s="53">
        <f>'Table 2A BaseLoad'!K30-INDEX('Table 10'!$G:$G,MATCH($A11,'Table 10'!$B:$B,0),1)</f>
        <v>18.760184596555309</v>
      </c>
      <c r="L11" s="53">
        <f>'Table 2A BaseLoad'!L30-INDEX('Table 10'!$G:$G,MATCH($A11,'Table 10'!$B:$B,0),1)</f>
        <v>19.431387326328689</v>
      </c>
      <c r="M11" s="54">
        <f>'Table 2A BaseLoad'!M30-INDEX('Table 10'!$G:$G,MATCH($A11,'Table 10'!$B:$B,0),1)</f>
        <v>21.532989160833178</v>
      </c>
    </row>
    <row r="12" spans="1:13" ht="12.75" customHeight="1" x14ac:dyDescent="0.2">
      <c r="A12" s="51">
        <f t="shared" ref="A12:A22" si="0">A11+1</f>
        <v>2019</v>
      </c>
      <c r="B12" s="53">
        <f>'Table 2A BaseLoad'!B31-INDEX('Table 10'!$G:$G,MATCH($A12,'Table 10'!$B:$B,0),1)</f>
        <v>21.352320120217787</v>
      </c>
      <c r="C12" s="53">
        <f>'Table 2A BaseLoad'!C31-INDEX('Table 10'!$G:$G,MATCH($A12,'Table 10'!$B:$B,0),1)</f>
        <v>19.000095463079397</v>
      </c>
      <c r="D12" s="53">
        <f>'Table 2A BaseLoad'!D31-INDEX('Table 10'!$G:$G,MATCH($A12,'Table 10'!$B:$B,0),1)</f>
        <v>18.208494200564161</v>
      </c>
      <c r="E12" s="53">
        <f>'Table 2A BaseLoad'!E31-INDEX('Table 10'!$G:$G,MATCH($A12,'Table 10'!$B:$B,0),1)</f>
        <v>18.087438928547769</v>
      </c>
      <c r="F12" s="53">
        <f>'Table 2A BaseLoad'!F31-INDEX('Table 10'!$G:$G,MATCH($A12,'Table 10'!$B:$B,0),1)</f>
        <v>18.851992811710467</v>
      </c>
      <c r="G12" s="53">
        <f>'Table 2A BaseLoad'!G31-INDEX('Table 10'!$G:$G,MATCH($A12,'Table 10'!$B:$B,0),1)</f>
        <v>21.380075809198527</v>
      </c>
      <c r="H12" s="53">
        <f>'Table 2A BaseLoad'!H31-INDEX('Table 10'!$G:$G,MATCH($A12,'Table 10'!$B:$B,0),1)</f>
        <v>28.463967611611547</v>
      </c>
      <c r="I12" s="53">
        <f>'Table 2A BaseLoad'!I31-INDEX('Table 10'!$G:$G,MATCH($A12,'Table 10'!$B:$B,0),1)</f>
        <v>24.048285336289858</v>
      </c>
      <c r="J12" s="53">
        <f>'Table 2A BaseLoad'!J31-INDEX('Table 10'!$G:$G,MATCH($A12,'Table 10'!$B:$B,0),1)</f>
        <v>21.897910738322626</v>
      </c>
      <c r="K12" s="53">
        <f>'Table 2A BaseLoad'!K31-INDEX('Table 10'!$G:$G,MATCH($A12,'Table 10'!$B:$B,0),1)</f>
        <v>20.055202650863563</v>
      </c>
      <c r="L12" s="53">
        <f>'Table 2A BaseLoad'!L31-INDEX('Table 10'!$G:$G,MATCH($A12,'Table 10'!$B:$B,0),1)</f>
        <v>18.791458032666842</v>
      </c>
      <c r="M12" s="54">
        <f>'Table 2A BaseLoad'!M31-INDEX('Table 10'!$G:$G,MATCH($A12,'Table 10'!$B:$B,0),1)</f>
        <v>21.996854375246482</v>
      </c>
    </row>
    <row r="13" spans="1:13" ht="12.75" customHeight="1" x14ac:dyDescent="0.2">
      <c r="A13" s="51">
        <f t="shared" si="0"/>
        <v>2020</v>
      </c>
      <c r="B13" s="53">
        <f>'Table 2A BaseLoad'!B32-INDEX('Table 10'!$G:$G,MATCH($A13,'Table 10'!$B:$B,0),1)</f>
        <v>16.347091283383094</v>
      </c>
      <c r="C13" s="53">
        <f>'Table 2A BaseLoad'!C32-INDEX('Table 10'!$G:$G,MATCH($A13,'Table 10'!$B:$B,0),1)</f>
        <v>18.016291369931082</v>
      </c>
      <c r="D13" s="53">
        <f>'Table 2A BaseLoad'!D32-INDEX('Table 10'!$G:$G,MATCH($A13,'Table 10'!$B:$B,0),1)</f>
        <v>17.219414995349862</v>
      </c>
      <c r="E13" s="53">
        <f>'Table 2A BaseLoad'!E32-INDEX('Table 10'!$G:$G,MATCH($A13,'Table 10'!$B:$B,0),1)</f>
        <v>17.342720917857427</v>
      </c>
      <c r="F13" s="53">
        <f>'Table 2A BaseLoad'!F32-INDEX('Table 10'!$G:$G,MATCH($A13,'Table 10'!$B:$B,0),1)</f>
        <v>19.347671678877255</v>
      </c>
      <c r="G13" s="53">
        <f>'Table 2A BaseLoad'!G32-INDEX('Table 10'!$G:$G,MATCH($A13,'Table 10'!$B:$B,0),1)</f>
        <v>18.86558534258706</v>
      </c>
      <c r="H13" s="53">
        <f>'Table 2A BaseLoad'!H32-INDEX('Table 10'!$G:$G,MATCH($A13,'Table 10'!$B:$B,0),1)</f>
        <v>30.723533578231269</v>
      </c>
      <c r="I13" s="53">
        <f>'Table 2A BaseLoad'!I32-INDEX('Table 10'!$G:$G,MATCH($A13,'Table 10'!$B:$B,0),1)</f>
        <v>25.384534113582983</v>
      </c>
      <c r="J13" s="53">
        <f>'Table 2A BaseLoad'!J32-INDEX('Table 10'!$G:$G,MATCH($A13,'Table 10'!$B:$B,0),1)</f>
        <v>21.595586009689995</v>
      </c>
      <c r="K13" s="53">
        <f>'Table 2A BaseLoad'!K32-INDEX('Table 10'!$G:$G,MATCH($A13,'Table 10'!$B:$B,0),1)</f>
        <v>18.596648564547902</v>
      </c>
      <c r="L13" s="53">
        <f>'Table 2A BaseLoad'!L32-INDEX('Table 10'!$G:$G,MATCH($A13,'Table 10'!$B:$B,0),1)</f>
        <v>16.604415286792339</v>
      </c>
      <c r="M13" s="54">
        <f>'Table 2A BaseLoad'!M32-INDEX('Table 10'!$G:$G,MATCH($A13,'Table 10'!$B:$B,0),1)</f>
        <v>20.333066051313157</v>
      </c>
    </row>
    <row r="14" spans="1:13" ht="12.75" customHeight="1" x14ac:dyDescent="0.2">
      <c r="A14" s="51">
        <f t="shared" si="0"/>
        <v>2021</v>
      </c>
      <c r="B14" s="53">
        <f>'Table 2A BaseLoad'!B33-INDEX('Table 10'!$G:$G,MATCH($A14,'Table 10'!$B:$B,0),1)</f>
        <v>18.369113753699519</v>
      </c>
      <c r="C14" s="53">
        <f>'Table 2A BaseLoad'!C33-INDEX('Table 10'!$G:$G,MATCH($A14,'Table 10'!$B:$B,0),1)</f>
        <v>20.670169799512642</v>
      </c>
      <c r="D14" s="53">
        <f>'Table 2A BaseLoad'!D33-INDEX('Table 10'!$G:$G,MATCH($A14,'Table 10'!$B:$B,0),1)</f>
        <v>15.153728232280731</v>
      </c>
      <c r="E14" s="53">
        <f>'Table 2A BaseLoad'!E33-INDEX('Table 10'!$G:$G,MATCH($A14,'Table 10'!$B:$B,0),1)</f>
        <v>15.622640363591181</v>
      </c>
      <c r="F14" s="53">
        <f>'Table 2A BaseLoad'!F33-INDEX('Table 10'!$G:$G,MATCH($A14,'Table 10'!$B:$B,0),1)</f>
        <v>17.579885332113143</v>
      </c>
      <c r="G14" s="53">
        <f>'Table 2A BaseLoad'!G33-INDEX('Table 10'!$G:$G,MATCH($A14,'Table 10'!$B:$B,0),1)</f>
        <v>18.153418264854064</v>
      </c>
      <c r="H14" s="53">
        <f>'Table 2A BaseLoad'!H33-INDEX('Table 10'!$G:$G,MATCH($A14,'Table 10'!$B:$B,0),1)</f>
        <v>30.825037225448447</v>
      </c>
      <c r="I14" s="53">
        <f>'Table 2A BaseLoad'!I33-INDEX('Table 10'!$G:$G,MATCH($A14,'Table 10'!$B:$B,0),1)</f>
        <v>24.137764709823802</v>
      </c>
      <c r="J14" s="53">
        <f>'Table 2A BaseLoad'!J33-INDEX('Table 10'!$G:$G,MATCH($A14,'Table 10'!$B:$B,0),1)</f>
        <v>20.681071713504654</v>
      </c>
      <c r="K14" s="53">
        <f>'Table 2A BaseLoad'!K33-INDEX('Table 10'!$G:$G,MATCH($A14,'Table 10'!$B:$B,0),1)</f>
        <v>18.842288383209365</v>
      </c>
      <c r="L14" s="53">
        <f>'Table 2A BaseLoad'!L33-INDEX('Table 10'!$G:$G,MATCH($A14,'Table 10'!$B:$B,0),1)</f>
        <v>17.877941343903228</v>
      </c>
      <c r="M14" s="54">
        <f>'Table 2A BaseLoad'!M33-INDEX('Table 10'!$G:$G,MATCH($A14,'Table 10'!$B:$B,0),1)</f>
        <v>22.915331325810193</v>
      </c>
    </row>
    <row r="15" spans="1:13" ht="12.75" customHeight="1" x14ac:dyDescent="0.2">
      <c r="A15" s="51">
        <f t="shared" si="0"/>
        <v>2022</v>
      </c>
      <c r="B15" s="53">
        <f>'Table 2A BaseLoad'!B34-INDEX('Table 10'!$G:$G,MATCH($A15,'Table 10'!$B:$B,0),1)</f>
        <v>21.06400082716566</v>
      </c>
      <c r="C15" s="53">
        <f>'Table 2A BaseLoad'!C34-INDEX('Table 10'!$G:$G,MATCH($A15,'Table 10'!$B:$B,0),1)</f>
        <v>20.224160813236733</v>
      </c>
      <c r="D15" s="53">
        <f>'Table 2A BaseLoad'!D34-INDEX('Table 10'!$G:$G,MATCH($A15,'Table 10'!$B:$B,0),1)</f>
        <v>18.281338259442261</v>
      </c>
      <c r="E15" s="53">
        <f>'Table 2A BaseLoad'!E34-INDEX('Table 10'!$G:$G,MATCH($A15,'Table 10'!$B:$B,0),1)</f>
        <v>16.543591337985735</v>
      </c>
      <c r="F15" s="53">
        <f>'Table 2A BaseLoad'!F34-INDEX('Table 10'!$G:$G,MATCH($A15,'Table 10'!$B:$B,0),1)</f>
        <v>18.690460869348762</v>
      </c>
      <c r="G15" s="53">
        <f>'Table 2A BaseLoad'!G34-INDEX('Table 10'!$G:$G,MATCH($A15,'Table 10'!$B:$B,0),1)</f>
        <v>19.099527924838743</v>
      </c>
      <c r="H15" s="53">
        <f>'Table 2A BaseLoad'!H34-INDEX('Table 10'!$G:$G,MATCH($A15,'Table 10'!$B:$B,0),1)</f>
        <v>32.737795886335022</v>
      </c>
      <c r="I15" s="53">
        <f>'Table 2A BaseLoad'!I34-INDEX('Table 10'!$G:$G,MATCH($A15,'Table 10'!$B:$B,0),1)</f>
        <v>26.781531410416644</v>
      </c>
      <c r="J15" s="53">
        <f>'Table 2A BaseLoad'!J34-INDEX('Table 10'!$G:$G,MATCH($A15,'Table 10'!$B:$B,0),1)</f>
        <v>22.228885443657337</v>
      </c>
      <c r="K15" s="53">
        <f>'Table 2A BaseLoad'!K34-INDEX('Table 10'!$G:$G,MATCH($A15,'Table 10'!$B:$B,0),1)</f>
        <v>20.121183434888568</v>
      </c>
      <c r="L15" s="53">
        <f>'Table 2A BaseLoad'!L34-INDEX('Table 10'!$G:$G,MATCH($A15,'Table 10'!$B:$B,0),1)</f>
        <v>19.399260835737572</v>
      </c>
      <c r="M15" s="54">
        <f>'Table 2A BaseLoad'!M34-INDEX('Table 10'!$G:$G,MATCH($A15,'Table 10'!$B:$B,0),1)</f>
        <v>23.474042216875599</v>
      </c>
    </row>
    <row r="16" spans="1:13" ht="12.75" customHeight="1" x14ac:dyDescent="0.2">
      <c r="A16" s="51">
        <f t="shared" si="0"/>
        <v>2023</v>
      </c>
      <c r="B16" s="53">
        <f>'Table 2A BaseLoad'!B35-INDEX('Table 10'!$G:$G,MATCH($A16,'Table 10'!$B:$B,0),1)</f>
        <v>22.331237551256685</v>
      </c>
      <c r="C16" s="53">
        <f>'Table 2A BaseLoad'!C35-INDEX('Table 10'!$G:$G,MATCH($A16,'Table 10'!$B:$B,0),1)</f>
        <v>20.412853043031873</v>
      </c>
      <c r="D16" s="53">
        <f>'Table 2A BaseLoad'!D35-INDEX('Table 10'!$G:$G,MATCH($A16,'Table 10'!$B:$B,0),1)</f>
        <v>19.069128464780583</v>
      </c>
      <c r="E16" s="53">
        <f>'Table 2A BaseLoad'!E35-INDEX('Table 10'!$G:$G,MATCH($A16,'Table 10'!$B:$B,0),1)</f>
        <v>16.053496757899307</v>
      </c>
      <c r="F16" s="53">
        <f>'Table 2A BaseLoad'!F35-INDEX('Table 10'!$G:$G,MATCH($A16,'Table 10'!$B:$B,0),1)</f>
        <v>19.525031124461911</v>
      </c>
      <c r="G16" s="53">
        <f>'Table 2A BaseLoad'!G35-INDEX('Table 10'!$G:$G,MATCH($A16,'Table 10'!$B:$B,0),1)</f>
        <v>19.383133855123145</v>
      </c>
      <c r="H16" s="53">
        <f>'Table 2A BaseLoad'!H35-INDEX('Table 10'!$G:$G,MATCH($A16,'Table 10'!$B:$B,0),1)</f>
        <v>36.893734615750944</v>
      </c>
      <c r="I16" s="53">
        <f>'Table 2A BaseLoad'!I35-INDEX('Table 10'!$G:$G,MATCH($A16,'Table 10'!$B:$B,0),1)</f>
        <v>27.366359449225179</v>
      </c>
      <c r="J16" s="53">
        <f>'Table 2A BaseLoad'!J35-INDEX('Table 10'!$G:$G,MATCH($A16,'Table 10'!$B:$B,0),1)</f>
        <v>23.379160802274491</v>
      </c>
      <c r="K16" s="53">
        <f>'Table 2A BaseLoad'!K35-INDEX('Table 10'!$G:$G,MATCH($A16,'Table 10'!$B:$B,0),1)</f>
        <v>23.657978994609969</v>
      </c>
      <c r="L16" s="53">
        <f>'Table 2A BaseLoad'!L35-INDEX('Table 10'!$G:$G,MATCH($A16,'Table 10'!$B:$B,0),1)</f>
        <v>17.534698554697702</v>
      </c>
      <c r="M16" s="54">
        <f>'Table 2A BaseLoad'!M35-INDEX('Table 10'!$G:$G,MATCH($A16,'Table 10'!$B:$B,0),1)</f>
        <v>27.422044524412701</v>
      </c>
    </row>
    <row r="17" spans="1:20" ht="12.75" customHeight="1" x14ac:dyDescent="0.2">
      <c r="A17" s="51">
        <f t="shared" si="0"/>
        <v>2024</v>
      </c>
      <c r="B17" s="53">
        <f>'Table 2A BaseLoad'!B36-INDEX('Table 10'!$G:$G,MATCH($A17,'Table 10'!$B:$B,0),1)</f>
        <v>25.839695453630227</v>
      </c>
      <c r="C17" s="53">
        <f>'Table 2A BaseLoad'!C36-INDEX('Table 10'!$G:$G,MATCH($A17,'Table 10'!$B:$B,0),1)</f>
        <v>21.768933388592615</v>
      </c>
      <c r="D17" s="53">
        <f>'Table 2A BaseLoad'!D36-INDEX('Table 10'!$G:$G,MATCH($A17,'Table 10'!$B:$B,0),1)</f>
        <v>21.435724404043793</v>
      </c>
      <c r="E17" s="53">
        <f>'Table 2A BaseLoad'!E36-INDEX('Table 10'!$G:$G,MATCH($A17,'Table 10'!$B:$B,0),1)</f>
        <v>17.791678849926566</v>
      </c>
      <c r="F17" s="53">
        <f>'Table 2A BaseLoad'!F36-INDEX('Table 10'!$G:$G,MATCH($A17,'Table 10'!$B:$B,0),1)</f>
        <v>21.950451975216517</v>
      </c>
      <c r="G17" s="53">
        <f>'Table 2A BaseLoad'!G36-INDEX('Table 10'!$G:$G,MATCH($A17,'Table 10'!$B:$B,0),1)</f>
        <v>20.695984465995767</v>
      </c>
      <c r="H17" s="53">
        <f>'Table 2A BaseLoad'!H36-INDEX('Table 10'!$G:$G,MATCH($A17,'Table 10'!$B:$B,0),1)</f>
        <v>39.976263793648492</v>
      </c>
      <c r="I17" s="53">
        <f>'Table 2A BaseLoad'!I36-INDEX('Table 10'!$G:$G,MATCH($A17,'Table 10'!$B:$B,0),1)</f>
        <v>18.005984802630664</v>
      </c>
      <c r="J17" s="53">
        <f>'Table 2A BaseLoad'!J36-INDEX('Table 10'!$G:$G,MATCH($A17,'Table 10'!$B:$B,0),1)</f>
        <v>37.740561709861851</v>
      </c>
      <c r="K17" s="53">
        <f>'Table 2A BaseLoad'!K36-INDEX('Table 10'!$G:$G,MATCH($A17,'Table 10'!$B:$B,0),1)</f>
        <v>27.870699025073304</v>
      </c>
      <c r="L17" s="53">
        <f>'Table 2A BaseLoad'!L36-INDEX('Table 10'!$G:$G,MATCH($A17,'Table 10'!$B:$B,0),1)</f>
        <v>24.771274907735155</v>
      </c>
      <c r="M17" s="54">
        <f>'Table 2A BaseLoad'!M36-INDEX('Table 10'!$G:$G,MATCH($A17,'Table 10'!$B:$B,0),1)</f>
        <v>31.069856643774525</v>
      </c>
    </row>
    <row r="18" spans="1:20" ht="12.75" customHeight="1" x14ac:dyDescent="0.2">
      <c r="A18" s="51">
        <f t="shared" si="0"/>
        <v>2025</v>
      </c>
      <c r="B18" s="53">
        <f>'Table 2A BaseLoad'!B37-INDEX('Table 10'!$G:$G,MATCH($A18,'Table 10'!$B:$B,0),1)</f>
        <v>28.568871563565196</v>
      </c>
      <c r="C18" s="53">
        <f>'Table 2A BaseLoad'!C37-INDEX('Table 10'!$G:$G,MATCH($A18,'Table 10'!$B:$B,0),1)</f>
        <v>27.363485206877183</v>
      </c>
      <c r="D18" s="53">
        <f>'Table 2A BaseLoad'!D37-INDEX('Table 10'!$G:$G,MATCH($A18,'Table 10'!$B:$B,0),1)</f>
        <v>23.39999913049326</v>
      </c>
      <c r="E18" s="53">
        <f>'Table 2A BaseLoad'!E37-INDEX('Table 10'!$G:$G,MATCH($A18,'Table 10'!$B:$B,0),1)</f>
        <v>21.410210530229996</v>
      </c>
      <c r="F18" s="53">
        <f>'Table 2A BaseLoad'!F37-INDEX('Table 10'!$G:$G,MATCH($A18,'Table 10'!$B:$B,0),1)</f>
        <v>22.963024436621584</v>
      </c>
      <c r="G18" s="53">
        <f>'Table 2A BaseLoad'!G37-INDEX('Table 10'!$G:$G,MATCH($A18,'Table 10'!$B:$B,0),1)</f>
        <v>21.45680302090685</v>
      </c>
      <c r="H18" s="53">
        <f>'Table 2A BaseLoad'!H37-INDEX('Table 10'!$G:$G,MATCH($A18,'Table 10'!$B:$B,0),1)</f>
        <v>42.700253149525032</v>
      </c>
      <c r="I18" s="53">
        <f>'Table 2A BaseLoad'!I37-INDEX('Table 10'!$G:$G,MATCH($A18,'Table 10'!$B:$B,0),1)</f>
        <v>34.837981068137573</v>
      </c>
      <c r="J18" s="53">
        <f>'Table 2A BaseLoad'!J37-INDEX('Table 10'!$G:$G,MATCH($A18,'Table 10'!$B:$B,0),1)</f>
        <v>34.842086359134321</v>
      </c>
      <c r="K18" s="53">
        <f>'Table 2A BaseLoad'!K37-INDEX('Table 10'!$G:$G,MATCH($A18,'Table 10'!$B:$B,0),1)</f>
        <v>27.033148254189392</v>
      </c>
      <c r="L18" s="53">
        <f>'Table 2A BaseLoad'!L37-INDEX('Table 10'!$G:$G,MATCH($A18,'Table 10'!$B:$B,0),1)</f>
        <v>24.177575657854419</v>
      </c>
      <c r="M18" s="54">
        <f>'Table 2A BaseLoad'!M37-INDEX('Table 10'!$G:$G,MATCH($A18,'Table 10'!$B:$B,0),1)</f>
        <v>32.417293740848521</v>
      </c>
    </row>
    <row r="19" spans="1:20" ht="12.75" customHeight="1" x14ac:dyDescent="0.2">
      <c r="A19" s="51">
        <f t="shared" si="0"/>
        <v>2026</v>
      </c>
      <c r="B19" s="53">
        <f>'Table 2A BaseLoad'!B38-INDEX('Table 10'!$G:$G,MATCH($A19,'Table 10'!$B:$B,0),1)</f>
        <v>31.179199201544723</v>
      </c>
      <c r="C19" s="53">
        <f>'Table 2A BaseLoad'!C38-INDEX('Table 10'!$G:$G,MATCH($A19,'Table 10'!$B:$B,0),1)</f>
        <v>60.532662214050553</v>
      </c>
      <c r="D19" s="53">
        <f>'Table 2A BaseLoad'!D38-INDEX('Table 10'!$G:$G,MATCH($A19,'Table 10'!$B:$B,0),1)</f>
        <v>23.70270454847056</v>
      </c>
      <c r="E19" s="53">
        <f>'Table 2A BaseLoad'!E38-INDEX('Table 10'!$G:$G,MATCH($A19,'Table 10'!$B:$B,0),1)</f>
        <v>21.950400589826558</v>
      </c>
      <c r="F19" s="53">
        <f>'Table 2A BaseLoad'!F38-INDEX('Table 10'!$G:$G,MATCH($A19,'Table 10'!$B:$B,0),1)</f>
        <v>23.592285333930914</v>
      </c>
      <c r="G19" s="53">
        <f>'Table 2A BaseLoad'!G38-INDEX('Table 10'!$G:$G,MATCH($A19,'Table 10'!$B:$B,0),1)</f>
        <v>23.664480752422968</v>
      </c>
      <c r="H19" s="53">
        <f>'Table 2A BaseLoad'!H38-INDEX('Table 10'!$G:$G,MATCH($A19,'Table 10'!$B:$B,0),1)</f>
        <v>43.846562100663256</v>
      </c>
      <c r="I19" s="53">
        <f>'Table 2A BaseLoad'!I38-INDEX('Table 10'!$G:$G,MATCH($A19,'Table 10'!$B:$B,0),1)</f>
        <v>34.455099224011164</v>
      </c>
      <c r="J19" s="53">
        <f>'Table 2A BaseLoad'!J38-INDEX('Table 10'!$G:$G,MATCH($A19,'Table 10'!$B:$B,0),1)</f>
        <v>28.377877390087583</v>
      </c>
      <c r="K19" s="53">
        <f>'Table 2A BaseLoad'!K38-INDEX('Table 10'!$G:$G,MATCH($A19,'Table 10'!$B:$B,0),1)</f>
        <v>30.109596228076196</v>
      </c>
      <c r="L19" s="53">
        <f>'Table 2A BaseLoad'!L38-INDEX('Table 10'!$G:$G,MATCH($A19,'Table 10'!$B:$B,0),1)</f>
        <v>25.843156025819759</v>
      </c>
      <c r="M19" s="54">
        <f>'Table 2A BaseLoad'!M38-INDEX('Table 10'!$G:$G,MATCH($A19,'Table 10'!$B:$B,0),1)</f>
        <v>30.868289164731188</v>
      </c>
    </row>
    <row r="20" spans="1:20" ht="12.75" customHeight="1" x14ac:dyDescent="0.2">
      <c r="A20" s="51">
        <f t="shared" si="0"/>
        <v>2027</v>
      </c>
      <c r="B20" s="53">
        <f>'Table 2A BaseLoad'!B39-INDEX('Table 10'!$G:$G,MATCH($A20,'Table 10'!$B:$B,0),1)</f>
        <v>28.436282489456534</v>
      </c>
      <c r="C20" s="53">
        <f>'Table 2A BaseLoad'!C39-INDEX('Table 10'!$G:$G,MATCH($A20,'Table 10'!$B:$B,0),1)</f>
        <v>27.298358776593243</v>
      </c>
      <c r="D20" s="53">
        <f>'Table 2A BaseLoad'!D39-INDEX('Table 10'!$G:$G,MATCH($A20,'Table 10'!$B:$B,0),1)</f>
        <v>25.20060825288974</v>
      </c>
      <c r="E20" s="53">
        <f>'Table 2A BaseLoad'!E39-INDEX('Table 10'!$G:$G,MATCH($A20,'Table 10'!$B:$B,0),1)</f>
        <v>24.458083192754682</v>
      </c>
      <c r="F20" s="53">
        <f>'Table 2A BaseLoad'!F39-INDEX('Table 10'!$G:$G,MATCH($A20,'Table 10'!$B:$B,0),1)</f>
        <v>25.186632233193652</v>
      </c>
      <c r="G20" s="53">
        <f>'Table 2A BaseLoad'!G39-INDEX('Table 10'!$G:$G,MATCH($A20,'Table 10'!$B:$B,0),1)</f>
        <v>24.828246506745931</v>
      </c>
      <c r="H20" s="53">
        <f>'Table 2A BaseLoad'!H39-INDEX('Table 10'!$G:$G,MATCH($A20,'Table 10'!$B:$B,0),1)</f>
        <v>45.504465794132763</v>
      </c>
      <c r="I20" s="53">
        <f>'Table 2A BaseLoad'!I39-INDEX('Table 10'!$G:$G,MATCH($A20,'Table 10'!$B:$B,0),1)</f>
        <v>36.624136039208693</v>
      </c>
      <c r="J20" s="53">
        <f>'Table 2A BaseLoad'!J39-INDEX('Table 10'!$G:$G,MATCH($A20,'Table 10'!$B:$B,0),1)</f>
        <v>28.077027606125711</v>
      </c>
      <c r="K20" s="53">
        <f>'Table 2A BaseLoad'!K39-INDEX('Table 10'!$G:$G,MATCH($A20,'Table 10'!$B:$B,0),1)</f>
        <v>29.392984696468414</v>
      </c>
      <c r="L20" s="53">
        <f>'Table 2A BaseLoad'!L39-INDEX('Table 10'!$G:$G,MATCH($A20,'Table 10'!$B:$B,0),1)</f>
        <v>26.097405827324852</v>
      </c>
      <c r="M20" s="54">
        <f>'Table 2A BaseLoad'!M39-INDEX('Table 10'!$G:$G,MATCH($A20,'Table 10'!$B:$B,0),1)</f>
        <v>28.651334279442477</v>
      </c>
    </row>
    <row r="21" spans="1:20" ht="16.5" customHeight="1" x14ac:dyDescent="0.2">
      <c r="A21" s="51">
        <f t="shared" si="0"/>
        <v>2028</v>
      </c>
      <c r="B21" s="53">
        <f>'Table 2A BaseLoad'!B40-INDEX('Table 10'!$G:$G,MATCH($A21,'Table 10'!$B:$B,0),1)</f>
        <v>32.285337869917051</v>
      </c>
      <c r="C21" s="53">
        <f>'Table 2A BaseLoad'!C40-INDEX('Table 10'!$G:$G,MATCH($A21,'Table 10'!$B:$B,0),1)</f>
        <v>32.908410820720668</v>
      </c>
      <c r="D21" s="53">
        <f>'Table 2A BaseLoad'!D40-INDEX('Table 10'!$G:$G,MATCH($A21,'Table 10'!$B:$B,0),1)</f>
        <v>29.257384379713081</v>
      </c>
      <c r="E21" s="53">
        <f>'Table 2A BaseLoad'!E40-INDEX('Table 10'!$G:$G,MATCH($A21,'Table 10'!$B:$B,0),1)</f>
        <v>28.386192416193907</v>
      </c>
      <c r="F21" s="53">
        <f>'Table 2A BaseLoad'!F40-INDEX('Table 10'!$G:$G,MATCH($A21,'Table 10'!$B:$B,0),1)</f>
        <v>30.038693979941897</v>
      </c>
      <c r="G21" s="53">
        <f>'Table 2A BaseLoad'!G40-INDEX('Table 10'!$G:$G,MATCH($A21,'Table 10'!$B:$B,0),1)</f>
        <v>29.530942892737805</v>
      </c>
      <c r="H21" s="53">
        <f>'Table 2A BaseLoad'!H40-INDEX('Table 10'!$G:$G,MATCH($A21,'Table 10'!$B:$B,0),1)</f>
        <v>51.317039340036295</v>
      </c>
      <c r="I21" s="53">
        <f>'Table 2A BaseLoad'!I40-INDEX('Table 10'!$G:$G,MATCH($A21,'Table 10'!$B:$B,0),1)</f>
        <v>46.247324104622308</v>
      </c>
      <c r="J21" s="53">
        <f>'Table 2A BaseLoad'!J40-INDEX('Table 10'!$G:$G,MATCH($A21,'Table 10'!$B:$B,0),1)</f>
        <v>35.737769964658746</v>
      </c>
      <c r="K21" s="53">
        <f>'Table 2A BaseLoad'!K40-INDEX('Table 10'!$G:$G,MATCH($A21,'Table 10'!$B:$B,0),1)</f>
        <v>35.594822208895422</v>
      </c>
      <c r="L21" s="53">
        <f>'Table 2A BaseLoad'!L40-INDEX('Table 10'!$G:$G,MATCH($A21,'Table 10'!$B:$B,0),1)</f>
        <v>32.67265275626648</v>
      </c>
      <c r="M21" s="54">
        <f>'Table 2A BaseLoad'!M40-INDEX('Table 10'!$G:$G,MATCH($A21,'Table 10'!$B:$B,0),1)</f>
        <v>41.985753509185123</v>
      </c>
    </row>
    <row r="22" spans="1:20" ht="12.75" hidden="1" customHeight="1" x14ac:dyDescent="0.2">
      <c r="A22" s="51">
        <f t="shared" si="0"/>
        <v>2029</v>
      </c>
      <c r="B22" s="53" t="e">
        <f>'Table 2A BaseLoad'!B41-INDEX('Table 10'!$G:$G,MATCH($A22,'Table 10'!$B:$B,0),1)</f>
        <v>#N/A</v>
      </c>
      <c r="C22" s="53" t="e">
        <f>'Table 2A BaseLoad'!C41-INDEX('Table 10'!$G:$G,MATCH($A22,'Table 10'!$B:$B,0),1)</f>
        <v>#N/A</v>
      </c>
      <c r="D22" s="53" t="e">
        <f>'Table 2A BaseLoad'!D41-INDEX('Table 10'!$G:$G,MATCH($A22,'Table 10'!$B:$B,0),1)</f>
        <v>#N/A</v>
      </c>
      <c r="E22" s="53" t="e">
        <f>'Table 2A BaseLoad'!E41-INDEX('Table 10'!$G:$G,MATCH($A22,'Table 10'!$B:$B,0),1)</f>
        <v>#N/A</v>
      </c>
      <c r="F22" s="53" t="e">
        <f>'Table 2A BaseLoad'!F41-INDEX('Table 10'!$G:$G,MATCH($A22,'Table 10'!$B:$B,0),1)</f>
        <v>#N/A</v>
      </c>
      <c r="G22" s="53" t="e">
        <f>'Table 2A BaseLoad'!G41-INDEX('Table 10'!$G:$G,MATCH($A22,'Table 10'!$B:$B,0),1)</f>
        <v>#N/A</v>
      </c>
      <c r="H22" s="53" t="e">
        <f>'Table 2A BaseLoad'!H41-INDEX('Table 10'!$G:$G,MATCH($A22,'Table 10'!$B:$B,0),1)</f>
        <v>#N/A</v>
      </c>
      <c r="I22" s="53" t="e">
        <f>'Table 2A BaseLoad'!I41-INDEX('Table 10'!$G:$G,MATCH($A22,'Table 10'!$B:$B,0),1)</f>
        <v>#N/A</v>
      </c>
      <c r="J22" s="53" t="e">
        <f>'Table 2A BaseLoad'!J41-INDEX('Table 10'!$G:$G,MATCH($A22,'Table 10'!$B:$B,0),1)</f>
        <v>#N/A</v>
      </c>
      <c r="K22" s="53" t="e">
        <f>'Table 2A BaseLoad'!K41-INDEX('Table 10'!$G:$G,MATCH($A22,'Table 10'!$B:$B,0),1)</f>
        <v>#N/A</v>
      </c>
      <c r="L22" s="53" t="e">
        <f>'Table 2A BaseLoad'!L41-INDEX('Table 10'!$G:$G,MATCH($A22,'Table 10'!$B:$B,0),1)</f>
        <v>#N/A</v>
      </c>
      <c r="M22" s="54" t="e">
        <f>'Table 2A BaseLoad'!M41-INDEX('Table 10'!$G:$G,MATCH($A22,'Table 10'!$B:$B,0),1)</f>
        <v>#N/A</v>
      </c>
    </row>
    <row r="23" spans="1:20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0" ht="12.75" hidden="1" customHeight="1" x14ac:dyDescent="0.2">
      <c r="A24" s="51"/>
      <c r="B24" s="52"/>
      <c r="C24" s="53"/>
      <c r="D24" s="53"/>
      <c r="E24" s="53"/>
      <c r="F24" s="54"/>
      <c r="G24" s="53"/>
      <c r="H24" s="53"/>
      <c r="I24" s="53"/>
      <c r="J24" s="54"/>
      <c r="K24" s="53"/>
      <c r="L24" s="53"/>
      <c r="M24" s="54"/>
    </row>
    <row r="25" spans="1:20" ht="12.75" hidden="1" customHeight="1" x14ac:dyDescent="0.2">
      <c r="A25" s="51"/>
      <c r="B25" s="52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4"/>
    </row>
    <row r="26" spans="1:20" ht="12.75" hidden="1" customHeight="1" x14ac:dyDescent="0.2">
      <c r="A26" s="55"/>
      <c r="B26" s="56"/>
      <c r="C26" s="57"/>
      <c r="D26" s="57"/>
      <c r="E26" s="57"/>
      <c r="F26" s="58"/>
      <c r="G26" s="57"/>
      <c r="H26" s="57"/>
      <c r="I26" s="57"/>
      <c r="J26" s="58"/>
      <c r="K26" s="57"/>
      <c r="L26" s="57"/>
      <c r="M26" s="58"/>
    </row>
    <row r="27" spans="1:20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0" ht="12.75" customHeight="1" x14ac:dyDescent="0.2">
      <c r="A28" s="12" t="s">
        <v>219</v>
      </c>
      <c r="C28" s="40"/>
      <c r="D28" s="40"/>
      <c r="E28" s="40"/>
      <c r="G28" s="40"/>
      <c r="H28" s="40"/>
      <c r="I28" s="40"/>
      <c r="J28" s="48"/>
      <c r="L28" s="40"/>
      <c r="M28" s="37"/>
    </row>
    <row r="29" spans="1:20" ht="12.75" customHeight="1" x14ac:dyDescent="0.2">
      <c r="A29" s="489">
        <v>2017</v>
      </c>
      <c r="B29" s="333"/>
      <c r="C29" s="333"/>
      <c r="D29" s="333"/>
      <c r="E29" s="333"/>
      <c r="F29" s="333"/>
      <c r="G29" s="333">
        <f>'Table 2A BaseLoad'!G48-INDEX('Table 10'!$G:$G,MATCH($A29,'Table 10'!$B:$B,0),1)</f>
        <v>17.159803491986402</v>
      </c>
      <c r="H29" s="333">
        <f>'Table 2A BaseLoad'!H48-INDEX('Table 10'!$G:$G,MATCH($A29,'Table 10'!$B:$B,0),1)</f>
        <v>15.73524115811523</v>
      </c>
      <c r="I29" s="333">
        <f>'Table 2A BaseLoad'!I48-INDEX('Table 10'!$G:$G,MATCH($A29,'Table 10'!$B:$B,0),1)</f>
        <v>17.497378952226612</v>
      </c>
      <c r="J29" s="333">
        <f>'Table 2A BaseLoad'!J48-INDEX('Table 10'!$G:$G,MATCH($A29,'Table 10'!$B:$B,0),1)</f>
        <v>18.001488126762279</v>
      </c>
      <c r="K29" s="333">
        <f>'Table 2A BaseLoad'!K48-INDEX('Table 10'!$G:$G,MATCH($A29,'Table 10'!$B:$B,0),1)</f>
        <v>19.512289767723264</v>
      </c>
      <c r="L29" s="333">
        <f>'Table 2A BaseLoad'!L48-INDEX('Table 10'!$G:$G,MATCH($A29,'Table 10'!$B:$B,0),1)</f>
        <v>20.017285887121442</v>
      </c>
      <c r="M29" s="334">
        <f>'Table 2A BaseLoad'!M48-INDEX('Table 10'!$G:$G,MATCH($A29,'Table 10'!$B:$B,0),1)</f>
        <v>24.667320053130261</v>
      </c>
    </row>
    <row r="30" spans="1:20" ht="12.75" customHeight="1" x14ac:dyDescent="0.2">
      <c r="A30" s="492">
        <f>'Tables 3 to 5'!$B$14</f>
        <v>2018</v>
      </c>
      <c r="B30" s="53">
        <f>'Table 2A BaseLoad'!B49-INDEX('Table 10'!$G:$G,MATCH($A30,'Table 10'!$B:$B,0),1)</f>
        <v>23.82427428568106</v>
      </c>
      <c r="C30" s="53">
        <f>'Table 2A BaseLoad'!C49-INDEX('Table 10'!$G:$G,MATCH($A30,'Table 10'!$B:$B,0),1)</f>
        <v>23.028506719024932</v>
      </c>
      <c r="D30" s="53">
        <f>'Table 2A BaseLoad'!D49-INDEX('Table 10'!$G:$G,MATCH($A30,'Table 10'!$B:$B,0),1)</f>
        <v>19.768391387503478</v>
      </c>
      <c r="E30" s="53">
        <f>'Table 2A BaseLoad'!E49-INDEX('Table 10'!$G:$G,MATCH($A30,'Table 10'!$B:$B,0),1)</f>
        <v>15.825889867196294</v>
      </c>
      <c r="F30" s="53">
        <f>'Table 2A BaseLoad'!F49-INDEX('Table 10'!$G:$G,MATCH($A30,'Table 10'!$B:$B,0),1)</f>
        <v>13.656875563605482</v>
      </c>
      <c r="G30" s="53">
        <f>'Table 2A BaseLoad'!G49-INDEX('Table 10'!$G:$G,MATCH($A30,'Table 10'!$B:$B,0),1)</f>
        <v>13.642728719225502</v>
      </c>
      <c r="H30" s="53">
        <f>'Table 2A BaseLoad'!H49-INDEX('Table 10'!$G:$G,MATCH($A30,'Table 10'!$B:$B,0),1)</f>
        <v>16.343221369244617</v>
      </c>
      <c r="I30" s="53">
        <f>'Table 2A BaseLoad'!I49-INDEX('Table 10'!$G:$G,MATCH($A30,'Table 10'!$B:$B,0),1)</f>
        <v>17.013422720482357</v>
      </c>
      <c r="J30" s="53">
        <f>'Table 2A BaseLoad'!J49-INDEX('Table 10'!$G:$G,MATCH($A30,'Table 10'!$B:$B,0),1)</f>
        <v>15.682567228968681</v>
      </c>
      <c r="K30" s="53">
        <f>'Table 2A BaseLoad'!K49-INDEX('Table 10'!$G:$G,MATCH($A30,'Table 10'!$B:$B,0),1)</f>
        <v>17.015139049339695</v>
      </c>
      <c r="L30" s="53">
        <f>'Table 2A BaseLoad'!L49-INDEX('Table 10'!$G:$G,MATCH($A30,'Table 10'!$B:$B,0),1)</f>
        <v>17.332262927945358</v>
      </c>
      <c r="M30" s="54">
        <f>'Table 2A BaseLoad'!M49-INDEX('Table 10'!$G:$G,MATCH($A30,'Table 10'!$B:$B,0),1)</f>
        <v>19.922535994743789</v>
      </c>
    </row>
    <row r="31" spans="1:20" ht="12.75" customHeight="1" x14ac:dyDescent="0.2">
      <c r="A31" s="51">
        <f t="shared" ref="A31:A41" si="1">A30+1</f>
        <v>2019</v>
      </c>
      <c r="B31" s="53">
        <f>'Table 2A BaseLoad'!B50-INDEX('Table 10'!$G:$G,MATCH($A31,'Table 10'!$B:$B,0),1)</f>
        <v>20.287361540832734</v>
      </c>
      <c r="C31" s="53">
        <f>'Table 2A BaseLoad'!C50-INDEX('Table 10'!$G:$G,MATCH($A31,'Table 10'!$B:$B,0),1)</f>
        <v>17.49194189563455</v>
      </c>
      <c r="D31" s="53">
        <f>'Table 2A BaseLoad'!D50-INDEX('Table 10'!$G:$G,MATCH($A31,'Table 10'!$B:$B,0),1)</f>
        <v>17.120398574818708</v>
      </c>
      <c r="E31" s="53">
        <f>'Table 2A BaseLoad'!E50-INDEX('Table 10'!$G:$G,MATCH($A31,'Table 10'!$B:$B,0),1)</f>
        <v>12.725678278454447</v>
      </c>
      <c r="F31" s="53">
        <f>'Table 2A BaseLoad'!F50-INDEX('Table 10'!$G:$G,MATCH($A31,'Table 10'!$B:$B,0),1)</f>
        <v>9.0084958077657991</v>
      </c>
      <c r="G31" s="53">
        <f>'Table 2A BaseLoad'!G50-INDEX('Table 10'!$G:$G,MATCH($A31,'Table 10'!$B:$B,0),1)</f>
        <v>9.8359376409458665</v>
      </c>
      <c r="H31" s="53">
        <f>'Table 2A BaseLoad'!H50-INDEX('Table 10'!$G:$G,MATCH($A31,'Table 10'!$B:$B,0),1)</f>
        <v>20.964123771980944</v>
      </c>
      <c r="I31" s="53">
        <f>'Table 2A BaseLoad'!I50-INDEX('Table 10'!$G:$G,MATCH($A31,'Table 10'!$B:$B,0),1)</f>
        <v>18.228263020805525</v>
      </c>
      <c r="J31" s="53">
        <f>'Table 2A BaseLoad'!J50-INDEX('Table 10'!$G:$G,MATCH($A31,'Table 10'!$B:$B,0),1)</f>
        <v>15.669733525286192</v>
      </c>
      <c r="K31" s="53">
        <f>'Table 2A BaseLoad'!K50-INDEX('Table 10'!$G:$G,MATCH($A31,'Table 10'!$B:$B,0),1)</f>
        <v>17.911583552640877</v>
      </c>
      <c r="L31" s="53">
        <f>'Table 2A BaseLoad'!L50-INDEX('Table 10'!$G:$G,MATCH($A31,'Table 10'!$B:$B,0),1)</f>
        <v>16.440659561137448</v>
      </c>
      <c r="M31" s="54">
        <f>'Table 2A BaseLoad'!M50-INDEX('Table 10'!$G:$G,MATCH($A31,'Table 10'!$B:$B,0),1)</f>
        <v>20.034437582988996</v>
      </c>
    </row>
    <row r="32" spans="1:20" ht="12.75" customHeight="1" x14ac:dyDescent="0.2">
      <c r="A32" s="51">
        <f t="shared" si="1"/>
        <v>2020</v>
      </c>
      <c r="B32" s="53">
        <f>'Table 2A BaseLoad'!B51-INDEX('Table 10'!$G:$G,MATCH($A32,'Table 10'!$B:$B,0),1)</f>
        <v>14.544846669113431</v>
      </c>
      <c r="C32" s="53">
        <f>'Table 2A BaseLoad'!C51-INDEX('Table 10'!$G:$G,MATCH($A32,'Table 10'!$B:$B,0),1)</f>
        <v>15.86182264063239</v>
      </c>
      <c r="D32" s="53">
        <f>'Table 2A BaseLoad'!D51-INDEX('Table 10'!$G:$G,MATCH($A32,'Table 10'!$B:$B,0),1)</f>
        <v>15.423311517372362</v>
      </c>
      <c r="E32" s="53">
        <f>'Table 2A BaseLoad'!E51-INDEX('Table 10'!$G:$G,MATCH($A32,'Table 10'!$B:$B,0),1)</f>
        <v>13.112798818686436</v>
      </c>
      <c r="F32" s="53">
        <f>'Table 2A BaseLoad'!F51-INDEX('Table 10'!$G:$G,MATCH($A32,'Table 10'!$B:$B,0),1)</f>
        <v>10.813689082957609</v>
      </c>
      <c r="G32" s="53">
        <f>'Table 2A BaseLoad'!G51-INDEX('Table 10'!$G:$G,MATCH($A32,'Table 10'!$B:$B,0),1)</f>
        <v>10.085277267645719</v>
      </c>
      <c r="H32" s="53">
        <f>'Table 2A BaseLoad'!H51-INDEX('Table 10'!$G:$G,MATCH($A32,'Table 10'!$B:$B,0),1)</f>
        <v>19.852124474079691</v>
      </c>
      <c r="I32" s="53">
        <f>'Table 2A BaseLoad'!I51-INDEX('Table 10'!$G:$G,MATCH($A32,'Table 10'!$B:$B,0),1)</f>
        <v>16.829708040131869</v>
      </c>
      <c r="J32" s="53">
        <f>'Table 2A BaseLoad'!J51-INDEX('Table 10'!$G:$G,MATCH($A32,'Table 10'!$B:$B,0),1)</f>
        <v>13.266308430578295</v>
      </c>
      <c r="K32" s="53">
        <f>'Table 2A BaseLoad'!K51-INDEX('Table 10'!$G:$G,MATCH($A32,'Table 10'!$B:$B,0),1)</f>
        <v>16.878594399573913</v>
      </c>
      <c r="L32" s="53">
        <f>'Table 2A BaseLoad'!L51-INDEX('Table 10'!$G:$G,MATCH($A32,'Table 10'!$B:$B,0),1)</f>
        <v>14.770138968755317</v>
      </c>
      <c r="M32" s="54">
        <f>'Table 2A BaseLoad'!M51-INDEX('Table 10'!$G:$G,MATCH($A32,'Table 10'!$B:$B,0),1)</f>
        <v>18.791828149553272</v>
      </c>
      <c r="N32" s="131"/>
      <c r="O32" s="131"/>
      <c r="P32" s="131"/>
      <c r="Q32" s="131"/>
      <c r="R32" s="131"/>
      <c r="S32" s="131"/>
      <c r="T32" s="131"/>
    </row>
    <row r="33" spans="1:24" ht="12.75" customHeight="1" x14ac:dyDescent="0.2">
      <c r="A33" s="51">
        <f t="shared" si="1"/>
        <v>2021</v>
      </c>
      <c r="B33" s="53">
        <f>'Table 2A BaseLoad'!B52-INDEX('Table 10'!$G:$G,MATCH($A33,'Table 10'!$B:$B,0),1)</f>
        <v>16.894343079329659</v>
      </c>
      <c r="C33" s="53">
        <f>'Table 2A BaseLoad'!C52-INDEX('Table 10'!$G:$G,MATCH($A33,'Table 10'!$B:$B,0),1)</f>
        <v>18.836447814654793</v>
      </c>
      <c r="D33" s="53">
        <f>'Table 2A BaseLoad'!D52-INDEX('Table 10'!$G:$G,MATCH($A33,'Table 10'!$B:$B,0),1)</f>
        <v>14.054431392793303</v>
      </c>
      <c r="E33" s="53">
        <f>'Table 2A BaseLoad'!E52-INDEX('Table 10'!$G:$G,MATCH($A33,'Table 10'!$B:$B,0),1)</f>
        <v>12.06770342949657</v>
      </c>
      <c r="F33" s="53">
        <f>'Table 2A BaseLoad'!F52-INDEX('Table 10'!$G:$G,MATCH($A33,'Table 10'!$B:$B,0),1)</f>
        <v>10.277817118034276</v>
      </c>
      <c r="G33" s="53">
        <f>'Table 2A BaseLoad'!G52-INDEX('Table 10'!$G:$G,MATCH($A33,'Table 10'!$B:$B,0),1)</f>
        <v>10.169720429262037</v>
      </c>
      <c r="H33" s="53">
        <f>'Table 2A BaseLoad'!H52-INDEX('Table 10'!$G:$G,MATCH($A33,'Table 10'!$B:$B,0),1)</f>
        <v>20.31593134159823</v>
      </c>
      <c r="I33" s="53">
        <f>'Table 2A BaseLoad'!I52-INDEX('Table 10'!$G:$G,MATCH($A33,'Table 10'!$B:$B,0),1)</f>
        <v>16.295583222485302</v>
      </c>
      <c r="J33" s="53">
        <f>'Table 2A BaseLoad'!J52-INDEX('Table 10'!$G:$G,MATCH($A33,'Table 10'!$B:$B,0),1)</f>
        <v>13.019725659872499</v>
      </c>
      <c r="K33" s="53">
        <f>'Table 2A BaseLoad'!K52-INDEX('Table 10'!$G:$G,MATCH($A33,'Table 10'!$B:$B,0),1)</f>
        <v>17.535735503443945</v>
      </c>
      <c r="L33" s="53">
        <f>'Table 2A BaseLoad'!L52-INDEX('Table 10'!$G:$G,MATCH($A33,'Table 10'!$B:$B,0),1)</f>
        <v>16.340478541708375</v>
      </c>
      <c r="M33" s="54">
        <f>'Table 2A BaseLoad'!M52-INDEX('Table 10'!$G:$G,MATCH($A33,'Table 10'!$B:$B,0),1)</f>
        <v>21.659905532798923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12.75" customHeight="1" x14ac:dyDescent="0.2">
      <c r="A34" s="51">
        <f t="shared" si="1"/>
        <v>2022</v>
      </c>
      <c r="B34" s="53">
        <f>'Table 2A BaseLoad'!B53-INDEX('Table 10'!$G:$G,MATCH($A34,'Table 10'!$B:$B,0),1)</f>
        <v>19.21579530919071</v>
      </c>
      <c r="C34" s="53">
        <f>'Table 2A BaseLoad'!C53-INDEX('Table 10'!$G:$G,MATCH($A34,'Table 10'!$B:$B,0),1)</f>
        <v>18.275025764661066</v>
      </c>
      <c r="D34" s="53">
        <f>'Table 2A BaseLoad'!D53-INDEX('Table 10'!$G:$G,MATCH($A34,'Table 10'!$B:$B,0),1)</f>
        <v>16.80123685776401</v>
      </c>
      <c r="E34" s="53">
        <f>'Table 2A BaseLoad'!E53-INDEX('Table 10'!$G:$G,MATCH($A34,'Table 10'!$B:$B,0),1)</f>
        <v>13.406855072671011</v>
      </c>
      <c r="F34" s="53">
        <f>'Table 2A BaseLoad'!F53-INDEX('Table 10'!$G:$G,MATCH($A34,'Table 10'!$B:$B,0),1)</f>
        <v>11.797225114636165</v>
      </c>
      <c r="G34" s="53">
        <f>'Table 2A BaseLoad'!G53-INDEX('Table 10'!$G:$G,MATCH($A34,'Table 10'!$B:$B,0),1)</f>
        <v>11.544625735358489</v>
      </c>
      <c r="H34" s="53">
        <f>'Table 2A BaseLoad'!H53-INDEX('Table 10'!$G:$G,MATCH($A34,'Table 10'!$B:$B,0),1)</f>
        <v>22.847926257026831</v>
      </c>
      <c r="I34" s="53">
        <f>'Table 2A BaseLoad'!I53-INDEX('Table 10'!$G:$G,MATCH($A34,'Table 10'!$B:$B,0),1)</f>
        <v>19.152652105852031</v>
      </c>
      <c r="J34" s="53">
        <f>'Table 2A BaseLoad'!J53-INDEX('Table 10'!$G:$G,MATCH($A34,'Table 10'!$B:$B,0),1)</f>
        <v>14.98441252835503</v>
      </c>
      <c r="K34" s="53">
        <f>'Table 2A BaseLoad'!K53-INDEX('Table 10'!$G:$G,MATCH($A34,'Table 10'!$B:$B,0),1)</f>
        <v>19.559126564361538</v>
      </c>
      <c r="L34" s="53">
        <f>'Table 2A BaseLoad'!L53-INDEX('Table 10'!$G:$G,MATCH($A34,'Table 10'!$B:$B,0),1)</f>
        <v>18.558152198997281</v>
      </c>
      <c r="M34" s="54">
        <f>'Table 2A BaseLoad'!M53-INDEX('Table 10'!$G:$G,MATCH($A34,'Table 10'!$B:$B,0),1)</f>
        <v>23.085423712241859</v>
      </c>
      <c r="N34" s="131"/>
      <c r="O34" s="131"/>
      <c r="P34" s="131"/>
      <c r="Q34" s="131"/>
      <c r="R34" s="131"/>
      <c r="S34" s="131"/>
      <c r="T34" s="131"/>
    </row>
    <row r="35" spans="1:24" ht="12.75" customHeight="1" x14ac:dyDescent="0.2">
      <c r="A35" s="51">
        <f t="shared" si="1"/>
        <v>2023</v>
      </c>
      <c r="B35" s="53">
        <f>'Table 2A BaseLoad'!B54-INDEX('Table 10'!$G:$G,MATCH($A35,'Table 10'!$B:$B,0),1)</f>
        <v>20.214591376104497</v>
      </c>
      <c r="C35" s="53">
        <f>'Table 2A BaseLoad'!C54-INDEX('Table 10'!$G:$G,MATCH($A35,'Table 10'!$B:$B,0),1)</f>
        <v>18.303154238544714</v>
      </c>
      <c r="D35" s="53">
        <f>'Table 2A BaseLoad'!D54-INDEX('Table 10'!$G:$G,MATCH($A35,'Table 10'!$B:$B,0),1)</f>
        <v>17.371585168490338</v>
      </c>
      <c r="E35" s="53">
        <f>'Table 2A BaseLoad'!E54-INDEX('Table 10'!$G:$G,MATCH($A35,'Table 10'!$B:$B,0),1)</f>
        <v>15.37709412594551</v>
      </c>
      <c r="F35" s="53">
        <f>'Table 2A BaseLoad'!F54-INDEX('Table 10'!$G:$G,MATCH($A35,'Table 10'!$B:$B,0),1)</f>
        <v>15.063817619913687</v>
      </c>
      <c r="G35" s="53">
        <f>'Table 2A BaseLoad'!G54-INDEX('Table 10'!$G:$G,MATCH($A35,'Table 10'!$B:$B,0),1)</f>
        <v>14.570584466079575</v>
      </c>
      <c r="H35" s="53">
        <f>'Table 2A BaseLoad'!H54-INDEX('Table 10'!$G:$G,MATCH($A35,'Table 10'!$B:$B,0),1)</f>
        <v>27.204591883534199</v>
      </c>
      <c r="I35" s="53">
        <f>'Table 2A BaseLoad'!I54-INDEX('Table 10'!$G:$G,MATCH($A35,'Table 10'!$B:$B,0),1)</f>
        <v>20.264053198264136</v>
      </c>
      <c r="J35" s="53">
        <f>'Table 2A BaseLoad'!J54-INDEX('Table 10'!$G:$G,MATCH($A35,'Table 10'!$B:$B,0),1)</f>
        <v>17.514083338975105</v>
      </c>
      <c r="K35" s="53">
        <f>'Table 2A BaseLoad'!K54-INDEX('Table 10'!$G:$G,MATCH($A35,'Table 10'!$B:$B,0),1)</f>
        <v>21.832891422494789</v>
      </c>
      <c r="L35" s="53">
        <f>'Table 2A BaseLoad'!L54-INDEX('Table 10'!$G:$G,MATCH($A35,'Table 10'!$B:$B,0),1)</f>
        <v>16.058453849440152</v>
      </c>
      <c r="M35" s="54">
        <f>'Table 2A BaseLoad'!M54-INDEX('Table 10'!$G:$G,MATCH($A35,'Table 10'!$B:$B,0),1)</f>
        <v>25.798944744148944</v>
      </c>
      <c r="N35" s="131"/>
      <c r="O35" s="131"/>
      <c r="P35" s="131"/>
      <c r="Q35" s="131"/>
      <c r="R35" s="131"/>
      <c r="S35" s="131"/>
      <c r="T35" s="131"/>
    </row>
    <row r="36" spans="1:24" ht="12.75" customHeight="1" x14ac:dyDescent="0.2">
      <c r="A36" s="51">
        <f t="shared" si="1"/>
        <v>2024</v>
      </c>
      <c r="B36" s="53">
        <f>'Table 2A BaseLoad'!B55-INDEX('Table 10'!$G:$G,MATCH($A36,'Table 10'!$B:$B,0),1)</f>
        <v>23.369210492471296</v>
      </c>
      <c r="C36" s="53">
        <f>'Table 2A BaseLoad'!C55-INDEX('Table 10'!$G:$G,MATCH($A36,'Table 10'!$B:$B,0),1)</f>
        <v>19.687703903810135</v>
      </c>
      <c r="D36" s="53">
        <f>'Table 2A BaseLoad'!D55-INDEX('Table 10'!$G:$G,MATCH($A36,'Table 10'!$B:$B,0),1)</f>
        <v>19.947755747883363</v>
      </c>
      <c r="E36" s="53">
        <f>'Table 2A BaseLoad'!E55-INDEX('Table 10'!$G:$G,MATCH($A36,'Table 10'!$B:$B,0),1)</f>
        <v>16.584537986411249</v>
      </c>
      <c r="F36" s="53">
        <f>'Table 2A BaseLoad'!F55-INDEX('Table 10'!$G:$G,MATCH($A36,'Table 10'!$B:$B,0),1)</f>
        <v>19.867862804834971</v>
      </c>
      <c r="G36" s="53">
        <f>'Table 2A BaseLoad'!G55-INDEX('Table 10'!$G:$G,MATCH($A36,'Table 10'!$B:$B,0),1)</f>
        <v>18.523113208434374</v>
      </c>
      <c r="H36" s="53">
        <f>'Table 2A BaseLoad'!H55-INDEX('Table 10'!$G:$G,MATCH($A36,'Table 10'!$B:$B,0),1)</f>
        <v>30.866397397212229</v>
      </c>
      <c r="I36" s="53">
        <f>'Table 2A BaseLoad'!I55-INDEX('Table 10'!$G:$G,MATCH($A36,'Table 10'!$B:$B,0),1)</f>
        <v>13.643665875372527</v>
      </c>
      <c r="J36" s="53">
        <f>'Table 2A BaseLoad'!J55-INDEX('Table 10'!$G:$G,MATCH($A36,'Table 10'!$B:$B,0),1)</f>
        <v>30.888565353900479</v>
      </c>
      <c r="K36" s="53">
        <f>'Table 2A BaseLoad'!K55-INDEX('Table 10'!$G:$G,MATCH($A36,'Table 10'!$B:$B,0),1)</f>
        <v>24.650629850608333</v>
      </c>
      <c r="L36" s="53">
        <f>'Table 2A BaseLoad'!L55-INDEX('Table 10'!$G:$G,MATCH($A36,'Table 10'!$B:$B,0),1)</f>
        <v>21.960705033188223</v>
      </c>
      <c r="M36" s="54">
        <f>'Table 2A BaseLoad'!M55-INDEX('Table 10'!$G:$G,MATCH($A36,'Table 10'!$B:$B,0),1)</f>
        <v>28.202979348302371</v>
      </c>
      <c r="N36" s="131"/>
      <c r="O36" s="131"/>
      <c r="P36" s="131"/>
      <c r="Q36" s="131"/>
      <c r="R36" s="131"/>
      <c r="S36" s="131"/>
      <c r="T36" s="131"/>
    </row>
    <row r="37" spans="1:24" ht="12.75" customHeight="1" x14ac:dyDescent="0.2">
      <c r="A37" s="51">
        <f t="shared" si="1"/>
        <v>2025</v>
      </c>
      <c r="B37" s="53">
        <f>'Table 2A BaseLoad'!B56-INDEX('Table 10'!$G:$G,MATCH($A37,'Table 10'!$B:$B,0),1)</f>
        <v>25.81504418969071</v>
      </c>
      <c r="C37" s="53">
        <f>'Table 2A BaseLoad'!C56-INDEX('Table 10'!$G:$G,MATCH($A37,'Table 10'!$B:$B,0),1)</f>
        <v>24.929524139493314</v>
      </c>
      <c r="D37" s="53">
        <f>'Table 2A BaseLoad'!D56-INDEX('Table 10'!$G:$G,MATCH($A37,'Table 10'!$B:$B,0),1)</f>
        <v>22.154883574059877</v>
      </c>
      <c r="E37" s="53">
        <f>'Table 2A BaseLoad'!E56-INDEX('Table 10'!$G:$G,MATCH($A37,'Table 10'!$B:$B,0),1)</f>
        <v>19.462498053952931</v>
      </c>
      <c r="F37" s="53">
        <f>'Table 2A BaseLoad'!F56-INDEX('Table 10'!$G:$G,MATCH($A37,'Table 10'!$B:$B,0),1)</f>
        <v>21.001800907072088</v>
      </c>
      <c r="G37" s="53">
        <f>'Table 2A BaseLoad'!G56-INDEX('Table 10'!$G:$G,MATCH($A37,'Table 10'!$B:$B,0),1)</f>
        <v>18.761049249081918</v>
      </c>
      <c r="H37" s="53">
        <f>'Table 2A BaseLoad'!H56-INDEX('Table 10'!$G:$G,MATCH($A37,'Table 10'!$B:$B,0),1)</f>
        <v>33.02200700635953</v>
      </c>
      <c r="I37" s="53">
        <f>'Table 2A BaseLoad'!I56-INDEX('Table 10'!$G:$G,MATCH($A37,'Table 10'!$B:$B,0),1)</f>
        <v>26.335973091257443</v>
      </c>
      <c r="J37" s="53">
        <f>'Table 2A BaseLoad'!J56-INDEX('Table 10'!$G:$G,MATCH($A37,'Table 10'!$B:$B,0),1)</f>
        <v>27.788154529357875</v>
      </c>
      <c r="K37" s="53">
        <f>'Table 2A BaseLoad'!K56-INDEX('Table 10'!$G:$G,MATCH($A37,'Table 10'!$B:$B,0),1)</f>
        <v>23.833414336465232</v>
      </c>
      <c r="L37" s="53">
        <f>'Table 2A BaseLoad'!L56-INDEX('Table 10'!$G:$G,MATCH($A37,'Table 10'!$B:$B,0),1)</f>
        <v>21.481005399545413</v>
      </c>
      <c r="M37" s="54">
        <f>'Table 2A BaseLoad'!M56-INDEX('Table 10'!$G:$G,MATCH($A37,'Table 10'!$B:$B,0),1)</f>
        <v>29.058209007265511</v>
      </c>
      <c r="N37" s="131"/>
      <c r="O37" s="131"/>
      <c r="P37" s="131"/>
      <c r="Q37" s="131"/>
      <c r="R37" s="131"/>
      <c r="S37" s="131"/>
      <c r="T37" s="131"/>
    </row>
    <row r="38" spans="1:24" ht="12.75" customHeight="1" x14ac:dyDescent="0.2">
      <c r="A38" s="51">
        <f t="shared" si="1"/>
        <v>2026</v>
      </c>
      <c r="B38" s="53">
        <f>'Table 2A BaseLoad'!B57-INDEX('Table 10'!$G:$G,MATCH($A38,'Table 10'!$B:$B,0),1)</f>
        <v>28.051617020839885</v>
      </c>
      <c r="C38" s="53">
        <f>'Table 2A BaseLoad'!C57-INDEX('Table 10'!$G:$G,MATCH($A38,'Table 10'!$B:$B,0),1)</f>
        <v>54.995463529474584</v>
      </c>
      <c r="D38" s="53">
        <f>'Table 2A BaseLoad'!D57-INDEX('Table 10'!$G:$G,MATCH($A38,'Table 10'!$B:$B,0),1)</f>
        <v>22.523614237552067</v>
      </c>
      <c r="E38" s="53">
        <f>'Table 2A BaseLoad'!E57-INDEX('Table 10'!$G:$G,MATCH($A38,'Table 10'!$B:$B,0),1)</f>
        <v>20.302618560705298</v>
      </c>
      <c r="F38" s="53">
        <f>'Table 2A BaseLoad'!F57-INDEX('Table 10'!$G:$G,MATCH($A38,'Table 10'!$B:$B,0),1)</f>
        <v>21.431757900039287</v>
      </c>
      <c r="G38" s="53">
        <f>'Table 2A BaseLoad'!G57-INDEX('Table 10'!$G:$G,MATCH($A38,'Table 10'!$B:$B,0),1)</f>
        <v>20.527718081964014</v>
      </c>
      <c r="H38" s="53">
        <f>'Table 2A BaseLoad'!H57-INDEX('Table 10'!$G:$G,MATCH($A38,'Table 10'!$B:$B,0),1)</f>
        <v>33.989952196579182</v>
      </c>
      <c r="I38" s="53">
        <f>'Table 2A BaseLoad'!I57-INDEX('Table 10'!$G:$G,MATCH($A38,'Table 10'!$B:$B,0),1)</f>
        <v>26.277443235707839</v>
      </c>
      <c r="J38" s="53">
        <f>'Table 2A BaseLoad'!J57-INDEX('Table 10'!$G:$G,MATCH($A38,'Table 10'!$B:$B,0),1)</f>
        <v>22.925553757181085</v>
      </c>
      <c r="K38" s="53">
        <f>'Table 2A BaseLoad'!K57-INDEX('Table 10'!$G:$G,MATCH($A38,'Table 10'!$B:$B,0),1)</f>
        <v>26.770189129485829</v>
      </c>
      <c r="L38" s="53">
        <f>'Table 2A BaseLoad'!L57-INDEX('Table 10'!$G:$G,MATCH($A38,'Table 10'!$B:$B,0),1)</f>
        <v>22.945242944193001</v>
      </c>
      <c r="M38" s="54">
        <f>'Table 2A BaseLoad'!M57-INDEX('Table 10'!$G:$G,MATCH($A38,'Table 10'!$B:$B,0),1)</f>
        <v>27.758126864532514</v>
      </c>
      <c r="N38" s="131"/>
      <c r="O38" s="131"/>
      <c r="P38" s="131"/>
      <c r="Q38" s="131"/>
      <c r="R38" s="131"/>
      <c r="S38" s="131"/>
      <c r="T38" s="131"/>
    </row>
    <row r="39" spans="1:24" ht="12.75" customHeight="1" x14ac:dyDescent="0.2">
      <c r="A39" s="51">
        <f t="shared" si="1"/>
        <v>2027</v>
      </c>
      <c r="B39" s="53">
        <f>'Table 2A BaseLoad'!B58-INDEX('Table 10'!$G:$G,MATCH($A39,'Table 10'!$B:$B,0),1)</f>
        <v>26.06898907961752</v>
      </c>
      <c r="C39" s="53">
        <f>'Table 2A BaseLoad'!C58-INDEX('Table 10'!$G:$G,MATCH($A39,'Table 10'!$B:$B,0),1)</f>
        <v>24.942581982554177</v>
      </c>
      <c r="D39" s="53">
        <f>'Table 2A BaseLoad'!D58-INDEX('Table 10'!$G:$G,MATCH($A39,'Table 10'!$B:$B,0),1)</f>
        <v>24.265405617936054</v>
      </c>
      <c r="E39" s="53">
        <f>'Table 2A BaseLoad'!E58-INDEX('Table 10'!$G:$G,MATCH($A39,'Table 10'!$B:$B,0),1)</f>
        <v>22.492217529274438</v>
      </c>
      <c r="F39" s="53">
        <f>'Table 2A BaseLoad'!F58-INDEX('Table 10'!$G:$G,MATCH($A39,'Table 10'!$B:$B,0),1)</f>
        <v>23.165300228620552</v>
      </c>
      <c r="G39" s="53">
        <f>'Table 2A BaseLoad'!G58-INDEX('Table 10'!$G:$G,MATCH($A39,'Table 10'!$B:$B,0),1)</f>
        <v>21.823463127318778</v>
      </c>
      <c r="H39" s="53">
        <f>'Table 2A BaseLoad'!H58-INDEX('Table 10'!$G:$G,MATCH($A39,'Table 10'!$B:$B,0),1)</f>
        <v>35.884559733711171</v>
      </c>
      <c r="I39" s="53">
        <f>'Table 2A BaseLoad'!I58-INDEX('Table 10'!$G:$G,MATCH($A39,'Table 10'!$B:$B,0),1)</f>
        <v>28.174023899722677</v>
      </c>
      <c r="J39" s="53">
        <f>'Table 2A BaseLoad'!J58-INDEX('Table 10'!$G:$G,MATCH($A39,'Table 10'!$B:$B,0),1)</f>
        <v>23.110226171366502</v>
      </c>
      <c r="K39" s="53">
        <f>'Table 2A BaseLoad'!K58-INDEX('Table 10'!$G:$G,MATCH($A39,'Table 10'!$B:$B,0),1)</f>
        <v>26.178238076722767</v>
      </c>
      <c r="L39" s="53">
        <f>'Table 2A BaseLoad'!L58-INDEX('Table 10'!$G:$G,MATCH($A39,'Table 10'!$B:$B,0),1)</f>
        <v>22.97278283241333</v>
      </c>
      <c r="M39" s="54">
        <f>'Table 2A BaseLoad'!M58-INDEX('Table 10'!$G:$G,MATCH($A39,'Table 10'!$B:$B,0),1)</f>
        <v>26.188850300026605</v>
      </c>
      <c r="N39" s="131"/>
      <c r="O39" s="131"/>
      <c r="P39" s="131"/>
      <c r="Q39" s="131"/>
      <c r="R39" s="131"/>
      <c r="S39" s="131"/>
      <c r="T39" s="131"/>
    </row>
    <row r="40" spans="1:24" ht="12.75" customHeight="1" x14ac:dyDescent="0.2">
      <c r="A40" s="51">
        <f t="shared" si="1"/>
        <v>2028</v>
      </c>
      <c r="B40" s="53">
        <f>'Table 2A BaseLoad'!B59-INDEX('Table 10'!$G:$G,MATCH($A40,'Table 10'!$B:$B,0),1)</f>
        <v>29.683981648385064</v>
      </c>
      <c r="C40" s="53">
        <f>'Table 2A BaseLoad'!C59-INDEX('Table 10'!$G:$G,MATCH($A40,'Table 10'!$B:$B,0),1)</f>
        <v>30.266289839956968</v>
      </c>
      <c r="D40" s="53">
        <f>'Table 2A BaseLoad'!D59-INDEX('Table 10'!$G:$G,MATCH($A40,'Table 10'!$B:$B,0),1)</f>
        <v>28.02602385676726</v>
      </c>
      <c r="E40" s="53">
        <f>'Table 2A BaseLoad'!E59-INDEX('Table 10'!$G:$G,MATCH($A40,'Table 10'!$B:$B,0),1)</f>
        <v>26.225490959679057</v>
      </c>
      <c r="F40" s="53">
        <f>'Table 2A BaseLoad'!F59-INDEX('Table 10'!$G:$G,MATCH($A40,'Table 10'!$B:$B,0),1)</f>
        <v>27.589016935609941</v>
      </c>
      <c r="G40" s="53">
        <f>'Table 2A BaseLoad'!G59-INDEX('Table 10'!$G:$G,MATCH($A40,'Table 10'!$B:$B,0),1)</f>
        <v>25.954846994437183</v>
      </c>
      <c r="H40" s="53">
        <f>'Table 2A BaseLoad'!H59-INDEX('Table 10'!$G:$G,MATCH($A40,'Table 10'!$B:$B,0),1)</f>
        <v>40.850475630880482</v>
      </c>
      <c r="I40" s="53">
        <f>'Table 2A BaseLoad'!I59-INDEX('Table 10'!$G:$G,MATCH($A40,'Table 10'!$B:$B,0),1)</f>
        <v>35.785993680336631</v>
      </c>
      <c r="J40" s="53">
        <f>'Table 2A BaseLoad'!J59-INDEX('Table 10'!$G:$G,MATCH($A40,'Table 10'!$B:$B,0),1)</f>
        <v>30.241242216163016</v>
      </c>
      <c r="K40" s="53">
        <f>'Table 2A BaseLoad'!K59-INDEX('Table 10'!$G:$G,MATCH($A40,'Table 10'!$B:$B,0),1)</f>
        <v>31.91385352809084</v>
      </c>
      <c r="L40" s="53">
        <f>'Table 2A BaseLoad'!L59-INDEX('Table 10'!$G:$G,MATCH($A40,'Table 10'!$B:$B,0),1)</f>
        <v>29.037024256440063</v>
      </c>
      <c r="M40" s="54">
        <f>'Table 2A BaseLoad'!M59-INDEX('Table 10'!$G:$G,MATCH($A40,'Table 10'!$B:$B,0),1)</f>
        <v>38.955591324691852</v>
      </c>
      <c r="N40" s="132"/>
      <c r="O40" s="132"/>
      <c r="P40" s="132"/>
      <c r="Q40" s="132"/>
      <c r="R40" s="132"/>
      <c r="S40" s="132"/>
      <c r="T40" s="132"/>
    </row>
    <row r="41" spans="1:24" ht="12" hidden="1" customHeight="1" x14ac:dyDescent="0.2">
      <c r="A41" s="51">
        <f t="shared" si="1"/>
        <v>2029</v>
      </c>
      <c r="B41" s="53" t="e">
        <f>'Table 2A BaseLoad'!B60-INDEX('Table 10'!$G:$G,MATCH($A41,'Table 10'!$B:$B,0),1)</f>
        <v>#N/A</v>
      </c>
      <c r="C41" s="53" t="e">
        <f>'Table 2A BaseLoad'!C60-INDEX('Table 10'!$G:$G,MATCH($A41,'Table 10'!$B:$B,0),1)</f>
        <v>#N/A</v>
      </c>
      <c r="D41" s="53" t="e">
        <f>'Table 2A BaseLoad'!D60-INDEX('Table 10'!$G:$G,MATCH($A41,'Table 10'!$B:$B,0),1)</f>
        <v>#N/A</v>
      </c>
      <c r="E41" s="53" t="e">
        <f>'Table 2A BaseLoad'!E60-INDEX('Table 10'!$G:$G,MATCH($A41,'Table 10'!$B:$B,0),1)</f>
        <v>#N/A</v>
      </c>
      <c r="F41" s="53" t="e">
        <f>'Table 2A BaseLoad'!F60-INDEX('Table 10'!$G:$G,MATCH($A41,'Table 10'!$B:$B,0),1)</f>
        <v>#N/A</v>
      </c>
      <c r="G41" s="53" t="e">
        <f>'Table 2A BaseLoad'!G60-INDEX('Table 10'!$G:$G,MATCH($A41,'Table 10'!$B:$B,0),1)</f>
        <v>#N/A</v>
      </c>
      <c r="H41" s="53" t="e">
        <f>'Table 2A BaseLoad'!H60-INDEX('Table 10'!$G:$G,MATCH($A41,'Table 10'!$B:$B,0),1)</f>
        <v>#N/A</v>
      </c>
      <c r="I41" s="53" t="e">
        <f>'Table 2A BaseLoad'!I60-INDEX('Table 10'!$G:$G,MATCH($A41,'Table 10'!$B:$B,0),1)</f>
        <v>#N/A</v>
      </c>
      <c r="J41" s="53" t="e">
        <f>'Table 2A BaseLoad'!J60-INDEX('Table 10'!$G:$G,MATCH($A41,'Table 10'!$B:$B,0),1)</f>
        <v>#N/A</v>
      </c>
      <c r="K41" s="53" t="e">
        <f>'Table 2A BaseLoad'!K60-INDEX('Table 10'!$G:$G,MATCH($A41,'Table 10'!$B:$B,0),1)</f>
        <v>#N/A</v>
      </c>
      <c r="L41" s="53" t="e">
        <f>'Table 2A BaseLoad'!L60-INDEX('Table 10'!$G:$G,MATCH($A41,'Table 10'!$B:$B,0),1)</f>
        <v>#N/A</v>
      </c>
      <c r="M41" s="54" t="e">
        <f>'Table 2A BaseLoad'!M60-INDEX('Table 10'!$G:$G,MATCH($A41,'Table 10'!$B:$B,0),1)</f>
        <v>#N/A</v>
      </c>
    </row>
    <row r="42" spans="1:24" ht="12.75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24" ht="12.75" hidden="1" customHeight="1" x14ac:dyDescent="0.2">
      <c r="A43" s="51"/>
      <c r="B43" s="52"/>
      <c r="C43" s="53"/>
      <c r="D43" s="53"/>
      <c r="E43" s="53"/>
      <c r="F43" s="53"/>
      <c r="G43" s="52"/>
      <c r="H43" s="53"/>
      <c r="I43" s="53"/>
      <c r="J43" s="53"/>
      <c r="K43" s="52"/>
      <c r="L43" s="53"/>
      <c r="M43" s="54"/>
    </row>
    <row r="44" spans="1:24" ht="12.75" hidden="1" customHeight="1" x14ac:dyDescent="0.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24" ht="12.75" hidden="1" customHeight="1" x14ac:dyDescent="0.2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24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24" ht="12.75" customHeight="1" x14ac:dyDescent="0.2">
      <c r="A47" s="12" t="s">
        <v>220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24" ht="12.75" customHeight="1" x14ac:dyDescent="0.2">
      <c r="A48" s="489">
        <v>2017</v>
      </c>
      <c r="B48" s="333"/>
      <c r="C48" s="333"/>
      <c r="D48" s="333"/>
      <c r="E48" s="333"/>
      <c r="F48" s="333"/>
      <c r="G48" s="333">
        <f t="shared" ref="F48:G49" si="2">G10*0.56+G29*0.44</f>
        <v>21.268732373845854</v>
      </c>
      <c r="H48" s="333">
        <f>H10*0.56+H29*0.44</f>
        <v>20.190915162407734</v>
      </c>
      <c r="I48" s="333">
        <f t="shared" ref="I48:M49" si="3">I10*0.56+I29*0.44</f>
        <v>21.892660404984916</v>
      </c>
      <c r="J48" s="333">
        <f t="shared" si="3"/>
        <v>19.952754553707621</v>
      </c>
      <c r="K48" s="333">
        <f t="shared" si="3"/>
        <v>20.674327055240518</v>
      </c>
      <c r="L48" s="333">
        <f t="shared" si="3"/>
        <v>21.47680919437791</v>
      </c>
      <c r="M48" s="334">
        <f t="shared" si="3"/>
        <v>25.835037879830899</v>
      </c>
    </row>
    <row r="49" spans="1:13" ht="12.75" customHeight="1" x14ac:dyDescent="0.2">
      <c r="A49" s="492">
        <f>'Tables 3 to 5'!$B$14</f>
        <v>2018</v>
      </c>
      <c r="B49" s="53">
        <f t="shared" ref="B49:E49" si="4">B11*0.56+B30*0.44</f>
        <v>25.225647060323382</v>
      </c>
      <c r="C49" s="53">
        <f t="shared" si="4"/>
        <v>23.81553572325808</v>
      </c>
      <c r="D49" s="53">
        <f t="shared" si="4"/>
        <v>21.221839103612137</v>
      </c>
      <c r="E49" s="53">
        <f t="shared" si="4"/>
        <v>17.330627935358763</v>
      </c>
      <c r="F49" s="53">
        <f t="shared" si="2"/>
        <v>15.980271778175013</v>
      </c>
      <c r="G49" s="53">
        <f t="shared" si="2"/>
        <v>16.02529535481337</v>
      </c>
      <c r="H49" s="53">
        <f>H11*0.56+H30*0.44</f>
        <v>20.914837033105538</v>
      </c>
      <c r="I49" s="53">
        <f t="shared" si="3"/>
        <v>21.005459936316178</v>
      </c>
      <c r="J49" s="53">
        <f t="shared" si="3"/>
        <v>18.245742647026656</v>
      </c>
      <c r="K49" s="53">
        <f t="shared" si="3"/>
        <v>17.992364555780441</v>
      </c>
      <c r="L49" s="53">
        <f t="shared" si="3"/>
        <v>18.507772591040023</v>
      </c>
      <c r="M49" s="54">
        <f t="shared" si="3"/>
        <v>20.82438976775385</v>
      </c>
    </row>
    <row r="50" spans="1:13" ht="12.75" customHeight="1" x14ac:dyDescent="0.2">
      <c r="A50" s="51">
        <f t="shared" ref="A50:A60" si="5">A49+1</f>
        <v>2019</v>
      </c>
      <c r="B50" s="53">
        <f t="shared" ref="B50:B60" si="6">B12*0.56+B31*0.44</f>
        <v>20.883738345288364</v>
      </c>
      <c r="C50" s="53">
        <f t="shared" ref="C50:M50" si="7">C12*0.56+C31*0.44</f>
        <v>18.336507893403663</v>
      </c>
      <c r="D50" s="53">
        <f t="shared" si="7"/>
        <v>17.729732125236161</v>
      </c>
      <c r="E50" s="53">
        <f t="shared" si="7"/>
        <v>15.728264242506707</v>
      </c>
      <c r="F50" s="53">
        <f t="shared" si="7"/>
        <v>14.520854129974815</v>
      </c>
      <c r="G50" s="53">
        <f t="shared" si="7"/>
        <v>16.300655015167358</v>
      </c>
      <c r="H50" s="53">
        <f t="shared" si="7"/>
        <v>25.164036322174084</v>
      </c>
      <c r="I50" s="53">
        <f t="shared" si="7"/>
        <v>21.487475517476753</v>
      </c>
      <c r="J50" s="53">
        <f t="shared" si="7"/>
        <v>19.157512764586595</v>
      </c>
      <c r="K50" s="53">
        <f t="shared" si="7"/>
        <v>19.112010247645586</v>
      </c>
      <c r="L50" s="53">
        <f t="shared" si="7"/>
        <v>17.757106705193909</v>
      </c>
      <c r="M50" s="54">
        <f t="shared" si="7"/>
        <v>21.13339098665319</v>
      </c>
    </row>
    <row r="51" spans="1:13" ht="12.75" customHeight="1" x14ac:dyDescent="0.2">
      <c r="A51" s="51">
        <f t="shared" si="5"/>
        <v>2020</v>
      </c>
      <c r="B51" s="53">
        <f t="shared" si="6"/>
        <v>15.554103653104441</v>
      </c>
      <c r="C51" s="53">
        <f t="shared" ref="C51:M51" si="8">C13*0.56+C32*0.44</f>
        <v>17.068325129039657</v>
      </c>
      <c r="D51" s="53">
        <f t="shared" si="8"/>
        <v>16.429129465039761</v>
      </c>
      <c r="E51" s="53">
        <f t="shared" si="8"/>
        <v>15.481555194222192</v>
      </c>
      <c r="F51" s="53">
        <f t="shared" si="8"/>
        <v>15.592719336672612</v>
      </c>
      <c r="G51" s="53">
        <f t="shared" si="8"/>
        <v>15.002249789612872</v>
      </c>
      <c r="H51" s="53">
        <f t="shared" si="8"/>
        <v>25.940113572404577</v>
      </c>
      <c r="I51" s="53">
        <f t="shared" si="8"/>
        <v>21.620410641264495</v>
      </c>
      <c r="J51" s="53">
        <f t="shared" si="8"/>
        <v>17.930703874880848</v>
      </c>
      <c r="K51" s="53">
        <f t="shared" si="8"/>
        <v>17.840704731959349</v>
      </c>
      <c r="L51" s="53">
        <f t="shared" si="8"/>
        <v>15.797333706856051</v>
      </c>
      <c r="M51" s="54">
        <f t="shared" si="8"/>
        <v>19.654921374538809</v>
      </c>
    </row>
    <row r="52" spans="1:13" ht="12.75" customHeight="1" x14ac:dyDescent="0.2">
      <c r="A52" s="51">
        <f t="shared" si="5"/>
        <v>2021</v>
      </c>
      <c r="B52" s="53">
        <f t="shared" si="6"/>
        <v>17.720214656976783</v>
      </c>
      <c r="C52" s="53">
        <f t="shared" ref="C52:M52" si="9">C14*0.56+C33*0.44</f>
        <v>19.863332126175191</v>
      </c>
      <c r="D52" s="53">
        <f t="shared" si="9"/>
        <v>14.670037622906264</v>
      </c>
      <c r="E52" s="53">
        <f t="shared" si="9"/>
        <v>14.058468112589551</v>
      </c>
      <c r="F52" s="53">
        <f t="shared" si="9"/>
        <v>14.366975317918444</v>
      </c>
      <c r="G52" s="53">
        <f t="shared" si="9"/>
        <v>14.640591217193574</v>
      </c>
      <c r="H52" s="53">
        <f t="shared" si="9"/>
        <v>26.201030636554353</v>
      </c>
      <c r="I52" s="53">
        <f t="shared" si="9"/>
        <v>20.687204855394864</v>
      </c>
      <c r="J52" s="53">
        <f t="shared" si="9"/>
        <v>17.310079449906507</v>
      </c>
      <c r="K52" s="53">
        <f t="shared" si="9"/>
        <v>18.267405116112581</v>
      </c>
      <c r="L52" s="53">
        <f t="shared" si="9"/>
        <v>17.201457710937493</v>
      </c>
      <c r="M52" s="54">
        <f t="shared" si="9"/>
        <v>22.362943976885234</v>
      </c>
    </row>
    <row r="53" spans="1:13" ht="12.75" customHeight="1" x14ac:dyDescent="0.2">
      <c r="A53" s="51">
        <f t="shared" si="5"/>
        <v>2022</v>
      </c>
      <c r="B53" s="53">
        <f t="shared" si="6"/>
        <v>20.250790399256683</v>
      </c>
      <c r="C53" s="53">
        <f t="shared" ref="C53:M53" si="10">C15*0.56+C34*0.44</f>
        <v>19.366541391863443</v>
      </c>
      <c r="D53" s="53">
        <f t="shared" si="10"/>
        <v>17.630093642703834</v>
      </c>
      <c r="E53" s="53">
        <f t="shared" si="10"/>
        <v>15.163427381247256</v>
      </c>
      <c r="F53" s="53">
        <f t="shared" si="10"/>
        <v>15.65743713727522</v>
      </c>
      <c r="G53" s="53">
        <f t="shared" si="10"/>
        <v>15.775370961467432</v>
      </c>
      <c r="H53" s="53">
        <f t="shared" si="10"/>
        <v>28.38625324943942</v>
      </c>
      <c r="I53" s="53">
        <f t="shared" si="10"/>
        <v>23.424824516408215</v>
      </c>
      <c r="J53" s="53">
        <f t="shared" si="10"/>
        <v>19.041317360924321</v>
      </c>
      <c r="K53" s="53">
        <f t="shared" si="10"/>
        <v>19.873878411856676</v>
      </c>
      <c r="L53" s="53">
        <f t="shared" si="10"/>
        <v>19.029173035571844</v>
      </c>
      <c r="M53" s="54">
        <f t="shared" si="10"/>
        <v>23.303050074836754</v>
      </c>
    </row>
    <row r="54" spans="1:13" ht="12.75" customHeight="1" x14ac:dyDescent="0.2">
      <c r="A54" s="51">
        <f t="shared" si="5"/>
        <v>2023</v>
      </c>
      <c r="B54" s="53">
        <f t="shared" si="6"/>
        <v>21.399913234189725</v>
      </c>
      <c r="C54" s="53">
        <f t="shared" ref="C54:M54" si="11">C16*0.56+C35*0.44</f>
        <v>19.484585569057522</v>
      </c>
      <c r="D54" s="53">
        <f t="shared" si="11"/>
        <v>18.322209414412875</v>
      </c>
      <c r="E54" s="53">
        <f t="shared" si="11"/>
        <v>15.755879599839636</v>
      </c>
      <c r="F54" s="53">
        <f t="shared" si="11"/>
        <v>17.562097182460693</v>
      </c>
      <c r="G54" s="53">
        <f t="shared" si="11"/>
        <v>17.265612123943974</v>
      </c>
      <c r="H54" s="53">
        <f t="shared" si="11"/>
        <v>32.630511813575581</v>
      </c>
      <c r="I54" s="53">
        <f t="shared" si="11"/>
        <v>24.241344698802322</v>
      </c>
      <c r="J54" s="53">
        <f t="shared" si="11"/>
        <v>20.798526718422764</v>
      </c>
      <c r="K54" s="53">
        <f t="shared" si="11"/>
        <v>22.854940462879291</v>
      </c>
      <c r="L54" s="53">
        <f t="shared" si="11"/>
        <v>16.88515088438438</v>
      </c>
      <c r="M54" s="54">
        <f t="shared" si="11"/>
        <v>26.707880621096649</v>
      </c>
    </row>
    <row r="55" spans="1:13" ht="12.75" customHeight="1" x14ac:dyDescent="0.2">
      <c r="A55" s="51">
        <f t="shared" si="5"/>
        <v>2024</v>
      </c>
      <c r="B55" s="53">
        <f t="shared" si="6"/>
        <v>24.752682070720297</v>
      </c>
      <c r="C55" s="53">
        <f t="shared" ref="C55:M55" si="12">C17*0.56+C36*0.44</f>
        <v>20.853192415288326</v>
      </c>
      <c r="D55" s="53">
        <f t="shared" si="12"/>
        <v>20.781018195333203</v>
      </c>
      <c r="E55" s="53">
        <f t="shared" si="12"/>
        <v>17.260536869979827</v>
      </c>
      <c r="F55" s="53">
        <f t="shared" si="12"/>
        <v>21.034112740248638</v>
      </c>
      <c r="G55" s="53">
        <f t="shared" si="12"/>
        <v>19.739921112668753</v>
      </c>
      <c r="H55" s="53">
        <f t="shared" si="12"/>
        <v>35.967922579216541</v>
      </c>
      <c r="I55" s="53">
        <f t="shared" si="12"/>
        <v>16.086564474637086</v>
      </c>
      <c r="J55" s="53">
        <f t="shared" si="12"/>
        <v>34.725683313238846</v>
      </c>
      <c r="K55" s="53">
        <f t="shared" si="12"/>
        <v>26.453868588308715</v>
      </c>
      <c r="L55" s="53">
        <f t="shared" si="12"/>
        <v>23.534624162934506</v>
      </c>
      <c r="M55" s="54">
        <f t="shared" si="12"/>
        <v>29.808430633766775</v>
      </c>
    </row>
    <row r="56" spans="1:13" ht="12.75" customHeight="1" x14ac:dyDescent="0.2">
      <c r="A56" s="51">
        <f t="shared" si="5"/>
        <v>2025</v>
      </c>
      <c r="B56" s="53">
        <f t="shared" si="6"/>
        <v>27.357187519060425</v>
      </c>
      <c r="C56" s="53">
        <f t="shared" ref="C56:M56" si="13">C18*0.56+C37*0.44</f>
        <v>26.292542337228284</v>
      </c>
      <c r="D56" s="53">
        <f t="shared" si="13"/>
        <v>22.852148285662572</v>
      </c>
      <c r="E56" s="53">
        <f t="shared" si="13"/>
        <v>20.553217040668088</v>
      </c>
      <c r="F56" s="53">
        <f t="shared" si="13"/>
        <v>22.100086083619807</v>
      </c>
      <c r="G56" s="53">
        <f t="shared" si="13"/>
        <v>20.270671361303883</v>
      </c>
      <c r="H56" s="53">
        <f t="shared" si="13"/>
        <v>38.441824846532214</v>
      </c>
      <c r="I56" s="53">
        <f t="shared" si="13"/>
        <v>31.097097558310317</v>
      </c>
      <c r="J56" s="53">
        <f t="shared" si="13"/>
        <v>31.738356354032685</v>
      </c>
      <c r="K56" s="53">
        <f t="shared" si="13"/>
        <v>25.625265330390761</v>
      </c>
      <c r="L56" s="53">
        <f t="shared" si="13"/>
        <v>22.99108474419846</v>
      </c>
      <c r="M56" s="54">
        <f t="shared" si="13"/>
        <v>30.939296458071997</v>
      </c>
    </row>
    <row r="57" spans="1:13" ht="12.75" customHeight="1" x14ac:dyDescent="0.2">
      <c r="A57" s="51">
        <f t="shared" si="5"/>
        <v>2026</v>
      </c>
      <c r="B57" s="53">
        <f t="shared" si="6"/>
        <v>29.803063042034594</v>
      </c>
      <c r="C57" s="53">
        <f t="shared" ref="C57:M57" si="14">C19*0.56+C38*0.44</f>
        <v>58.096294792837135</v>
      </c>
      <c r="D57" s="53">
        <f t="shared" si="14"/>
        <v>23.183904811666423</v>
      </c>
      <c r="E57" s="53">
        <f t="shared" si="14"/>
        <v>21.225376497013205</v>
      </c>
      <c r="F57" s="53">
        <f t="shared" si="14"/>
        <v>22.641653263018597</v>
      </c>
      <c r="G57" s="53">
        <f t="shared" si="14"/>
        <v>22.284305177421029</v>
      </c>
      <c r="H57" s="53">
        <f t="shared" si="14"/>
        <v>39.509653742866263</v>
      </c>
      <c r="I57" s="53">
        <f t="shared" si="14"/>
        <v>30.856930589157706</v>
      </c>
      <c r="J57" s="53">
        <f t="shared" si="14"/>
        <v>25.978854991608724</v>
      </c>
      <c r="K57" s="53">
        <f t="shared" si="14"/>
        <v>28.640257104696435</v>
      </c>
      <c r="L57" s="53">
        <f t="shared" si="14"/>
        <v>24.568074269903988</v>
      </c>
      <c r="M57" s="54">
        <f t="shared" si="14"/>
        <v>29.499817752643771</v>
      </c>
    </row>
    <row r="58" spans="1:13" ht="12.75" customHeight="1" x14ac:dyDescent="0.2">
      <c r="A58" s="51">
        <f t="shared" si="5"/>
        <v>2027</v>
      </c>
      <c r="B58" s="53">
        <f t="shared" si="6"/>
        <v>27.394673389127369</v>
      </c>
      <c r="C58" s="53">
        <f t="shared" ref="C58:M58" si="15">C20*0.56+C39*0.44</f>
        <v>26.261816987216058</v>
      </c>
      <c r="D58" s="53">
        <f t="shared" si="15"/>
        <v>24.789119093510116</v>
      </c>
      <c r="E58" s="53">
        <f t="shared" si="15"/>
        <v>23.593102300823375</v>
      </c>
      <c r="F58" s="53">
        <f t="shared" si="15"/>
        <v>24.29724615118149</v>
      </c>
      <c r="G58" s="53">
        <f t="shared" si="15"/>
        <v>23.506141819797982</v>
      </c>
      <c r="H58" s="53">
        <f t="shared" si="15"/>
        <v>41.271707127547266</v>
      </c>
      <c r="I58" s="53">
        <f t="shared" si="15"/>
        <v>32.906086697834844</v>
      </c>
      <c r="J58" s="53">
        <f t="shared" si="15"/>
        <v>25.891634974831661</v>
      </c>
      <c r="K58" s="53">
        <f t="shared" si="15"/>
        <v>27.978496183780329</v>
      </c>
      <c r="L58" s="53">
        <f t="shared" si="15"/>
        <v>24.722571709563784</v>
      </c>
      <c r="M58" s="54">
        <f t="shared" si="15"/>
        <v>27.567841328499494</v>
      </c>
    </row>
    <row r="59" spans="1:13" ht="12.75" customHeight="1" x14ac:dyDescent="0.2">
      <c r="A59" s="51">
        <f t="shared" si="5"/>
        <v>2028</v>
      </c>
      <c r="B59" s="53">
        <f t="shared" si="6"/>
        <v>31.140741132442976</v>
      </c>
      <c r="C59" s="53">
        <f t="shared" ref="C59:M59" si="16">C21*0.56+C40*0.44</f>
        <v>31.745877589184641</v>
      </c>
      <c r="D59" s="53">
        <f t="shared" si="16"/>
        <v>28.71558574961692</v>
      </c>
      <c r="E59" s="53">
        <f t="shared" si="16"/>
        <v>27.435483775327373</v>
      </c>
      <c r="F59" s="53">
        <f t="shared" si="16"/>
        <v>28.96083608043584</v>
      </c>
      <c r="G59" s="53">
        <f t="shared" si="16"/>
        <v>27.957460697485537</v>
      </c>
      <c r="H59" s="53">
        <f t="shared" si="16"/>
        <v>46.711751308007742</v>
      </c>
      <c r="I59" s="53">
        <f t="shared" si="16"/>
        <v>41.644338717936613</v>
      </c>
      <c r="J59" s="53">
        <f t="shared" si="16"/>
        <v>33.319297755320626</v>
      </c>
      <c r="K59" s="53">
        <f t="shared" si="16"/>
        <v>33.975195989341408</v>
      </c>
      <c r="L59" s="53">
        <f t="shared" si="16"/>
        <v>31.072976216342859</v>
      </c>
      <c r="M59" s="54">
        <f t="shared" si="16"/>
        <v>40.65248214800809</v>
      </c>
    </row>
    <row r="60" spans="1:13" ht="12.75" hidden="1" customHeight="1" x14ac:dyDescent="0.2">
      <c r="A60" s="51">
        <f t="shared" si="5"/>
        <v>2029</v>
      </c>
      <c r="B60" s="53" t="e">
        <f t="shared" si="6"/>
        <v>#N/A</v>
      </c>
      <c r="C60" s="53" t="e">
        <f t="shared" ref="C60:M60" si="17">C22*0.56+C41*0.44</f>
        <v>#N/A</v>
      </c>
      <c r="D60" s="53" t="e">
        <f t="shared" si="17"/>
        <v>#N/A</v>
      </c>
      <c r="E60" s="53" t="e">
        <f t="shared" si="17"/>
        <v>#N/A</v>
      </c>
      <c r="F60" s="53" t="e">
        <f t="shared" si="17"/>
        <v>#N/A</v>
      </c>
      <c r="G60" s="53" t="e">
        <f t="shared" si="17"/>
        <v>#N/A</v>
      </c>
      <c r="H60" s="53" t="e">
        <f t="shared" si="17"/>
        <v>#N/A</v>
      </c>
      <c r="I60" s="53" t="e">
        <f t="shared" si="17"/>
        <v>#N/A</v>
      </c>
      <c r="J60" s="53" t="e">
        <f t="shared" si="17"/>
        <v>#N/A</v>
      </c>
      <c r="K60" s="53" t="e">
        <f t="shared" si="17"/>
        <v>#N/A</v>
      </c>
      <c r="L60" s="53" t="e">
        <f t="shared" si="17"/>
        <v>#N/A</v>
      </c>
      <c r="M60" s="54" t="e">
        <f t="shared" si="17"/>
        <v>#N/A</v>
      </c>
    </row>
    <row r="61" spans="1:13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13" ht="12.75" hidden="1" customHeight="1" x14ac:dyDescent="0.2">
      <c r="A63" s="51"/>
      <c r="B63" s="52"/>
      <c r="C63" s="53"/>
      <c r="D63" s="53"/>
      <c r="E63" s="53"/>
      <c r="F63" s="53"/>
      <c r="G63" s="52"/>
      <c r="H63" s="53"/>
      <c r="I63" s="53"/>
      <c r="J63" s="53"/>
      <c r="K63" s="52"/>
      <c r="L63" s="53"/>
      <c r="M63" s="54"/>
    </row>
    <row r="64" spans="1:13" ht="12.75" hidden="1" customHeight="1" x14ac:dyDescent="0.2">
      <c r="A64" s="55"/>
      <c r="B64" s="56"/>
      <c r="C64" s="57"/>
      <c r="D64" s="57"/>
      <c r="E64" s="57"/>
      <c r="F64" s="57"/>
      <c r="G64" s="56"/>
      <c r="H64" s="57"/>
      <c r="I64" s="57"/>
      <c r="J64" s="57"/>
      <c r="K64" s="56"/>
      <c r="L64" s="57"/>
      <c r="M64" s="58"/>
    </row>
    <row r="65" spans="1:13" ht="12.75" customHeight="1" x14ac:dyDescent="0.2">
      <c r="A65" s="106"/>
      <c r="B65" s="107"/>
      <c r="C65" s="107"/>
      <c r="D65" s="107"/>
      <c r="E65" s="106"/>
      <c r="F65" s="106"/>
      <c r="G65" s="106"/>
      <c r="H65" s="106"/>
      <c r="I65" s="106"/>
      <c r="J65" s="106"/>
      <c r="K65" s="108"/>
      <c r="L65" s="106"/>
      <c r="M65" s="106"/>
    </row>
    <row r="66" spans="1:13" ht="12.75" customHeight="1" x14ac:dyDescent="0.2">
      <c r="A66" s="12" t="s">
        <v>66</v>
      </c>
      <c r="C66" s="60"/>
      <c r="D66" s="60"/>
      <c r="K66" s="59"/>
    </row>
    <row r="67" spans="1:13" ht="12.75" customHeight="1" x14ac:dyDescent="0.2">
      <c r="A67" s="61" t="s">
        <v>2</v>
      </c>
      <c r="C67" s="62" t="s">
        <v>56</v>
      </c>
      <c r="D67" s="33"/>
      <c r="E67" s="34"/>
      <c r="F67" s="37"/>
      <c r="G67" s="62" t="s">
        <v>57</v>
      </c>
      <c r="H67" s="33"/>
      <c r="I67" s="34"/>
      <c r="J67" s="37"/>
      <c r="K67" s="62" t="s">
        <v>67</v>
      </c>
      <c r="L67" s="33"/>
      <c r="M67" s="34"/>
    </row>
    <row r="68" spans="1:13" s="37" customFormat="1" ht="12.75" customHeight="1" x14ac:dyDescent="0.2">
      <c r="A68" s="47"/>
      <c r="C68" s="17" t="s">
        <v>79</v>
      </c>
      <c r="D68" s="18" t="s">
        <v>1</v>
      </c>
      <c r="E68" s="18" t="s">
        <v>10</v>
      </c>
      <c r="F68" s="47"/>
      <c r="G68" s="17" t="s">
        <v>79</v>
      </c>
      <c r="H68" s="18" t="s">
        <v>1</v>
      </c>
      <c r="I68" s="18" t="s">
        <v>10</v>
      </c>
      <c r="J68" s="47"/>
      <c r="K68" s="17" t="s">
        <v>79</v>
      </c>
      <c r="L68" s="18" t="s">
        <v>1</v>
      </c>
      <c r="M68" s="18" t="s">
        <v>10</v>
      </c>
    </row>
    <row r="69" spans="1:13" s="37" customFormat="1" ht="12.75" customHeight="1" x14ac:dyDescent="0.2">
      <c r="A69" s="63">
        <f t="shared" ref="A69:A81" si="18">A10</f>
        <v>2017</v>
      </c>
      <c r="C69" s="38">
        <f t="shared" ref="C69:C81" si="19">ROUND(AVERAGE(B10:F10,K10:M10),2)</f>
        <v>23.65</v>
      </c>
      <c r="D69" s="38">
        <f t="shared" ref="D69:D81" si="20">ROUND(AVERAGE(B29:F29,K29:M29),2)</f>
        <v>21.4</v>
      </c>
      <c r="E69" s="38">
        <f>ROUND(AVERAGE(B48:F48,K48:M48),2)</f>
        <v>22.66</v>
      </c>
      <c r="G69" s="53">
        <f t="shared" ref="G69:G81" si="21">ROUND(AVERAGE(G10:J10),2)</f>
        <v>23.76</v>
      </c>
      <c r="H69" s="53">
        <f t="shared" ref="H69:H81" si="22">ROUND(AVERAGE(G29:J29),2)</f>
        <v>17.100000000000001</v>
      </c>
      <c r="I69" s="53">
        <f>ROUND(AVERAGE(G48:J48),2)</f>
        <v>20.83</v>
      </c>
      <c r="K69" s="38">
        <f t="shared" ref="K69:K81" si="23">ROUND(AVERAGE(B10:M10),2)</f>
        <v>23.71</v>
      </c>
      <c r="L69" s="38">
        <f t="shared" ref="L69:L81" si="24">ROUND(AVERAGE(B29:M29),2)</f>
        <v>18.940000000000001</v>
      </c>
      <c r="M69" s="38">
        <f>ROUND(AVERAGE(B48:M48),2)</f>
        <v>21.61</v>
      </c>
    </row>
    <row r="70" spans="1:13" s="37" customFormat="1" ht="12.75" customHeight="1" x14ac:dyDescent="0.2">
      <c r="A70" s="63">
        <f t="shared" si="18"/>
        <v>2018</v>
      </c>
      <c r="C70" s="38">
        <f t="shared" si="19"/>
        <v>21.15</v>
      </c>
      <c r="D70" s="38">
        <f t="shared" si="20"/>
        <v>18.8</v>
      </c>
      <c r="E70" s="38">
        <f>ROUND(AVERAGE(B49:F49,K49:M49),2)</f>
        <v>20.11</v>
      </c>
      <c r="G70" s="53">
        <f t="shared" si="21"/>
        <v>21.7</v>
      </c>
      <c r="H70" s="53">
        <f t="shared" si="22"/>
        <v>15.67</v>
      </c>
      <c r="I70" s="53">
        <f>ROUND(AVERAGE(G49:J49),2)</f>
        <v>19.05</v>
      </c>
      <c r="K70" s="38">
        <f t="shared" si="23"/>
        <v>21.33</v>
      </c>
      <c r="L70" s="38">
        <f t="shared" si="24"/>
        <v>17.75</v>
      </c>
      <c r="M70" s="38">
        <f>ROUND(AVERAGE(B49:M49),2)</f>
        <v>19.760000000000002</v>
      </c>
    </row>
    <row r="71" spans="1:13" s="37" customFormat="1" ht="12.75" customHeight="1" x14ac:dyDescent="0.2">
      <c r="A71" s="63">
        <f t="shared" si="18"/>
        <v>2019</v>
      </c>
      <c r="C71" s="38">
        <f t="shared" si="19"/>
        <v>19.54</v>
      </c>
      <c r="D71" s="38">
        <f t="shared" si="20"/>
        <v>16.38</v>
      </c>
      <c r="E71" s="38">
        <f>ROUND(AVERAGE(B50:F50,K50:M50),2)</f>
        <v>18.149999999999999</v>
      </c>
      <c r="G71" s="53">
        <f t="shared" si="21"/>
        <v>23.95</v>
      </c>
      <c r="H71" s="53">
        <f t="shared" si="22"/>
        <v>16.170000000000002</v>
      </c>
      <c r="I71" s="53">
        <f>ROUND(AVERAGE(G50:J50),2)</f>
        <v>20.53</v>
      </c>
      <c r="K71" s="38">
        <f t="shared" si="23"/>
        <v>21.01</v>
      </c>
      <c r="L71" s="38">
        <f t="shared" si="24"/>
        <v>16.309999999999999</v>
      </c>
      <c r="M71" s="38">
        <f>ROUND(AVERAGE(B50:M50),2)</f>
        <v>18.940000000000001</v>
      </c>
    </row>
    <row r="72" spans="1:13" s="37" customFormat="1" ht="12.75" customHeight="1" x14ac:dyDescent="0.2">
      <c r="A72" s="63">
        <f t="shared" si="18"/>
        <v>2020</v>
      </c>
      <c r="C72" s="38">
        <f t="shared" si="19"/>
        <v>17.98</v>
      </c>
      <c r="D72" s="38">
        <f t="shared" si="20"/>
        <v>15.02</v>
      </c>
      <c r="E72" s="38">
        <f t="shared" ref="E72:E81" si="25">ROUND(AVERAGE(B51:F51,K51:M51),2)</f>
        <v>16.68</v>
      </c>
      <c r="G72" s="53">
        <f t="shared" si="21"/>
        <v>24.14</v>
      </c>
      <c r="H72" s="53">
        <f t="shared" si="22"/>
        <v>15.01</v>
      </c>
      <c r="I72" s="53">
        <f t="shared" ref="I72:I81" si="26">ROUND(AVERAGE(G51:J51),2)</f>
        <v>20.12</v>
      </c>
      <c r="K72" s="38">
        <f t="shared" si="23"/>
        <v>20.03</v>
      </c>
      <c r="L72" s="38">
        <f t="shared" si="24"/>
        <v>15.02</v>
      </c>
      <c r="M72" s="38">
        <f t="shared" ref="M72:M81" si="27">ROUND(AVERAGE(B51:M51),2)</f>
        <v>17.829999999999998</v>
      </c>
    </row>
    <row r="73" spans="1:13" s="37" customFormat="1" ht="12.75" customHeight="1" x14ac:dyDescent="0.2">
      <c r="A73" s="63">
        <f t="shared" si="18"/>
        <v>2021</v>
      </c>
      <c r="C73" s="38">
        <f t="shared" si="19"/>
        <v>18.38</v>
      </c>
      <c r="D73" s="38">
        <f t="shared" si="20"/>
        <v>15.96</v>
      </c>
      <c r="E73" s="38">
        <f t="shared" si="25"/>
        <v>17.309999999999999</v>
      </c>
      <c r="G73" s="53">
        <f t="shared" si="21"/>
        <v>23.45</v>
      </c>
      <c r="H73" s="53">
        <f t="shared" si="22"/>
        <v>14.95</v>
      </c>
      <c r="I73" s="53">
        <f t="shared" si="26"/>
        <v>19.71</v>
      </c>
      <c r="K73" s="38">
        <f t="shared" si="23"/>
        <v>20.07</v>
      </c>
      <c r="L73" s="38">
        <f t="shared" si="24"/>
        <v>15.62</v>
      </c>
      <c r="M73" s="38">
        <f t="shared" si="27"/>
        <v>18.11</v>
      </c>
    </row>
    <row r="74" spans="1:13" s="37" customFormat="1" ht="12.75" customHeight="1" x14ac:dyDescent="0.2">
      <c r="A74" s="63">
        <f t="shared" si="18"/>
        <v>2022</v>
      </c>
      <c r="C74" s="38">
        <f t="shared" si="19"/>
        <v>19.72</v>
      </c>
      <c r="D74" s="38">
        <f t="shared" si="20"/>
        <v>17.59</v>
      </c>
      <c r="E74" s="38">
        <f t="shared" si="25"/>
        <v>18.78</v>
      </c>
      <c r="G74" s="53">
        <f t="shared" si="21"/>
        <v>25.21</v>
      </c>
      <c r="H74" s="53">
        <f t="shared" si="22"/>
        <v>17.13</v>
      </c>
      <c r="I74" s="53">
        <f t="shared" si="26"/>
        <v>21.66</v>
      </c>
      <c r="K74" s="38">
        <f t="shared" si="23"/>
        <v>21.55</v>
      </c>
      <c r="L74" s="38">
        <f t="shared" si="24"/>
        <v>17.440000000000001</v>
      </c>
      <c r="M74" s="38">
        <f t="shared" si="27"/>
        <v>19.739999999999998</v>
      </c>
    </row>
    <row r="75" spans="1:13" s="37" customFormat="1" ht="12.75" customHeight="1" x14ac:dyDescent="0.2">
      <c r="A75" s="63">
        <f t="shared" si="18"/>
        <v>2023</v>
      </c>
      <c r="C75" s="38">
        <f t="shared" si="19"/>
        <v>20.75</v>
      </c>
      <c r="D75" s="38">
        <f t="shared" si="20"/>
        <v>18.75</v>
      </c>
      <c r="E75" s="38">
        <f t="shared" si="25"/>
        <v>19.87</v>
      </c>
      <c r="G75" s="53">
        <f t="shared" si="21"/>
        <v>26.76</v>
      </c>
      <c r="H75" s="53">
        <f t="shared" si="22"/>
        <v>19.89</v>
      </c>
      <c r="I75" s="53">
        <f t="shared" si="26"/>
        <v>23.73</v>
      </c>
      <c r="K75" s="38">
        <f t="shared" si="23"/>
        <v>22.75</v>
      </c>
      <c r="L75" s="38">
        <f t="shared" si="24"/>
        <v>19.13</v>
      </c>
      <c r="M75" s="38">
        <f t="shared" si="27"/>
        <v>21.16</v>
      </c>
    </row>
    <row r="76" spans="1:13" s="37" customFormat="1" ht="12.75" customHeight="1" x14ac:dyDescent="0.2">
      <c r="A76" s="63">
        <f t="shared" si="18"/>
        <v>2024</v>
      </c>
      <c r="C76" s="38">
        <f t="shared" si="19"/>
        <v>24.06</v>
      </c>
      <c r="D76" s="38">
        <f t="shared" si="20"/>
        <v>21.78</v>
      </c>
      <c r="E76" s="38">
        <f t="shared" si="25"/>
        <v>23.06</v>
      </c>
      <c r="G76" s="53">
        <f t="shared" si="21"/>
        <v>29.1</v>
      </c>
      <c r="H76" s="53">
        <f t="shared" si="22"/>
        <v>23.48</v>
      </c>
      <c r="I76" s="53">
        <f t="shared" si="26"/>
        <v>26.63</v>
      </c>
      <c r="K76" s="38">
        <f t="shared" si="23"/>
        <v>25.74</v>
      </c>
      <c r="L76" s="38">
        <f t="shared" si="24"/>
        <v>22.35</v>
      </c>
      <c r="M76" s="38">
        <f t="shared" si="27"/>
        <v>24.25</v>
      </c>
    </row>
    <row r="77" spans="1:13" s="37" customFormat="1" ht="12.75" customHeight="1" x14ac:dyDescent="0.2">
      <c r="A77" s="63">
        <f t="shared" si="18"/>
        <v>2025</v>
      </c>
      <c r="C77" s="38">
        <f t="shared" si="19"/>
        <v>25.92</v>
      </c>
      <c r="D77" s="38">
        <f t="shared" si="20"/>
        <v>23.47</v>
      </c>
      <c r="E77" s="38">
        <f t="shared" si="25"/>
        <v>24.84</v>
      </c>
      <c r="G77" s="53">
        <f t="shared" si="21"/>
        <v>33.46</v>
      </c>
      <c r="H77" s="53">
        <f t="shared" si="22"/>
        <v>26.48</v>
      </c>
      <c r="I77" s="53">
        <f t="shared" si="26"/>
        <v>30.39</v>
      </c>
      <c r="K77" s="38">
        <f t="shared" si="23"/>
        <v>28.43</v>
      </c>
      <c r="L77" s="38">
        <f t="shared" si="24"/>
        <v>24.47</v>
      </c>
      <c r="M77" s="38">
        <f t="shared" si="27"/>
        <v>26.69</v>
      </c>
    </row>
    <row r="78" spans="1:13" s="37" customFormat="1" ht="12.75" customHeight="1" x14ac:dyDescent="0.2">
      <c r="A78" s="63">
        <f t="shared" si="18"/>
        <v>2026</v>
      </c>
      <c r="C78" s="38">
        <f t="shared" si="19"/>
        <v>30.97</v>
      </c>
      <c r="D78" s="38">
        <f t="shared" si="20"/>
        <v>28.1</v>
      </c>
      <c r="E78" s="38">
        <f t="shared" si="25"/>
        <v>29.71</v>
      </c>
      <c r="G78" s="53">
        <f t="shared" si="21"/>
        <v>32.590000000000003</v>
      </c>
      <c r="H78" s="53">
        <f t="shared" si="22"/>
        <v>25.93</v>
      </c>
      <c r="I78" s="53">
        <f t="shared" si="26"/>
        <v>29.66</v>
      </c>
      <c r="K78" s="38">
        <f t="shared" si="23"/>
        <v>31.51</v>
      </c>
      <c r="L78" s="38">
        <f t="shared" si="24"/>
        <v>27.37</v>
      </c>
      <c r="M78" s="38">
        <f t="shared" si="27"/>
        <v>29.69</v>
      </c>
    </row>
    <row r="79" spans="1:13" s="37" customFormat="1" ht="12.75" customHeight="1" x14ac:dyDescent="0.2">
      <c r="A79" s="63">
        <f t="shared" si="18"/>
        <v>2027</v>
      </c>
      <c r="C79" s="38">
        <f t="shared" si="19"/>
        <v>26.84</v>
      </c>
      <c r="D79" s="38">
        <f t="shared" si="20"/>
        <v>24.53</v>
      </c>
      <c r="E79" s="38">
        <f t="shared" si="25"/>
        <v>25.83</v>
      </c>
      <c r="G79" s="53">
        <f t="shared" si="21"/>
        <v>33.76</v>
      </c>
      <c r="H79" s="53">
        <f t="shared" si="22"/>
        <v>27.25</v>
      </c>
      <c r="I79" s="53">
        <f t="shared" si="26"/>
        <v>30.89</v>
      </c>
      <c r="K79" s="38">
        <f t="shared" si="23"/>
        <v>29.15</v>
      </c>
      <c r="L79" s="38">
        <f t="shared" si="24"/>
        <v>25.44</v>
      </c>
      <c r="M79" s="38">
        <f t="shared" si="27"/>
        <v>27.52</v>
      </c>
    </row>
    <row r="80" spans="1:13" s="37" customFormat="1" ht="12.75" customHeight="1" x14ac:dyDescent="0.2">
      <c r="A80" s="63">
        <f t="shared" si="18"/>
        <v>2028</v>
      </c>
      <c r="C80" s="38">
        <f t="shared" si="19"/>
        <v>32.89</v>
      </c>
      <c r="D80" s="38">
        <f t="shared" si="20"/>
        <v>30.21</v>
      </c>
      <c r="E80" s="38">
        <f t="shared" si="25"/>
        <v>31.71</v>
      </c>
      <c r="G80" s="53">
        <f t="shared" si="21"/>
        <v>40.71</v>
      </c>
      <c r="H80" s="53">
        <f t="shared" si="22"/>
        <v>33.21</v>
      </c>
      <c r="I80" s="53">
        <f t="shared" si="26"/>
        <v>37.409999999999997</v>
      </c>
      <c r="K80" s="38">
        <f t="shared" si="23"/>
        <v>35.5</v>
      </c>
      <c r="L80" s="38">
        <f t="shared" si="24"/>
        <v>31.21</v>
      </c>
      <c r="M80" s="38">
        <f t="shared" si="27"/>
        <v>33.61</v>
      </c>
    </row>
    <row r="81" spans="1:13" s="37" customFormat="1" ht="12.75" hidden="1" customHeight="1" x14ac:dyDescent="0.2">
      <c r="A81" s="63">
        <f t="shared" si="18"/>
        <v>2029</v>
      </c>
      <c r="C81" s="38" t="e">
        <f t="shared" si="19"/>
        <v>#N/A</v>
      </c>
      <c r="D81" s="38" t="e">
        <f t="shared" si="20"/>
        <v>#N/A</v>
      </c>
      <c r="E81" s="38" t="e">
        <f t="shared" si="25"/>
        <v>#N/A</v>
      </c>
      <c r="G81" s="53" t="e">
        <f t="shared" si="21"/>
        <v>#N/A</v>
      </c>
      <c r="H81" s="53" t="e">
        <f t="shared" si="22"/>
        <v>#N/A</v>
      </c>
      <c r="I81" s="53" t="e">
        <f t="shared" si="26"/>
        <v>#N/A</v>
      </c>
      <c r="K81" s="38" t="e">
        <f t="shared" si="23"/>
        <v>#N/A</v>
      </c>
      <c r="L81" s="38" t="e">
        <f t="shared" si="24"/>
        <v>#N/A</v>
      </c>
      <c r="M81" s="38" t="e">
        <f t="shared" si="27"/>
        <v>#N/A</v>
      </c>
    </row>
    <row r="82" spans="1:13" s="37" customFormat="1" ht="12.75" customHeight="1" x14ac:dyDescent="0.2">
      <c r="A82" s="63"/>
      <c r="C82" s="38"/>
      <c r="D82" s="38"/>
      <c r="E82" s="38"/>
      <c r="G82" s="53"/>
      <c r="H82" s="53"/>
      <c r="I82" s="53"/>
      <c r="K82" s="38"/>
      <c r="L82" s="38"/>
      <c r="M82" s="38"/>
    </row>
    <row r="83" spans="1:13" s="37" customFormat="1" ht="12.75" customHeight="1" x14ac:dyDescent="0.2">
      <c r="A83" s="63"/>
      <c r="C83" s="38"/>
      <c r="D83" s="38"/>
      <c r="E83" s="38"/>
      <c r="G83" s="53"/>
      <c r="H83" s="53"/>
      <c r="I83" s="53"/>
      <c r="K83" s="38"/>
      <c r="L83" s="38"/>
      <c r="M83" s="38"/>
    </row>
    <row r="84" spans="1:13" s="37" customFormat="1" ht="12.75" hidden="1" customHeight="1" x14ac:dyDescent="0.2">
      <c r="A84" s="64"/>
      <c r="K84" s="59"/>
    </row>
    <row r="85" spans="1:13" s="37" customFormat="1" ht="12.75" hidden="1" customHeight="1" x14ac:dyDescent="0.2">
      <c r="A85" s="64"/>
      <c r="K85" s="59"/>
    </row>
    <row r="86" spans="1:13" s="37" customFormat="1" ht="12.75" customHeight="1" x14ac:dyDescent="0.2">
      <c r="A86" s="35" t="s">
        <v>80</v>
      </c>
      <c r="D86" s="38"/>
      <c r="E86" s="53"/>
      <c r="F86" s="53"/>
      <c r="G86" s="53"/>
      <c r="J86" s="53"/>
      <c r="K86" s="53"/>
    </row>
    <row r="87" spans="1:13" ht="12.75" customHeight="1" x14ac:dyDescent="0.2">
      <c r="A87" s="273" t="s">
        <v>278</v>
      </c>
      <c r="C87" s="65"/>
      <c r="D87" s="38"/>
      <c r="E87" s="53"/>
      <c r="F87" s="53"/>
      <c r="G87" s="53"/>
      <c r="H87" s="37"/>
    </row>
    <row r="88" spans="1:13" ht="12.75" customHeight="1" x14ac:dyDescent="0.2">
      <c r="A88" s="273" t="s">
        <v>279</v>
      </c>
      <c r="C88" s="65"/>
      <c r="D88" s="38"/>
      <c r="E88" s="53"/>
      <c r="F88" s="53"/>
      <c r="G88" s="53"/>
      <c r="H88" s="37"/>
    </row>
    <row r="89" spans="1:13" ht="12.75" customHeight="1" x14ac:dyDescent="0.2">
      <c r="A89" s="211" t="s">
        <v>273</v>
      </c>
      <c r="C89" s="65"/>
      <c r="D89" s="38"/>
      <c r="E89" s="53"/>
      <c r="F89" s="53"/>
      <c r="G89" s="53"/>
      <c r="H89" s="37"/>
    </row>
    <row r="90" spans="1:13" ht="12.75" customHeight="1" x14ac:dyDescent="0.2">
      <c r="A90" s="211" t="s">
        <v>280</v>
      </c>
      <c r="C90" s="65"/>
      <c r="D90" s="38"/>
      <c r="E90" s="53"/>
      <c r="F90" s="53"/>
      <c r="G90" s="53"/>
      <c r="H90" s="37"/>
    </row>
    <row r="91" spans="1:13" ht="12.75" customHeight="1" x14ac:dyDescent="0.2">
      <c r="A91" s="211" t="s">
        <v>274</v>
      </c>
      <c r="C91" s="65"/>
      <c r="D91" s="38"/>
      <c r="E91" s="53"/>
      <c r="F91" s="53"/>
      <c r="G91" s="53"/>
      <c r="H91" s="37"/>
    </row>
    <row r="92" spans="1:13" ht="12.75" customHeight="1" x14ac:dyDescent="0.2">
      <c r="A92" s="211" t="s">
        <v>275</v>
      </c>
      <c r="C92" s="65"/>
      <c r="D92" s="38"/>
      <c r="E92" s="53"/>
      <c r="F92" s="53"/>
      <c r="G92" s="53"/>
      <c r="H92" s="37"/>
    </row>
    <row r="93" spans="1:13" ht="12.75" customHeight="1" x14ac:dyDescent="0.2">
      <c r="A93" s="211" t="s">
        <v>280</v>
      </c>
      <c r="C93" s="65"/>
      <c r="D93" s="38"/>
      <c r="E93" s="53"/>
      <c r="F93" s="53"/>
      <c r="G93" s="53"/>
      <c r="H93" s="37"/>
    </row>
    <row r="94" spans="1:13" ht="12.75" customHeight="1" x14ac:dyDescent="0.2">
      <c r="A94" s="35" t="s">
        <v>276</v>
      </c>
      <c r="D94" s="37"/>
      <c r="E94" s="37"/>
      <c r="F94" s="37"/>
      <c r="G94" s="37"/>
    </row>
    <row r="95" spans="1:13" ht="6.75" customHeight="1" x14ac:dyDescent="0.2"/>
    <row r="96" spans="1:13" x14ac:dyDescent="0.2">
      <c r="C96" s="35" t="s">
        <v>128</v>
      </c>
    </row>
    <row r="97" spans="3:9" x14ac:dyDescent="0.2">
      <c r="C97" s="35" t="s">
        <v>140</v>
      </c>
      <c r="F97" s="36">
        <v>0.37912293315598289</v>
      </c>
      <c r="H97" s="332"/>
      <c r="I97" s="60"/>
    </row>
    <row r="115" ht="24.75" customHeight="1" x14ac:dyDescent="0.2"/>
  </sheetData>
  <printOptions horizontalCentered="1"/>
  <pageMargins left="0.25" right="0.25" top="0.75" bottom="0.75" header="0.3" footer="0.3"/>
  <pageSetup scale="58" fitToWidth="0" orientation="portrait" r:id="rId1"/>
  <headerFooter alignWithMargins="0">
    <oddFooter>&amp;L&amp;8NPC Group - &amp;F   ( &amp;A )&amp;C &amp;R &amp;8&amp;D  &amp;T</oddFooter>
  </headerFooter>
  <rowBreaks count="1" manualBreakCount="1">
    <brk id="4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5"/>
  <sheetViews>
    <sheetView topLeftCell="A90" zoomScaleNormal="100" workbookViewId="0">
      <selection activeCell="A93" sqref="A93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153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"&amp;MAX(A11:A21)&amp;")"</f>
        <v>Avoided Resource (2017 through 2028)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BaseLoad'!A28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89">
        <v>2017</v>
      </c>
      <c r="B10" s="333"/>
      <c r="C10" s="333"/>
      <c r="D10" s="333"/>
      <c r="E10" s="333"/>
      <c r="F10" s="333"/>
      <c r="G10" s="333">
        <f>'Table 2A BaseLoad'!G29-INDEX('Table 10'!$G:$G,MATCH($A10,'Table 10'!$B:$B,0),1)</f>
        <v>24.497176495306849</v>
      </c>
      <c r="H10" s="333">
        <f>'Table 2A BaseLoad'!H29-INDEX('Table 10'!$G:$G,MATCH($A10,'Table 10'!$B:$B,0),1)</f>
        <v>23.691801880066127</v>
      </c>
      <c r="I10" s="333">
        <f>'Table 2A BaseLoad'!I29-INDEX('Table 10'!$G:$G,MATCH($A10,'Table 10'!$B:$B,0),1)</f>
        <v>25.346095832152155</v>
      </c>
      <c r="J10" s="333">
        <f>'Table 2A BaseLoad'!J29-INDEX('Table 10'!$G:$G,MATCH($A10,'Table 10'!$B:$B,0),1)</f>
        <v>21.485892460593242</v>
      </c>
      <c r="K10" s="333">
        <f>'Table 2A BaseLoad'!K29-INDEX('Table 10'!$G:$G,MATCH($A10,'Table 10'!$B:$B,0),1)</f>
        <v>21.587356352575505</v>
      </c>
      <c r="L10" s="333">
        <f>'Table 2A BaseLoad'!L29-INDEX('Table 10'!$G:$G,MATCH($A10,'Table 10'!$B:$B,0),1)</f>
        <v>22.623577507222276</v>
      </c>
      <c r="M10" s="334">
        <f>'Table 2A BaseLoad'!M29-INDEX('Table 10'!$G:$G,MATCH($A10,'Table 10'!$B:$B,0),1)</f>
        <v>26.752530457952833</v>
      </c>
    </row>
    <row r="11" spans="1:13" ht="12.75" customHeight="1" x14ac:dyDescent="0.2">
      <c r="A11" s="492">
        <f>'Tables 3 to 5'!$B$14</f>
        <v>2018</v>
      </c>
      <c r="B11" s="53">
        <f>'Table 2A BaseLoad'!B30-INDEX('Table 10'!$G:$G,MATCH($A11,'Table 10'!$B:$B,0),1)</f>
        <v>26.326725668970916</v>
      </c>
      <c r="C11" s="53">
        <f>'Table 2A BaseLoad'!C30-INDEX('Table 10'!$G:$G,MATCH($A11,'Table 10'!$B:$B,0),1)</f>
        <v>24.433915655155545</v>
      </c>
      <c r="D11" s="53">
        <f>'Table 2A BaseLoad'!D30-INDEX('Table 10'!$G:$G,MATCH($A11,'Table 10'!$B:$B,0),1)</f>
        <v>22.363833737697512</v>
      </c>
      <c r="E11" s="53">
        <f>'Table 2A BaseLoad'!E30-INDEX('Table 10'!$G:$G,MATCH($A11,'Table 10'!$B:$B,0),1)</f>
        <v>18.512922131772132</v>
      </c>
      <c r="F11" s="53">
        <f>'Table 2A BaseLoad'!F30-INDEX('Table 10'!$G:$G,MATCH($A11,'Table 10'!$B:$B,0),1)</f>
        <v>17.805797375336784</v>
      </c>
      <c r="G11" s="53">
        <f>'Table 2A BaseLoad'!G30-INDEX('Table 10'!$G:$G,MATCH($A11,'Table 10'!$B:$B,0),1)</f>
        <v>17.897311997060978</v>
      </c>
      <c r="H11" s="53">
        <f>'Table 2A BaseLoad'!H30-INDEX('Table 10'!$G:$G,MATCH($A11,'Table 10'!$B:$B,0),1)</f>
        <v>24.50682076899626</v>
      </c>
      <c r="I11" s="53">
        <f>'Table 2A BaseLoad'!I30-INDEX('Table 10'!$G:$G,MATCH($A11,'Table 10'!$B:$B,0),1)</f>
        <v>24.142060605899893</v>
      </c>
      <c r="J11" s="53">
        <f>'Table 2A BaseLoad'!J30-INDEX('Table 10'!$G:$G,MATCH($A11,'Table 10'!$B:$B,0),1)</f>
        <v>20.25966618978649</v>
      </c>
      <c r="K11" s="53">
        <f>'Table 2A BaseLoad'!K30-INDEX('Table 10'!$G:$G,MATCH($A11,'Table 10'!$B:$B,0),1)</f>
        <v>18.760184596555309</v>
      </c>
      <c r="L11" s="53">
        <f>'Table 2A BaseLoad'!L30-INDEX('Table 10'!$G:$G,MATCH($A11,'Table 10'!$B:$B,0),1)</f>
        <v>19.431387326328689</v>
      </c>
      <c r="M11" s="54">
        <f>'Table 2A BaseLoad'!M30-INDEX('Table 10'!$G:$G,MATCH($A11,'Table 10'!$B:$B,0),1)</f>
        <v>21.532989160833178</v>
      </c>
    </row>
    <row r="12" spans="1:13" ht="12.75" customHeight="1" x14ac:dyDescent="0.2">
      <c r="A12" s="51">
        <f t="shared" ref="A12:A21" si="0">A11+1</f>
        <v>2019</v>
      </c>
      <c r="B12" s="53">
        <f>'Table 2A BaseLoad'!B31-INDEX('Table 10'!$G:$G,MATCH($A12,'Table 10'!$B:$B,0),1)</f>
        <v>21.352320120217787</v>
      </c>
      <c r="C12" s="53">
        <f>'Table 2A BaseLoad'!C31-INDEX('Table 10'!$G:$G,MATCH($A12,'Table 10'!$B:$B,0),1)</f>
        <v>19.000095463079397</v>
      </c>
      <c r="D12" s="53">
        <f>'Table 2A BaseLoad'!D31-INDEX('Table 10'!$G:$G,MATCH($A12,'Table 10'!$B:$B,0),1)</f>
        <v>18.208494200564161</v>
      </c>
      <c r="E12" s="53">
        <f>'Table 2A BaseLoad'!E31-INDEX('Table 10'!$G:$G,MATCH($A12,'Table 10'!$B:$B,0),1)</f>
        <v>18.087438928547769</v>
      </c>
      <c r="F12" s="53">
        <f>'Table 2A BaseLoad'!F31-INDEX('Table 10'!$G:$G,MATCH($A12,'Table 10'!$B:$B,0),1)</f>
        <v>18.851992811710467</v>
      </c>
      <c r="G12" s="53">
        <f>'Table 2A BaseLoad'!G31-INDEX('Table 10'!$G:$G,MATCH($A12,'Table 10'!$B:$B,0),1)</f>
        <v>21.380075809198527</v>
      </c>
      <c r="H12" s="53">
        <f>'Table 2A BaseLoad'!H31-INDEX('Table 10'!$G:$G,MATCH($A12,'Table 10'!$B:$B,0),1)</f>
        <v>28.463967611611547</v>
      </c>
      <c r="I12" s="53">
        <f>'Table 2A BaseLoad'!I31-INDEX('Table 10'!$G:$G,MATCH($A12,'Table 10'!$B:$B,0),1)</f>
        <v>24.048285336289858</v>
      </c>
      <c r="J12" s="53">
        <f>'Table 2A BaseLoad'!J31-INDEX('Table 10'!$G:$G,MATCH($A12,'Table 10'!$B:$B,0),1)</f>
        <v>21.897910738322626</v>
      </c>
      <c r="K12" s="53">
        <f>'Table 2A BaseLoad'!K31-INDEX('Table 10'!$G:$G,MATCH($A12,'Table 10'!$B:$B,0),1)</f>
        <v>20.055202650863563</v>
      </c>
      <c r="L12" s="53">
        <f>'Table 2A BaseLoad'!L31-INDEX('Table 10'!$G:$G,MATCH($A12,'Table 10'!$B:$B,0),1)</f>
        <v>18.791458032666842</v>
      </c>
      <c r="M12" s="54">
        <f>'Table 2A BaseLoad'!M31-INDEX('Table 10'!$G:$G,MATCH($A12,'Table 10'!$B:$B,0),1)</f>
        <v>21.996854375246482</v>
      </c>
    </row>
    <row r="13" spans="1:13" ht="12.75" customHeight="1" x14ac:dyDescent="0.2">
      <c r="A13" s="51">
        <f t="shared" si="0"/>
        <v>2020</v>
      </c>
      <c r="B13" s="53">
        <f>'Table 2A BaseLoad'!B32-INDEX('Table 10'!$G:$G,MATCH($A13,'Table 10'!$B:$B,0),1)</f>
        <v>16.347091283383094</v>
      </c>
      <c r="C13" s="53">
        <f>'Table 2A BaseLoad'!C32-INDEX('Table 10'!$G:$G,MATCH($A13,'Table 10'!$B:$B,0),1)</f>
        <v>18.016291369931082</v>
      </c>
      <c r="D13" s="53">
        <f>'Table 2A BaseLoad'!D32-INDEX('Table 10'!$G:$G,MATCH($A13,'Table 10'!$B:$B,0),1)</f>
        <v>17.219414995349862</v>
      </c>
      <c r="E13" s="53">
        <f>'Table 2A BaseLoad'!E32-INDEX('Table 10'!$G:$G,MATCH($A13,'Table 10'!$B:$B,0),1)</f>
        <v>17.342720917857427</v>
      </c>
      <c r="F13" s="53">
        <f>'Table 2A BaseLoad'!F32-INDEX('Table 10'!$G:$G,MATCH($A13,'Table 10'!$B:$B,0),1)</f>
        <v>19.347671678877255</v>
      </c>
      <c r="G13" s="53">
        <f>'Table 2A BaseLoad'!G32-INDEX('Table 10'!$G:$G,MATCH($A13,'Table 10'!$B:$B,0),1)</f>
        <v>18.86558534258706</v>
      </c>
      <c r="H13" s="53">
        <f>'Table 2A BaseLoad'!H32-INDEX('Table 10'!$G:$G,MATCH($A13,'Table 10'!$B:$B,0),1)</f>
        <v>30.723533578231269</v>
      </c>
      <c r="I13" s="53">
        <f>'Table 2A BaseLoad'!I32-INDEX('Table 10'!$G:$G,MATCH($A13,'Table 10'!$B:$B,0),1)</f>
        <v>25.384534113582983</v>
      </c>
      <c r="J13" s="53">
        <f>'Table 2A BaseLoad'!J32-INDEX('Table 10'!$G:$G,MATCH($A13,'Table 10'!$B:$B,0),1)</f>
        <v>21.595586009689995</v>
      </c>
      <c r="K13" s="53">
        <f>'Table 2A BaseLoad'!K32-INDEX('Table 10'!$G:$G,MATCH($A13,'Table 10'!$B:$B,0),1)</f>
        <v>18.596648564547902</v>
      </c>
      <c r="L13" s="53">
        <f>'Table 2A BaseLoad'!L32-INDEX('Table 10'!$G:$G,MATCH($A13,'Table 10'!$B:$B,0),1)</f>
        <v>16.604415286792339</v>
      </c>
      <c r="M13" s="54">
        <f>'Table 2A BaseLoad'!M32-INDEX('Table 10'!$G:$G,MATCH($A13,'Table 10'!$B:$B,0),1)</f>
        <v>20.333066051313157</v>
      </c>
    </row>
    <row r="14" spans="1:13" ht="12.75" customHeight="1" x14ac:dyDescent="0.2">
      <c r="A14" s="51">
        <f t="shared" si="0"/>
        <v>2021</v>
      </c>
      <c r="B14" s="53">
        <f>'Table 2A BaseLoad'!B33-INDEX('Table 10'!$G:$G,MATCH($A14,'Table 10'!$B:$B,0),1)</f>
        <v>18.369113753699519</v>
      </c>
      <c r="C14" s="53">
        <f>'Table 2A BaseLoad'!C33-INDEX('Table 10'!$G:$G,MATCH($A14,'Table 10'!$B:$B,0),1)</f>
        <v>20.670169799512642</v>
      </c>
      <c r="D14" s="53">
        <f>'Table 2A BaseLoad'!D33-INDEX('Table 10'!$G:$G,MATCH($A14,'Table 10'!$B:$B,0),1)</f>
        <v>15.153728232280731</v>
      </c>
      <c r="E14" s="53">
        <f>'Table 2A BaseLoad'!E33-INDEX('Table 10'!$G:$G,MATCH($A14,'Table 10'!$B:$B,0),1)</f>
        <v>15.622640363591181</v>
      </c>
      <c r="F14" s="53">
        <f>'Table 2A BaseLoad'!F33-INDEX('Table 10'!$G:$G,MATCH($A14,'Table 10'!$B:$B,0),1)</f>
        <v>17.579885332113143</v>
      </c>
      <c r="G14" s="53">
        <f>'Table 2A BaseLoad'!G33-INDEX('Table 10'!$G:$G,MATCH($A14,'Table 10'!$B:$B,0),1)</f>
        <v>18.153418264854064</v>
      </c>
      <c r="H14" s="53">
        <f>'Table 2A BaseLoad'!H33-INDEX('Table 10'!$G:$G,MATCH($A14,'Table 10'!$B:$B,0),1)</f>
        <v>30.825037225448447</v>
      </c>
      <c r="I14" s="53">
        <f>'Table 2A BaseLoad'!I33-INDEX('Table 10'!$G:$G,MATCH($A14,'Table 10'!$B:$B,0),1)</f>
        <v>24.137764709823802</v>
      </c>
      <c r="J14" s="53">
        <f>'Table 2A BaseLoad'!J33-INDEX('Table 10'!$G:$G,MATCH($A14,'Table 10'!$B:$B,0),1)</f>
        <v>20.681071713504654</v>
      </c>
      <c r="K14" s="53">
        <f>'Table 2A BaseLoad'!K33-INDEX('Table 10'!$G:$G,MATCH($A14,'Table 10'!$B:$B,0),1)</f>
        <v>18.842288383209365</v>
      </c>
      <c r="L14" s="53">
        <f>'Table 2A BaseLoad'!L33-INDEX('Table 10'!$G:$G,MATCH($A14,'Table 10'!$B:$B,0),1)</f>
        <v>17.877941343903228</v>
      </c>
      <c r="M14" s="54">
        <f>'Table 2A BaseLoad'!M33-INDEX('Table 10'!$G:$G,MATCH($A14,'Table 10'!$B:$B,0),1)</f>
        <v>22.915331325810193</v>
      </c>
    </row>
    <row r="15" spans="1:13" ht="12.75" customHeight="1" x14ac:dyDescent="0.2">
      <c r="A15" s="51">
        <f t="shared" si="0"/>
        <v>2022</v>
      </c>
      <c r="B15" s="53">
        <f>'Table 2A BaseLoad'!B34-INDEX('Table 10'!$G:$G,MATCH($A15,'Table 10'!$B:$B,0),1)</f>
        <v>21.06400082716566</v>
      </c>
      <c r="C15" s="53">
        <f>'Table 2A BaseLoad'!C34-INDEX('Table 10'!$G:$G,MATCH($A15,'Table 10'!$B:$B,0),1)</f>
        <v>20.224160813236733</v>
      </c>
      <c r="D15" s="53">
        <f>'Table 2A BaseLoad'!D34-INDEX('Table 10'!$G:$G,MATCH($A15,'Table 10'!$B:$B,0),1)</f>
        <v>18.281338259442261</v>
      </c>
      <c r="E15" s="53">
        <f>'Table 2A BaseLoad'!E34-INDEX('Table 10'!$G:$G,MATCH($A15,'Table 10'!$B:$B,0),1)</f>
        <v>16.543591337985735</v>
      </c>
      <c r="F15" s="53">
        <f>'Table 2A BaseLoad'!F34-INDEX('Table 10'!$G:$G,MATCH($A15,'Table 10'!$B:$B,0),1)</f>
        <v>18.690460869348762</v>
      </c>
      <c r="G15" s="53">
        <f>'Table 2A BaseLoad'!G34-INDEX('Table 10'!$G:$G,MATCH($A15,'Table 10'!$B:$B,0),1)</f>
        <v>19.099527924838743</v>
      </c>
      <c r="H15" s="53">
        <f>'Table 2A BaseLoad'!H34-INDEX('Table 10'!$G:$G,MATCH($A15,'Table 10'!$B:$B,0),1)</f>
        <v>32.737795886335022</v>
      </c>
      <c r="I15" s="53">
        <f>'Table 2A BaseLoad'!I34-INDEX('Table 10'!$G:$G,MATCH($A15,'Table 10'!$B:$B,0),1)</f>
        <v>26.781531410416644</v>
      </c>
      <c r="J15" s="53">
        <f>'Table 2A BaseLoad'!J34-INDEX('Table 10'!$G:$G,MATCH($A15,'Table 10'!$B:$B,0),1)</f>
        <v>22.228885443657337</v>
      </c>
      <c r="K15" s="53">
        <f>'Table 2A BaseLoad'!K34-INDEX('Table 10'!$G:$G,MATCH($A15,'Table 10'!$B:$B,0),1)</f>
        <v>20.121183434888568</v>
      </c>
      <c r="L15" s="53">
        <f>'Table 2A BaseLoad'!L34-INDEX('Table 10'!$G:$G,MATCH($A15,'Table 10'!$B:$B,0),1)</f>
        <v>19.399260835737572</v>
      </c>
      <c r="M15" s="54">
        <f>'Table 2A BaseLoad'!M34-INDEX('Table 10'!$G:$G,MATCH($A15,'Table 10'!$B:$B,0),1)</f>
        <v>23.474042216875599</v>
      </c>
    </row>
    <row r="16" spans="1:13" ht="12.75" customHeight="1" x14ac:dyDescent="0.2">
      <c r="A16" s="51">
        <f t="shared" si="0"/>
        <v>2023</v>
      </c>
      <c r="B16" s="53">
        <f>'Table 2A BaseLoad'!B35-INDEX('Table 10'!$G:$G,MATCH($A16,'Table 10'!$B:$B,0),1)</f>
        <v>22.331237551256685</v>
      </c>
      <c r="C16" s="53">
        <f>'Table 2A BaseLoad'!C35-INDEX('Table 10'!$G:$G,MATCH($A16,'Table 10'!$B:$B,0),1)</f>
        <v>20.412853043031873</v>
      </c>
      <c r="D16" s="53">
        <f>'Table 2A BaseLoad'!D35-INDEX('Table 10'!$G:$G,MATCH($A16,'Table 10'!$B:$B,0),1)</f>
        <v>19.069128464780583</v>
      </c>
      <c r="E16" s="53">
        <f>'Table 2A BaseLoad'!E35-INDEX('Table 10'!$G:$G,MATCH($A16,'Table 10'!$B:$B,0),1)</f>
        <v>16.053496757899307</v>
      </c>
      <c r="F16" s="53">
        <f>'Table 2A BaseLoad'!F35-INDEX('Table 10'!$G:$G,MATCH($A16,'Table 10'!$B:$B,0),1)</f>
        <v>19.525031124461911</v>
      </c>
      <c r="G16" s="53">
        <f>'Table 2A BaseLoad'!G35-INDEX('Table 10'!$G:$G,MATCH($A16,'Table 10'!$B:$B,0),1)</f>
        <v>19.383133855123145</v>
      </c>
      <c r="H16" s="53">
        <f>'Table 2A BaseLoad'!H35-INDEX('Table 10'!$G:$G,MATCH($A16,'Table 10'!$B:$B,0),1)</f>
        <v>36.893734615750944</v>
      </c>
      <c r="I16" s="53">
        <f>'Table 2A BaseLoad'!I35-INDEX('Table 10'!$G:$G,MATCH($A16,'Table 10'!$B:$B,0),1)</f>
        <v>27.366359449225179</v>
      </c>
      <c r="J16" s="53">
        <f>'Table 2A BaseLoad'!J35-INDEX('Table 10'!$G:$G,MATCH($A16,'Table 10'!$B:$B,0),1)</f>
        <v>23.379160802274491</v>
      </c>
      <c r="K16" s="53">
        <f>'Table 2A BaseLoad'!K35-INDEX('Table 10'!$G:$G,MATCH($A16,'Table 10'!$B:$B,0),1)</f>
        <v>23.657978994609969</v>
      </c>
      <c r="L16" s="53">
        <f>'Table 2A BaseLoad'!L35-INDEX('Table 10'!$G:$G,MATCH($A16,'Table 10'!$B:$B,0),1)</f>
        <v>17.534698554697702</v>
      </c>
      <c r="M16" s="54">
        <f>'Table 2A BaseLoad'!M35-INDEX('Table 10'!$G:$G,MATCH($A16,'Table 10'!$B:$B,0),1)</f>
        <v>27.422044524412701</v>
      </c>
    </row>
    <row r="17" spans="1:20" ht="12.75" customHeight="1" x14ac:dyDescent="0.2">
      <c r="A17" s="51">
        <f t="shared" si="0"/>
        <v>2024</v>
      </c>
      <c r="B17" s="53">
        <f>'Table 2A BaseLoad'!B36-INDEX('Table 10'!$G:$G,MATCH($A17,'Table 10'!$B:$B,0),1)</f>
        <v>25.839695453630227</v>
      </c>
      <c r="C17" s="53">
        <f>'Table 2A BaseLoad'!C36-INDEX('Table 10'!$G:$G,MATCH($A17,'Table 10'!$B:$B,0),1)</f>
        <v>21.768933388592615</v>
      </c>
      <c r="D17" s="53">
        <f>'Table 2A BaseLoad'!D36-INDEX('Table 10'!$G:$G,MATCH($A17,'Table 10'!$B:$B,0),1)</f>
        <v>21.435724404043793</v>
      </c>
      <c r="E17" s="53">
        <f>'Table 2A BaseLoad'!E36-INDEX('Table 10'!$G:$G,MATCH($A17,'Table 10'!$B:$B,0),1)</f>
        <v>17.791678849926566</v>
      </c>
      <c r="F17" s="53">
        <f>'Table 2A BaseLoad'!F36-INDEX('Table 10'!$G:$G,MATCH($A17,'Table 10'!$B:$B,0),1)</f>
        <v>21.950451975216517</v>
      </c>
      <c r="G17" s="53">
        <f>'Table 2A BaseLoad'!G36-INDEX('Table 10'!$G:$G,MATCH($A17,'Table 10'!$B:$B,0),1)</f>
        <v>20.695984465995767</v>
      </c>
      <c r="H17" s="53">
        <f>'Table 2A BaseLoad'!H36-INDEX('Table 10'!$G:$G,MATCH($A17,'Table 10'!$B:$B,0),1)</f>
        <v>39.976263793648492</v>
      </c>
      <c r="I17" s="53">
        <f>'Table 2A BaseLoad'!I36-INDEX('Table 10'!$G:$G,MATCH($A17,'Table 10'!$B:$B,0),1)</f>
        <v>18.005984802630664</v>
      </c>
      <c r="J17" s="53">
        <f>'Table 2A BaseLoad'!J36-INDEX('Table 10'!$G:$G,MATCH($A17,'Table 10'!$B:$B,0),1)</f>
        <v>37.740561709861851</v>
      </c>
      <c r="K17" s="53">
        <f>'Table 2A BaseLoad'!K36-INDEX('Table 10'!$G:$G,MATCH($A17,'Table 10'!$B:$B,0),1)</f>
        <v>27.870699025073304</v>
      </c>
      <c r="L17" s="53">
        <f>'Table 2A BaseLoad'!L36-INDEX('Table 10'!$G:$G,MATCH($A17,'Table 10'!$B:$B,0),1)</f>
        <v>24.771274907735155</v>
      </c>
      <c r="M17" s="54">
        <f>'Table 2A BaseLoad'!M36-INDEX('Table 10'!$G:$G,MATCH($A17,'Table 10'!$B:$B,0),1)</f>
        <v>31.069856643774525</v>
      </c>
    </row>
    <row r="18" spans="1:20" ht="12.75" customHeight="1" x14ac:dyDescent="0.2">
      <c r="A18" s="51">
        <f t="shared" si="0"/>
        <v>2025</v>
      </c>
      <c r="B18" s="53">
        <f>'Table 2A BaseLoad'!B37-INDEX('Table 10'!$G:$G,MATCH($A18,'Table 10'!$B:$B,0),1)</f>
        <v>28.568871563565196</v>
      </c>
      <c r="C18" s="53">
        <f>'Table 2A BaseLoad'!C37-INDEX('Table 10'!$G:$G,MATCH($A18,'Table 10'!$B:$B,0),1)</f>
        <v>27.363485206877183</v>
      </c>
      <c r="D18" s="53">
        <f>'Table 2A BaseLoad'!D37-INDEX('Table 10'!$G:$G,MATCH($A18,'Table 10'!$B:$B,0),1)</f>
        <v>23.39999913049326</v>
      </c>
      <c r="E18" s="53">
        <f>'Table 2A BaseLoad'!E37-INDEX('Table 10'!$G:$G,MATCH($A18,'Table 10'!$B:$B,0),1)</f>
        <v>21.410210530229996</v>
      </c>
      <c r="F18" s="53">
        <f>'Table 2A BaseLoad'!F37-INDEX('Table 10'!$G:$G,MATCH($A18,'Table 10'!$B:$B,0),1)</f>
        <v>22.963024436621584</v>
      </c>
      <c r="G18" s="53">
        <f>'Table 2A BaseLoad'!G37-INDEX('Table 10'!$G:$G,MATCH($A18,'Table 10'!$B:$B,0),1)</f>
        <v>21.45680302090685</v>
      </c>
      <c r="H18" s="53">
        <f>'Table 2A BaseLoad'!H37-INDEX('Table 10'!$G:$G,MATCH($A18,'Table 10'!$B:$B,0),1)</f>
        <v>42.700253149525032</v>
      </c>
      <c r="I18" s="53">
        <f>'Table 2A BaseLoad'!I37-INDEX('Table 10'!$G:$G,MATCH($A18,'Table 10'!$B:$B,0),1)</f>
        <v>34.837981068137573</v>
      </c>
      <c r="J18" s="53">
        <f>'Table 2A BaseLoad'!J37-INDEX('Table 10'!$G:$G,MATCH($A18,'Table 10'!$B:$B,0),1)</f>
        <v>34.842086359134321</v>
      </c>
      <c r="K18" s="53">
        <f>'Table 2A BaseLoad'!K37-INDEX('Table 10'!$G:$G,MATCH($A18,'Table 10'!$B:$B,0),1)</f>
        <v>27.033148254189392</v>
      </c>
      <c r="L18" s="53">
        <f>'Table 2A BaseLoad'!L37-INDEX('Table 10'!$G:$G,MATCH($A18,'Table 10'!$B:$B,0),1)</f>
        <v>24.177575657854419</v>
      </c>
      <c r="M18" s="54">
        <f>'Table 2A BaseLoad'!M37-INDEX('Table 10'!$G:$G,MATCH($A18,'Table 10'!$B:$B,0),1)</f>
        <v>32.417293740848521</v>
      </c>
    </row>
    <row r="19" spans="1:20" ht="12.75" customHeight="1" x14ac:dyDescent="0.2">
      <c r="A19" s="51">
        <f t="shared" si="0"/>
        <v>2026</v>
      </c>
      <c r="B19" s="53">
        <f>'Table 2A BaseLoad'!B38-INDEX('Table 10'!$G:$G,MATCH($A19,'Table 10'!$B:$B,0),1)</f>
        <v>31.179199201544723</v>
      </c>
      <c r="C19" s="53">
        <f>'Table 2A BaseLoad'!C38-INDEX('Table 10'!$G:$G,MATCH($A19,'Table 10'!$B:$B,0),1)</f>
        <v>60.532662214050553</v>
      </c>
      <c r="D19" s="53">
        <f>'Table 2A BaseLoad'!D38-INDEX('Table 10'!$G:$G,MATCH($A19,'Table 10'!$B:$B,0),1)</f>
        <v>23.70270454847056</v>
      </c>
      <c r="E19" s="53">
        <f>'Table 2A BaseLoad'!E38-INDEX('Table 10'!$G:$G,MATCH($A19,'Table 10'!$B:$B,0),1)</f>
        <v>21.950400589826558</v>
      </c>
      <c r="F19" s="53">
        <f>'Table 2A BaseLoad'!F38-INDEX('Table 10'!$G:$G,MATCH($A19,'Table 10'!$B:$B,0),1)</f>
        <v>23.592285333930914</v>
      </c>
      <c r="G19" s="53">
        <f>'Table 2A BaseLoad'!G38-INDEX('Table 10'!$G:$G,MATCH($A19,'Table 10'!$B:$B,0),1)</f>
        <v>23.664480752422968</v>
      </c>
      <c r="H19" s="53">
        <f>'Table 2A BaseLoad'!H38-INDEX('Table 10'!$G:$G,MATCH($A19,'Table 10'!$B:$B,0),1)</f>
        <v>43.846562100663256</v>
      </c>
      <c r="I19" s="53">
        <f>'Table 2A BaseLoad'!I38-INDEX('Table 10'!$G:$G,MATCH($A19,'Table 10'!$B:$B,0),1)</f>
        <v>34.455099224011164</v>
      </c>
      <c r="J19" s="53">
        <f>'Table 2A BaseLoad'!J38-INDEX('Table 10'!$G:$G,MATCH($A19,'Table 10'!$B:$B,0),1)</f>
        <v>28.377877390087583</v>
      </c>
      <c r="K19" s="53">
        <f>'Table 2A BaseLoad'!K38-INDEX('Table 10'!$G:$G,MATCH($A19,'Table 10'!$B:$B,0),1)</f>
        <v>30.109596228076196</v>
      </c>
      <c r="L19" s="53">
        <f>'Table 2A BaseLoad'!L38-INDEX('Table 10'!$G:$G,MATCH($A19,'Table 10'!$B:$B,0),1)</f>
        <v>25.843156025819759</v>
      </c>
      <c r="M19" s="54">
        <f>'Table 2A BaseLoad'!M38-INDEX('Table 10'!$G:$G,MATCH($A19,'Table 10'!$B:$B,0),1)</f>
        <v>30.868289164731188</v>
      </c>
    </row>
    <row r="20" spans="1:20" ht="12.75" customHeight="1" x14ac:dyDescent="0.2">
      <c r="A20" s="51">
        <f t="shared" si="0"/>
        <v>2027</v>
      </c>
      <c r="B20" s="53">
        <f>'Table 2A BaseLoad'!B39-INDEX('Table 10'!$G:$G,MATCH($A20,'Table 10'!$B:$B,0),1)</f>
        <v>28.436282489456534</v>
      </c>
      <c r="C20" s="53">
        <f>'Table 2A BaseLoad'!C39-INDEX('Table 10'!$G:$G,MATCH($A20,'Table 10'!$B:$B,0),1)</f>
        <v>27.298358776593243</v>
      </c>
      <c r="D20" s="53">
        <f>'Table 2A BaseLoad'!D39-INDEX('Table 10'!$G:$G,MATCH($A20,'Table 10'!$B:$B,0),1)</f>
        <v>25.20060825288974</v>
      </c>
      <c r="E20" s="53">
        <f>'Table 2A BaseLoad'!E39-INDEX('Table 10'!$G:$G,MATCH($A20,'Table 10'!$B:$B,0),1)</f>
        <v>24.458083192754682</v>
      </c>
      <c r="F20" s="53">
        <f>'Table 2A BaseLoad'!F39-INDEX('Table 10'!$G:$G,MATCH($A20,'Table 10'!$B:$B,0),1)</f>
        <v>25.186632233193652</v>
      </c>
      <c r="G20" s="53">
        <f>'Table 2A BaseLoad'!G39-INDEX('Table 10'!$G:$G,MATCH($A20,'Table 10'!$B:$B,0),1)</f>
        <v>24.828246506745931</v>
      </c>
      <c r="H20" s="53">
        <f>'Table 2A BaseLoad'!H39-INDEX('Table 10'!$G:$G,MATCH($A20,'Table 10'!$B:$B,0),1)</f>
        <v>45.504465794132763</v>
      </c>
      <c r="I20" s="53">
        <f>'Table 2A BaseLoad'!I39-INDEX('Table 10'!$G:$G,MATCH($A20,'Table 10'!$B:$B,0),1)</f>
        <v>36.624136039208693</v>
      </c>
      <c r="J20" s="53">
        <f>'Table 2A BaseLoad'!J39-INDEX('Table 10'!$G:$G,MATCH($A20,'Table 10'!$B:$B,0),1)</f>
        <v>28.077027606125711</v>
      </c>
      <c r="K20" s="53">
        <f>'Table 2A BaseLoad'!K39-INDEX('Table 10'!$G:$G,MATCH($A20,'Table 10'!$B:$B,0),1)</f>
        <v>29.392984696468414</v>
      </c>
      <c r="L20" s="53">
        <f>'Table 2A BaseLoad'!L39-INDEX('Table 10'!$G:$G,MATCH($A20,'Table 10'!$B:$B,0),1)</f>
        <v>26.097405827324852</v>
      </c>
      <c r="M20" s="54">
        <f>'Table 2A BaseLoad'!M39-INDEX('Table 10'!$G:$G,MATCH($A20,'Table 10'!$B:$B,0),1)</f>
        <v>28.651334279442477</v>
      </c>
    </row>
    <row r="21" spans="1:20" ht="12.75" customHeight="1" x14ac:dyDescent="0.2">
      <c r="A21" s="51">
        <f t="shared" si="0"/>
        <v>2028</v>
      </c>
      <c r="B21" s="53">
        <f>'Table 2A BaseLoad'!B40-INDEX('Table 10'!$G:$G,MATCH($A21,'Table 10'!$B:$B,0),1)</f>
        <v>32.285337869917051</v>
      </c>
      <c r="C21" s="53">
        <f>'Table 2A BaseLoad'!C40-INDEX('Table 10'!$G:$G,MATCH($A21,'Table 10'!$B:$B,0),1)</f>
        <v>32.908410820720668</v>
      </c>
      <c r="D21" s="53">
        <f>'Table 2A BaseLoad'!D40-INDEX('Table 10'!$G:$G,MATCH($A21,'Table 10'!$B:$B,0),1)</f>
        <v>29.257384379713081</v>
      </c>
      <c r="E21" s="53">
        <f>'Table 2A BaseLoad'!E40-INDEX('Table 10'!$G:$G,MATCH($A21,'Table 10'!$B:$B,0),1)</f>
        <v>28.386192416193907</v>
      </c>
      <c r="F21" s="53">
        <f>'Table 2A BaseLoad'!F40-INDEX('Table 10'!$G:$G,MATCH($A21,'Table 10'!$B:$B,0),1)</f>
        <v>30.038693979941897</v>
      </c>
      <c r="G21" s="53">
        <f>'Table 2A BaseLoad'!G40-INDEX('Table 10'!$G:$G,MATCH($A21,'Table 10'!$B:$B,0),1)</f>
        <v>29.530942892737805</v>
      </c>
      <c r="H21" s="53">
        <f>'Table 2A BaseLoad'!H40-INDEX('Table 10'!$G:$G,MATCH($A21,'Table 10'!$B:$B,0),1)</f>
        <v>51.317039340036295</v>
      </c>
      <c r="I21" s="53">
        <f>'Table 2A BaseLoad'!I40-INDEX('Table 10'!$G:$G,MATCH($A21,'Table 10'!$B:$B,0),1)</f>
        <v>46.247324104622308</v>
      </c>
      <c r="J21" s="53">
        <f>'Table 2A BaseLoad'!J40-INDEX('Table 10'!$G:$G,MATCH($A21,'Table 10'!$B:$B,0),1)</f>
        <v>35.737769964658746</v>
      </c>
      <c r="K21" s="53">
        <f>'Table 2A BaseLoad'!K40-INDEX('Table 10'!$G:$G,MATCH($A21,'Table 10'!$B:$B,0),1)</f>
        <v>35.594822208895422</v>
      </c>
      <c r="L21" s="53">
        <f>'Table 2A BaseLoad'!L40-INDEX('Table 10'!$G:$G,MATCH($A21,'Table 10'!$B:$B,0),1)</f>
        <v>32.67265275626648</v>
      </c>
      <c r="M21" s="54">
        <f>'Table 2A BaseLoad'!M40-INDEX('Table 10'!$G:$G,MATCH($A21,'Table 10'!$B:$B,0),1)</f>
        <v>41.985753509185123</v>
      </c>
    </row>
    <row r="22" spans="1:20" ht="12.75" customHeight="1" x14ac:dyDescent="0.2">
      <c r="A22" s="5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20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0" ht="12.75" hidden="1" customHeight="1" x14ac:dyDescent="0.2">
      <c r="A24" s="51"/>
      <c r="B24" s="52"/>
      <c r="C24" s="53"/>
      <c r="D24" s="53"/>
      <c r="E24" s="53"/>
      <c r="F24" s="54"/>
      <c r="G24" s="53"/>
      <c r="H24" s="53"/>
      <c r="I24" s="53"/>
      <c r="J24" s="54"/>
      <c r="K24" s="53"/>
      <c r="L24" s="53"/>
      <c r="M24" s="54"/>
    </row>
    <row r="25" spans="1:20" ht="12.75" hidden="1" customHeight="1" x14ac:dyDescent="0.2">
      <c r="A25" s="51"/>
      <c r="B25" s="52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4"/>
    </row>
    <row r="26" spans="1:20" ht="12.75" hidden="1" customHeight="1" x14ac:dyDescent="0.2">
      <c r="A26" s="55"/>
      <c r="B26" s="56"/>
      <c r="C26" s="57"/>
      <c r="D26" s="57"/>
      <c r="E26" s="57"/>
      <c r="F26" s="58"/>
      <c r="G26" s="57"/>
      <c r="H26" s="57"/>
      <c r="I26" s="57"/>
      <c r="J26" s="58"/>
      <c r="K26" s="57"/>
      <c r="L26" s="57"/>
      <c r="M26" s="58"/>
    </row>
    <row r="27" spans="1:20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0" ht="12.75" customHeight="1" x14ac:dyDescent="0.2">
      <c r="A28" s="12" t="s">
        <v>221</v>
      </c>
      <c r="C28" s="40"/>
      <c r="D28" s="40"/>
      <c r="E28" s="40"/>
      <c r="G28" s="40"/>
      <c r="H28" s="40"/>
      <c r="I28" s="40"/>
      <c r="J28" s="48"/>
      <c r="L28" s="40"/>
      <c r="M28" s="37"/>
    </row>
    <row r="29" spans="1:20" ht="12.75" customHeight="1" x14ac:dyDescent="0.2">
      <c r="A29" s="489">
        <v>2017</v>
      </c>
      <c r="B29" s="333"/>
      <c r="C29" s="333"/>
      <c r="D29" s="333"/>
      <c r="E29" s="333"/>
      <c r="F29" s="333"/>
      <c r="G29" s="333">
        <f>'Table 2A BaseLoad'!G48-INDEX('Table 10'!$G:$G,MATCH($A29,'Table 10'!$B:$B,0),1)</f>
        <v>17.159803491986402</v>
      </c>
      <c r="H29" s="333">
        <f>'Table 2A BaseLoad'!H48-INDEX('Table 10'!$G:$G,MATCH($A29,'Table 10'!$B:$B,0),1)</f>
        <v>15.73524115811523</v>
      </c>
      <c r="I29" s="333">
        <f>'Table 2A BaseLoad'!I48-INDEX('Table 10'!$G:$G,MATCH($A29,'Table 10'!$B:$B,0),1)</f>
        <v>17.497378952226612</v>
      </c>
      <c r="J29" s="333">
        <f>'Table 2A BaseLoad'!J48-INDEX('Table 10'!$G:$G,MATCH($A29,'Table 10'!$B:$B,0),1)</f>
        <v>18.001488126762279</v>
      </c>
      <c r="K29" s="333">
        <f>'Table 2A BaseLoad'!K48-INDEX('Table 10'!$G:$G,MATCH($A29,'Table 10'!$B:$B,0),1)</f>
        <v>19.512289767723264</v>
      </c>
      <c r="L29" s="333">
        <f>'Table 2A BaseLoad'!L48-INDEX('Table 10'!$G:$G,MATCH($A29,'Table 10'!$B:$B,0),1)</f>
        <v>20.017285887121442</v>
      </c>
      <c r="M29" s="334">
        <f>'Table 2A BaseLoad'!M48-INDEX('Table 10'!$G:$G,MATCH($A29,'Table 10'!$B:$B,0),1)</f>
        <v>24.667320053130261</v>
      </c>
    </row>
    <row r="30" spans="1:20" ht="12.75" customHeight="1" x14ac:dyDescent="0.2">
      <c r="A30" s="492">
        <f>'Tables 3 to 5'!$B$14</f>
        <v>2018</v>
      </c>
      <c r="B30" s="53">
        <f>'Table 2A BaseLoad'!B49-INDEX('Table 10'!$G:$G,MATCH($A30,'Table 10'!$B:$B,0),1)</f>
        <v>23.82427428568106</v>
      </c>
      <c r="C30" s="53">
        <f>'Table 2A BaseLoad'!C49-INDEX('Table 10'!$G:$G,MATCH($A30,'Table 10'!$B:$B,0),1)</f>
        <v>23.028506719024932</v>
      </c>
      <c r="D30" s="53">
        <f>'Table 2A BaseLoad'!D49-INDEX('Table 10'!$G:$G,MATCH($A30,'Table 10'!$B:$B,0),1)</f>
        <v>19.768391387503478</v>
      </c>
      <c r="E30" s="53">
        <f>'Table 2A BaseLoad'!E49-INDEX('Table 10'!$G:$G,MATCH($A30,'Table 10'!$B:$B,0),1)</f>
        <v>15.825889867196294</v>
      </c>
      <c r="F30" s="53">
        <f>'Table 2A BaseLoad'!F49-INDEX('Table 10'!$G:$G,MATCH($A30,'Table 10'!$B:$B,0),1)</f>
        <v>13.656875563605482</v>
      </c>
      <c r="G30" s="53">
        <f>'Table 2A BaseLoad'!G49-INDEX('Table 10'!$G:$G,MATCH($A30,'Table 10'!$B:$B,0),1)</f>
        <v>13.642728719225502</v>
      </c>
      <c r="H30" s="53">
        <f>'Table 2A BaseLoad'!H49-INDEX('Table 10'!$G:$G,MATCH($A30,'Table 10'!$B:$B,0),1)</f>
        <v>16.343221369244617</v>
      </c>
      <c r="I30" s="53">
        <f>'Table 2A BaseLoad'!I49-INDEX('Table 10'!$G:$G,MATCH($A30,'Table 10'!$B:$B,0),1)</f>
        <v>17.013422720482357</v>
      </c>
      <c r="J30" s="53">
        <f>'Table 2A BaseLoad'!J49-INDEX('Table 10'!$G:$G,MATCH($A30,'Table 10'!$B:$B,0),1)</f>
        <v>15.682567228968681</v>
      </c>
      <c r="K30" s="53">
        <f>'Table 2A BaseLoad'!K49-INDEX('Table 10'!$G:$G,MATCH($A30,'Table 10'!$B:$B,0),1)</f>
        <v>17.015139049339695</v>
      </c>
      <c r="L30" s="53">
        <f>'Table 2A BaseLoad'!L49-INDEX('Table 10'!$G:$G,MATCH($A30,'Table 10'!$B:$B,0),1)</f>
        <v>17.332262927945358</v>
      </c>
      <c r="M30" s="54">
        <f>'Table 2A BaseLoad'!M49-INDEX('Table 10'!$G:$G,MATCH($A30,'Table 10'!$B:$B,0),1)</f>
        <v>19.922535994743789</v>
      </c>
    </row>
    <row r="31" spans="1:20" ht="12.75" customHeight="1" x14ac:dyDescent="0.2">
      <c r="A31" s="51">
        <f t="shared" ref="A31:A41" si="1">A30+1</f>
        <v>2019</v>
      </c>
      <c r="B31" s="53">
        <f>'Table 2A BaseLoad'!B50-INDEX('Table 10'!$G:$G,MATCH($A31,'Table 10'!$B:$B,0),1)</f>
        <v>20.287361540832734</v>
      </c>
      <c r="C31" s="53">
        <f>'Table 2A BaseLoad'!C50-INDEX('Table 10'!$G:$G,MATCH($A31,'Table 10'!$B:$B,0),1)</f>
        <v>17.49194189563455</v>
      </c>
      <c r="D31" s="53">
        <f>'Table 2A BaseLoad'!D50-INDEX('Table 10'!$G:$G,MATCH($A31,'Table 10'!$B:$B,0),1)</f>
        <v>17.120398574818708</v>
      </c>
      <c r="E31" s="53">
        <f>'Table 2A BaseLoad'!E50-INDEX('Table 10'!$G:$G,MATCH($A31,'Table 10'!$B:$B,0),1)</f>
        <v>12.725678278454447</v>
      </c>
      <c r="F31" s="53">
        <f>'Table 2A BaseLoad'!F50-INDEX('Table 10'!$G:$G,MATCH($A31,'Table 10'!$B:$B,0),1)</f>
        <v>9.0084958077657991</v>
      </c>
      <c r="G31" s="53">
        <f>'Table 2A BaseLoad'!G50-INDEX('Table 10'!$G:$G,MATCH($A31,'Table 10'!$B:$B,0),1)</f>
        <v>9.8359376409458665</v>
      </c>
      <c r="H31" s="53">
        <f>'Table 2A BaseLoad'!H50-INDEX('Table 10'!$G:$G,MATCH($A31,'Table 10'!$B:$B,0),1)</f>
        <v>20.964123771980944</v>
      </c>
      <c r="I31" s="53">
        <f>'Table 2A BaseLoad'!I50-INDEX('Table 10'!$G:$G,MATCH($A31,'Table 10'!$B:$B,0),1)</f>
        <v>18.228263020805525</v>
      </c>
      <c r="J31" s="53">
        <f>'Table 2A BaseLoad'!J50-INDEX('Table 10'!$G:$G,MATCH($A31,'Table 10'!$B:$B,0),1)</f>
        <v>15.669733525286192</v>
      </c>
      <c r="K31" s="53">
        <f>'Table 2A BaseLoad'!K50-INDEX('Table 10'!$G:$G,MATCH($A31,'Table 10'!$B:$B,0),1)</f>
        <v>17.911583552640877</v>
      </c>
      <c r="L31" s="53">
        <f>'Table 2A BaseLoad'!L50-INDEX('Table 10'!$G:$G,MATCH($A31,'Table 10'!$B:$B,0),1)</f>
        <v>16.440659561137448</v>
      </c>
      <c r="M31" s="54">
        <f>'Table 2A BaseLoad'!M50-INDEX('Table 10'!$G:$G,MATCH($A31,'Table 10'!$B:$B,0),1)</f>
        <v>20.034437582988996</v>
      </c>
    </row>
    <row r="32" spans="1:20" ht="12.75" customHeight="1" x14ac:dyDescent="0.2">
      <c r="A32" s="51">
        <f t="shared" si="1"/>
        <v>2020</v>
      </c>
      <c r="B32" s="53">
        <f>'Table 2A BaseLoad'!B51-INDEX('Table 10'!$G:$G,MATCH($A32,'Table 10'!$B:$B,0),1)</f>
        <v>14.544846669113431</v>
      </c>
      <c r="C32" s="53">
        <f>'Table 2A BaseLoad'!C51-INDEX('Table 10'!$G:$G,MATCH($A32,'Table 10'!$B:$B,0),1)</f>
        <v>15.86182264063239</v>
      </c>
      <c r="D32" s="53">
        <f>'Table 2A BaseLoad'!D51-INDEX('Table 10'!$G:$G,MATCH($A32,'Table 10'!$B:$B,0),1)</f>
        <v>15.423311517372362</v>
      </c>
      <c r="E32" s="53">
        <f>'Table 2A BaseLoad'!E51-INDEX('Table 10'!$G:$G,MATCH($A32,'Table 10'!$B:$B,0),1)</f>
        <v>13.112798818686436</v>
      </c>
      <c r="F32" s="53">
        <f>'Table 2A BaseLoad'!F51-INDEX('Table 10'!$G:$G,MATCH($A32,'Table 10'!$B:$B,0),1)</f>
        <v>10.813689082957609</v>
      </c>
      <c r="G32" s="53">
        <f>'Table 2A BaseLoad'!G51-INDEX('Table 10'!$G:$G,MATCH($A32,'Table 10'!$B:$B,0),1)</f>
        <v>10.085277267645719</v>
      </c>
      <c r="H32" s="53">
        <f>'Table 2A BaseLoad'!H51-INDEX('Table 10'!$G:$G,MATCH($A32,'Table 10'!$B:$B,0),1)</f>
        <v>19.852124474079691</v>
      </c>
      <c r="I32" s="53">
        <f>'Table 2A BaseLoad'!I51-INDEX('Table 10'!$G:$G,MATCH($A32,'Table 10'!$B:$B,0),1)</f>
        <v>16.829708040131869</v>
      </c>
      <c r="J32" s="53">
        <f>'Table 2A BaseLoad'!J51-INDEX('Table 10'!$G:$G,MATCH($A32,'Table 10'!$B:$B,0),1)</f>
        <v>13.266308430578295</v>
      </c>
      <c r="K32" s="53">
        <f>'Table 2A BaseLoad'!K51-INDEX('Table 10'!$G:$G,MATCH($A32,'Table 10'!$B:$B,0),1)</f>
        <v>16.878594399573913</v>
      </c>
      <c r="L32" s="53">
        <f>'Table 2A BaseLoad'!L51-INDEX('Table 10'!$G:$G,MATCH($A32,'Table 10'!$B:$B,0),1)</f>
        <v>14.770138968755317</v>
      </c>
      <c r="M32" s="54">
        <f>'Table 2A BaseLoad'!M51-INDEX('Table 10'!$G:$G,MATCH($A32,'Table 10'!$B:$B,0),1)</f>
        <v>18.791828149553272</v>
      </c>
      <c r="N32" s="131"/>
      <c r="O32" s="131"/>
      <c r="P32" s="131"/>
      <c r="Q32" s="131"/>
      <c r="R32" s="131"/>
      <c r="S32" s="131"/>
      <c r="T32" s="131"/>
    </row>
    <row r="33" spans="1:24" ht="12.75" customHeight="1" x14ac:dyDescent="0.2">
      <c r="A33" s="51">
        <f t="shared" si="1"/>
        <v>2021</v>
      </c>
      <c r="B33" s="53">
        <f>'Table 2A BaseLoad'!B52-INDEX('Table 10'!$G:$G,MATCH($A33,'Table 10'!$B:$B,0),1)</f>
        <v>16.894343079329659</v>
      </c>
      <c r="C33" s="53">
        <f>'Table 2A BaseLoad'!C52-INDEX('Table 10'!$G:$G,MATCH($A33,'Table 10'!$B:$B,0),1)</f>
        <v>18.836447814654793</v>
      </c>
      <c r="D33" s="53">
        <f>'Table 2A BaseLoad'!D52-INDEX('Table 10'!$G:$G,MATCH($A33,'Table 10'!$B:$B,0),1)</f>
        <v>14.054431392793303</v>
      </c>
      <c r="E33" s="53">
        <f>'Table 2A BaseLoad'!E52-INDEX('Table 10'!$G:$G,MATCH($A33,'Table 10'!$B:$B,0),1)</f>
        <v>12.06770342949657</v>
      </c>
      <c r="F33" s="53">
        <f>'Table 2A BaseLoad'!F52-INDEX('Table 10'!$G:$G,MATCH($A33,'Table 10'!$B:$B,0),1)</f>
        <v>10.277817118034276</v>
      </c>
      <c r="G33" s="53">
        <f>'Table 2A BaseLoad'!G52-INDEX('Table 10'!$G:$G,MATCH($A33,'Table 10'!$B:$B,0),1)</f>
        <v>10.169720429262037</v>
      </c>
      <c r="H33" s="53">
        <f>'Table 2A BaseLoad'!H52-INDEX('Table 10'!$G:$G,MATCH($A33,'Table 10'!$B:$B,0),1)</f>
        <v>20.31593134159823</v>
      </c>
      <c r="I33" s="53">
        <f>'Table 2A BaseLoad'!I52-INDEX('Table 10'!$G:$G,MATCH($A33,'Table 10'!$B:$B,0),1)</f>
        <v>16.295583222485302</v>
      </c>
      <c r="J33" s="53">
        <f>'Table 2A BaseLoad'!J52-INDEX('Table 10'!$G:$G,MATCH($A33,'Table 10'!$B:$B,0),1)</f>
        <v>13.019725659872499</v>
      </c>
      <c r="K33" s="53">
        <f>'Table 2A BaseLoad'!K52-INDEX('Table 10'!$G:$G,MATCH($A33,'Table 10'!$B:$B,0),1)</f>
        <v>17.535735503443945</v>
      </c>
      <c r="L33" s="53">
        <f>'Table 2A BaseLoad'!L52-INDEX('Table 10'!$G:$G,MATCH($A33,'Table 10'!$B:$B,0),1)</f>
        <v>16.340478541708375</v>
      </c>
      <c r="M33" s="54">
        <f>'Table 2A BaseLoad'!M52-INDEX('Table 10'!$G:$G,MATCH($A33,'Table 10'!$B:$B,0),1)</f>
        <v>21.659905532798923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12.75" customHeight="1" x14ac:dyDescent="0.2">
      <c r="A34" s="51">
        <f t="shared" si="1"/>
        <v>2022</v>
      </c>
      <c r="B34" s="53">
        <f>'Table 2A BaseLoad'!B53-INDEX('Table 10'!$G:$G,MATCH($A34,'Table 10'!$B:$B,0),1)</f>
        <v>19.21579530919071</v>
      </c>
      <c r="C34" s="53">
        <f>'Table 2A BaseLoad'!C53-INDEX('Table 10'!$G:$G,MATCH($A34,'Table 10'!$B:$B,0),1)</f>
        <v>18.275025764661066</v>
      </c>
      <c r="D34" s="53">
        <f>'Table 2A BaseLoad'!D53-INDEX('Table 10'!$G:$G,MATCH($A34,'Table 10'!$B:$B,0),1)</f>
        <v>16.80123685776401</v>
      </c>
      <c r="E34" s="53">
        <f>'Table 2A BaseLoad'!E53-INDEX('Table 10'!$G:$G,MATCH($A34,'Table 10'!$B:$B,0),1)</f>
        <v>13.406855072671011</v>
      </c>
      <c r="F34" s="53">
        <f>'Table 2A BaseLoad'!F53-INDEX('Table 10'!$G:$G,MATCH($A34,'Table 10'!$B:$B,0),1)</f>
        <v>11.797225114636165</v>
      </c>
      <c r="G34" s="53">
        <f>'Table 2A BaseLoad'!G53-INDEX('Table 10'!$G:$G,MATCH($A34,'Table 10'!$B:$B,0),1)</f>
        <v>11.544625735358489</v>
      </c>
      <c r="H34" s="53">
        <f>'Table 2A BaseLoad'!H53-INDEX('Table 10'!$G:$G,MATCH($A34,'Table 10'!$B:$B,0),1)</f>
        <v>22.847926257026831</v>
      </c>
      <c r="I34" s="53">
        <f>'Table 2A BaseLoad'!I53-INDEX('Table 10'!$G:$G,MATCH($A34,'Table 10'!$B:$B,0),1)</f>
        <v>19.152652105852031</v>
      </c>
      <c r="J34" s="53">
        <f>'Table 2A BaseLoad'!J53-INDEX('Table 10'!$G:$G,MATCH($A34,'Table 10'!$B:$B,0),1)</f>
        <v>14.98441252835503</v>
      </c>
      <c r="K34" s="53">
        <f>'Table 2A BaseLoad'!K53-INDEX('Table 10'!$G:$G,MATCH($A34,'Table 10'!$B:$B,0),1)</f>
        <v>19.559126564361538</v>
      </c>
      <c r="L34" s="53">
        <f>'Table 2A BaseLoad'!L53-INDEX('Table 10'!$G:$G,MATCH($A34,'Table 10'!$B:$B,0),1)</f>
        <v>18.558152198997281</v>
      </c>
      <c r="M34" s="54">
        <f>'Table 2A BaseLoad'!M53-INDEX('Table 10'!$G:$G,MATCH($A34,'Table 10'!$B:$B,0),1)</f>
        <v>23.085423712241859</v>
      </c>
      <c r="N34" s="131"/>
      <c r="O34" s="131"/>
      <c r="P34" s="131"/>
      <c r="Q34" s="131"/>
      <c r="R34" s="131"/>
      <c r="S34" s="131"/>
      <c r="T34" s="131"/>
    </row>
    <row r="35" spans="1:24" ht="12.75" customHeight="1" x14ac:dyDescent="0.2">
      <c r="A35" s="51">
        <f t="shared" si="1"/>
        <v>2023</v>
      </c>
      <c r="B35" s="53">
        <f>'Table 2A BaseLoad'!B54-INDEX('Table 10'!$G:$G,MATCH($A35,'Table 10'!$B:$B,0),1)</f>
        <v>20.214591376104497</v>
      </c>
      <c r="C35" s="53">
        <f>'Table 2A BaseLoad'!C54-INDEX('Table 10'!$G:$G,MATCH($A35,'Table 10'!$B:$B,0),1)</f>
        <v>18.303154238544714</v>
      </c>
      <c r="D35" s="53">
        <f>'Table 2A BaseLoad'!D54-INDEX('Table 10'!$G:$G,MATCH($A35,'Table 10'!$B:$B,0),1)</f>
        <v>17.371585168490338</v>
      </c>
      <c r="E35" s="53">
        <f>'Table 2A BaseLoad'!E54-INDEX('Table 10'!$G:$G,MATCH($A35,'Table 10'!$B:$B,0),1)</f>
        <v>15.37709412594551</v>
      </c>
      <c r="F35" s="53">
        <f>'Table 2A BaseLoad'!F54-INDEX('Table 10'!$G:$G,MATCH($A35,'Table 10'!$B:$B,0),1)</f>
        <v>15.063817619913687</v>
      </c>
      <c r="G35" s="53">
        <f>'Table 2A BaseLoad'!G54-INDEX('Table 10'!$G:$G,MATCH($A35,'Table 10'!$B:$B,0),1)</f>
        <v>14.570584466079575</v>
      </c>
      <c r="H35" s="53">
        <f>'Table 2A BaseLoad'!H54-INDEX('Table 10'!$G:$G,MATCH($A35,'Table 10'!$B:$B,0),1)</f>
        <v>27.204591883534199</v>
      </c>
      <c r="I35" s="53">
        <f>'Table 2A BaseLoad'!I54-INDEX('Table 10'!$G:$G,MATCH($A35,'Table 10'!$B:$B,0),1)</f>
        <v>20.264053198264136</v>
      </c>
      <c r="J35" s="53">
        <f>'Table 2A BaseLoad'!J54-INDEX('Table 10'!$G:$G,MATCH($A35,'Table 10'!$B:$B,0),1)</f>
        <v>17.514083338975105</v>
      </c>
      <c r="K35" s="53">
        <f>'Table 2A BaseLoad'!K54-INDEX('Table 10'!$G:$G,MATCH($A35,'Table 10'!$B:$B,0),1)</f>
        <v>21.832891422494789</v>
      </c>
      <c r="L35" s="53">
        <f>'Table 2A BaseLoad'!L54-INDEX('Table 10'!$G:$G,MATCH($A35,'Table 10'!$B:$B,0),1)</f>
        <v>16.058453849440152</v>
      </c>
      <c r="M35" s="54">
        <f>'Table 2A BaseLoad'!M54-INDEX('Table 10'!$G:$G,MATCH($A35,'Table 10'!$B:$B,0),1)</f>
        <v>25.798944744148944</v>
      </c>
      <c r="N35" s="131"/>
      <c r="O35" s="131"/>
      <c r="P35" s="131"/>
      <c r="Q35" s="131"/>
      <c r="R35" s="131"/>
      <c r="S35" s="131"/>
      <c r="T35" s="131"/>
    </row>
    <row r="36" spans="1:24" ht="12.75" customHeight="1" x14ac:dyDescent="0.2">
      <c r="A36" s="51">
        <f t="shared" si="1"/>
        <v>2024</v>
      </c>
      <c r="B36" s="53">
        <f>'Table 2A BaseLoad'!B55-INDEX('Table 10'!$G:$G,MATCH($A36,'Table 10'!$B:$B,0),1)</f>
        <v>23.369210492471296</v>
      </c>
      <c r="C36" s="53">
        <f>'Table 2A BaseLoad'!C55-INDEX('Table 10'!$G:$G,MATCH($A36,'Table 10'!$B:$B,0),1)</f>
        <v>19.687703903810135</v>
      </c>
      <c r="D36" s="53">
        <f>'Table 2A BaseLoad'!D55-INDEX('Table 10'!$G:$G,MATCH($A36,'Table 10'!$B:$B,0),1)</f>
        <v>19.947755747883363</v>
      </c>
      <c r="E36" s="53">
        <f>'Table 2A BaseLoad'!E55-INDEX('Table 10'!$G:$G,MATCH($A36,'Table 10'!$B:$B,0),1)</f>
        <v>16.584537986411249</v>
      </c>
      <c r="F36" s="53">
        <f>'Table 2A BaseLoad'!F55-INDEX('Table 10'!$G:$G,MATCH($A36,'Table 10'!$B:$B,0),1)</f>
        <v>19.867862804834971</v>
      </c>
      <c r="G36" s="53">
        <f>'Table 2A BaseLoad'!G55-INDEX('Table 10'!$G:$G,MATCH($A36,'Table 10'!$B:$B,0),1)</f>
        <v>18.523113208434374</v>
      </c>
      <c r="H36" s="53">
        <f>'Table 2A BaseLoad'!H55-INDEX('Table 10'!$G:$G,MATCH($A36,'Table 10'!$B:$B,0),1)</f>
        <v>30.866397397212229</v>
      </c>
      <c r="I36" s="53">
        <f>'Table 2A BaseLoad'!I55-INDEX('Table 10'!$G:$G,MATCH($A36,'Table 10'!$B:$B,0),1)</f>
        <v>13.643665875372527</v>
      </c>
      <c r="J36" s="53">
        <f>'Table 2A BaseLoad'!J55-INDEX('Table 10'!$G:$G,MATCH($A36,'Table 10'!$B:$B,0),1)</f>
        <v>30.888565353900479</v>
      </c>
      <c r="K36" s="53">
        <f>'Table 2A BaseLoad'!K55-INDEX('Table 10'!$G:$G,MATCH($A36,'Table 10'!$B:$B,0),1)</f>
        <v>24.650629850608333</v>
      </c>
      <c r="L36" s="53">
        <f>'Table 2A BaseLoad'!L55-INDEX('Table 10'!$G:$G,MATCH($A36,'Table 10'!$B:$B,0),1)</f>
        <v>21.960705033188223</v>
      </c>
      <c r="M36" s="54">
        <f>'Table 2A BaseLoad'!M55-INDEX('Table 10'!$G:$G,MATCH($A36,'Table 10'!$B:$B,0),1)</f>
        <v>28.202979348302371</v>
      </c>
      <c r="N36" s="131"/>
      <c r="O36" s="131"/>
      <c r="P36" s="131"/>
      <c r="Q36" s="131"/>
      <c r="R36" s="131"/>
      <c r="S36" s="131"/>
      <c r="T36" s="131"/>
    </row>
    <row r="37" spans="1:24" ht="12.75" customHeight="1" x14ac:dyDescent="0.2">
      <c r="A37" s="51">
        <f t="shared" si="1"/>
        <v>2025</v>
      </c>
      <c r="B37" s="53">
        <f>'Table 2A BaseLoad'!B56-INDEX('Table 10'!$G:$G,MATCH($A37,'Table 10'!$B:$B,0),1)</f>
        <v>25.81504418969071</v>
      </c>
      <c r="C37" s="53">
        <f>'Table 2A BaseLoad'!C56-INDEX('Table 10'!$G:$G,MATCH($A37,'Table 10'!$B:$B,0),1)</f>
        <v>24.929524139493314</v>
      </c>
      <c r="D37" s="53">
        <f>'Table 2A BaseLoad'!D56-INDEX('Table 10'!$G:$G,MATCH($A37,'Table 10'!$B:$B,0),1)</f>
        <v>22.154883574059877</v>
      </c>
      <c r="E37" s="53">
        <f>'Table 2A BaseLoad'!E56-INDEX('Table 10'!$G:$G,MATCH($A37,'Table 10'!$B:$B,0),1)</f>
        <v>19.462498053952931</v>
      </c>
      <c r="F37" s="53">
        <f>'Table 2A BaseLoad'!F56-INDEX('Table 10'!$G:$G,MATCH($A37,'Table 10'!$B:$B,0),1)</f>
        <v>21.001800907072088</v>
      </c>
      <c r="G37" s="53">
        <f>'Table 2A BaseLoad'!G56-INDEX('Table 10'!$G:$G,MATCH($A37,'Table 10'!$B:$B,0),1)</f>
        <v>18.761049249081918</v>
      </c>
      <c r="H37" s="53">
        <f>'Table 2A BaseLoad'!H56-INDEX('Table 10'!$G:$G,MATCH($A37,'Table 10'!$B:$B,0),1)</f>
        <v>33.02200700635953</v>
      </c>
      <c r="I37" s="53">
        <f>'Table 2A BaseLoad'!I56-INDEX('Table 10'!$G:$G,MATCH($A37,'Table 10'!$B:$B,0),1)</f>
        <v>26.335973091257443</v>
      </c>
      <c r="J37" s="53">
        <f>'Table 2A BaseLoad'!J56-INDEX('Table 10'!$G:$G,MATCH($A37,'Table 10'!$B:$B,0),1)</f>
        <v>27.788154529357875</v>
      </c>
      <c r="K37" s="53">
        <f>'Table 2A BaseLoad'!K56-INDEX('Table 10'!$G:$G,MATCH($A37,'Table 10'!$B:$B,0),1)</f>
        <v>23.833414336465232</v>
      </c>
      <c r="L37" s="53">
        <f>'Table 2A BaseLoad'!L56-INDEX('Table 10'!$G:$G,MATCH($A37,'Table 10'!$B:$B,0),1)</f>
        <v>21.481005399545413</v>
      </c>
      <c r="M37" s="54">
        <f>'Table 2A BaseLoad'!M56-INDEX('Table 10'!$G:$G,MATCH($A37,'Table 10'!$B:$B,0),1)</f>
        <v>29.058209007265511</v>
      </c>
      <c r="N37" s="131"/>
      <c r="O37" s="131"/>
      <c r="P37" s="131"/>
      <c r="Q37" s="131"/>
      <c r="R37" s="131"/>
      <c r="S37" s="131"/>
      <c r="T37" s="131"/>
    </row>
    <row r="38" spans="1:24" ht="12.75" customHeight="1" x14ac:dyDescent="0.2">
      <c r="A38" s="51">
        <f t="shared" si="1"/>
        <v>2026</v>
      </c>
      <c r="B38" s="53">
        <f>'Table 2A BaseLoad'!B57-INDEX('Table 10'!$G:$G,MATCH($A38,'Table 10'!$B:$B,0),1)</f>
        <v>28.051617020839885</v>
      </c>
      <c r="C38" s="53">
        <f>'Table 2A BaseLoad'!C57-INDEX('Table 10'!$G:$G,MATCH($A38,'Table 10'!$B:$B,0),1)</f>
        <v>54.995463529474584</v>
      </c>
      <c r="D38" s="53">
        <f>'Table 2A BaseLoad'!D57-INDEX('Table 10'!$G:$G,MATCH($A38,'Table 10'!$B:$B,0),1)</f>
        <v>22.523614237552067</v>
      </c>
      <c r="E38" s="53">
        <f>'Table 2A BaseLoad'!E57-INDEX('Table 10'!$G:$G,MATCH($A38,'Table 10'!$B:$B,0),1)</f>
        <v>20.302618560705298</v>
      </c>
      <c r="F38" s="53">
        <f>'Table 2A BaseLoad'!F57-INDEX('Table 10'!$G:$G,MATCH($A38,'Table 10'!$B:$B,0),1)</f>
        <v>21.431757900039287</v>
      </c>
      <c r="G38" s="53">
        <f>'Table 2A BaseLoad'!G57-INDEX('Table 10'!$G:$G,MATCH($A38,'Table 10'!$B:$B,0),1)</f>
        <v>20.527718081964014</v>
      </c>
      <c r="H38" s="53">
        <f>'Table 2A BaseLoad'!H57-INDEX('Table 10'!$G:$G,MATCH($A38,'Table 10'!$B:$B,0),1)</f>
        <v>33.989952196579182</v>
      </c>
      <c r="I38" s="53">
        <f>'Table 2A BaseLoad'!I57-INDEX('Table 10'!$G:$G,MATCH($A38,'Table 10'!$B:$B,0),1)</f>
        <v>26.277443235707839</v>
      </c>
      <c r="J38" s="53">
        <f>'Table 2A BaseLoad'!J57-INDEX('Table 10'!$G:$G,MATCH($A38,'Table 10'!$B:$B,0),1)</f>
        <v>22.925553757181085</v>
      </c>
      <c r="K38" s="53">
        <f>'Table 2A BaseLoad'!K57-INDEX('Table 10'!$G:$G,MATCH($A38,'Table 10'!$B:$B,0),1)</f>
        <v>26.770189129485829</v>
      </c>
      <c r="L38" s="53">
        <f>'Table 2A BaseLoad'!L57-INDEX('Table 10'!$G:$G,MATCH($A38,'Table 10'!$B:$B,0),1)</f>
        <v>22.945242944193001</v>
      </c>
      <c r="M38" s="54">
        <f>'Table 2A BaseLoad'!M57-INDEX('Table 10'!$G:$G,MATCH($A38,'Table 10'!$B:$B,0),1)</f>
        <v>27.758126864532514</v>
      </c>
      <c r="N38" s="131"/>
      <c r="O38" s="131"/>
      <c r="P38" s="131"/>
      <c r="Q38" s="131"/>
      <c r="R38" s="131"/>
      <c r="S38" s="131"/>
      <c r="T38" s="131"/>
    </row>
    <row r="39" spans="1:24" ht="12.75" customHeight="1" x14ac:dyDescent="0.2">
      <c r="A39" s="51">
        <f t="shared" si="1"/>
        <v>2027</v>
      </c>
      <c r="B39" s="53">
        <f>'Table 2A BaseLoad'!B58-INDEX('Table 10'!$G:$G,MATCH($A39,'Table 10'!$B:$B,0),1)</f>
        <v>26.06898907961752</v>
      </c>
      <c r="C39" s="53">
        <f>'Table 2A BaseLoad'!C58-INDEX('Table 10'!$G:$G,MATCH($A39,'Table 10'!$B:$B,0),1)</f>
        <v>24.942581982554177</v>
      </c>
      <c r="D39" s="53">
        <f>'Table 2A BaseLoad'!D58-INDEX('Table 10'!$G:$G,MATCH($A39,'Table 10'!$B:$B,0),1)</f>
        <v>24.265405617936054</v>
      </c>
      <c r="E39" s="53">
        <f>'Table 2A BaseLoad'!E58-INDEX('Table 10'!$G:$G,MATCH($A39,'Table 10'!$B:$B,0),1)</f>
        <v>22.492217529274438</v>
      </c>
      <c r="F39" s="53">
        <f>'Table 2A BaseLoad'!F58-INDEX('Table 10'!$G:$G,MATCH($A39,'Table 10'!$B:$B,0),1)</f>
        <v>23.165300228620552</v>
      </c>
      <c r="G39" s="53">
        <f>'Table 2A BaseLoad'!G58-INDEX('Table 10'!$G:$G,MATCH($A39,'Table 10'!$B:$B,0),1)</f>
        <v>21.823463127318778</v>
      </c>
      <c r="H39" s="53">
        <f>'Table 2A BaseLoad'!H58-INDEX('Table 10'!$G:$G,MATCH($A39,'Table 10'!$B:$B,0),1)</f>
        <v>35.884559733711171</v>
      </c>
      <c r="I39" s="53">
        <f>'Table 2A BaseLoad'!I58-INDEX('Table 10'!$G:$G,MATCH($A39,'Table 10'!$B:$B,0),1)</f>
        <v>28.174023899722677</v>
      </c>
      <c r="J39" s="53">
        <f>'Table 2A BaseLoad'!J58-INDEX('Table 10'!$G:$G,MATCH($A39,'Table 10'!$B:$B,0),1)</f>
        <v>23.110226171366502</v>
      </c>
      <c r="K39" s="53">
        <f>'Table 2A BaseLoad'!K58-INDEX('Table 10'!$G:$G,MATCH($A39,'Table 10'!$B:$B,0),1)</f>
        <v>26.178238076722767</v>
      </c>
      <c r="L39" s="53">
        <f>'Table 2A BaseLoad'!L58-INDEX('Table 10'!$G:$G,MATCH($A39,'Table 10'!$B:$B,0),1)</f>
        <v>22.97278283241333</v>
      </c>
      <c r="M39" s="54">
        <f>'Table 2A BaseLoad'!M58-INDEX('Table 10'!$G:$G,MATCH($A39,'Table 10'!$B:$B,0),1)</f>
        <v>26.188850300026605</v>
      </c>
      <c r="N39" s="131"/>
      <c r="O39" s="131"/>
      <c r="P39" s="131"/>
      <c r="Q39" s="131"/>
      <c r="R39" s="131"/>
      <c r="S39" s="131"/>
      <c r="T39" s="131"/>
    </row>
    <row r="40" spans="1:24" ht="12.75" customHeight="1" x14ac:dyDescent="0.2">
      <c r="A40" s="51">
        <f t="shared" si="1"/>
        <v>2028</v>
      </c>
      <c r="B40" s="53">
        <f>'Table 2A BaseLoad'!B59-INDEX('Table 10'!$G:$G,MATCH($A40,'Table 10'!$B:$B,0),1)</f>
        <v>29.683981648385064</v>
      </c>
      <c r="C40" s="53">
        <f>'Table 2A BaseLoad'!C59-INDEX('Table 10'!$G:$G,MATCH($A40,'Table 10'!$B:$B,0),1)</f>
        <v>30.266289839956968</v>
      </c>
      <c r="D40" s="53">
        <f>'Table 2A BaseLoad'!D59-INDEX('Table 10'!$G:$G,MATCH($A40,'Table 10'!$B:$B,0),1)</f>
        <v>28.02602385676726</v>
      </c>
      <c r="E40" s="53">
        <f>'Table 2A BaseLoad'!E59-INDEX('Table 10'!$G:$G,MATCH($A40,'Table 10'!$B:$B,0),1)</f>
        <v>26.225490959679057</v>
      </c>
      <c r="F40" s="53">
        <f>'Table 2A BaseLoad'!F59-INDEX('Table 10'!$G:$G,MATCH($A40,'Table 10'!$B:$B,0),1)</f>
        <v>27.589016935609941</v>
      </c>
      <c r="G40" s="53">
        <f>'Table 2A BaseLoad'!G59-INDEX('Table 10'!$G:$G,MATCH($A40,'Table 10'!$B:$B,0),1)</f>
        <v>25.954846994437183</v>
      </c>
      <c r="H40" s="53">
        <f>'Table 2A BaseLoad'!H59-INDEX('Table 10'!$G:$G,MATCH($A40,'Table 10'!$B:$B,0),1)</f>
        <v>40.850475630880482</v>
      </c>
      <c r="I40" s="53">
        <f>'Table 2A BaseLoad'!I59-INDEX('Table 10'!$G:$G,MATCH($A40,'Table 10'!$B:$B,0),1)</f>
        <v>35.785993680336631</v>
      </c>
      <c r="J40" s="53">
        <f>'Table 2A BaseLoad'!J59-INDEX('Table 10'!$G:$G,MATCH($A40,'Table 10'!$B:$B,0),1)</f>
        <v>30.241242216163016</v>
      </c>
      <c r="K40" s="53">
        <f>'Table 2A BaseLoad'!K59-INDEX('Table 10'!$G:$G,MATCH($A40,'Table 10'!$B:$B,0),1)</f>
        <v>31.91385352809084</v>
      </c>
      <c r="L40" s="53">
        <f>'Table 2A BaseLoad'!L59-INDEX('Table 10'!$G:$G,MATCH($A40,'Table 10'!$B:$B,0),1)</f>
        <v>29.037024256440063</v>
      </c>
      <c r="M40" s="54">
        <f>'Table 2A BaseLoad'!M59-INDEX('Table 10'!$G:$G,MATCH($A40,'Table 10'!$B:$B,0),1)</f>
        <v>38.955591324691852</v>
      </c>
      <c r="N40" s="132"/>
      <c r="O40" s="132"/>
      <c r="P40" s="132"/>
      <c r="Q40" s="132"/>
      <c r="R40" s="132"/>
      <c r="S40" s="132"/>
      <c r="T40" s="132"/>
    </row>
    <row r="41" spans="1:24" ht="12.75" hidden="1" customHeight="1" x14ac:dyDescent="0.2">
      <c r="A41" s="51">
        <f t="shared" si="1"/>
        <v>2029</v>
      </c>
      <c r="B41" s="53" t="e">
        <f>'Table 2A BaseLoad'!B60-INDEX('Table 10'!$G:$G,MATCH($A41,'Table 10'!$B:$B,0),1)</f>
        <v>#N/A</v>
      </c>
      <c r="C41" s="53" t="e">
        <f>'Table 2A BaseLoad'!C60-INDEX('Table 10'!$G:$G,MATCH($A41,'Table 10'!$B:$B,0),1)</f>
        <v>#N/A</v>
      </c>
      <c r="D41" s="53" t="e">
        <f>'Table 2A BaseLoad'!D60-INDEX('Table 10'!$G:$G,MATCH($A41,'Table 10'!$B:$B,0),1)</f>
        <v>#N/A</v>
      </c>
      <c r="E41" s="53" t="e">
        <f>'Table 2A BaseLoad'!E60-INDEX('Table 10'!$G:$G,MATCH($A41,'Table 10'!$B:$B,0),1)</f>
        <v>#N/A</v>
      </c>
      <c r="F41" s="53" t="e">
        <f>'Table 2A BaseLoad'!F60-INDEX('Table 10'!$G:$G,MATCH($A41,'Table 10'!$B:$B,0),1)</f>
        <v>#N/A</v>
      </c>
      <c r="G41" s="53" t="e">
        <f>'Table 2A BaseLoad'!G60-INDEX('Table 10'!$G:$G,MATCH($A41,'Table 10'!$B:$B,0),1)</f>
        <v>#N/A</v>
      </c>
      <c r="H41" s="53" t="e">
        <f>'Table 2A BaseLoad'!H60-INDEX('Table 10'!$G:$G,MATCH($A41,'Table 10'!$B:$B,0),1)</f>
        <v>#N/A</v>
      </c>
      <c r="I41" s="53" t="e">
        <f>'Table 2A BaseLoad'!I60-INDEX('Table 10'!$G:$G,MATCH($A41,'Table 10'!$B:$B,0),1)</f>
        <v>#N/A</v>
      </c>
      <c r="J41" s="53" t="e">
        <f>'Table 2A BaseLoad'!J60-INDEX('Table 10'!$G:$G,MATCH($A41,'Table 10'!$B:$B,0),1)</f>
        <v>#N/A</v>
      </c>
      <c r="K41" s="53" t="e">
        <f>'Table 2A BaseLoad'!K60-INDEX('Table 10'!$G:$G,MATCH($A41,'Table 10'!$B:$B,0),1)</f>
        <v>#N/A</v>
      </c>
      <c r="L41" s="53" t="e">
        <f>'Table 2A BaseLoad'!L60-INDEX('Table 10'!$G:$G,MATCH($A41,'Table 10'!$B:$B,0),1)</f>
        <v>#N/A</v>
      </c>
      <c r="M41" s="54" t="e">
        <f>'Table 2A BaseLoad'!M60-INDEX('Table 10'!$G:$G,MATCH($A41,'Table 10'!$B:$B,0),1)</f>
        <v>#N/A</v>
      </c>
    </row>
    <row r="42" spans="1:24" ht="12.75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24" ht="12.75" hidden="1" customHeight="1" x14ac:dyDescent="0.2">
      <c r="A43" s="51"/>
      <c r="B43" s="52"/>
      <c r="C43" s="53"/>
      <c r="D43" s="53"/>
      <c r="E43" s="53"/>
      <c r="F43" s="53"/>
      <c r="G43" s="52"/>
      <c r="H43" s="53"/>
      <c r="I43" s="53"/>
      <c r="J43" s="53"/>
      <c r="K43" s="52"/>
      <c r="L43" s="53"/>
      <c r="M43" s="54"/>
    </row>
    <row r="44" spans="1:24" ht="12.75" hidden="1" customHeight="1" x14ac:dyDescent="0.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24" ht="12.75" hidden="1" customHeight="1" x14ac:dyDescent="0.2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24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24" ht="12.75" customHeight="1" x14ac:dyDescent="0.2">
      <c r="A47" s="12" t="s">
        <v>220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24" ht="12.75" customHeight="1" x14ac:dyDescent="0.2">
      <c r="A48" s="489">
        <v>2017</v>
      </c>
      <c r="B48" s="333"/>
      <c r="C48" s="333"/>
      <c r="D48" s="333"/>
      <c r="E48" s="333"/>
      <c r="F48" s="333"/>
      <c r="G48" s="333">
        <f t="shared" ref="F48:G49" si="2">G10*0.56+G29*0.44</f>
        <v>21.268732373845854</v>
      </c>
      <c r="H48" s="333">
        <f>H10*0.56+H29*0.44</f>
        <v>20.190915162407734</v>
      </c>
      <c r="I48" s="333">
        <f t="shared" ref="I48:M49" si="3">I10*0.56+I29*0.44</f>
        <v>21.892660404984916</v>
      </c>
      <c r="J48" s="333">
        <f t="shared" si="3"/>
        <v>19.952754553707621</v>
      </c>
      <c r="K48" s="333">
        <f t="shared" si="3"/>
        <v>20.674327055240518</v>
      </c>
      <c r="L48" s="333">
        <f t="shared" si="3"/>
        <v>21.47680919437791</v>
      </c>
      <c r="M48" s="334">
        <f t="shared" si="3"/>
        <v>25.835037879830899</v>
      </c>
    </row>
    <row r="49" spans="1:13" ht="12.75" customHeight="1" x14ac:dyDescent="0.2">
      <c r="A49" s="492">
        <f>'Tables 3 to 5'!$B$14</f>
        <v>2018</v>
      </c>
      <c r="B49" s="53">
        <f t="shared" ref="B49:E49" si="4">B11*0.56+B30*0.44</f>
        <v>25.225647060323382</v>
      </c>
      <c r="C49" s="53">
        <f t="shared" si="4"/>
        <v>23.81553572325808</v>
      </c>
      <c r="D49" s="53">
        <f t="shared" si="4"/>
        <v>21.221839103612137</v>
      </c>
      <c r="E49" s="53">
        <f t="shared" si="4"/>
        <v>17.330627935358763</v>
      </c>
      <c r="F49" s="53">
        <f t="shared" si="2"/>
        <v>15.980271778175013</v>
      </c>
      <c r="G49" s="53">
        <f t="shared" si="2"/>
        <v>16.02529535481337</v>
      </c>
      <c r="H49" s="53">
        <f>H11*0.56+H30*0.44</f>
        <v>20.914837033105538</v>
      </c>
      <c r="I49" s="53">
        <f t="shared" si="3"/>
        <v>21.005459936316178</v>
      </c>
      <c r="J49" s="53">
        <f t="shared" si="3"/>
        <v>18.245742647026656</v>
      </c>
      <c r="K49" s="53">
        <f t="shared" si="3"/>
        <v>17.992364555780441</v>
      </c>
      <c r="L49" s="53">
        <f t="shared" si="3"/>
        <v>18.507772591040023</v>
      </c>
      <c r="M49" s="54">
        <f t="shared" si="3"/>
        <v>20.82438976775385</v>
      </c>
    </row>
    <row r="50" spans="1:13" ht="12.75" customHeight="1" x14ac:dyDescent="0.2">
      <c r="A50" s="51">
        <f t="shared" ref="A50:A60" si="5">A49+1</f>
        <v>2019</v>
      </c>
      <c r="B50" s="53">
        <f t="shared" ref="B50:B60" si="6">B12*0.56+B31*0.44</f>
        <v>20.883738345288364</v>
      </c>
      <c r="C50" s="53">
        <f t="shared" ref="C50:M50" si="7">C12*0.56+C31*0.44</f>
        <v>18.336507893403663</v>
      </c>
      <c r="D50" s="53">
        <f t="shared" si="7"/>
        <v>17.729732125236161</v>
      </c>
      <c r="E50" s="53">
        <f t="shared" si="7"/>
        <v>15.728264242506707</v>
      </c>
      <c r="F50" s="53">
        <f t="shared" si="7"/>
        <v>14.520854129974815</v>
      </c>
      <c r="G50" s="53">
        <f t="shared" si="7"/>
        <v>16.300655015167358</v>
      </c>
      <c r="H50" s="53">
        <f t="shared" si="7"/>
        <v>25.164036322174084</v>
      </c>
      <c r="I50" s="53">
        <f t="shared" si="7"/>
        <v>21.487475517476753</v>
      </c>
      <c r="J50" s="53">
        <f t="shared" si="7"/>
        <v>19.157512764586595</v>
      </c>
      <c r="K50" s="53">
        <f t="shared" si="7"/>
        <v>19.112010247645586</v>
      </c>
      <c r="L50" s="53">
        <f t="shared" si="7"/>
        <v>17.757106705193909</v>
      </c>
      <c r="M50" s="54">
        <f t="shared" si="7"/>
        <v>21.13339098665319</v>
      </c>
    </row>
    <row r="51" spans="1:13" ht="12.75" customHeight="1" x14ac:dyDescent="0.2">
      <c r="A51" s="51">
        <f t="shared" si="5"/>
        <v>2020</v>
      </c>
      <c r="B51" s="53">
        <f t="shared" si="6"/>
        <v>15.554103653104441</v>
      </c>
      <c r="C51" s="53">
        <f t="shared" ref="C51:M51" si="8">C13*0.56+C32*0.44</f>
        <v>17.068325129039657</v>
      </c>
      <c r="D51" s="53">
        <f t="shared" si="8"/>
        <v>16.429129465039761</v>
      </c>
      <c r="E51" s="53">
        <f t="shared" si="8"/>
        <v>15.481555194222192</v>
      </c>
      <c r="F51" s="53">
        <f t="shared" si="8"/>
        <v>15.592719336672612</v>
      </c>
      <c r="G51" s="53">
        <f t="shared" si="8"/>
        <v>15.002249789612872</v>
      </c>
      <c r="H51" s="53">
        <f t="shared" si="8"/>
        <v>25.940113572404577</v>
      </c>
      <c r="I51" s="53">
        <f t="shared" si="8"/>
        <v>21.620410641264495</v>
      </c>
      <c r="J51" s="53">
        <f t="shared" si="8"/>
        <v>17.930703874880848</v>
      </c>
      <c r="K51" s="53">
        <f t="shared" si="8"/>
        <v>17.840704731959349</v>
      </c>
      <c r="L51" s="53">
        <f t="shared" si="8"/>
        <v>15.797333706856051</v>
      </c>
      <c r="M51" s="54">
        <f t="shared" si="8"/>
        <v>19.654921374538809</v>
      </c>
    </row>
    <row r="52" spans="1:13" ht="12.75" customHeight="1" x14ac:dyDescent="0.2">
      <c r="A52" s="51">
        <f t="shared" si="5"/>
        <v>2021</v>
      </c>
      <c r="B52" s="53">
        <f t="shared" si="6"/>
        <v>17.720214656976783</v>
      </c>
      <c r="C52" s="53">
        <f t="shared" ref="C52:M52" si="9">C14*0.56+C33*0.44</f>
        <v>19.863332126175191</v>
      </c>
      <c r="D52" s="53">
        <f t="shared" si="9"/>
        <v>14.670037622906264</v>
      </c>
      <c r="E52" s="53">
        <f t="shared" si="9"/>
        <v>14.058468112589551</v>
      </c>
      <c r="F52" s="53">
        <f t="shared" si="9"/>
        <v>14.366975317918444</v>
      </c>
      <c r="G52" s="53">
        <f t="shared" si="9"/>
        <v>14.640591217193574</v>
      </c>
      <c r="H52" s="53">
        <f t="shared" si="9"/>
        <v>26.201030636554353</v>
      </c>
      <c r="I52" s="53">
        <f t="shared" si="9"/>
        <v>20.687204855394864</v>
      </c>
      <c r="J52" s="53">
        <f t="shared" si="9"/>
        <v>17.310079449906507</v>
      </c>
      <c r="K52" s="53">
        <f t="shared" si="9"/>
        <v>18.267405116112581</v>
      </c>
      <c r="L52" s="53">
        <f t="shared" si="9"/>
        <v>17.201457710937493</v>
      </c>
      <c r="M52" s="54">
        <f t="shared" si="9"/>
        <v>22.362943976885234</v>
      </c>
    </row>
    <row r="53" spans="1:13" ht="12.75" customHeight="1" x14ac:dyDescent="0.2">
      <c r="A53" s="51">
        <f t="shared" si="5"/>
        <v>2022</v>
      </c>
      <c r="B53" s="53">
        <f t="shared" si="6"/>
        <v>20.250790399256683</v>
      </c>
      <c r="C53" s="53">
        <f t="shared" ref="C53:M53" si="10">C15*0.56+C34*0.44</f>
        <v>19.366541391863443</v>
      </c>
      <c r="D53" s="53">
        <f t="shared" si="10"/>
        <v>17.630093642703834</v>
      </c>
      <c r="E53" s="53">
        <f t="shared" si="10"/>
        <v>15.163427381247256</v>
      </c>
      <c r="F53" s="53">
        <f t="shared" si="10"/>
        <v>15.65743713727522</v>
      </c>
      <c r="G53" s="53">
        <f t="shared" si="10"/>
        <v>15.775370961467432</v>
      </c>
      <c r="H53" s="53">
        <f t="shared" si="10"/>
        <v>28.38625324943942</v>
      </c>
      <c r="I53" s="53">
        <f t="shared" si="10"/>
        <v>23.424824516408215</v>
      </c>
      <c r="J53" s="53">
        <f t="shared" si="10"/>
        <v>19.041317360924321</v>
      </c>
      <c r="K53" s="53">
        <f t="shared" si="10"/>
        <v>19.873878411856676</v>
      </c>
      <c r="L53" s="53">
        <f t="shared" si="10"/>
        <v>19.029173035571844</v>
      </c>
      <c r="M53" s="54">
        <f t="shared" si="10"/>
        <v>23.303050074836754</v>
      </c>
    </row>
    <row r="54" spans="1:13" ht="12.75" customHeight="1" x14ac:dyDescent="0.2">
      <c r="A54" s="51">
        <f t="shared" si="5"/>
        <v>2023</v>
      </c>
      <c r="B54" s="53">
        <f t="shared" si="6"/>
        <v>21.399913234189725</v>
      </c>
      <c r="C54" s="53">
        <f t="shared" ref="C54:M54" si="11">C16*0.56+C35*0.44</f>
        <v>19.484585569057522</v>
      </c>
      <c r="D54" s="53">
        <f t="shared" si="11"/>
        <v>18.322209414412875</v>
      </c>
      <c r="E54" s="53">
        <f t="shared" si="11"/>
        <v>15.755879599839636</v>
      </c>
      <c r="F54" s="53">
        <f t="shared" si="11"/>
        <v>17.562097182460693</v>
      </c>
      <c r="G54" s="53">
        <f t="shared" si="11"/>
        <v>17.265612123943974</v>
      </c>
      <c r="H54" s="53">
        <f t="shared" si="11"/>
        <v>32.630511813575581</v>
      </c>
      <c r="I54" s="53">
        <f t="shared" si="11"/>
        <v>24.241344698802322</v>
      </c>
      <c r="J54" s="53">
        <f t="shared" si="11"/>
        <v>20.798526718422764</v>
      </c>
      <c r="K54" s="53">
        <f t="shared" si="11"/>
        <v>22.854940462879291</v>
      </c>
      <c r="L54" s="53">
        <f t="shared" si="11"/>
        <v>16.88515088438438</v>
      </c>
      <c r="M54" s="54">
        <f t="shared" si="11"/>
        <v>26.707880621096649</v>
      </c>
    </row>
    <row r="55" spans="1:13" ht="12.75" customHeight="1" x14ac:dyDescent="0.2">
      <c r="A55" s="51">
        <f t="shared" si="5"/>
        <v>2024</v>
      </c>
      <c r="B55" s="53">
        <f t="shared" si="6"/>
        <v>24.752682070720297</v>
      </c>
      <c r="C55" s="53">
        <f t="shared" ref="C55:M55" si="12">C17*0.56+C36*0.44</f>
        <v>20.853192415288326</v>
      </c>
      <c r="D55" s="53">
        <f t="shared" si="12"/>
        <v>20.781018195333203</v>
      </c>
      <c r="E55" s="53">
        <f t="shared" si="12"/>
        <v>17.260536869979827</v>
      </c>
      <c r="F55" s="53">
        <f t="shared" si="12"/>
        <v>21.034112740248638</v>
      </c>
      <c r="G55" s="53">
        <f t="shared" si="12"/>
        <v>19.739921112668753</v>
      </c>
      <c r="H55" s="53">
        <f t="shared" si="12"/>
        <v>35.967922579216541</v>
      </c>
      <c r="I55" s="53">
        <f t="shared" si="12"/>
        <v>16.086564474637086</v>
      </c>
      <c r="J55" s="53">
        <f t="shared" si="12"/>
        <v>34.725683313238846</v>
      </c>
      <c r="K55" s="53">
        <f t="shared" si="12"/>
        <v>26.453868588308715</v>
      </c>
      <c r="L55" s="53">
        <f t="shared" si="12"/>
        <v>23.534624162934506</v>
      </c>
      <c r="M55" s="54">
        <f t="shared" si="12"/>
        <v>29.808430633766775</v>
      </c>
    </row>
    <row r="56" spans="1:13" ht="12.75" customHeight="1" x14ac:dyDescent="0.2">
      <c r="A56" s="51">
        <f t="shared" si="5"/>
        <v>2025</v>
      </c>
      <c r="B56" s="53">
        <f t="shared" si="6"/>
        <v>27.357187519060425</v>
      </c>
      <c r="C56" s="53">
        <f t="shared" ref="C56:M56" si="13">C18*0.56+C37*0.44</f>
        <v>26.292542337228284</v>
      </c>
      <c r="D56" s="53">
        <f t="shared" si="13"/>
        <v>22.852148285662572</v>
      </c>
      <c r="E56" s="53">
        <f t="shared" si="13"/>
        <v>20.553217040668088</v>
      </c>
      <c r="F56" s="53">
        <f t="shared" si="13"/>
        <v>22.100086083619807</v>
      </c>
      <c r="G56" s="53">
        <f t="shared" si="13"/>
        <v>20.270671361303883</v>
      </c>
      <c r="H56" s="53">
        <f t="shared" si="13"/>
        <v>38.441824846532214</v>
      </c>
      <c r="I56" s="53">
        <f t="shared" si="13"/>
        <v>31.097097558310317</v>
      </c>
      <c r="J56" s="53">
        <f t="shared" si="13"/>
        <v>31.738356354032685</v>
      </c>
      <c r="K56" s="53">
        <f t="shared" si="13"/>
        <v>25.625265330390761</v>
      </c>
      <c r="L56" s="53">
        <f t="shared" si="13"/>
        <v>22.99108474419846</v>
      </c>
      <c r="M56" s="54">
        <f t="shared" si="13"/>
        <v>30.939296458071997</v>
      </c>
    </row>
    <row r="57" spans="1:13" ht="12.75" customHeight="1" x14ac:dyDescent="0.2">
      <c r="A57" s="51">
        <f t="shared" si="5"/>
        <v>2026</v>
      </c>
      <c r="B57" s="53">
        <f t="shared" si="6"/>
        <v>29.803063042034594</v>
      </c>
      <c r="C57" s="53">
        <f t="shared" ref="C57:M57" si="14">C19*0.56+C38*0.44</f>
        <v>58.096294792837135</v>
      </c>
      <c r="D57" s="53">
        <f t="shared" si="14"/>
        <v>23.183904811666423</v>
      </c>
      <c r="E57" s="53">
        <f t="shared" si="14"/>
        <v>21.225376497013205</v>
      </c>
      <c r="F57" s="53">
        <f t="shared" si="14"/>
        <v>22.641653263018597</v>
      </c>
      <c r="G57" s="53">
        <f t="shared" si="14"/>
        <v>22.284305177421029</v>
      </c>
      <c r="H57" s="53">
        <f t="shared" si="14"/>
        <v>39.509653742866263</v>
      </c>
      <c r="I57" s="53">
        <f t="shared" si="14"/>
        <v>30.856930589157706</v>
      </c>
      <c r="J57" s="53">
        <f t="shared" si="14"/>
        <v>25.978854991608724</v>
      </c>
      <c r="K57" s="53">
        <f t="shared" si="14"/>
        <v>28.640257104696435</v>
      </c>
      <c r="L57" s="53">
        <f t="shared" si="14"/>
        <v>24.568074269903988</v>
      </c>
      <c r="M57" s="54">
        <f t="shared" si="14"/>
        <v>29.499817752643771</v>
      </c>
    </row>
    <row r="58" spans="1:13" ht="12.75" customHeight="1" x14ac:dyDescent="0.2">
      <c r="A58" s="51">
        <f t="shared" si="5"/>
        <v>2027</v>
      </c>
      <c r="B58" s="53">
        <f t="shared" si="6"/>
        <v>27.394673389127369</v>
      </c>
      <c r="C58" s="53">
        <f t="shared" ref="C58:M58" si="15">C20*0.56+C39*0.44</f>
        <v>26.261816987216058</v>
      </c>
      <c r="D58" s="53">
        <f t="shared" si="15"/>
        <v>24.789119093510116</v>
      </c>
      <c r="E58" s="53">
        <f t="shared" si="15"/>
        <v>23.593102300823375</v>
      </c>
      <c r="F58" s="53">
        <f t="shared" si="15"/>
        <v>24.29724615118149</v>
      </c>
      <c r="G58" s="53">
        <f t="shared" si="15"/>
        <v>23.506141819797982</v>
      </c>
      <c r="H58" s="53">
        <f t="shared" si="15"/>
        <v>41.271707127547266</v>
      </c>
      <c r="I58" s="53">
        <f t="shared" si="15"/>
        <v>32.906086697834844</v>
      </c>
      <c r="J58" s="53">
        <f t="shared" si="15"/>
        <v>25.891634974831661</v>
      </c>
      <c r="K58" s="53">
        <f t="shared" si="15"/>
        <v>27.978496183780329</v>
      </c>
      <c r="L58" s="53">
        <f t="shared" si="15"/>
        <v>24.722571709563784</v>
      </c>
      <c r="M58" s="54">
        <f t="shared" si="15"/>
        <v>27.567841328499494</v>
      </c>
    </row>
    <row r="59" spans="1:13" ht="12.75" customHeight="1" x14ac:dyDescent="0.2">
      <c r="A59" s="51">
        <f t="shared" si="5"/>
        <v>2028</v>
      </c>
      <c r="B59" s="53">
        <f t="shared" si="6"/>
        <v>31.140741132442976</v>
      </c>
      <c r="C59" s="53">
        <f t="shared" ref="C59:M59" si="16">C21*0.56+C40*0.44</f>
        <v>31.745877589184641</v>
      </c>
      <c r="D59" s="53">
        <f t="shared" si="16"/>
        <v>28.71558574961692</v>
      </c>
      <c r="E59" s="53">
        <f t="shared" si="16"/>
        <v>27.435483775327373</v>
      </c>
      <c r="F59" s="53">
        <f t="shared" si="16"/>
        <v>28.96083608043584</v>
      </c>
      <c r="G59" s="53">
        <f t="shared" si="16"/>
        <v>27.957460697485537</v>
      </c>
      <c r="H59" s="53">
        <f t="shared" si="16"/>
        <v>46.711751308007742</v>
      </c>
      <c r="I59" s="53">
        <f t="shared" si="16"/>
        <v>41.644338717936613</v>
      </c>
      <c r="J59" s="53">
        <f t="shared" si="16"/>
        <v>33.319297755320626</v>
      </c>
      <c r="K59" s="53">
        <f t="shared" si="16"/>
        <v>33.975195989341408</v>
      </c>
      <c r="L59" s="53">
        <f t="shared" si="16"/>
        <v>31.072976216342859</v>
      </c>
      <c r="M59" s="54">
        <f t="shared" si="16"/>
        <v>40.65248214800809</v>
      </c>
    </row>
    <row r="60" spans="1:13" ht="12.75" hidden="1" customHeight="1" x14ac:dyDescent="0.2">
      <c r="A60" s="51">
        <f t="shared" si="5"/>
        <v>2029</v>
      </c>
      <c r="B60" s="53" t="e">
        <f t="shared" si="6"/>
        <v>#N/A</v>
      </c>
      <c r="C60" s="53" t="e">
        <f t="shared" ref="C60:M60" si="17">C22*0.56+C41*0.44</f>
        <v>#N/A</v>
      </c>
      <c r="D60" s="53" t="e">
        <f t="shared" si="17"/>
        <v>#N/A</v>
      </c>
      <c r="E60" s="53" t="e">
        <f t="shared" si="17"/>
        <v>#N/A</v>
      </c>
      <c r="F60" s="53" t="e">
        <f t="shared" si="17"/>
        <v>#N/A</v>
      </c>
      <c r="G60" s="53" t="e">
        <f t="shared" si="17"/>
        <v>#N/A</v>
      </c>
      <c r="H60" s="53" t="e">
        <f t="shared" si="17"/>
        <v>#N/A</v>
      </c>
      <c r="I60" s="53" t="e">
        <f t="shared" si="17"/>
        <v>#N/A</v>
      </c>
      <c r="J60" s="53" t="e">
        <f t="shared" si="17"/>
        <v>#N/A</v>
      </c>
      <c r="K60" s="53" t="e">
        <f t="shared" si="17"/>
        <v>#N/A</v>
      </c>
      <c r="L60" s="53" t="e">
        <f t="shared" si="17"/>
        <v>#N/A</v>
      </c>
      <c r="M60" s="54" t="e">
        <f t="shared" si="17"/>
        <v>#N/A</v>
      </c>
    </row>
    <row r="61" spans="1:13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13" ht="12.75" hidden="1" customHeight="1" x14ac:dyDescent="0.2">
      <c r="A63" s="51"/>
      <c r="B63" s="52"/>
      <c r="C63" s="53"/>
      <c r="D63" s="53"/>
      <c r="E63" s="53"/>
      <c r="F63" s="53"/>
      <c r="G63" s="52"/>
      <c r="H63" s="53"/>
      <c r="I63" s="53"/>
      <c r="J63" s="53"/>
      <c r="K63" s="52"/>
      <c r="L63" s="53"/>
      <c r="M63" s="54"/>
    </row>
    <row r="64" spans="1:13" ht="12.75" hidden="1" customHeight="1" x14ac:dyDescent="0.2">
      <c r="A64" s="55"/>
      <c r="B64" s="56"/>
      <c r="C64" s="57"/>
      <c r="D64" s="57"/>
      <c r="E64" s="57"/>
      <c r="F64" s="57"/>
      <c r="G64" s="56"/>
      <c r="H64" s="57"/>
      <c r="I64" s="57"/>
      <c r="J64" s="57"/>
      <c r="K64" s="56"/>
      <c r="L64" s="57"/>
      <c r="M64" s="58"/>
    </row>
    <row r="65" spans="1:13" ht="12.75" customHeight="1" x14ac:dyDescent="0.2">
      <c r="A65" s="106"/>
      <c r="B65" s="107"/>
      <c r="C65" s="107"/>
      <c r="D65" s="107"/>
      <c r="E65" s="106"/>
      <c r="F65" s="106"/>
      <c r="G65" s="106"/>
      <c r="H65" s="106"/>
      <c r="I65" s="106"/>
      <c r="J65" s="106"/>
      <c r="K65" s="108"/>
      <c r="L65" s="106"/>
      <c r="M65" s="106"/>
    </row>
    <row r="66" spans="1:13" ht="12.75" customHeight="1" x14ac:dyDescent="0.2">
      <c r="A66" s="12" t="s">
        <v>66</v>
      </c>
      <c r="C66" s="60"/>
      <c r="D66" s="60"/>
      <c r="K66" s="59"/>
    </row>
    <row r="67" spans="1:13" ht="12.75" customHeight="1" x14ac:dyDescent="0.2">
      <c r="A67" s="61" t="s">
        <v>2</v>
      </c>
      <c r="C67" s="62" t="s">
        <v>56</v>
      </c>
      <c r="D67" s="33"/>
      <c r="E67" s="34"/>
      <c r="F67" s="37"/>
      <c r="G67" s="62" t="s">
        <v>57</v>
      </c>
      <c r="H67" s="33"/>
      <c r="I67" s="34"/>
      <c r="J67" s="37"/>
      <c r="K67" s="62" t="s">
        <v>67</v>
      </c>
      <c r="L67" s="33"/>
      <c r="M67" s="34"/>
    </row>
    <row r="68" spans="1:13" s="37" customFormat="1" ht="12.75" customHeight="1" x14ac:dyDescent="0.2">
      <c r="A68" s="47"/>
      <c r="C68" s="17" t="s">
        <v>79</v>
      </c>
      <c r="D68" s="18" t="s">
        <v>1</v>
      </c>
      <c r="E68" s="18" t="s">
        <v>10</v>
      </c>
      <c r="F68" s="47"/>
      <c r="G68" s="17" t="s">
        <v>79</v>
      </c>
      <c r="H68" s="18" t="s">
        <v>1</v>
      </c>
      <c r="I68" s="18" t="s">
        <v>10</v>
      </c>
      <c r="J68" s="47"/>
      <c r="K68" s="17" t="s">
        <v>79</v>
      </c>
      <c r="L68" s="18" t="s">
        <v>1</v>
      </c>
      <c r="M68" s="18" t="s">
        <v>10</v>
      </c>
    </row>
    <row r="69" spans="1:13" s="37" customFormat="1" ht="12.75" customHeight="1" x14ac:dyDescent="0.2">
      <c r="A69" s="63">
        <f t="shared" ref="A69:A81" si="18">A10</f>
        <v>2017</v>
      </c>
      <c r="C69" s="38">
        <f t="shared" ref="C69:C81" si="19">ROUND(AVERAGE(B10:F10,K10:M10),2)</f>
        <v>23.65</v>
      </c>
      <c r="D69" s="38">
        <f t="shared" ref="D69:D81" si="20">ROUND(AVERAGE(B29:F29,K29:M29),2)</f>
        <v>21.4</v>
      </c>
      <c r="E69" s="38">
        <f>ROUND(AVERAGE(B48:F48,K48:M48),2)</f>
        <v>22.66</v>
      </c>
      <c r="G69" s="53">
        <f t="shared" ref="G69:G81" si="21">ROUND(AVERAGE(G10:J10),2)</f>
        <v>23.76</v>
      </c>
      <c r="H69" s="53">
        <f t="shared" ref="H69:H81" si="22">ROUND(AVERAGE(G29:J29),2)</f>
        <v>17.100000000000001</v>
      </c>
      <c r="I69" s="53">
        <f>ROUND(AVERAGE(G48:J48),2)</f>
        <v>20.83</v>
      </c>
      <c r="K69" s="38">
        <f t="shared" ref="K69:K81" si="23">ROUND(AVERAGE(B10:M10),2)</f>
        <v>23.71</v>
      </c>
      <c r="L69" s="38">
        <f t="shared" ref="L69:L81" si="24">ROUND(AVERAGE(B29:M29),2)</f>
        <v>18.940000000000001</v>
      </c>
      <c r="M69" s="38">
        <f>ROUND(AVERAGE(B48:M48),2)</f>
        <v>21.61</v>
      </c>
    </row>
    <row r="70" spans="1:13" s="37" customFormat="1" ht="12.75" customHeight="1" x14ac:dyDescent="0.2">
      <c r="A70" s="63">
        <f t="shared" si="18"/>
        <v>2018</v>
      </c>
      <c r="C70" s="38">
        <f t="shared" si="19"/>
        <v>21.15</v>
      </c>
      <c r="D70" s="38">
        <f t="shared" si="20"/>
        <v>18.8</v>
      </c>
      <c r="E70" s="38">
        <f>ROUND(AVERAGE(B49:F49,K49:M49),2)</f>
        <v>20.11</v>
      </c>
      <c r="G70" s="53">
        <f t="shared" si="21"/>
        <v>21.7</v>
      </c>
      <c r="H70" s="53">
        <f t="shared" si="22"/>
        <v>15.67</v>
      </c>
      <c r="I70" s="53">
        <f>ROUND(AVERAGE(G49:J49),2)</f>
        <v>19.05</v>
      </c>
      <c r="K70" s="38">
        <f t="shared" si="23"/>
        <v>21.33</v>
      </c>
      <c r="L70" s="38">
        <f t="shared" si="24"/>
        <v>17.75</v>
      </c>
      <c r="M70" s="38">
        <f>ROUND(AVERAGE(B49:M49),2)</f>
        <v>19.760000000000002</v>
      </c>
    </row>
    <row r="71" spans="1:13" s="37" customFormat="1" ht="12.75" customHeight="1" x14ac:dyDescent="0.2">
      <c r="A71" s="63">
        <f t="shared" si="18"/>
        <v>2019</v>
      </c>
      <c r="C71" s="38">
        <f t="shared" si="19"/>
        <v>19.54</v>
      </c>
      <c r="D71" s="38">
        <f t="shared" si="20"/>
        <v>16.38</v>
      </c>
      <c r="E71" s="38">
        <f>ROUND(AVERAGE(B50:F50,K50:M50),2)</f>
        <v>18.149999999999999</v>
      </c>
      <c r="G71" s="53">
        <f t="shared" si="21"/>
        <v>23.95</v>
      </c>
      <c r="H71" s="53">
        <f t="shared" si="22"/>
        <v>16.170000000000002</v>
      </c>
      <c r="I71" s="53">
        <f>ROUND(AVERAGE(G50:J50),2)</f>
        <v>20.53</v>
      </c>
      <c r="K71" s="38">
        <f t="shared" si="23"/>
        <v>21.01</v>
      </c>
      <c r="L71" s="38">
        <f t="shared" si="24"/>
        <v>16.309999999999999</v>
      </c>
      <c r="M71" s="38">
        <f>ROUND(AVERAGE(B50:M50),2)</f>
        <v>18.940000000000001</v>
      </c>
    </row>
    <row r="72" spans="1:13" s="37" customFormat="1" ht="12.75" customHeight="1" x14ac:dyDescent="0.2">
      <c r="A72" s="63">
        <f t="shared" si="18"/>
        <v>2020</v>
      </c>
      <c r="C72" s="38">
        <f t="shared" si="19"/>
        <v>17.98</v>
      </c>
      <c r="D72" s="38">
        <f t="shared" si="20"/>
        <v>15.02</v>
      </c>
      <c r="E72" s="38">
        <f t="shared" ref="E72:E81" si="25">ROUND(AVERAGE(B51:F51,K51:M51),2)</f>
        <v>16.68</v>
      </c>
      <c r="G72" s="53">
        <f t="shared" si="21"/>
        <v>24.14</v>
      </c>
      <c r="H72" s="53">
        <f t="shared" si="22"/>
        <v>15.01</v>
      </c>
      <c r="I72" s="53">
        <f t="shared" ref="I72:I81" si="26">ROUND(AVERAGE(G51:J51),2)</f>
        <v>20.12</v>
      </c>
      <c r="K72" s="38">
        <f t="shared" si="23"/>
        <v>20.03</v>
      </c>
      <c r="L72" s="38">
        <f t="shared" si="24"/>
        <v>15.02</v>
      </c>
      <c r="M72" s="38">
        <f t="shared" ref="M72:M81" si="27">ROUND(AVERAGE(B51:M51),2)</f>
        <v>17.829999999999998</v>
      </c>
    </row>
    <row r="73" spans="1:13" s="37" customFormat="1" ht="12.75" customHeight="1" x14ac:dyDescent="0.2">
      <c r="A73" s="63">
        <f t="shared" si="18"/>
        <v>2021</v>
      </c>
      <c r="C73" s="38">
        <f t="shared" si="19"/>
        <v>18.38</v>
      </c>
      <c r="D73" s="38">
        <f t="shared" si="20"/>
        <v>15.96</v>
      </c>
      <c r="E73" s="38">
        <f t="shared" si="25"/>
        <v>17.309999999999999</v>
      </c>
      <c r="G73" s="53">
        <f t="shared" si="21"/>
        <v>23.45</v>
      </c>
      <c r="H73" s="53">
        <f t="shared" si="22"/>
        <v>14.95</v>
      </c>
      <c r="I73" s="53">
        <f t="shared" si="26"/>
        <v>19.71</v>
      </c>
      <c r="K73" s="38">
        <f t="shared" si="23"/>
        <v>20.07</v>
      </c>
      <c r="L73" s="38">
        <f t="shared" si="24"/>
        <v>15.62</v>
      </c>
      <c r="M73" s="38">
        <f t="shared" si="27"/>
        <v>18.11</v>
      </c>
    </row>
    <row r="74" spans="1:13" s="37" customFormat="1" ht="12.75" customHeight="1" x14ac:dyDescent="0.2">
      <c r="A74" s="63">
        <f t="shared" si="18"/>
        <v>2022</v>
      </c>
      <c r="C74" s="38">
        <f t="shared" si="19"/>
        <v>19.72</v>
      </c>
      <c r="D74" s="38">
        <f t="shared" si="20"/>
        <v>17.59</v>
      </c>
      <c r="E74" s="38">
        <f t="shared" si="25"/>
        <v>18.78</v>
      </c>
      <c r="G74" s="53">
        <f t="shared" si="21"/>
        <v>25.21</v>
      </c>
      <c r="H74" s="53">
        <f t="shared" si="22"/>
        <v>17.13</v>
      </c>
      <c r="I74" s="53">
        <f t="shared" si="26"/>
        <v>21.66</v>
      </c>
      <c r="K74" s="38">
        <f t="shared" si="23"/>
        <v>21.55</v>
      </c>
      <c r="L74" s="38">
        <f t="shared" si="24"/>
        <v>17.440000000000001</v>
      </c>
      <c r="M74" s="38">
        <f t="shared" si="27"/>
        <v>19.739999999999998</v>
      </c>
    </row>
    <row r="75" spans="1:13" s="37" customFormat="1" ht="12.75" customHeight="1" x14ac:dyDescent="0.2">
      <c r="A75" s="63">
        <f t="shared" si="18"/>
        <v>2023</v>
      </c>
      <c r="C75" s="38">
        <f t="shared" si="19"/>
        <v>20.75</v>
      </c>
      <c r="D75" s="38">
        <f t="shared" si="20"/>
        <v>18.75</v>
      </c>
      <c r="E75" s="38">
        <f t="shared" si="25"/>
        <v>19.87</v>
      </c>
      <c r="G75" s="53">
        <f t="shared" si="21"/>
        <v>26.76</v>
      </c>
      <c r="H75" s="53">
        <f t="shared" si="22"/>
        <v>19.89</v>
      </c>
      <c r="I75" s="53">
        <f t="shared" si="26"/>
        <v>23.73</v>
      </c>
      <c r="K75" s="38">
        <f t="shared" si="23"/>
        <v>22.75</v>
      </c>
      <c r="L75" s="38">
        <f t="shared" si="24"/>
        <v>19.13</v>
      </c>
      <c r="M75" s="38">
        <f t="shared" si="27"/>
        <v>21.16</v>
      </c>
    </row>
    <row r="76" spans="1:13" s="37" customFormat="1" ht="12.75" customHeight="1" x14ac:dyDescent="0.2">
      <c r="A76" s="63">
        <f t="shared" si="18"/>
        <v>2024</v>
      </c>
      <c r="C76" s="38">
        <f t="shared" si="19"/>
        <v>24.06</v>
      </c>
      <c r="D76" s="38">
        <f t="shared" si="20"/>
        <v>21.78</v>
      </c>
      <c r="E76" s="38">
        <f t="shared" si="25"/>
        <v>23.06</v>
      </c>
      <c r="G76" s="53">
        <f t="shared" si="21"/>
        <v>29.1</v>
      </c>
      <c r="H76" s="53">
        <f t="shared" si="22"/>
        <v>23.48</v>
      </c>
      <c r="I76" s="53">
        <f t="shared" si="26"/>
        <v>26.63</v>
      </c>
      <c r="K76" s="38">
        <f t="shared" si="23"/>
        <v>25.74</v>
      </c>
      <c r="L76" s="38">
        <f t="shared" si="24"/>
        <v>22.35</v>
      </c>
      <c r="M76" s="38">
        <f t="shared" si="27"/>
        <v>24.25</v>
      </c>
    </row>
    <row r="77" spans="1:13" s="37" customFormat="1" ht="12.75" customHeight="1" x14ac:dyDescent="0.2">
      <c r="A77" s="63">
        <f t="shared" si="18"/>
        <v>2025</v>
      </c>
      <c r="C77" s="38">
        <f t="shared" si="19"/>
        <v>25.92</v>
      </c>
      <c r="D77" s="38">
        <f t="shared" si="20"/>
        <v>23.47</v>
      </c>
      <c r="E77" s="38">
        <f t="shared" si="25"/>
        <v>24.84</v>
      </c>
      <c r="G77" s="53">
        <f t="shared" si="21"/>
        <v>33.46</v>
      </c>
      <c r="H77" s="53">
        <f t="shared" si="22"/>
        <v>26.48</v>
      </c>
      <c r="I77" s="53">
        <f t="shared" si="26"/>
        <v>30.39</v>
      </c>
      <c r="K77" s="38">
        <f t="shared" si="23"/>
        <v>28.43</v>
      </c>
      <c r="L77" s="38">
        <f t="shared" si="24"/>
        <v>24.47</v>
      </c>
      <c r="M77" s="38">
        <f t="shared" si="27"/>
        <v>26.69</v>
      </c>
    </row>
    <row r="78" spans="1:13" s="37" customFormat="1" ht="12.75" customHeight="1" x14ac:dyDescent="0.2">
      <c r="A78" s="63">
        <f t="shared" si="18"/>
        <v>2026</v>
      </c>
      <c r="C78" s="38">
        <f t="shared" si="19"/>
        <v>30.97</v>
      </c>
      <c r="D78" s="38">
        <f t="shared" si="20"/>
        <v>28.1</v>
      </c>
      <c r="E78" s="38">
        <f t="shared" si="25"/>
        <v>29.71</v>
      </c>
      <c r="G78" s="53">
        <f t="shared" si="21"/>
        <v>32.590000000000003</v>
      </c>
      <c r="H78" s="53">
        <f t="shared" si="22"/>
        <v>25.93</v>
      </c>
      <c r="I78" s="53">
        <f t="shared" si="26"/>
        <v>29.66</v>
      </c>
      <c r="K78" s="38">
        <f t="shared" si="23"/>
        <v>31.51</v>
      </c>
      <c r="L78" s="38">
        <f t="shared" si="24"/>
        <v>27.37</v>
      </c>
      <c r="M78" s="38">
        <f t="shared" si="27"/>
        <v>29.69</v>
      </c>
    </row>
    <row r="79" spans="1:13" s="37" customFormat="1" ht="12.75" customHeight="1" x14ac:dyDescent="0.2">
      <c r="A79" s="63">
        <f t="shared" si="18"/>
        <v>2027</v>
      </c>
      <c r="C79" s="38">
        <f t="shared" si="19"/>
        <v>26.84</v>
      </c>
      <c r="D79" s="38">
        <f t="shared" si="20"/>
        <v>24.53</v>
      </c>
      <c r="E79" s="38">
        <f t="shared" si="25"/>
        <v>25.83</v>
      </c>
      <c r="G79" s="53">
        <f t="shared" si="21"/>
        <v>33.76</v>
      </c>
      <c r="H79" s="53">
        <f t="shared" si="22"/>
        <v>27.25</v>
      </c>
      <c r="I79" s="53">
        <f t="shared" si="26"/>
        <v>30.89</v>
      </c>
      <c r="K79" s="38">
        <f t="shared" si="23"/>
        <v>29.15</v>
      </c>
      <c r="L79" s="38">
        <f t="shared" si="24"/>
        <v>25.44</v>
      </c>
      <c r="M79" s="38">
        <f t="shared" si="27"/>
        <v>27.52</v>
      </c>
    </row>
    <row r="80" spans="1:13" s="37" customFormat="1" ht="12.75" customHeight="1" x14ac:dyDescent="0.2">
      <c r="A80" s="63">
        <f t="shared" si="18"/>
        <v>2028</v>
      </c>
      <c r="C80" s="38">
        <f t="shared" si="19"/>
        <v>32.89</v>
      </c>
      <c r="D80" s="38">
        <f t="shared" si="20"/>
        <v>30.21</v>
      </c>
      <c r="E80" s="38">
        <f t="shared" si="25"/>
        <v>31.71</v>
      </c>
      <c r="G80" s="53">
        <f t="shared" si="21"/>
        <v>40.71</v>
      </c>
      <c r="H80" s="53">
        <f t="shared" si="22"/>
        <v>33.21</v>
      </c>
      <c r="I80" s="53">
        <f t="shared" si="26"/>
        <v>37.409999999999997</v>
      </c>
      <c r="K80" s="38">
        <f t="shared" si="23"/>
        <v>35.5</v>
      </c>
      <c r="L80" s="38">
        <f t="shared" si="24"/>
        <v>31.21</v>
      </c>
      <c r="M80" s="38">
        <f t="shared" si="27"/>
        <v>33.61</v>
      </c>
    </row>
    <row r="81" spans="1:13" s="37" customFormat="1" ht="12.75" hidden="1" customHeight="1" x14ac:dyDescent="0.2">
      <c r="A81" s="63">
        <f t="shared" si="18"/>
        <v>0</v>
      </c>
      <c r="C81" s="38" t="e">
        <f t="shared" si="19"/>
        <v>#DIV/0!</v>
      </c>
      <c r="D81" s="38" t="e">
        <f t="shared" si="20"/>
        <v>#N/A</v>
      </c>
      <c r="E81" s="38" t="e">
        <f t="shared" si="25"/>
        <v>#N/A</v>
      </c>
      <c r="G81" s="53" t="e">
        <f t="shared" si="21"/>
        <v>#DIV/0!</v>
      </c>
      <c r="H81" s="53" t="e">
        <f t="shared" si="22"/>
        <v>#N/A</v>
      </c>
      <c r="I81" s="53" t="e">
        <f t="shared" si="26"/>
        <v>#N/A</v>
      </c>
      <c r="K81" s="38" t="e">
        <f t="shared" si="23"/>
        <v>#DIV/0!</v>
      </c>
      <c r="L81" s="38" t="e">
        <f t="shared" si="24"/>
        <v>#N/A</v>
      </c>
      <c r="M81" s="38" t="e">
        <f t="shared" si="27"/>
        <v>#N/A</v>
      </c>
    </row>
    <row r="82" spans="1:13" s="37" customFormat="1" ht="12.75" customHeight="1" x14ac:dyDescent="0.2">
      <c r="A82" s="63"/>
      <c r="C82" s="38"/>
      <c r="D82" s="38"/>
      <c r="E82" s="38"/>
      <c r="G82" s="53"/>
      <c r="H82" s="53"/>
      <c r="I82" s="53"/>
      <c r="K82" s="38"/>
      <c r="L82" s="38"/>
      <c r="M82" s="38"/>
    </row>
    <row r="83" spans="1:13" s="37" customFormat="1" ht="12.75" customHeight="1" x14ac:dyDescent="0.2">
      <c r="A83" s="63"/>
      <c r="C83" s="38"/>
      <c r="D83" s="38"/>
      <c r="E83" s="38"/>
      <c r="G83" s="53"/>
      <c r="H83" s="53"/>
      <c r="I83" s="53"/>
      <c r="K83" s="38"/>
      <c r="L83" s="38"/>
      <c r="M83" s="38"/>
    </row>
    <row r="84" spans="1:13" s="37" customFormat="1" ht="12.75" hidden="1" customHeight="1" x14ac:dyDescent="0.2">
      <c r="A84" s="64"/>
      <c r="K84" s="59"/>
    </row>
    <row r="85" spans="1:13" s="37" customFormat="1" ht="12.75" hidden="1" customHeight="1" x14ac:dyDescent="0.2">
      <c r="A85" s="64"/>
      <c r="K85" s="59"/>
    </row>
    <row r="86" spans="1:13" s="37" customFormat="1" ht="12.75" customHeight="1" x14ac:dyDescent="0.2">
      <c r="A86" s="35" t="s">
        <v>80</v>
      </c>
      <c r="D86" s="38"/>
      <c r="E86" s="53"/>
      <c r="F86" s="53"/>
      <c r="G86" s="53"/>
      <c r="J86" s="53"/>
      <c r="K86" s="53"/>
    </row>
    <row r="87" spans="1:13" ht="12.75" customHeight="1" x14ac:dyDescent="0.2">
      <c r="A87" s="273" t="s">
        <v>278</v>
      </c>
      <c r="C87" s="65"/>
      <c r="D87" s="38"/>
      <c r="E87" s="53"/>
      <c r="F87" s="53"/>
      <c r="G87" s="53"/>
      <c r="H87" s="37"/>
    </row>
    <row r="88" spans="1:13" ht="12.75" customHeight="1" x14ac:dyDescent="0.2">
      <c r="A88" s="273" t="s">
        <v>279</v>
      </c>
      <c r="C88" s="65"/>
      <c r="D88" s="38"/>
      <c r="E88" s="53"/>
      <c r="F88" s="53"/>
      <c r="G88" s="53"/>
      <c r="H88" s="37"/>
    </row>
    <row r="89" spans="1:13" ht="12.75" customHeight="1" x14ac:dyDescent="0.2">
      <c r="A89" s="211" t="s">
        <v>273</v>
      </c>
      <c r="C89" s="65"/>
      <c r="D89" s="38"/>
      <c r="E89" s="53"/>
      <c r="F89" s="53"/>
      <c r="G89" s="53"/>
      <c r="H89" s="37"/>
    </row>
    <row r="90" spans="1:13" ht="12.75" customHeight="1" x14ac:dyDescent="0.2">
      <c r="A90" s="211" t="s">
        <v>280</v>
      </c>
      <c r="C90" s="65"/>
      <c r="D90" s="38"/>
      <c r="E90" s="53"/>
      <c r="F90" s="53"/>
      <c r="G90" s="53"/>
      <c r="H90" s="37"/>
    </row>
    <row r="91" spans="1:13" ht="12.75" customHeight="1" x14ac:dyDescent="0.2">
      <c r="A91" s="211" t="s">
        <v>274</v>
      </c>
      <c r="C91" s="65"/>
      <c r="D91" s="38"/>
      <c r="E91" s="53"/>
      <c r="F91" s="53"/>
      <c r="G91" s="53"/>
      <c r="H91" s="37"/>
    </row>
    <row r="92" spans="1:13" ht="12.75" customHeight="1" x14ac:dyDescent="0.2">
      <c r="A92" s="211" t="s">
        <v>275</v>
      </c>
      <c r="C92" s="65"/>
      <c r="D92" s="38"/>
      <c r="E92" s="53"/>
      <c r="F92" s="53"/>
      <c r="G92" s="53"/>
      <c r="H92" s="37"/>
    </row>
    <row r="93" spans="1:13" ht="12.75" customHeight="1" x14ac:dyDescent="0.2">
      <c r="A93" s="211" t="s">
        <v>280</v>
      </c>
      <c r="C93" s="65"/>
      <c r="D93" s="38"/>
      <c r="E93" s="53"/>
      <c r="F93" s="53"/>
      <c r="G93" s="53"/>
      <c r="H93" s="37"/>
    </row>
    <row r="94" spans="1:13" ht="12.75" customHeight="1" x14ac:dyDescent="0.2">
      <c r="A94" s="35" t="s">
        <v>276</v>
      </c>
      <c r="D94" s="37"/>
      <c r="E94" s="37"/>
      <c r="F94" s="37"/>
      <c r="G94" s="37"/>
    </row>
    <row r="95" spans="1:13" ht="9" customHeight="1" x14ac:dyDescent="0.2"/>
    <row r="96" spans="1:13" x14ac:dyDescent="0.2">
      <c r="C96" s="35" t="s">
        <v>128</v>
      </c>
    </row>
    <row r="97" spans="3:9" x14ac:dyDescent="0.2">
      <c r="C97" s="35" t="s">
        <v>141</v>
      </c>
      <c r="F97" s="36">
        <v>0.59672377662708742</v>
      </c>
      <c r="H97" s="332"/>
      <c r="I97" s="60"/>
    </row>
    <row r="115" ht="24.75" customHeight="1" x14ac:dyDescent="0.2"/>
  </sheetData>
  <printOptions horizontalCentered="1"/>
  <pageMargins left="0.25" right="0.25" top="0.75" bottom="0.75" header="0.3" footer="0.3"/>
  <pageSetup scale="62" fitToWidth="0" orientation="portrait" r:id="rId1"/>
  <headerFooter alignWithMargins="0">
    <oddFooter>&amp;L&amp;8NPC Group - &amp;F   ( &amp;A )&amp;C &amp;R &amp;8&amp;D  &amp;T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S53"/>
  <sheetViews>
    <sheetView topLeftCell="A3" zoomScale="80" zoomScaleNormal="80" workbookViewId="0">
      <selection activeCell="D25" sqref="D25"/>
    </sheetView>
  </sheetViews>
  <sheetFormatPr defaultRowHeight="12.75" x14ac:dyDescent="0.2"/>
  <cols>
    <col min="1" max="1" width="1.6640625" style="35" customWidth="1"/>
    <col min="2" max="2" width="12.1640625" style="35" customWidth="1"/>
    <col min="3" max="6" width="20" style="35" customWidth="1"/>
    <col min="7" max="7" width="1.6640625" style="37" customWidth="1"/>
    <col min="8" max="8" width="12.1640625" style="35" customWidth="1"/>
    <col min="9" max="12" width="20" style="35" customWidth="1"/>
    <col min="13" max="13" width="1.83203125" style="37" customWidth="1"/>
    <col min="14" max="14" width="11.1640625" style="35" customWidth="1"/>
    <col min="15" max="15" width="16" style="35" customWidth="1"/>
    <col min="16" max="17" width="16.5" style="35" customWidth="1"/>
    <col min="18" max="18" width="14" style="35" customWidth="1"/>
    <col min="19" max="20" width="14.83203125" style="35" customWidth="1"/>
    <col min="21" max="21" width="1.6640625" style="37" customWidth="1"/>
    <col min="22" max="22" width="11.1640625" style="35" customWidth="1"/>
    <col min="23" max="23" width="17.83203125" style="35" customWidth="1"/>
    <col min="24" max="24" width="16.5" style="35" customWidth="1"/>
    <col min="25" max="25" width="13.6640625" style="35" customWidth="1"/>
    <col min="26" max="26" width="14" style="35" customWidth="1"/>
    <col min="27" max="28" width="14.83203125" style="35" customWidth="1"/>
    <col min="29" max="29" width="1.6640625" style="37" customWidth="1"/>
    <col min="30" max="30" width="11.1640625" style="35" customWidth="1"/>
    <col min="31" max="32" width="16.5" style="35" customWidth="1"/>
    <col min="33" max="33" width="13.6640625" style="35" customWidth="1"/>
    <col min="34" max="34" width="14" style="35" customWidth="1"/>
    <col min="35" max="36" width="14.83203125" style="35" customWidth="1"/>
    <col min="37" max="37" width="1.6640625" style="37" customWidth="1"/>
    <col min="38" max="38" width="11.1640625" style="35" customWidth="1"/>
    <col min="39" max="40" width="16.5" style="35" customWidth="1"/>
    <col min="41" max="41" width="13.6640625" style="35" customWidth="1"/>
    <col min="42" max="42" width="14" style="35" customWidth="1"/>
    <col min="43" max="44" width="14.83203125" style="35" customWidth="1"/>
    <col min="45" max="45" width="5" style="35" customWidth="1"/>
    <col min="46" max="16384" width="9.33203125" style="35"/>
  </cols>
  <sheetData>
    <row r="1" spans="2:45" s="5" customFormat="1" ht="15.75" x14ac:dyDescent="0.25">
      <c r="B1" s="1" t="s">
        <v>31</v>
      </c>
      <c r="C1" s="1"/>
      <c r="D1" s="1"/>
      <c r="E1" s="1"/>
      <c r="F1" s="1"/>
      <c r="G1" s="8"/>
      <c r="H1" s="1" t="s">
        <v>32</v>
      </c>
      <c r="I1" s="1"/>
      <c r="J1" s="1"/>
      <c r="K1" s="1"/>
      <c r="L1" s="1"/>
      <c r="M1" s="9"/>
      <c r="N1" s="145" t="s">
        <v>254</v>
      </c>
      <c r="O1" s="146"/>
      <c r="P1" s="146"/>
      <c r="Q1" s="146"/>
      <c r="R1" s="146"/>
      <c r="S1" s="146"/>
      <c r="T1" s="146"/>
      <c r="U1" s="146"/>
      <c r="V1" s="145" t="s">
        <v>255</v>
      </c>
      <c r="W1" s="146"/>
      <c r="X1" s="146"/>
      <c r="Y1" s="146"/>
      <c r="Z1" s="146"/>
      <c r="AA1" s="146"/>
      <c r="AB1" s="148"/>
      <c r="AC1" s="140"/>
      <c r="AD1" s="145" t="s">
        <v>256</v>
      </c>
      <c r="AE1" s="145"/>
      <c r="AF1" s="145"/>
      <c r="AG1" s="146"/>
      <c r="AH1" s="146"/>
      <c r="AI1" s="146"/>
      <c r="AJ1" s="146"/>
      <c r="AK1" s="140"/>
      <c r="AL1" s="145" t="s">
        <v>257</v>
      </c>
      <c r="AM1" s="146"/>
      <c r="AN1" s="146"/>
      <c r="AO1" s="146"/>
      <c r="AP1" s="146"/>
      <c r="AQ1" s="146"/>
      <c r="AR1" s="146"/>
      <c r="AS1" s="140"/>
    </row>
    <row r="2" spans="2:45" s="7" customFormat="1" ht="15" x14ac:dyDescent="0.25">
      <c r="B2" s="3" t="s">
        <v>16</v>
      </c>
      <c r="C2" s="3"/>
      <c r="D2" s="3"/>
      <c r="E2" s="3"/>
      <c r="F2" s="3"/>
      <c r="G2" s="9"/>
      <c r="H2" s="3" t="s">
        <v>17</v>
      </c>
      <c r="I2" s="3"/>
      <c r="J2" s="3"/>
      <c r="K2" s="3"/>
      <c r="L2" s="3"/>
      <c r="M2" s="9"/>
      <c r="N2" s="147" t="s">
        <v>154</v>
      </c>
      <c r="O2" s="146"/>
      <c r="P2" s="146"/>
      <c r="Q2" s="146"/>
      <c r="R2" s="146"/>
      <c r="S2" s="146"/>
      <c r="T2" s="146"/>
      <c r="U2" s="146"/>
      <c r="V2" s="147" t="s">
        <v>155</v>
      </c>
      <c r="W2" s="146"/>
      <c r="X2" s="146"/>
      <c r="Y2" s="146"/>
      <c r="Z2" s="146"/>
      <c r="AA2" s="146"/>
      <c r="AB2" s="149"/>
      <c r="AC2" s="141"/>
      <c r="AD2" s="147" t="s">
        <v>156</v>
      </c>
      <c r="AE2" s="147"/>
      <c r="AF2" s="147"/>
      <c r="AG2" s="146"/>
      <c r="AH2" s="146"/>
      <c r="AI2" s="146"/>
      <c r="AJ2" s="146"/>
      <c r="AK2" s="146"/>
      <c r="AL2" s="147" t="s">
        <v>157</v>
      </c>
      <c r="AM2" s="146"/>
      <c r="AN2" s="146"/>
      <c r="AO2" s="146"/>
      <c r="AP2" s="146"/>
      <c r="AQ2" s="146"/>
      <c r="AR2" s="146"/>
      <c r="AS2" s="141"/>
    </row>
    <row r="3" spans="2:45" s="7" customFormat="1" ht="15" x14ac:dyDescent="0.25">
      <c r="B3" s="3"/>
      <c r="C3" s="3"/>
      <c r="D3" s="315"/>
      <c r="E3" s="3"/>
      <c r="F3" s="3"/>
      <c r="G3" s="9"/>
      <c r="H3" s="3"/>
      <c r="I3" s="3"/>
      <c r="J3" s="3"/>
      <c r="K3" s="3"/>
      <c r="L3" s="3"/>
      <c r="M3" s="9"/>
      <c r="N3" s="3"/>
      <c r="O3" s="3"/>
      <c r="P3" s="3"/>
      <c r="Q3" s="3"/>
      <c r="R3" s="3"/>
      <c r="S3" s="3"/>
      <c r="T3" s="3"/>
      <c r="U3" s="9"/>
      <c r="V3" s="3"/>
      <c r="W3" s="3"/>
      <c r="X3" s="3"/>
      <c r="Y3" s="3"/>
      <c r="Z3" s="3"/>
      <c r="AA3" s="3"/>
      <c r="AB3" s="3"/>
      <c r="AC3" s="9"/>
      <c r="AD3" s="3"/>
      <c r="AE3" s="3"/>
      <c r="AF3" s="3"/>
      <c r="AG3" s="3"/>
      <c r="AH3" s="3"/>
      <c r="AI3" s="3"/>
      <c r="AJ3" s="3"/>
      <c r="AK3" s="9"/>
      <c r="AL3" s="3"/>
      <c r="AM3" s="3"/>
      <c r="AN3" s="3"/>
      <c r="AO3" s="3"/>
      <c r="AP3" s="3"/>
      <c r="AQ3" s="3"/>
      <c r="AR3" s="3"/>
    </row>
    <row r="4" spans="2:45" x14ac:dyDescent="0.2">
      <c r="G4" s="47"/>
      <c r="M4" s="47"/>
      <c r="N4" s="138"/>
      <c r="O4" s="139"/>
      <c r="P4" s="493" t="s">
        <v>138</v>
      </c>
      <c r="Q4" s="494"/>
      <c r="R4" s="494"/>
      <c r="S4" s="494"/>
      <c r="T4" s="495"/>
      <c r="U4" s="47"/>
      <c r="V4" s="138"/>
      <c r="W4" s="493" t="s">
        <v>139</v>
      </c>
      <c r="X4" s="494"/>
      <c r="Y4" s="494"/>
      <c r="Z4" s="494"/>
      <c r="AA4" s="494"/>
      <c r="AB4" s="495"/>
      <c r="AC4" s="47"/>
      <c r="AD4" s="138"/>
      <c r="AE4" s="493" t="s">
        <v>140</v>
      </c>
      <c r="AF4" s="494"/>
      <c r="AG4" s="494"/>
      <c r="AH4" s="494"/>
      <c r="AI4" s="494"/>
      <c r="AJ4" s="495"/>
      <c r="AK4" s="47"/>
      <c r="AL4" s="138"/>
      <c r="AM4" s="493" t="s">
        <v>141</v>
      </c>
      <c r="AN4" s="494"/>
      <c r="AO4" s="494"/>
      <c r="AP4" s="494"/>
      <c r="AQ4" s="494"/>
      <c r="AR4" s="495"/>
    </row>
    <row r="5" spans="2:45" x14ac:dyDescent="0.2">
      <c r="B5" s="73"/>
      <c r="C5" s="85" t="s">
        <v>98</v>
      </c>
      <c r="D5" s="76" t="s">
        <v>3</v>
      </c>
      <c r="E5" s="41"/>
      <c r="F5" s="86" t="s">
        <v>9</v>
      </c>
      <c r="G5" s="47"/>
      <c r="H5" s="87"/>
      <c r="I5" s="74"/>
      <c r="J5" s="74"/>
      <c r="K5" s="86" t="s">
        <v>9</v>
      </c>
      <c r="L5" s="74" t="s">
        <v>15</v>
      </c>
      <c r="M5" s="47"/>
      <c r="N5" s="73"/>
      <c r="O5" s="85" t="s">
        <v>24</v>
      </c>
      <c r="P5" s="41" t="s">
        <v>26</v>
      </c>
      <c r="Q5" s="76" t="s">
        <v>15</v>
      </c>
      <c r="R5" s="76" t="s">
        <v>15</v>
      </c>
      <c r="S5" s="41" t="s">
        <v>142</v>
      </c>
      <c r="T5" s="41" t="s">
        <v>143</v>
      </c>
      <c r="U5" s="47"/>
      <c r="V5" s="73"/>
      <c r="W5" s="41" t="s">
        <v>26</v>
      </c>
      <c r="X5" s="76" t="s">
        <v>15</v>
      </c>
      <c r="Y5" s="76" t="s">
        <v>15</v>
      </c>
      <c r="Z5" s="85" t="s">
        <v>129</v>
      </c>
      <c r="AA5" s="41" t="s">
        <v>142</v>
      </c>
      <c r="AB5" s="41" t="s">
        <v>143</v>
      </c>
      <c r="AC5" s="47"/>
      <c r="AD5" s="73"/>
      <c r="AE5" s="41" t="s">
        <v>26</v>
      </c>
      <c r="AF5" s="76" t="s">
        <v>15</v>
      </c>
      <c r="AG5" s="76" t="s">
        <v>15</v>
      </c>
      <c r="AH5" s="85" t="s">
        <v>146</v>
      </c>
      <c r="AI5" s="41" t="s">
        <v>142</v>
      </c>
      <c r="AJ5" s="41" t="s">
        <v>143</v>
      </c>
      <c r="AK5" s="47"/>
      <c r="AL5" s="73"/>
      <c r="AM5" s="41" t="s">
        <v>26</v>
      </c>
      <c r="AN5" s="76" t="s">
        <v>15</v>
      </c>
      <c r="AO5" s="76" t="s">
        <v>15</v>
      </c>
      <c r="AP5" s="85" t="s">
        <v>146</v>
      </c>
      <c r="AQ5" s="41" t="s">
        <v>142</v>
      </c>
      <c r="AR5" s="41" t="s">
        <v>143</v>
      </c>
    </row>
    <row r="6" spans="2:45" x14ac:dyDescent="0.2">
      <c r="B6" s="78" t="s">
        <v>2</v>
      </c>
      <c r="C6" s="88" t="s">
        <v>11</v>
      </c>
      <c r="D6" s="88" t="s">
        <v>11</v>
      </c>
      <c r="E6" s="78" t="s">
        <v>6</v>
      </c>
      <c r="F6" s="77" t="s">
        <v>7</v>
      </c>
      <c r="G6" s="47"/>
      <c r="H6" s="75" t="s">
        <v>2</v>
      </c>
      <c r="I6" s="78" t="s">
        <v>96</v>
      </c>
      <c r="J6" s="78" t="s">
        <v>13</v>
      </c>
      <c r="K6" s="77" t="s">
        <v>7</v>
      </c>
      <c r="L6" s="89" t="s">
        <v>14</v>
      </c>
      <c r="M6" s="47"/>
      <c r="N6" s="78" t="s">
        <v>2</v>
      </c>
      <c r="O6" s="75" t="s">
        <v>25</v>
      </c>
      <c r="P6" s="78" t="s">
        <v>27</v>
      </c>
      <c r="Q6" s="88" t="s">
        <v>14</v>
      </c>
      <c r="R6" s="88" t="s">
        <v>14</v>
      </c>
      <c r="S6" s="78" t="str">
        <f>TEXT((0.56*8760),"0,000")&amp;" Hours"</f>
        <v>4,906 Hours</v>
      </c>
      <c r="T6" s="78" t="str">
        <f>TEXT((0.44*8760),"0,000")&amp;" Hours"</f>
        <v>3,854 Hours</v>
      </c>
      <c r="U6" s="47"/>
      <c r="V6" s="78" t="s">
        <v>2</v>
      </c>
      <c r="W6" s="78" t="s">
        <v>27</v>
      </c>
      <c r="X6" s="88" t="s">
        <v>14</v>
      </c>
      <c r="Y6" s="88" t="s">
        <v>14</v>
      </c>
      <c r="Z6" s="75" t="s">
        <v>145</v>
      </c>
      <c r="AA6" s="78" t="str">
        <f>TEXT((0.56*8760),"0,000")&amp;" Hours"</f>
        <v>4,906 Hours</v>
      </c>
      <c r="AB6" s="78" t="str">
        <f>TEXT((0.44*8760),"0,000")&amp;" Hours"</f>
        <v>3,854 Hours</v>
      </c>
      <c r="AC6" s="47"/>
      <c r="AD6" s="78" t="s">
        <v>2</v>
      </c>
      <c r="AE6" s="78" t="s">
        <v>27</v>
      </c>
      <c r="AF6" s="88" t="s">
        <v>14</v>
      </c>
      <c r="AG6" s="88" t="s">
        <v>14</v>
      </c>
      <c r="AH6" s="75" t="s">
        <v>145</v>
      </c>
      <c r="AI6" s="78" t="str">
        <f>TEXT((0.56*8760),"0,000")&amp;" Hours"</f>
        <v>4,906 Hours</v>
      </c>
      <c r="AJ6" s="78" t="str">
        <f>TEXT((0.44*8760),"0,000")&amp;" Hours"</f>
        <v>3,854 Hours</v>
      </c>
      <c r="AK6" s="47"/>
      <c r="AL6" s="78" t="s">
        <v>2</v>
      </c>
      <c r="AM6" s="78" t="s">
        <v>27</v>
      </c>
      <c r="AN6" s="88" t="s">
        <v>14</v>
      </c>
      <c r="AO6" s="88" t="s">
        <v>14</v>
      </c>
      <c r="AP6" s="75" t="s">
        <v>145</v>
      </c>
      <c r="AQ6" s="78" t="str">
        <f>TEXT((0.56*8760),"0,000")&amp;" Hours"</f>
        <v>4,906 Hours</v>
      </c>
      <c r="AR6" s="78" t="str">
        <f>TEXT((0.44*8760),"0,000")&amp;" Hours"</f>
        <v>3,854 Hours</v>
      </c>
    </row>
    <row r="7" spans="2:45" ht="25.5" x14ac:dyDescent="0.2">
      <c r="B7" s="90"/>
      <c r="C7" s="75" t="s">
        <v>4</v>
      </c>
      <c r="D7" s="88" t="s">
        <v>4</v>
      </c>
      <c r="E7" s="78" t="s">
        <v>7</v>
      </c>
      <c r="F7" s="91" t="str">
        <f>TEXT('Table 7'!$D$119,"0.0%")&amp;" CF"</f>
        <v>70.3% CF</v>
      </c>
      <c r="G7" s="40"/>
      <c r="H7" s="79"/>
      <c r="I7" s="44" t="s">
        <v>97</v>
      </c>
      <c r="J7" s="31"/>
      <c r="K7" s="91" t="str">
        <f>F7</f>
        <v>70.3% CF</v>
      </c>
      <c r="L7" s="89" t="s">
        <v>13</v>
      </c>
      <c r="M7" s="40"/>
      <c r="N7" s="90"/>
      <c r="O7" s="75" t="s">
        <v>8</v>
      </c>
      <c r="P7" s="78" t="s">
        <v>0</v>
      </c>
      <c r="Q7" s="274" t="s">
        <v>226</v>
      </c>
      <c r="R7" s="274" t="s">
        <v>227</v>
      </c>
      <c r="S7" s="78"/>
      <c r="T7" s="78"/>
      <c r="U7" s="40"/>
      <c r="V7" s="90"/>
      <c r="W7" s="78" t="s">
        <v>0</v>
      </c>
      <c r="X7" s="274" t="s">
        <v>226</v>
      </c>
      <c r="Y7" s="274" t="s">
        <v>227</v>
      </c>
      <c r="Z7" s="75" t="s">
        <v>144</v>
      </c>
      <c r="AA7" s="78"/>
      <c r="AB7" s="78"/>
      <c r="AC7" s="40"/>
      <c r="AD7" s="90"/>
      <c r="AE7" s="78" t="s">
        <v>0</v>
      </c>
      <c r="AF7" s="274" t="s">
        <v>226</v>
      </c>
      <c r="AG7" s="274" t="s">
        <v>227</v>
      </c>
      <c r="AH7" s="75" t="s">
        <v>144</v>
      </c>
      <c r="AI7" s="78"/>
      <c r="AJ7" s="78"/>
      <c r="AK7" s="40"/>
      <c r="AL7" s="90"/>
      <c r="AM7" s="78" t="s">
        <v>0</v>
      </c>
      <c r="AN7" s="274" t="s">
        <v>226</v>
      </c>
      <c r="AO7" s="274" t="s">
        <v>227</v>
      </c>
      <c r="AP7" s="75" t="s">
        <v>144</v>
      </c>
      <c r="AQ7" s="78"/>
      <c r="AR7" s="78"/>
    </row>
    <row r="8" spans="2:45" x14ac:dyDescent="0.2">
      <c r="B8" s="92"/>
      <c r="C8" s="43" t="s">
        <v>5</v>
      </c>
      <c r="D8" s="94" t="s">
        <v>5</v>
      </c>
      <c r="E8" s="43" t="s">
        <v>5</v>
      </c>
      <c r="F8" s="105" t="s">
        <v>100</v>
      </c>
      <c r="G8" s="40"/>
      <c r="H8" s="92"/>
      <c r="I8" s="93" t="s">
        <v>12</v>
      </c>
      <c r="J8" s="44" t="s">
        <v>100</v>
      </c>
      <c r="K8" s="61" t="s">
        <v>100</v>
      </c>
      <c r="L8" s="42" t="s">
        <v>100</v>
      </c>
      <c r="M8" s="40"/>
      <c r="N8" s="92"/>
      <c r="O8" s="94" t="s">
        <v>5</v>
      </c>
      <c r="P8" s="61" t="s">
        <v>100</v>
      </c>
      <c r="Q8" s="62" t="s">
        <v>100</v>
      </c>
      <c r="R8" s="62" t="s">
        <v>100</v>
      </c>
      <c r="S8" s="61" t="s">
        <v>100</v>
      </c>
      <c r="T8" s="61" t="s">
        <v>100</v>
      </c>
      <c r="U8" s="40"/>
      <c r="V8" s="92"/>
      <c r="W8" s="61" t="s">
        <v>100</v>
      </c>
      <c r="X8" s="62" t="s">
        <v>100</v>
      </c>
      <c r="Y8" s="62" t="s">
        <v>100</v>
      </c>
      <c r="Z8" s="62" t="s">
        <v>100</v>
      </c>
      <c r="AA8" s="61" t="s">
        <v>100</v>
      </c>
      <c r="AB8" s="61" t="s">
        <v>100</v>
      </c>
      <c r="AC8" s="40"/>
      <c r="AD8" s="92"/>
      <c r="AE8" s="61" t="s">
        <v>100</v>
      </c>
      <c r="AF8" s="62" t="s">
        <v>100</v>
      </c>
      <c r="AG8" s="62" t="s">
        <v>100</v>
      </c>
      <c r="AH8" s="62" t="s">
        <v>100</v>
      </c>
      <c r="AI8" s="61" t="s">
        <v>100</v>
      </c>
      <c r="AJ8" s="61" t="s">
        <v>100</v>
      </c>
      <c r="AK8" s="40"/>
      <c r="AL8" s="92"/>
      <c r="AM8" s="61" t="s">
        <v>100</v>
      </c>
      <c r="AN8" s="62" t="s">
        <v>100</v>
      </c>
      <c r="AO8" s="62" t="s">
        <v>100</v>
      </c>
      <c r="AP8" s="62" t="s">
        <v>100</v>
      </c>
      <c r="AQ8" s="61" t="s">
        <v>100</v>
      </c>
      <c r="AR8" s="61" t="s">
        <v>100</v>
      </c>
    </row>
    <row r="9" spans="2:45" x14ac:dyDescent="0.2">
      <c r="C9" s="40" t="s">
        <v>19</v>
      </c>
      <c r="D9" s="80" t="s">
        <v>20</v>
      </c>
      <c r="E9" s="40" t="s">
        <v>21</v>
      </c>
      <c r="F9" s="40" t="s">
        <v>22</v>
      </c>
      <c r="I9" s="40" t="s">
        <v>19</v>
      </c>
      <c r="J9" s="40" t="s">
        <v>20</v>
      </c>
      <c r="K9" s="40" t="s">
        <v>21</v>
      </c>
      <c r="L9" s="80" t="s">
        <v>22</v>
      </c>
      <c r="O9" s="40" t="s">
        <v>19</v>
      </c>
      <c r="P9" s="80" t="s">
        <v>20</v>
      </c>
      <c r="Q9" s="40" t="s">
        <v>21</v>
      </c>
      <c r="R9" s="40" t="s">
        <v>22</v>
      </c>
      <c r="S9" s="40" t="s">
        <v>23</v>
      </c>
      <c r="T9" s="40" t="s">
        <v>29</v>
      </c>
      <c r="W9" s="40" t="s">
        <v>19</v>
      </c>
      <c r="X9" s="40" t="s">
        <v>20</v>
      </c>
      <c r="Y9" s="40" t="s">
        <v>21</v>
      </c>
      <c r="Z9" s="40" t="s">
        <v>22</v>
      </c>
      <c r="AA9" s="40" t="s">
        <v>23</v>
      </c>
      <c r="AB9" s="40" t="s">
        <v>29</v>
      </c>
      <c r="AE9" s="40" t="s">
        <v>19</v>
      </c>
      <c r="AF9" s="40" t="s">
        <v>20</v>
      </c>
      <c r="AG9" s="40" t="s">
        <v>21</v>
      </c>
      <c r="AH9" s="40" t="s">
        <v>22</v>
      </c>
      <c r="AI9" s="40" t="s">
        <v>23</v>
      </c>
      <c r="AJ9" s="40" t="s">
        <v>29</v>
      </c>
      <c r="AM9" s="40" t="s">
        <v>19</v>
      </c>
      <c r="AN9" s="40" t="s">
        <v>20</v>
      </c>
      <c r="AO9" s="40" t="s">
        <v>21</v>
      </c>
      <c r="AP9" s="40" t="s">
        <v>22</v>
      </c>
      <c r="AQ9" s="40" t="s">
        <v>23</v>
      </c>
      <c r="AR9" s="40" t="s">
        <v>29</v>
      </c>
    </row>
    <row r="10" spans="2:45" x14ac:dyDescent="0.2">
      <c r="C10" s="40"/>
      <c r="D10" s="40"/>
      <c r="E10" s="4" t="str">
        <f>"("&amp;C9&amp;" - "&amp;D9&amp;") x 50%)"</f>
        <v>((a) - (b)) x 50%)</v>
      </c>
      <c r="F10" s="4" t="str">
        <f>E9&amp;"/(8.760 x "&amp;TEXT('Table 7'!$D$119,"0.0%")&amp;")"</f>
        <v>(c)/(8.760 x 70.3%)</v>
      </c>
      <c r="I10" s="40"/>
      <c r="K10" s="40"/>
      <c r="L10" s="10" t="str">
        <f>J9&amp;" + "&amp;K9</f>
        <v>(b) + (c)</v>
      </c>
      <c r="O10" s="11"/>
      <c r="P10" s="4" t="str">
        <f>" "&amp;O9&amp;" /(8.76 x "&amp;TEXT('Table 7'!D120,"0.0%")&amp;" x 56%)"</f>
        <v xml:space="preserve"> (a) /(8.76 x 100.0% x 56%)</v>
      </c>
      <c r="Q10" s="4"/>
      <c r="R10" s="40"/>
      <c r="S10" s="4" t="str">
        <f>P9&amp;" + "&amp;R9</f>
        <v>(b) + (d)</v>
      </c>
      <c r="T10" s="111" t="str">
        <f>R9</f>
        <v>(d)</v>
      </c>
      <c r="W10" s="4" t="str">
        <f>N1&amp;" "&amp;P9&amp;" *  "&amp;TEXT('Table 2B Wind'!Capacity_Contr_Wind,"0.0%")</f>
        <v>Table 5a (b) *  15.8%</v>
      </c>
      <c r="X10" s="4"/>
      <c r="Y10" s="40"/>
      <c r="Z10" s="40"/>
      <c r="AA10" s="4" t="str">
        <f>W9&amp;" + "&amp;X9&amp;" - "&amp;Z9</f>
        <v>(a) + (b) - (d)</v>
      </c>
      <c r="AB10" s="4" t="str">
        <f>Y9&amp;"-"&amp;Z9</f>
        <v>(c)-(d)</v>
      </c>
      <c r="AE10" s="4" t="str">
        <f>N1&amp;" "&amp;P9&amp;" *  "&amp;TEXT('Table 2C SolarFixed'!Capacity_Contr_Solar_Fixed,"0.0%")</f>
        <v>Table 5a (b) *  37.9%</v>
      </c>
      <c r="AF10" s="4"/>
      <c r="AG10" s="40"/>
      <c r="AH10" s="40"/>
      <c r="AI10" s="4" t="str">
        <f>AE9&amp;" + "&amp;AF9&amp;" - "&amp;AH9</f>
        <v>(a) + (b) - (d)</v>
      </c>
      <c r="AJ10" s="4" t="str">
        <f>AG9&amp;"-"&amp;AH9</f>
        <v>(c)-(d)</v>
      </c>
      <c r="AM10" s="4" t="str">
        <f>N1&amp;" "&amp;P9&amp;" *  "&amp;TEXT('Table 2D SolarTracking'!Capacity_Contr_Solar_Tracking,"0.0%")</f>
        <v>Table 5a (b) *  59.7%</v>
      </c>
      <c r="AN10" s="4"/>
      <c r="AO10" s="40"/>
      <c r="AP10" s="40"/>
      <c r="AQ10" s="4" t="str">
        <f>AM9&amp;" + "&amp;AN9&amp;" - "&amp;AP9</f>
        <v>(a) + (b) - (d)</v>
      </c>
      <c r="AR10" s="4" t="str">
        <f>AO9&amp;"-"&amp;AP9</f>
        <v>(c)-(d)</v>
      </c>
    </row>
    <row r="11" spans="2:45" ht="3.75" customHeight="1" x14ac:dyDescent="0.2">
      <c r="C11" s="60"/>
      <c r="D11" s="60"/>
    </row>
    <row r="12" spans="2:45" s="37" customFormat="1" x14ac:dyDescent="0.2">
      <c r="B12" s="12" t="s">
        <v>62</v>
      </c>
      <c r="C12" s="53"/>
      <c r="D12" s="28"/>
      <c r="E12" s="95"/>
      <c r="F12" s="53"/>
      <c r="G12" s="53"/>
      <c r="H12" s="12" t="s">
        <v>62</v>
      </c>
      <c r="I12" s="81"/>
      <c r="K12" s="81"/>
      <c r="L12" s="81"/>
      <c r="M12" s="53"/>
      <c r="N12" s="12" t="s">
        <v>62</v>
      </c>
      <c r="O12" s="53"/>
      <c r="P12" s="81"/>
      <c r="Q12" s="81"/>
      <c r="R12" s="81"/>
      <c r="S12" s="81"/>
      <c r="T12" s="81"/>
      <c r="U12" s="53"/>
      <c r="V12" s="12" t="s">
        <v>62</v>
      </c>
      <c r="W12" s="81"/>
      <c r="X12" s="81"/>
      <c r="Y12" s="81"/>
      <c r="Z12" s="81"/>
      <c r="AA12" s="81"/>
      <c r="AB12" s="81"/>
      <c r="AC12" s="53"/>
      <c r="AD12" s="12" t="s">
        <v>62</v>
      </c>
      <c r="AE12" s="81"/>
      <c r="AF12" s="81"/>
      <c r="AG12" s="81"/>
      <c r="AH12" s="81"/>
      <c r="AI12" s="81"/>
      <c r="AJ12" s="81"/>
      <c r="AK12" s="53"/>
      <c r="AL12" s="12" t="s">
        <v>62</v>
      </c>
      <c r="AM12" s="81"/>
      <c r="AN12" s="81"/>
      <c r="AO12" s="81"/>
      <c r="AP12" s="81"/>
      <c r="AQ12" s="81"/>
      <c r="AR12" s="81"/>
    </row>
    <row r="13" spans="2:45" s="37" customFormat="1" x14ac:dyDescent="0.2">
      <c r="B13" s="96">
        <v>2017</v>
      </c>
      <c r="C13" s="49"/>
      <c r="D13" s="49"/>
      <c r="E13" s="49"/>
      <c r="F13" s="50"/>
      <c r="G13" s="53"/>
      <c r="H13" s="96">
        <f>$B13</f>
        <v>2017</v>
      </c>
      <c r="I13" s="97"/>
      <c r="J13" s="97"/>
      <c r="K13" s="97"/>
      <c r="L13" s="98">
        <f>'Table 2A BaseLoad'!L88</f>
        <v>19.559999999999999</v>
      </c>
      <c r="M13" s="53"/>
      <c r="N13" s="96">
        <f>$B13</f>
        <v>2017</v>
      </c>
      <c r="O13" s="49">
        <f t="shared" ref="O13" si="0">D13</f>
        <v>0</v>
      </c>
      <c r="P13" s="97">
        <f>ROUND(O13/(6.6*'Table 7'!$D$120*0.56),2)</f>
        <v>0</v>
      </c>
      <c r="Q13" s="275">
        <f>'Table 2A BaseLoad'!K88</f>
        <v>24.33</v>
      </c>
      <c r="R13" s="97">
        <f t="shared" ref="R13" si="1">L13</f>
        <v>19.559999999999999</v>
      </c>
      <c r="S13" s="97">
        <f>P13+Q13</f>
        <v>24.33</v>
      </c>
      <c r="T13" s="98">
        <f>R13</f>
        <v>19.559999999999999</v>
      </c>
      <c r="U13" s="53"/>
      <c r="V13" s="96">
        <f>$B13</f>
        <v>2017</v>
      </c>
      <c r="W13" s="97">
        <f>P13*'Table 2B Wind'!Capacity_Contr_Wind</f>
        <v>0</v>
      </c>
      <c r="X13" s="97">
        <f>Q13</f>
        <v>24.33</v>
      </c>
      <c r="Y13" s="97">
        <f>R13</f>
        <v>19.559999999999999</v>
      </c>
      <c r="Z13" s="97">
        <f>INDEX('Table 10'!$E:$E,MATCH($N13,'Table 10'!$B:$B,0))</f>
        <v>0.58609906162170267</v>
      </c>
      <c r="AA13" s="97">
        <f>W13+X13-Z13</f>
        <v>23.743900938378296</v>
      </c>
      <c r="AB13" s="98">
        <f>Y13-Z13</f>
        <v>18.973900938378296</v>
      </c>
      <c r="AC13" s="53"/>
      <c r="AD13" s="96">
        <f>$B13</f>
        <v>2017</v>
      </c>
      <c r="AE13" s="97">
        <f>P13*'Table 2C SolarFixed'!Capacity_Contr_Solar_Fixed</f>
        <v>0</v>
      </c>
      <c r="AF13" s="97">
        <f>Q13</f>
        <v>24.33</v>
      </c>
      <c r="AG13" s="97">
        <f t="shared" ref="AG13" si="2">R13</f>
        <v>19.559999999999999</v>
      </c>
      <c r="AH13" s="97">
        <f>INDEX('Table 10'!$G:$G,MATCH($N13,'Table 10'!$B:$B,0))</f>
        <v>0.61585610534349267</v>
      </c>
      <c r="AI13" s="97">
        <f>AE13+AF13-AH13</f>
        <v>23.714143894656505</v>
      </c>
      <c r="AJ13" s="98">
        <f>AG13-AH13</f>
        <v>18.944143894656506</v>
      </c>
      <c r="AK13" s="53"/>
      <c r="AL13" s="96">
        <f>$B13</f>
        <v>2017</v>
      </c>
      <c r="AM13" s="97">
        <f>P13*'Table 2D SolarTracking'!Capacity_Contr_Solar_Tracking</f>
        <v>0</v>
      </c>
      <c r="AN13" s="97">
        <f>Q13</f>
        <v>24.33</v>
      </c>
      <c r="AO13" s="97">
        <f>R13</f>
        <v>19.559999999999999</v>
      </c>
      <c r="AP13" s="97">
        <f>INDEX('Table 10'!$G:$G,MATCH($N13,'Table 10'!$B:$B,0))</f>
        <v>0.61585610534349267</v>
      </c>
      <c r="AQ13" s="97">
        <f>AM13+AN13-AP13</f>
        <v>23.714143894656505</v>
      </c>
      <c r="AR13" s="98">
        <f>AO13-AP13</f>
        <v>18.944143894656506</v>
      </c>
    </row>
    <row r="14" spans="2:45" s="37" customFormat="1" x14ac:dyDescent="0.2">
      <c r="B14" s="51">
        <v>2018</v>
      </c>
      <c r="C14" s="53"/>
      <c r="D14" s="53"/>
      <c r="E14" s="95"/>
      <c r="F14" s="54"/>
      <c r="G14" s="53"/>
      <c r="H14" s="51">
        <f>$B14</f>
        <v>2018</v>
      </c>
      <c r="I14" s="81"/>
      <c r="J14" s="81"/>
      <c r="K14" s="81"/>
      <c r="L14" s="99">
        <f>'Table 2A BaseLoad'!L89</f>
        <v>18.38</v>
      </c>
      <c r="M14" s="53"/>
      <c r="N14" s="51">
        <f>$B14</f>
        <v>2018</v>
      </c>
      <c r="O14" s="53">
        <f t="shared" ref="O14:O24" si="3">D14</f>
        <v>0</v>
      </c>
      <c r="P14" s="81">
        <f>ROUND(O14/(6.6*'Table 7'!$D$120*0.56),2)</f>
        <v>0</v>
      </c>
      <c r="Q14" s="81">
        <f>'Table 2A BaseLoad'!K89</f>
        <v>21.96</v>
      </c>
      <c r="R14" s="81">
        <f t="shared" ref="R14:R24" si="4">L14</f>
        <v>18.38</v>
      </c>
      <c r="S14" s="81">
        <f>P14+Q14</f>
        <v>21.96</v>
      </c>
      <c r="T14" s="99">
        <f>R14</f>
        <v>18.38</v>
      </c>
      <c r="U14" s="53"/>
      <c r="V14" s="51">
        <f>$B14</f>
        <v>2018</v>
      </c>
      <c r="W14" s="81">
        <f>P14*'Table 2B Wind'!Capacity_Contr_Wind</f>
        <v>0</v>
      </c>
      <c r="X14" s="81">
        <f>Q14</f>
        <v>21.96</v>
      </c>
      <c r="Y14" s="81">
        <f>R14</f>
        <v>18.38</v>
      </c>
      <c r="Z14" s="81">
        <f>INDEX('Table 10'!$E:$E,MATCH($N14,'Table 10'!$B:$B,0))</f>
        <v>0.59880807495340649</v>
      </c>
      <c r="AA14" s="81">
        <f>W14+X14-Z14</f>
        <v>21.361191925046594</v>
      </c>
      <c r="AB14" s="99">
        <f>Y14-Z14</f>
        <v>17.781191925046592</v>
      </c>
      <c r="AC14" s="53"/>
      <c r="AD14" s="51">
        <f>$B14</f>
        <v>2018</v>
      </c>
      <c r="AE14" s="81">
        <f>P14*'Table 2C SolarFixed'!Capacity_Contr_Solar_Fixed</f>
        <v>0</v>
      </c>
      <c r="AF14" s="81">
        <f>Q14</f>
        <v>21.96</v>
      </c>
      <c r="AG14" s="81">
        <f t="shared" ref="AG14:AG24" si="5">R14</f>
        <v>18.38</v>
      </c>
      <c r="AH14" s="81">
        <f>INDEX('Table 10'!$G:$G,MATCH($N14,'Table 10'!$B:$B,0))</f>
        <v>0.6292103725070759</v>
      </c>
      <c r="AI14" s="81">
        <f>AE14+AF14-AH14</f>
        <v>21.330789627492926</v>
      </c>
      <c r="AJ14" s="99">
        <f>AG14-AH14</f>
        <v>17.750789627492924</v>
      </c>
      <c r="AK14" s="53"/>
      <c r="AL14" s="51">
        <f>$B14</f>
        <v>2018</v>
      </c>
      <c r="AM14" s="81">
        <f>P14*'Table 2D SolarTracking'!Capacity_Contr_Solar_Tracking</f>
        <v>0</v>
      </c>
      <c r="AN14" s="81">
        <f>Q14</f>
        <v>21.96</v>
      </c>
      <c r="AO14" s="81">
        <f>R14</f>
        <v>18.38</v>
      </c>
      <c r="AP14" s="81">
        <f>INDEX('Table 10'!$G:$G,MATCH($N14,'Table 10'!$B:$B,0))</f>
        <v>0.6292103725070759</v>
      </c>
      <c r="AQ14" s="81">
        <f>AM14+AN14-AP14</f>
        <v>21.330789627492926</v>
      </c>
      <c r="AR14" s="99">
        <f>AO14-AP14</f>
        <v>17.750789627492924</v>
      </c>
    </row>
    <row r="15" spans="2:45" s="37" customFormat="1" x14ac:dyDescent="0.2">
      <c r="B15" s="51">
        <f>B14+1</f>
        <v>2019</v>
      </c>
      <c r="C15" s="53"/>
      <c r="D15" s="53"/>
      <c r="E15" s="95"/>
      <c r="F15" s="54"/>
      <c r="G15" s="53"/>
      <c r="H15" s="51">
        <f>$B15</f>
        <v>2019</v>
      </c>
      <c r="I15" s="81"/>
      <c r="J15" s="81"/>
      <c r="K15" s="81"/>
      <c r="L15" s="99">
        <f>'Table 2A BaseLoad'!L90</f>
        <v>16.95</v>
      </c>
      <c r="M15" s="53"/>
      <c r="N15" s="51">
        <f t="shared" ref="N15:N24" si="6">$B15</f>
        <v>2019</v>
      </c>
      <c r="O15" s="53">
        <f t="shared" si="3"/>
        <v>0</v>
      </c>
      <c r="P15" s="81">
        <f>ROUND(O15/(8.76*'Table 7'!$D$120*0.56),2)</f>
        <v>0</v>
      </c>
      <c r="Q15" s="81">
        <f>'Table 2A BaseLoad'!K90</f>
        <v>21.65</v>
      </c>
      <c r="R15" s="81">
        <f t="shared" si="4"/>
        <v>16.95</v>
      </c>
      <c r="S15" s="81">
        <f t="shared" ref="S15:S24" si="7">P15+Q15</f>
        <v>21.65</v>
      </c>
      <c r="T15" s="99">
        <f t="shared" ref="T15:T24" si="8">R15</f>
        <v>16.95</v>
      </c>
      <c r="U15" s="53"/>
      <c r="V15" s="51">
        <f t="shared" ref="V15:V24" si="9">$B15</f>
        <v>2019</v>
      </c>
      <c r="W15" s="81">
        <f>P15*'Table 2B Wind'!Capacity_Contr_Wind</f>
        <v>0</v>
      </c>
      <c r="X15" s="81">
        <f t="shared" ref="X15:X24" si="10">Q15</f>
        <v>21.65</v>
      </c>
      <c r="Y15" s="81">
        <f t="shared" ref="Y15:Y24" si="11">R15</f>
        <v>16.95</v>
      </c>
      <c r="Z15" s="81">
        <f>INDEX('Table 10'!$E:$E,MATCH($N15,'Table 10'!$B:$B,0))</f>
        <v>0.61079827568075651</v>
      </c>
      <c r="AA15" s="81">
        <f t="shared" ref="AA15:AA24" si="12">W15+X15-Z15</f>
        <v>21.039201724319241</v>
      </c>
      <c r="AB15" s="99">
        <f t="shared" ref="AB15:AB24" si="13">Y15-Z15</f>
        <v>16.339201724319242</v>
      </c>
      <c r="AC15" s="53"/>
      <c r="AD15" s="51">
        <f t="shared" ref="AD15:AD24" si="14">$B15</f>
        <v>2019</v>
      </c>
      <c r="AE15" s="81">
        <f>P15*'Table 2C SolarFixed'!Capacity_Contr_Solar_Fixed</f>
        <v>0</v>
      </c>
      <c r="AF15" s="81">
        <f t="shared" ref="AF15:AF24" si="15">Q15</f>
        <v>21.65</v>
      </c>
      <c r="AG15" s="81">
        <f t="shared" si="5"/>
        <v>16.95</v>
      </c>
      <c r="AH15" s="81">
        <f>INDEX('Table 10'!$G:$G,MATCH($N15,'Table 10'!$B:$B,0))</f>
        <v>0.64180933197614709</v>
      </c>
      <c r="AI15" s="81">
        <f t="shared" ref="AI15:AI24" si="16">AE15+AF15-AH15</f>
        <v>21.00819066802385</v>
      </c>
      <c r="AJ15" s="99">
        <f t="shared" ref="AJ15:AJ24" si="17">AG15-AH15</f>
        <v>16.308190668023851</v>
      </c>
      <c r="AK15" s="53"/>
      <c r="AL15" s="51">
        <f t="shared" ref="AL15:AL24" si="18">$B15</f>
        <v>2019</v>
      </c>
      <c r="AM15" s="81">
        <f>P15*'Table 2D SolarTracking'!Capacity_Contr_Solar_Tracking</f>
        <v>0</v>
      </c>
      <c r="AN15" s="81">
        <f t="shared" ref="AN15:AN24" si="19">Q15</f>
        <v>21.65</v>
      </c>
      <c r="AO15" s="81">
        <f t="shared" ref="AO15:AO24" si="20">R15</f>
        <v>16.95</v>
      </c>
      <c r="AP15" s="81">
        <f>INDEX('Table 10'!$G:$G,MATCH($N15,'Table 10'!$B:$B,0))</f>
        <v>0.64180933197614709</v>
      </c>
      <c r="AQ15" s="81">
        <f t="shared" ref="AQ15:AQ24" si="21">AM15+AN15-AP15</f>
        <v>21.00819066802385</v>
      </c>
      <c r="AR15" s="99">
        <f t="shared" ref="AR15:AR24" si="22">AO15-AP15</f>
        <v>16.308190668023851</v>
      </c>
    </row>
    <row r="16" spans="2:45" s="37" customFormat="1" x14ac:dyDescent="0.2">
      <c r="B16" s="51">
        <f t="shared" ref="B16:B24" si="23">B15+1</f>
        <v>2020</v>
      </c>
      <c r="C16" s="53"/>
      <c r="D16" s="53"/>
      <c r="E16" s="95"/>
      <c r="F16" s="54"/>
      <c r="G16" s="53"/>
      <c r="H16" s="51">
        <f t="shared" ref="H16:H24" si="24">$B16</f>
        <v>2020</v>
      </c>
      <c r="I16" s="81"/>
      <c r="J16" s="81"/>
      <c r="K16" s="81"/>
      <c r="L16" s="99">
        <f>'Table 2A BaseLoad'!L91</f>
        <v>15.67</v>
      </c>
      <c r="M16" s="53"/>
      <c r="N16" s="51">
        <f t="shared" si="6"/>
        <v>2020</v>
      </c>
      <c r="O16" s="53">
        <f t="shared" si="3"/>
        <v>0</v>
      </c>
      <c r="P16" s="81">
        <f>ROUND(O16/(8.76*'Table 7'!$D$120*0.56),2)</f>
        <v>0</v>
      </c>
      <c r="Q16" s="81">
        <f>'Table 2A BaseLoad'!K91</f>
        <v>20.69</v>
      </c>
      <c r="R16" s="81">
        <f t="shared" si="4"/>
        <v>15.67</v>
      </c>
      <c r="S16" s="81">
        <f t="shared" si="7"/>
        <v>20.69</v>
      </c>
      <c r="T16" s="99">
        <f t="shared" si="8"/>
        <v>15.67</v>
      </c>
      <c r="U16" s="53"/>
      <c r="V16" s="51">
        <f t="shared" si="9"/>
        <v>2020</v>
      </c>
      <c r="W16" s="81">
        <f>P16*'Table 2B Wind'!Capacity_Contr_Wind</f>
        <v>0</v>
      </c>
      <c r="X16" s="81">
        <f t="shared" si="10"/>
        <v>20.69</v>
      </c>
      <c r="Y16" s="81">
        <f t="shared" si="11"/>
        <v>15.67</v>
      </c>
      <c r="Z16" s="81">
        <f>INDEX('Table 10'!$E:$E,MATCH($N16,'Table 10'!$B:$B,0))</f>
        <v>0.62388380377497721</v>
      </c>
      <c r="AA16" s="81">
        <f t="shared" si="12"/>
        <v>20.066116196225025</v>
      </c>
      <c r="AB16" s="99">
        <f t="shared" si="13"/>
        <v>15.046116196225023</v>
      </c>
      <c r="AC16" s="53"/>
      <c r="AD16" s="51">
        <f t="shared" si="14"/>
        <v>2020</v>
      </c>
      <c r="AE16" s="81">
        <f>P16*'Table 2C SolarFixed'!Capacity_Contr_Solar_Fixed</f>
        <v>0</v>
      </c>
      <c r="AF16" s="81">
        <f t="shared" si="15"/>
        <v>20.69</v>
      </c>
      <c r="AG16" s="81">
        <f t="shared" si="5"/>
        <v>15.67</v>
      </c>
      <c r="AH16" s="81">
        <f>INDEX('Table 10'!$G:$G,MATCH($N16,'Table 10'!$B:$B,0))</f>
        <v>0.65555923006704553</v>
      </c>
      <c r="AI16" s="81">
        <f t="shared" si="16"/>
        <v>20.034440769932957</v>
      </c>
      <c r="AJ16" s="99">
        <f t="shared" si="17"/>
        <v>15.014440769932955</v>
      </c>
      <c r="AK16" s="53"/>
      <c r="AL16" s="51">
        <f t="shared" si="18"/>
        <v>2020</v>
      </c>
      <c r="AM16" s="81">
        <f>P16*'Table 2D SolarTracking'!Capacity_Contr_Solar_Tracking</f>
        <v>0</v>
      </c>
      <c r="AN16" s="81">
        <f t="shared" si="19"/>
        <v>20.69</v>
      </c>
      <c r="AO16" s="81">
        <f t="shared" si="20"/>
        <v>15.67</v>
      </c>
      <c r="AP16" s="81">
        <f>INDEX('Table 10'!$G:$G,MATCH($N16,'Table 10'!$B:$B,0))</f>
        <v>0.65555923006704553</v>
      </c>
      <c r="AQ16" s="81">
        <f t="shared" si="21"/>
        <v>20.034440769932957</v>
      </c>
      <c r="AR16" s="99">
        <f t="shared" si="22"/>
        <v>15.014440769932955</v>
      </c>
    </row>
    <row r="17" spans="2:45" x14ac:dyDescent="0.2">
      <c r="B17" s="51">
        <f t="shared" si="23"/>
        <v>2021</v>
      </c>
      <c r="C17" s="53"/>
      <c r="D17" s="53"/>
      <c r="E17" s="53"/>
      <c r="F17" s="54"/>
      <c r="G17" s="53"/>
      <c r="H17" s="51">
        <f t="shared" si="24"/>
        <v>2021</v>
      </c>
      <c r="I17" s="81"/>
      <c r="J17" s="81"/>
      <c r="K17" s="81"/>
      <c r="L17" s="99">
        <f>'Table 2A BaseLoad'!L92</f>
        <v>16.29</v>
      </c>
      <c r="M17" s="53"/>
      <c r="N17" s="51">
        <f t="shared" si="6"/>
        <v>2021</v>
      </c>
      <c r="O17" s="53">
        <f t="shared" si="3"/>
        <v>0</v>
      </c>
      <c r="P17" s="81">
        <f>ROUND(O17/(8.76*'Table 7'!$D$120*0.56),2)</f>
        <v>0</v>
      </c>
      <c r="Q17" s="81">
        <f>'Table 2A BaseLoad'!K92</f>
        <v>20.74</v>
      </c>
      <c r="R17" s="81">
        <f t="shared" si="4"/>
        <v>16.29</v>
      </c>
      <c r="S17" s="81">
        <f t="shared" si="7"/>
        <v>20.74</v>
      </c>
      <c r="T17" s="99">
        <f t="shared" si="8"/>
        <v>16.29</v>
      </c>
      <c r="U17" s="53"/>
      <c r="V17" s="51">
        <f t="shared" si="9"/>
        <v>2021</v>
      </c>
      <c r="W17" s="81">
        <f>P17*'Table 2B Wind'!Capacity_Contr_Wind</f>
        <v>0</v>
      </c>
      <c r="X17" s="81">
        <f t="shared" si="10"/>
        <v>20.74</v>
      </c>
      <c r="Y17" s="81">
        <f t="shared" si="11"/>
        <v>16.29</v>
      </c>
      <c r="Z17" s="81">
        <f>INDEX('Table 10'!$E:$E,MATCH($N17,'Table 10'!$B:$B,0))</f>
        <v>0.63788662834050203</v>
      </c>
      <c r="AA17" s="81">
        <f t="shared" si="12"/>
        <v>20.102113371659495</v>
      </c>
      <c r="AB17" s="99">
        <f t="shared" si="13"/>
        <v>15.652113371659498</v>
      </c>
      <c r="AC17" s="53"/>
      <c r="AD17" s="51">
        <f t="shared" si="14"/>
        <v>2021</v>
      </c>
      <c r="AE17" s="81">
        <f>P17*'Table 2C SolarFixed'!Capacity_Contr_Solar_Fixed</f>
        <v>0</v>
      </c>
      <c r="AF17" s="81">
        <f t="shared" si="15"/>
        <v>20.74</v>
      </c>
      <c r="AG17" s="81">
        <f t="shared" si="5"/>
        <v>16.29</v>
      </c>
      <c r="AH17" s="81">
        <f>INDEX('Table 10'!$G:$G,MATCH($N17,'Table 10'!$B:$B,0))</f>
        <v>0.6702729970143444</v>
      </c>
      <c r="AI17" s="81">
        <f t="shared" si="16"/>
        <v>20.069727002985655</v>
      </c>
      <c r="AJ17" s="99">
        <f t="shared" si="17"/>
        <v>15.619727002985655</v>
      </c>
      <c r="AK17" s="53"/>
      <c r="AL17" s="51">
        <f t="shared" si="18"/>
        <v>2021</v>
      </c>
      <c r="AM17" s="81">
        <f>P17*'Table 2D SolarTracking'!Capacity_Contr_Solar_Tracking</f>
        <v>0</v>
      </c>
      <c r="AN17" s="81">
        <f t="shared" si="19"/>
        <v>20.74</v>
      </c>
      <c r="AO17" s="81">
        <f t="shared" si="20"/>
        <v>16.29</v>
      </c>
      <c r="AP17" s="81">
        <f>INDEX('Table 10'!$G:$G,MATCH($N17,'Table 10'!$B:$B,0))</f>
        <v>0.6702729970143444</v>
      </c>
      <c r="AQ17" s="81">
        <f t="shared" si="21"/>
        <v>20.069727002985655</v>
      </c>
      <c r="AR17" s="99">
        <f t="shared" si="22"/>
        <v>15.619727002985655</v>
      </c>
    </row>
    <row r="18" spans="2:45" x14ac:dyDescent="0.2">
      <c r="B18" s="51">
        <f t="shared" si="23"/>
        <v>2022</v>
      </c>
      <c r="C18" s="53"/>
      <c r="D18" s="53"/>
      <c r="E18" s="53"/>
      <c r="F18" s="54"/>
      <c r="G18" s="53"/>
      <c r="H18" s="51">
        <f t="shared" si="24"/>
        <v>2022</v>
      </c>
      <c r="I18" s="81"/>
      <c r="J18" s="81"/>
      <c r="K18" s="81"/>
      <c r="L18" s="99">
        <f>'Table 2A BaseLoad'!L93</f>
        <v>18.12</v>
      </c>
      <c r="M18" s="53"/>
      <c r="N18" s="51">
        <f t="shared" si="6"/>
        <v>2022</v>
      </c>
      <c r="O18" s="53">
        <f t="shared" si="3"/>
        <v>0</v>
      </c>
      <c r="P18" s="81">
        <f>ROUND(O18/(8.76*'Table 7'!$D$120*0.56),2)</f>
        <v>0</v>
      </c>
      <c r="Q18" s="81">
        <f>'Table 2A BaseLoad'!K93</f>
        <v>22.24</v>
      </c>
      <c r="R18" s="81">
        <f t="shared" si="4"/>
        <v>18.12</v>
      </c>
      <c r="S18" s="81">
        <f t="shared" si="7"/>
        <v>22.24</v>
      </c>
      <c r="T18" s="99">
        <f t="shared" si="8"/>
        <v>18.12</v>
      </c>
      <c r="U18" s="53"/>
      <c r="V18" s="51">
        <f t="shared" si="9"/>
        <v>2022</v>
      </c>
      <c r="W18" s="81">
        <f>P18*'Table 2B Wind'!Capacity_Contr_Wind</f>
        <v>0</v>
      </c>
      <c r="X18" s="81">
        <f t="shared" si="10"/>
        <v>22.24</v>
      </c>
      <c r="Y18" s="81">
        <f t="shared" si="11"/>
        <v>18.12</v>
      </c>
      <c r="Z18" s="81">
        <f>INDEX('Table 10'!$E:$E,MATCH($N18,'Table 10'!$B:$B,0))</f>
        <v>0.65227690164695651</v>
      </c>
      <c r="AA18" s="81">
        <f t="shared" si="12"/>
        <v>21.587723098353042</v>
      </c>
      <c r="AB18" s="99">
        <f t="shared" si="13"/>
        <v>17.467723098353044</v>
      </c>
      <c r="AC18" s="53"/>
      <c r="AD18" s="51">
        <f t="shared" si="14"/>
        <v>2022</v>
      </c>
      <c r="AE18" s="81">
        <f>P18*'Table 2C SolarFixed'!Capacity_Contr_Solar_Fixed</f>
        <v>0</v>
      </c>
      <c r="AF18" s="81">
        <f t="shared" si="15"/>
        <v>22.24</v>
      </c>
      <c r="AG18" s="81">
        <f t="shared" si="5"/>
        <v>18.12</v>
      </c>
      <c r="AH18" s="81">
        <f>INDEX('Table 10'!$G:$G,MATCH($N18,'Table 10'!$B:$B,0))</f>
        <v>0.68539388400027457</v>
      </c>
      <c r="AI18" s="81">
        <f t="shared" si="16"/>
        <v>21.554606115999725</v>
      </c>
      <c r="AJ18" s="99">
        <f t="shared" si="17"/>
        <v>17.434606115999728</v>
      </c>
      <c r="AK18" s="53"/>
      <c r="AL18" s="51">
        <f t="shared" si="18"/>
        <v>2022</v>
      </c>
      <c r="AM18" s="81">
        <f>P18*'Table 2D SolarTracking'!Capacity_Contr_Solar_Tracking</f>
        <v>0</v>
      </c>
      <c r="AN18" s="81">
        <f t="shared" si="19"/>
        <v>22.24</v>
      </c>
      <c r="AO18" s="81">
        <f t="shared" si="20"/>
        <v>18.12</v>
      </c>
      <c r="AP18" s="81">
        <f>INDEX('Table 10'!$G:$G,MATCH($N18,'Table 10'!$B:$B,0))</f>
        <v>0.68539388400027457</v>
      </c>
      <c r="AQ18" s="81">
        <f t="shared" si="21"/>
        <v>21.554606115999725</v>
      </c>
      <c r="AR18" s="99">
        <f t="shared" si="22"/>
        <v>17.434606115999728</v>
      </c>
    </row>
    <row r="19" spans="2:45" x14ac:dyDescent="0.2">
      <c r="B19" s="51">
        <f t="shared" si="23"/>
        <v>2023</v>
      </c>
      <c r="C19" s="53"/>
      <c r="D19" s="53"/>
      <c r="E19" s="53"/>
      <c r="F19" s="54"/>
      <c r="G19" s="53"/>
      <c r="H19" s="51">
        <f t="shared" si="24"/>
        <v>2023</v>
      </c>
      <c r="I19" s="81"/>
      <c r="J19" s="81"/>
      <c r="K19" s="81"/>
      <c r="L19" s="99">
        <f>'Table 2A BaseLoad'!L94</f>
        <v>19.829999999999998</v>
      </c>
      <c r="M19" s="53"/>
      <c r="N19" s="51">
        <f t="shared" si="6"/>
        <v>2023</v>
      </c>
      <c r="O19" s="53">
        <f t="shared" si="3"/>
        <v>0</v>
      </c>
      <c r="P19" s="81">
        <f>ROUND(O19/(8.76*'Table 7'!$D$120*0.56),2)</f>
        <v>0</v>
      </c>
      <c r="Q19" s="81">
        <f>'Table 2A BaseLoad'!K94</f>
        <v>23.45</v>
      </c>
      <c r="R19" s="81">
        <f t="shared" si="4"/>
        <v>19.829999999999998</v>
      </c>
      <c r="S19" s="81">
        <f t="shared" si="7"/>
        <v>23.45</v>
      </c>
      <c r="T19" s="99">
        <f t="shared" si="8"/>
        <v>19.829999999999998</v>
      </c>
      <c r="U19" s="53"/>
      <c r="V19" s="51">
        <f t="shared" si="9"/>
        <v>2023</v>
      </c>
      <c r="W19" s="81">
        <f>P19*'Table 2B Wind'!Capacity_Contr_Wind</f>
        <v>0</v>
      </c>
      <c r="X19" s="81">
        <f t="shared" si="10"/>
        <v>23.45</v>
      </c>
      <c r="Y19" s="81">
        <f t="shared" si="11"/>
        <v>19.829999999999998</v>
      </c>
      <c r="Z19" s="81">
        <f>INDEX('Table 10'!$E:$E,MATCH($N19,'Table 10'!$B:$B,0))</f>
        <v>0.66729954481078457</v>
      </c>
      <c r="AA19" s="81">
        <f t="shared" si="12"/>
        <v>22.782700455189214</v>
      </c>
      <c r="AB19" s="99">
        <f t="shared" si="13"/>
        <v>19.162700455189213</v>
      </c>
      <c r="AC19" s="53"/>
      <c r="AD19" s="51">
        <f t="shared" si="14"/>
        <v>2023</v>
      </c>
      <c r="AE19" s="81">
        <f>P19*'Table 2C SolarFixed'!Capacity_Contr_Solar_Fixed</f>
        <v>0</v>
      </c>
      <c r="AF19" s="81">
        <f t="shared" si="15"/>
        <v>23.45</v>
      </c>
      <c r="AG19" s="81">
        <f t="shared" si="5"/>
        <v>19.829999999999998</v>
      </c>
      <c r="AH19" s="81">
        <f>INDEX('Table 10'!$G:$G,MATCH($N19,'Table 10'!$B:$B,0))</f>
        <v>0.70117924711831303</v>
      </c>
      <c r="AI19" s="81">
        <f t="shared" si="16"/>
        <v>22.748820752881688</v>
      </c>
      <c r="AJ19" s="99">
        <f t="shared" si="17"/>
        <v>19.128820752881687</v>
      </c>
      <c r="AK19" s="53"/>
      <c r="AL19" s="51">
        <f t="shared" si="18"/>
        <v>2023</v>
      </c>
      <c r="AM19" s="81">
        <f>P19*'Table 2D SolarTracking'!Capacity_Contr_Solar_Tracking</f>
        <v>0</v>
      </c>
      <c r="AN19" s="81">
        <f t="shared" si="19"/>
        <v>23.45</v>
      </c>
      <c r="AO19" s="81">
        <f t="shared" si="20"/>
        <v>19.829999999999998</v>
      </c>
      <c r="AP19" s="81">
        <f>INDEX('Table 10'!$G:$G,MATCH($N19,'Table 10'!$B:$B,0))</f>
        <v>0.70117924711831303</v>
      </c>
      <c r="AQ19" s="81">
        <f t="shared" si="21"/>
        <v>22.748820752881688</v>
      </c>
      <c r="AR19" s="99">
        <f t="shared" si="22"/>
        <v>19.128820752881687</v>
      </c>
    </row>
    <row r="20" spans="2:45" x14ac:dyDescent="0.2">
      <c r="B20" s="51">
        <f t="shared" si="23"/>
        <v>2024</v>
      </c>
      <c r="C20" s="53"/>
      <c r="D20" s="53"/>
      <c r="E20" s="53"/>
      <c r="F20" s="54"/>
      <c r="G20" s="53"/>
      <c r="H20" s="51">
        <f t="shared" si="24"/>
        <v>2024</v>
      </c>
      <c r="I20" s="81"/>
      <c r="J20" s="81"/>
      <c r="K20" s="81"/>
      <c r="L20" s="99">
        <f>'Table 2A BaseLoad'!L95</f>
        <v>23.07</v>
      </c>
      <c r="M20" s="53"/>
      <c r="N20" s="51">
        <f t="shared" si="6"/>
        <v>2024</v>
      </c>
      <c r="O20" s="53">
        <f t="shared" si="3"/>
        <v>0</v>
      </c>
      <c r="P20" s="81">
        <f>ROUND(O20/(8.76*'Table 7'!$D$120*0.56),2)</f>
        <v>0</v>
      </c>
      <c r="Q20" s="81">
        <f>'Table 2A BaseLoad'!K95</f>
        <v>26.46</v>
      </c>
      <c r="R20" s="81">
        <f t="shared" si="4"/>
        <v>23.07</v>
      </c>
      <c r="S20" s="81">
        <f t="shared" si="7"/>
        <v>26.46</v>
      </c>
      <c r="T20" s="99">
        <f t="shared" si="8"/>
        <v>23.07</v>
      </c>
      <c r="U20" s="53"/>
      <c r="V20" s="51">
        <f t="shared" si="9"/>
        <v>2024</v>
      </c>
      <c r="W20" s="81">
        <f>P20*'Table 2B Wind'!Capacity_Contr_Wind</f>
        <v>0</v>
      </c>
      <c r="X20" s="81">
        <f t="shared" si="10"/>
        <v>26.46</v>
      </c>
      <c r="Y20" s="81">
        <f t="shared" si="11"/>
        <v>23.07</v>
      </c>
      <c r="Z20" s="81">
        <f>INDEX('Table 10'!$E:$E,MATCH($N20,'Table 10'!$B:$B,0))</f>
        <v>0.68273703597909385</v>
      </c>
      <c r="AA20" s="81">
        <f t="shared" si="12"/>
        <v>25.777262964020906</v>
      </c>
      <c r="AB20" s="99">
        <f t="shared" si="13"/>
        <v>22.387262964020906</v>
      </c>
      <c r="AC20" s="53"/>
      <c r="AD20" s="51">
        <f t="shared" si="14"/>
        <v>2024</v>
      </c>
      <c r="AE20" s="81">
        <f>P20*'Table 2C SolarFixed'!Capacity_Contr_Solar_Fixed</f>
        <v>0</v>
      </c>
      <c r="AF20" s="81">
        <f t="shared" si="15"/>
        <v>26.46</v>
      </c>
      <c r="AG20" s="81">
        <f t="shared" si="5"/>
        <v>23.07</v>
      </c>
      <c r="AH20" s="81">
        <f>INDEX('Table 10'!$G:$G,MATCH($N20,'Table 10'!$B:$B,0))</f>
        <v>0.71740052063628013</v>
      </c>
      <c r="AI20" s="81">
        <f t="shared" si="16"/>
        <v>25.742599479363722</v>
      </c>
      <c r="AJ20" s="99">
        <f t="shared" si="17"/>
        <v>22.352599479363722</v>
      </c>
      <c r="AK20" s="53"/>
      <c r="AL20" s="51">
        <f t="shared" si="18"/>
        <v>2024</v>
      </c>
      <c r="AM20" s="81">
        <f>P20*'Table 2D SolarTracking'!Capacity_Contr_Solar_Tracking</f>
        <v>0</v>
      </c>
      <c r="AN20" s="81">
        <f t="shared" si="19"/>
        <v>26.46</v>
      </c>
      <c r="AO20" s="81">
        <f t="shared" si="20"/>
        <v>23.07</v>
      </c>
      <c r="AP20" s="81">
        <f>INDEX('Table 10'!$G:$G,MATCH($N20,'Table 10'!$B:$B,0))</f>
        <v>0.71740052063628013</v>
      </c>
      <c r="AQ20" s="81">
        <f t="shared" si="21"/>
        <v>25.742599479363722</v>
      </c>
      <c r="AR20" s="99">
        <f t="shared" si="22"/>
        <v>22.352599479363722</v>
      </c>
    </row>
    <row r="21" spans="2:45" x14ac:dyDescent="0.2">
      <c r="B21" s="51">
        <f t="shared" si="23"/>
        <v>2025</v>
      </c>
      <c r="C21" s="53"/>
      <c r="D21" s="53"/>
      <c r="E21" s="53"/>
      <c r="F21" s="54"/>
      <c r="G21" s="53"/>
      <c r="H21" s="51">
        <f t="shared" si="24"/>
        <v>2025</v>
      </c>
      <c r="I21" s="81"/>
      <c r="J21" s="81"/>
      <c r="K21" s="81"/>
      <c r="L21" s="99">
        <f>'Table 2A BaseLoad'!L96</f>
        <v>25.2</v>
      </c>
      <c r="M21" s="53"/>
      <c r="N21" s="51">
        <f t="shared" si="6"/>
        <v>2025</v>
      </c>
      <c r="O21" s="53">
        <f t="shared" si="3"/>
        <v>0</v>
      </c>
      <c r="P21" s="81">
        <f>ROUND(O21/(8.76*'Table 7'!$D$120*0.56),2)</f>
        <v>0</v>
      </c>
      <c r="Q21" s="81">
        <f>'Table 2A BaseLoad'!K96</f>
        <v>29.16</v>
      </c>
      <c r="R21" s="81">
        <f t="shared" si="4"/>
        <v>25.2</v>
      </c>
      <c r="S21" s="81">
        <f t="shared" si="7"/>
        <v>29.16</v>
      </c>
      <c r="T21" s="99">
        <f t="shared" si="8"/>
        <v>25.2</v>
      </c>
      <c r="U21" s="53"/>
      <c r="V21" s="51">
        <f t="shared" si="9"/>
        <v>2025</v>
      </c>
      <c r="W21" s="81">
        <f>P21*'Table 2B Wind'!Capacity_Contr_Wind</f>
        <v>0</v>
      </c>
      <c r="X21" s="81">
        <f t="shared" si="10"/>
        <v>29.16</v>
      </c>
      <c r="Y21" s="81">
        <f t="shared" si="11"/>
        <v>25.2</v>
      </c>
      <c r="Z21" s="81">
        <f>INDEX('Table 10'!$E:$E,MATCH($N21,'Table 10'!$B:$B,0))</f>
        <v>0.69854859784415724</v>
      </c>
      <c r="AA21" s="81">
        <f t="shared" si="12"/>
        <v>28.461451402155841</v>
      </c>
      <c r="AB21" s="99">
        <f t="shared" si="13"/>
        <v>24.50145140215584</v>
      </c>
      <c r="AC21" s="53"/>
      <c r="AD21" s="51">
        <f t="shared" si="14"/>
        <v>2025</v>
      </c>
      <c r="AE21" s="81">
        <f>P21*'Table 2C SolarFixed'!Capacity_Contr_Solar_Fixed</f>
        <v>0</v>
      </c>
      <c r="AF21" s="81">
        <f t="shared" si="15"/>
        <v>29.16</v>
      </c>
      <c r="AG21" s="81">
        <f t="shared" si="5"/>
        <v>25.2</v>
      </c>
      <c r="AH21" s="81">
        <f>INDEX('Table 10'!$G:$G,MATCH($N21,'Table 10'!$B:$B,0))</f>
        <v>0.73401485692726842</v>
      </c>
      <c r="AI21" s="81">
        <f t="shared" si="16"/>
        <v>28.425985143072733</v>
      </c>
      <c r="AJ21" s="99">
        <f t="shared" si="17"/>
        <v>24.465985143072732</v>
      </c>
      <c r="AK21" s="53"/>
      <c r="AL21" s="51">
        <f t="shared" si="18"/>
        <v>2025</v>
      </c>
      <c r="AM21" s="81">
        <f>P21*'Table 2D SolarTracking'!Capacity_Contr_Solar_Tracking</f>
        <v>0</v>
      </c>
      <c r="AN21" s="81">
        <f t="shared" si="19"/>
        <v>29.16</v>
      </c>
      <c r="AO21" s="81">
        <f t="shared" si="20"/>
        <v>25.2</v>
      </c>
      <c r="AP21" s="81">
        <f>INDEX('Table 10'!$G:$G,MATCH($N21,'Table 10'!$B:$B,0))</f>
        <v>0.73401485692726842</v>
      </c>
      <c r="AQ21" s="81">
        <f t="shared" si="21"/>
        <v>28.425985143072733</v>
      </c>
      <c r="AR21" s="99">
        <f t="shared" si="22"/>
        <v>24.465985143072732</v>
      </c>
    </row>
    <row r="22" spans="2:45" x14ac:dyDescent="0.2">
      <c r="B22" s="51">
        <f t="shared" si="23"/>
        <v>2026</v>
      </c>
      <c r="C22" s="53"/>
      <c r="D22" s="53"/>
      <c r="E22" s="53"/>
      <c r="F22" s="54"/>
      <c r="G22" s="53"/>
      <c r="H22" s="51">
        <f t="shared" si="24"/>
        <v>2026</v>
      </c>
      <c r="I22" s="81"/>
      <c r="J22" s="81"/>
      <c r="K22" s="81"/>
      <c r="L22" s="99">
        <f>'Table 2A BaseLoad'!L97</f>
        <v>28.13</v>
      </c>
      <c r="M22" s="53"/>
      <c r="N22" s="51">
        <f t="shared" si="6"/>
        <v>2026</v>
      </c>
      <c r="O22" s="53">
        <f t="shared" si="3"/>
        <v>0</v>
      </c>
      <c r="P22" s="81">
        <f>ROUND(O22/(8.76*'Table 7'!$D$120*0.56),2)</f>
        <v>0</v>
      </c>
      <c r="Q22" s="81">
        <f>'Table 2A BaseLoad'!K97</f>
        <v>32.26</v>
      </c>
      <c r="R22" s="81">
        <f t="shared" si="4"/>
        <v>28.13</v>
      </c>
      <c r="S22" s="81">
        <f t="shared" si="7"/>
        <v>32.26</v>
      </c>
      <c r="T22" s="99">
        <f t="shared" si="8"/>
        <v>28.13</v>
      </c>
      <c r="U22" s="53"/>
      <c r="V22" s="51">
        <f t="shared" si="9"/>
        <v>2026</v>
      </c>
      <c r="W22" s="81">
        <f>P22*'Table 2B Wind'!Capacity_Contr_Wind</f>
        <v>0</v>
      </c>
      <c r="X22" s="81">
        <f t="shared" si="10"/>
        <v>32.26</v>
      </c>
      <c r="Y22" s="81">
        <f t="shared" si="11"/>
        <v>28.13</v>
      </c>
      <c r="Z22" s="81">
        <f>INDEX('Table 10'!$E:$E,MATCH($N22,'Table 10'!$B:$B,0))</f>
        <v>0.714576137941631</v>
      </c>
      <c r="AA22" s="81">
        <f t="shared" si="12"/>
        <v>31.545423862058367</v>
      </c>
      <c r="AB22" s="99">
        <f t="shared" si="13"/>
        <v>27.415423862058368</v>
      </c>
      <c r="AC22" s="53"/>
      <c r="AD22" s="51">
        <f t="shared" si="14"/>
        <v>2026</v>
      </c>
      <c r="AE22" s="81">
        <f>P22*'Table 2C SolarFixed'!Capacity_Contr_Solar_Fixed</f>
        <v>0</v>
      </c>
      <c r="AF22" s="81">
        <f t="shared" si="15"/>
        <v>32.26</v>
      </c>
      <c r="AG22" s="81">
        <f t="shared" si="5"/>
        <v>28.13</v>
      </c>
      <c r="AH22" s="81">
        <f>INDEX('Table 10'!$G:$G,MATCH($N22,'Table 10'!$B:$B,0))</f>
        <v>0.75085613695825038</v>
      </c>
      <c r="AI22" s="81">
        <f t="shared" si="16"/>
        <v>31.509143863041746</v>
      </c>
      <c r="AJ22" s="99">
        <f t="shared" si="17"/>
        <v>27.379143863041747</v>
      </c>
      <c r="AK22" s="53"/>
      <c r="AL22" s="51">
        <f t="shared" si="18"/>
        <v>2026</v>
      </c>
      <c r="AM22" s="81">
        <f>P22*'Table 2D SolarTracking'!Capacity_Contr_Solar_Tracking</f>
        <v>0</v>
      </c>
      <c r="AN22" s="81">
        <f t="shared" si="19"/>
        <v>32.26</v>
      </c>
      <c r="AO22" s="81">
        <f t="shared" si="20"/>
        <v>28.13</v>
      </c>
      <c r="AP22" s="81">
        <f>INDEX('Table 10'!$G:$G,MATCH($N22,'Table 10'!$B:$B,0))</f>
        <v>0.75085613695825038</v>
      </c>
      <c r="AQ22" s="81">
        <f t="shared" si="21"/>
        <v>31.509143863041746</v>
      </c>
      <c r="AR22" s="99">
        <f t="shared" si="22"/>
        <v>27.379143863041747</v>
      </c>
    </row>
    <row r="23" spans="2:45" x14ac:dyDescent="0.2">
      <c r="B23" s="51">
        <f t="shared" si="23"/>
        <v>2027</v>
      </c>
      <c r="C23" s="53"/>
      <c r="D23" s="53"/>
      <c r="E23" s="53"/>
      <c r="F23" s="54"/>
      <c r="G23" s="53"/>
      <c r="H23" s="51">
        <f t="shared" si="24"/>
        <v>2027</v>
      </c>
      <c r="I23" s="81"/>
      <c r="J23" s="81"/>
      <c r="K23" s="81"/>
      <c r="L23" s="99">
        <f>'Table 2A BaseLoad'!L98</f>
        <v>26.21</v>
      </c>
      <c r="M23" s="53"/>
      <c r="N23" s="51">
        <f t="shared" si="6"/>
        <v>2027</v>
      </c>
      <c r="O23" s="53">
        <f t="shared" si="3"/>
        <v>0</v>
      </c>
      <c r="P23" s="81">
        <f>ROUND(O23/(8.76*'Table 7'!$D$120*0.56),2)</f>
        <v>0</v>
      </c>
      <c r="Q23" s="81">
        <f>'Table 2A BaseLoad'!K98</f>
        <v>29.91</v>
      </c>
      <c r="R23" s="81">
        <f t="shared" si="4"/>
        <v>26.21</v>
      </c>
      <c r="S23" s="81">
        <f t="shared" si="7"/>
        <v>29.91</v>
      </c>
      <c r="T23" s="99">
        <f t="shared" si="8"/>
        <v>26.21</v>
      </c>
      <c r="U23" s="53"/>
      <c r="V23" s="51">
        <f t="shared" si="9"/>
        <v>2027</v>
      </c>
      <c r="W23" s="81">
        <f>P23*'Table 2B Wind'!Capacity_Contr_Wind</f>
        <v>0</v>
      </c>
      <c r="X23" s="81">
        <f t="shared" si="10"/>
        <v>29.91</v>
      </c>
      <c r="Y23" s="81">
        <f t="shared" si="11"/>
        <v>26.21</v>
      </c>
      <c r="Z23" s="81">
        <f>INDEX('Table 10'!$E:$E,MATCH($N23,'Table 10'!$B:$B,0))</f>
        <v>0.73112863763795377</v>
      </c>
      <c r="AA23" s="81">
        <f t="shared" si="12"/>
        <v>29.178871362362045</v>
      </c>
      <c r="AB23" s="99">
        <f t="shared" si="13"/>
        <v>25.478871362362046</v>
      </c>
      <c r="AC23" s="53"/>
      <c r="AD23" s="51">
        <f t="shared" si="14"/>
        <v>2027</v>
      </c>
      <c r="AE23" s="81">
        <f>P23*'Table 2C SolarFixed'!Capacity_Contr_Solar_Fixed</f>
        <v>0</v>
      </c>
      <c r="AF23" s="81">
        <f t="shared" si="15"/>
        <v>29.91</v>
      </c>
      <c r="AG23" s="81">
        <f t="shared" si="5"/>
        <v>26.21</v>
      </c>
      <c r="AH23" s="81">
        <f>INDEX('Table 10'!$G:$G,MATCH($N23,'Table 10'!$B:$B,0))</f>
        <v>0.76824902949841345</v>
      </c>
      <c r="AI23" s="81">
        <f t="shared" si="16"/>
        <v>29.141750970501587</v>
      </c>
      <c r="AJ23" s="99">
        <f t="shared" si="17"/>
        <v>25.441750970501587</v>
      </c>
      <c r="AK23" s="53"/>
      <c r="AL23" s="51">
        <f t="shared" si="18"/>
        <v>2027</v>
      </c>
      <c r="AM23" s="81">
        <f>P23*'Table 2D SolarTracking'!Capacity_Contr_Solar_Tracking</f>
        <v>0</v>
      </c>
      <c r="AN23" s="81">
        <f t="shared" si="19"/>
        <v>29.91</v>
      </c>
      <c r="AO23" s="81">
        <f t="shared" si="20"/>
        <v>26.21</v>
      </c>
      <c r="AP23" s="81">
        <f>INDEX('Table 10'!$G:$G,MATCH($N23,'Table 10'!$B:$B,0))</f>
        <v>0.76824902949841345</v>
      </c>
      <c r="AQ23" s="81">
        <f t="shared" si="21"/>
        <v>29.141750970501587</v>
      </c>
      <c r="AR23" s="99">
        <f t="shared" si="22"/>
        <v>25.441750970501587</v>
      </c>
    </row>
    <row r="24" spans="2:45" x14ac:dyDescent="0.2">
      <c r="B24" s="51">
        <f t="shared" si="23"/>
        <v>2028</v>
      </c>
      <c r="C24" s="53"/>
      <c r="D24" s="53"/>
      <c r="E24" s="53"/>
      <c r="F24" s="54"/>
      <c r="G24" s="53"/>
      <c r="H24" s="51">
        <f t="shared" si="24"/>
        <v>2028</v>
      </c>
      <c r="I24" s="81"/>
      <c r="J24" s="81"/>
      <c r="K24" s="81"/>
      <c r="L24" s="99">
        <f>'Table 2A BaseLoad'!L99</f>
        <v>32</v>
      </c>
      <c r="M24" s="53"/>
      <c r="N24" s="51">
        <f t="shared" si="6"/>
        <v>2028</v>
      </c>
      <c r="O24" s="53">
        <f t="shared" si="3"/>
        <v>0</v>
      </c>
      <c r="P24" s="81">
        <f>ROUND(O24/(8.76*'Table 7'!$D$120*0.56),2)</f>
        <v>0</v>
      </c>
      <c r="Q24" s="81">
        <f>'Table 2A BaseLoad'!K99</f>
        <v>36.28</v>
      </c>
      <c r="R24" s="81">
        <f t="shared" si="4"/>
        <v>32</v>
      </c>
      <c r="S24" s="81">
        <f t="shared" si="7"/>
        <v>36.28</v>
      </c>
      <c r="T24" s="99">
        <f t="shared" si="8"/>
        <v>32</v>
      </c>
      <c r="U24" s="53"/>
      <c r="V24" s="51">
        <f t="shared" si="9"/>
        <v>2028</v>
      </c>
      <c r="W24" s="81">
        <f>P24*'Table 2B Wind'!Capacity_Contr_Wind</f>
        <v>0</v>
      </c>
      <c r="X24" s="81">
        <f t="shared" si="10"/>
        <v>36.28</v>
      </c>
      <c r="Y24" s="81">
        <f t="shared" si="11"/>
        <v>32</v>
      </c>
      <c r="Z24" s="81">
        <f>INDEX('Table 10'!$E:$E,MATCH($N24,'Table 10'!$B:$B,0))</f>
        <v>0.74814164821137252</v>
      </c>
      <c r="AA24" s="81">
        <f t="shared" si="12"/>
        <v>35.531858351788628</v>
      </c>
      <c r="AB24" s="99">
        <f t="shared" si="13"/>
        <v>31.251858351788627</v>
      </c>
      <c r="AC24" s="53"/>
      <c r="AD24" s="51">
        <f t="shared" si="14"/>
        <v>2028</v>
      </c>
      <c r="AE24" s="81">
        <f>P24*'Table 2C SolarFixed'!Capacity_Contr_Solar_Fixed</f>
        <v>0</v>
      </c>
      <c r="AF24" s="81">
        <f t="shared" si="15"/>
        <v>36.28</v>
      </c>
      <c r="AG24" s="81">
        <f t="shared" si="5"/>
        <v>32</v>
      </c>
      <c r="AH24" s="81">
        <f>INDEX('Table 10'!$G:$G,MATCH($N24,'Table 10'!$B:$B,0))</f>
        <v>0.78612581367705126</v>
      </c>
      <c r="AI24" s="81">
        <f t="shared" si="16"/>
        <v>35.493874186322948</v>
      </c>
      <c r="AJ24" s="99">
        <f t="shared" si="17"/>
        <v>31.213874186322947</v>
      </c>
      <c r="AK24" s="53"/>
      <c r="AL24" s="51">
        <f t="shared" si="18"/>
        <v>2028</v>
      </c>
      <c r="AM24" s="81">
        <f>P24*'Table 2D SolarTracking'!Capacity_Contr_Solar_Tracking</f>
        <v>0</v>
      </c>
      <c r="AN24" s="81">
        <f t="shared" si="19"/>
        <v>36.28</v>
      </c>
      <c r="AO24" s="81">
        <f t="shared" si="20"/>
        <v>32</v>
      </c>
      <c r="AP24" s="81">
        <f>INDEX('Table 10'!$G:$G,MATCH($N24,'Table 10'!$B:$B,0))</f>
        <v>0.78612581367705126</v>
      </c>
      <c r="AQ24" s="81">
        <f t="shared" si="21"/>
        <v>35.493874186322948</v>
      </c>
      <c r="AR24" s="99">
        <f t="shared" si="22"/>
        <v>31.213874186322947</v>
      </c>
    </row>
    <row r="25" spans="2:45" x14ac:dyDescent="0.2">
      <c r="B25" s="55"/>
      <c r="C25" s="57"/>
      <c r="D25" s="57"/>
      <c r="E25" s="57"/>
      <c r="F25" s="58"/>
      <c r="G25" s="53"/>
      <c r="H25" s="55"/>
      <c r="I25" s="100"/>
      <c r="J25" s="100"/>
      <c r="K25" s="100"/>
      <c r="L25" s="101"/>
      <c r="M25" s="53"/>
      <c r="N25" s="55"/>
      <c r="O25" s="57"/>
      <c r="P25" s="100"/>
      <c r="Q25" s="100"/>
      <c r="R25" s="100"/>
      <c r="S25" s="100"/>
      <c r="T25" s="101"/>
      <c r="U25" s="53"/>
      <c r="V25" s="55"/>
      <c r="W25" s="100"/>
      <c r="X25" s="100"/>
      <c r="Y25" s="100"/>
      <c r="Z25" s="100"/>
      <c r="AA25" s="100"/>
      <c r="AB25" s="101"/>
      <c r="AC25" s="53"/>
      <c r="AD25" s="55"/>
      <c r="AE25" s="100"/>
      <c r="AF25" s="100"/>
      <c r="AG25" s="100"/>
      <c r="AH25" s="100"/>
      <c r="AI25" s="100"/>
      <c r="AJ25" s="101"/>
      <c r="AK25" s="53"/>
      <c r="AL25" s="55"/>
      <c r="AM25" s="100"/>
      <c r="AN25" s="100"/>
      <c r="AO25" s="100"/>
      <c r="AP25" s="100"/>
      <c r="AQ25" s="100"/>
      <c r="AR25" s="101"/>
    </row>
    <row r="26" spans="2:45" ht="7.5" customHeight="1" x14ac:dyDescent="0.2">
      <c r="B26" s="63"/>
      <c r="C26" s="102"/>
      <c r="D26" s="28"/>
      <c r="E26" s="102"/>
      <c r="F26" s="102"/>
      <c r="G26" s="53"/>
      <c r="H26" s="63"/>
      <c r="I26" s="81"/>
      <c r="J26" s="81"/>
      <c r="K26" s="81"/>
      <c r="L26" s="81"/>
      <c r="M26" s="53"/>
      <c r="N26" s="63"/>
      <c r="O26" s="53"/>
      <c r="P26" s="81"/>
      <c r="Q26" s="81"/>
      <c r="R26" s="81"/>
      <c r="S26" s="81"/>
      <c r="T26" s="81"/>
      <c r="U26" s="53"/>
      <c r="V26" s="63"/>
      <c r="W26" s="81"/>
      <c r="X26" s="81"/>
      <c r="Y26" s="81"/>
      <c r="Z26" s="81"/>
      <c r="AA26" s="81"/>
      <c r="AB26" s="81"/>
      <c r="AC26" s="53"/>
      <c r="AD26" s="63"/>
      <c r="AE26" s="81"/>
      <c r="AF26" s="81"/>
      <c r="AG26" s="81"/>
      <c r="AH26" s="81"/>
      <c r="AI26" s="81"/>
      <c r="AJ26" s="81"/>
      <c r="AK26" s="53"/>
      <c r="AL26" s="63"/>
      <c r="AM26" s="81"/>
      <c r="AN26" s="81"/>
      <c r="AO26" s="81"/>
      <c r="AP26" s="81"/>
      <c r="AQ26" s="81"/>
      <c r="AR26" s="81"/>
    </row>
    <row r="27" spans="2:45" x14ac:dyDescent="0.2">
      <c r="B27" s="19" t="s">
        <v>322</v>
      </c>
      <c r="C27" s="53"/>
      <c r="D27" s="28" t="s">
        <v>78</v>
      </c>
      <c r="E27" s="53"/>
      <c r="F27" s="53"/>
      <c r="G27" s="53"/>
      <c r="H27" s="19" t="str">
        <f>B27</f>
        <v>Willamette Valley - 436 MW - CCCT Dry "G/H", 1x1 - West Side Resource (1,500')</v>
      </c>
      <c r="I27" s="81"/>
      <c r="J27" s="39" t="str">
        <f>$I$9&amp;" x "&amp;TEXT('Table 7'!$K$99/1000,"0.000")</f>
        <v>(a) x 6.410</v>
      </c>
      <c r="K27" s="81"/>
      <c r="L27" s="81"/>
      <c r="M27" s="53"/>
      <c r="N27" s="19" t="str">
        <f>B27</f>
        <v>Willamette Valley - 436 MW - CCCT Dry "G/H", 1x1 - West Side Resource (1,500')</v>
      </c>
      <c r="O27" s="53"/>
      <c r="P27" s="81"/>
      <c r="Q27" s="81"/>
      <c r="R27" s="81"/>
      <c r="S27" s="81"/>
      <c r="T27" s="81"/>
      <c r="U27" s="53"/>
      <c r="V27" s="19" t="str">
        <f>N27</f>
        <v>Willamette Valley - 436 MW - CCCT Dry "G/H", 1x1 - West Side Resource (1,500')</v>
      </c>
      <c r="W27" s="81"/>
      <c r="X27" s="81"/>
      <c r="Y27" s="81"/>
      <c r="Z27" s="81"/>
      <c r="AA27" s="81"/>
      <c r="AB27" s="81"/>
      <c r="AC27" s="53"/>
      <c r="AD27" s="19" t="str">
        <f>V27</f>
        <v>Willamette Valley - 436 MW - CCCT Dry "G/H", 1x1 - West Side Resource (1,500')</v>
      </c>
      <c r="AE27" s="81"/>
      <c r="AF27" s="81"/>
      <c r="AG27" s="81"/>
      <c r="AH27" s="81"/>
      <c r="AI27" s="81"/>
      <c r="AJ27" s="81"/>
      <c r="AK27" s="53"/>
      <c r="AL27" s="19" t="s">
        <v>81</v>
      </c>
      <c r="AM27" s="81"/>
      <c r="AN27" s="81"/>
      <c r="AO27" s="81"/>
      <c r="AP27" s="81"/>
      <c r="AQ27" s="81"/>
      <c r="AR27" s="81"/>
    </row>
    <row r="28" spans="2:45" x14ac:dyDescent="0.2">
      <c r="B28" s="96">
        <f>B24+1</f>
        <v>2029</v>
      </c>
      <c r="C28" s="49">
        <f>INDEX('Table 7'!$H$59:$H$86,MATCH($B28,'Table 7'!$B$59:$B$86,0))</f>
        <v>207.03</v>
      </c>
      <c r="D28" s="49">
        <f>INDEX('Table 7'!$H$12:$H$32,MATCH($B28,'Table 7'!$B$12:$B$32,0))</f>
        <v>139.16999999999999</v>
      </c>
      <c r="E28" s="49">
        <f>IF((C28-D28)*0.5&lt;0,0,ROUND((C28-D28)*0.5,2))</f>
        <v>33.93</v>
      </c>
      <c r="F28" s="50">
        <f>ROUND(E28/(8.76*'Table 7'!$D$119),2)</f>
        <v>5.51</v>
      </c>
      <c r="G28" s="53"/>
      <c r="H28" s="96">
        <f t="shared" ref="H28:H36" si="25">$B28</f>
        <v>2029</v>
      </c>
      <c r="I28" s="97">
        <f>INDEX('Table 8'!C:C,MATCH('Tables 3 to 5'!$H28,'Table 8'!B:B,0))</f>
        <v>4.51</v>
      </c>
      <c r="J28" s="97">
        <f>I28*'Table 7'!$K$99/1000</f>
        <v>28.909099999999999</v>
      </c>
      <c r="K28" s="97">
        <f t="shared" ref="K28" si="26">F28</f>
        <v>5.51</v>
      </c>
      <c r="L28" s="98">
        <f t="shared" ref="L28" si="27">J28+K28</f>
        <v>34.4191</v>
      </c>
      <c r="M28" s="53"/>
      <c r="N28" s="96">
        <f t="shared" ref="N28:N36" si="28">$B28</f>
        <v>2029</v>
      </c>
      <c r="O28" s="49">
        <f t="shared" ref="O28:O32" si="29">D28+E28</f>
        <v>173.1</v>
      </c>
      <c r="P28" s="97">
        <f>ROUND(O28/(8.76*'Table 7'!$D$120*0.56),2)</f>
        <v>35.29</v>
      </c>
      <c r="Q28" s="97">
        <f>R28</f>
        <v>34.4191</v>
      </c>
      <c r="R28" s="97">
        <f t="shared" ref="R28:R32" si="30">L28</f>
        <v>34.4191</v>
      </c>
      <c r="S28" s="97">
        <f>P28+Q28</f>
        <v>69.709100000000007</v>
      </c>
      <c r="T28" s="98">
        <f t="shared" ref="T28" si="31">R28</f>
        <v>34.4191</v>
      </c>
      <c r="U28" s="53"/>
      <c r="V28" s="96">
        <f t="shared" ref="V28:V36" si="32">$B28</f>
        <v>2029</v>
      </c>
      <c r="W28" s="97">
        <f>P28*'Table 2B Wind'!Capacity_Contr_Wind</f>
        <v>5.5758200000000002</v>
      </c>
      <c r="X28" s="97">
        <f t="shared" ref="X28:X32" si="33">Q28</f>
        <v>34.4191</v>
      </c>
      <c r="Y28" s="97">
        <f t="shared" ref="Y28:Y32" si="34">R28</f>
        <v>34.4191</v>
      </c>
      <c r="Z28" s="97">
        <f>INDEX('Table 10'!$E:$E,MATCH($N28,'Table 10'!$B:$B,0))</f>
        <v>0.76584272625406891</v>
      </c>
      <c r="AA28" s="97">
        <f t="shared" ref="AA28:AA32" si="35">W28+X28-Z28</f>
        <v>39.229077273745929</v>
      </c>
      <c r="AB28" s="98">
        <f t="shared" ref="AB28:AB32" si="36">Y28-Z28</f>
        <v>33.653257273745929</v>
      </c>
      <c r="AC28" s="53"/>
      <c r="AD28" s="96">
        <f t="shared" ref="AD28:AD36" si="37">$B28</f>
        <v>2029</v>
      </c>
      <c r="AE28" s="97">
        <f>P28*'Table 2C SolarFixed'!Capacity_Contr_Solar_Fixed</f>
        <v>13.379248311074635</v>
      </c>
      <c r="AF28" s="97">
        <f t="shared" ref="AF28:AF32" si="38">Q28</f>
        <v>34.4191</v>
      </c>
      <c r="AG28" s="97">
        <f t="shared" ref="AG28:AG32" si="39">R28</f>
        <v>34.4191</v>
      </c>
      <c r="AH28" s="97">
        <f>INDEX('Table 10'!$G:$G,MATCH($N28,'Table 10'!$B:$B,0))</f>
        <v>0.80472559944294697</v>
      </c>
      <c r="AI28" s="97">
        <f t="shared" ref="AI28:AI32" si="40">AE28+AF28-AH28</f>
        <v>46.993622711631687</v>
      </c>
      <c r="AJ28" s="98">
        <f t="shared" ref="AJ28:AJ32" si="41">AG28-AH28</f>
        <v>33.614374400557054</v>
      </c>
      <c r="AK28" s="53"/>
      <c r="AL28" s="96">
        <f t="shared" ref="AL28:AL36" si="42">$B28</f>
        <v>2029</v>
      </c>
      <c r="AM28" s="97">
        <f>P28*'Table 2D SolarTracking'!Capacity_Contr_Solar_Tracking</f>
        <v>21.058382077169913</v>
      </c>
      <c r="AN28" s="97">
        <f t="shared" ref="AN28:AN32" si="43">Q28</f>
        <v>34.4191</v>
      </c>
      <c r="AO28" s="97">
        <f t="shared" ref="AO28:AO32" si="44">R28</f>
        <v>34.4191</v>
      </c>
      <c r="AP28" s="97">
        <f>INDEX('Table 10'!$G:$G,MATCH($N28,'Table 10'!$B:$B,0))</f>
        <v>0.80472559944294697</v>
      </c>
      <c r="AQ28" s="97">
        <f t="shared" ref="AQ28:AQ32" si="45">AM28+AN28-AP28</f>
        <v>54.672756477726963</v>
      </c>
      <c r="AR28" s="98">
        <f t="shared" ref="AR28:AR32" si="46">AO28-AP28</f>
        <v>33.614374400557054</v>
      </c>
      <c r="AS28" s="37"/>
    </row>
    <row r="29" spans="2:45" x14ac:dyDescent="0.2">
      <c r="B29" s="51">
        <f t="shared" ref="B29:B36" si="47">B28+1</f>
        <v>2030</v>
      </c>
      <c r="C29" s="53">
        <f>INDEX('Table 7'!$H$59:$H$86,MATCH($B29,'Table 7'!$B$59:$B$86,0))</f>
        <v>211.93</v>
      </c>
      <c r="D29" s="53">
        <f>INDEX('Table 7'!$H$12:$H$32,MATCH($B29,'Table 7'!$B$12:$B$32,0))</f>
        <v>142.49</v>
      </c>
      <c r="E29" s="53">
        <f t="shared" ref="E29:E32" si="48">IF((C29-D29)*0.5&lt;0,0,ROUND((C29-D29)*0.5,2))</f>
        <v>34.72</v>
      </c>
      <c r="F29" s="54">
        <f>ROUND(E29/(8.76*'Table 7'!$D$119),2)</f>
        <v>5.64</v>
      </c>
      <c r="G29" s="53"/>
      <c r="H29" s="51">
        <f t="shared" si="25"/>
        <v>2030</v>
      </c>
      <c r="I29" s="81">
        <f>INDEX('Table 8'!C:C,MATCH('Tables 3 to 5'!$H29,'Table 8'!B:B,0))</f>
        <v>4.88</v>
      </c>
      <c r="J29" s="81">
        <f>I29*'Table 7'!$K$99/1000</f>
        <v>31.280799999999999</v>
      </c>
      <c r="K29" s="81">
        <f t="shared" ref="K29:K32" si="49">F29</f>
        <v>5.64</v>
      </c>
      <c r="L29" s="99">
        <f t="shared" ref="L29:L32" si="50">J29+K29</f>
        <v>36.9208</v>
      </c>
      <c r="M29" s="53"/>
      <c r="N29" s="51">
        <f t="shared" si="28"/>
        <v>2030</v>
      </c>
      <c r="O29" s="53">
        <f t="shared" si="29"/>
        <v>177.21</v>
      </c>
      <c r="P29" s="81">
        <f>ROUND(O29/(8.76*'Table 7'!$D$120*0.56),2)</f>
        <v>36.119999999999997</v>
      </c>
      <c r="Q29" s="81">
        <f t="shared" ref="Q29:Q32" si="51">R29</f>
        <v>36.9208</v>
      </c>
      <c r="R29" s="81">
        <f t="shared" si="30"/>
        <v>36.9208</v>
      </c>
      <c r="S29" s="81">
        <f t="shared" ref="S29:S32" si="52">P29+Q29</f>
        <v>73.04079999999999</v>
      </c>
      <c r="T29" s="99">
        <f t="shared" ref="T29:T32" si="53">R29</f>
        <v>36.9208</v>
      </c>
      <c r="U29" s="53"/>
      <c r="V29" s="51">
        <f t="shared" si="32"/>
        <v>2030</v>
      </c>
      <c r="W29" s="81">
        <f>P29*'Table 2B Wind'!Capacity_Contr_Wind</f>
        <v>5.7069599999999996</v>
      </c>
      <c r="X29" s="81">
        <f t="shared" si="33"/>
        <v>36.9208</v>
      </c>
      <c r="Y29" s="81">
        <f t="shared" si="34"/>
        <v>36.9208</v>
      </c>
      <c r="Z29" s="81">
        <f>INDEX('Table 10'!$E:$E,MATCH($N29,'Table 10'!$B:$B,0))</f>
        <v>0.78406824911522199</v>
      </c>
      <c r="AA29" s="81">
        <f t="shared" si="35"/>
        <v>41.84369175088478</v>
      </c>
      <c r="AB29" s="99">
        <f t="shared" si="36"/>
        <v>36.136731750884778</v>
      </c>
      <c r="AC29" s="53"/>
      <c r="AD29" s="51">
        <f t="shared" si="37"/>
        <v>2030</v>
      </c>
      <c r="AE29" s="81">
        <f>P29*'Table 2C SolarFixed'!Capacity_Contr_Solar_Fixed</f>
        <v>13.693920345594101</v>
      </c>
      <c r="AF29" s="81">
        <f t="shared" si="38"/>
        <v>36.9208</v>
      </c>
      <c r="AG29" s="81">
        <f t="shared" si="39"/>
        <v>36.9208</v>
      </c>
      <c r="AH29" s="81">
        <f>INDEX('Table 10'!$G:$G,MATCH($N29,'Table 10'!$B:$B,0))</f>
        <v>0.82387645680153332</v>
      </c>
      <c r="AI29" s="81">
        <f t="shared" si="40"/>
        <v>49.790843888792566</v>
      </c>
      <c r="AJ29" s="99">
        <f t="shared" si="41"/>
        <v>36.096923543198464</v>
      </c>
      <c r="AK29" s="53"/>
      <c r="AL29" s="51">
        <f t="shared" si="42"/>
        <v>2030</v>
      </c>
      <c r="AM29" s="81">
        <f>P29*'Table 2D SolarTracking'!Capacity_Contr_Solar_Tracking</f>
        <v>21.553662811770398</v>
      </c>
      <c r="AN29" s="81">
        <f t="shared" si="43"/>
        <v>36.9208</v>
      </c>
      <c r="AO29" s="81">
        <f t="shared" si="44"/>
        <v>36.9208</v>
      </c>
      <c r="AP29" s="81">
        <f>INDEX('Table 10'!$G:$G,MATCH($N29,'Table 10'!$B:$B,0))</f>
        <v>0.82387645680153332</v>
      </c>
      <c r="AQ29" s="81">
        <f t="shared" si="45"/>
        <v>57.650586354968858</v>
      </c>
      <c r="AR29" s="99">
        <f t="shared" si="46"/>
        <v>36.096923543198464</v>
      </c>
    </row>
    <row r="30" spans="2:45" x14ac:dyDescent="0.2">
      <c r="B30" s="51">
        <f t="shared" si="47"/>
        <v>2031</v>
      </c>
      <c r="C30" s="53">
        <f>INDEX('Table 7'!$H$59:$H$86,MATCH($B30,'Table 7'!$B$59:$B$86,0))</f>
        <v>217.05</v>
      </c>
      <c r="D30" s="53">
        <f>INDEX('Table 7'!$H$12:$H$32,MATCH($B30,'Table 7'!$B$12:$B$32,0))</f>
        <v>145.91999999999999</v>
      </c>
      <c r="E30" s="53">
        <f t="shared" si="48"/>
        <v>35.57</v>
      </c>
      <c r="F30" s="54">
        <f>ROUND(E30/(8.76*'Table 7'!$D$119),2)</f>
        <v>5.78</v>
      </c>
      <c r="G30" s="53"/>
      <c r="H30" s="51">
        <f t="shared" si="25"/>
        <v>2031</v>
      </c>
      <c r="I30" s="81">
        <f>INDEX('Table 8'!C:C,MATCH('Tables 3 to 5'!$H30,'Table 8'!B:B,0))</f>
        <v>5.1100000000000003</v>
      </c>
      <c r="J30" s="81">
        <f>I30*'Table 7'!$K$99/1000</f>
        <v>32.755099999999999</v>
      </c>
      <c r="K30" s="81">
        <f t="shared" si="49"/>
        <v>5.78</v>
      </c>
      <c r="L30" s="99">
        <f t="shared" si="50"/>
        <v>38.5351</v>
      </c>
      <c r="M30" s="53"/>
      <c r="N30" s="51">
        <f t="shared" si="28"/>
        <v>2031</v>
      </c>
      <c r="O30" s="53">
        <f t="shared" si="29"/>
        <v>181.48999999999998</v>
      </c>
      <c r="P30" s="81">
        <f>ROUND(O30/(8.76*'Table 7'!$D$120*0.56),2)</f>
        <v>37</v>
      </c>
      <c r="Q30" s="81">
        <f t="shared" si="51"/>
        <v>38.5351</v>
      </c>
      <c r="R30" s="81">
        <f t="shared" si="30"/>
        <v>38.5351</v>
      </c>
      <c r="S30" s="81">
        <f t="shared" si="52"/>
        <v>75.5351</v>
      </c>
      <c r="T30" s="99">
        <f t="shared" si="53"/>
        <v>38.5351</v>
      </c>
      <c r="U30" s="53"/>
      <c r="V30" s="51">
        <f t="shared" si="32"/>
        <v>2031</v>
      </c>
      <c r="W30" s="81">
        <f>P30*'Table 2B Wind'!Capacity_Contr_Wind</f>
        <v>5.8460000000000001</v>
      </c>
      <c r="X30" s="81">
        <f t="shared" si="33"/>
        <v>38.5351</v>
      </c>
      <c r="Y30" s="81">
        <f t="shared" si="34"/>
        <v>38.5351</v>
      </c>
      <c r="Z30" s="81">
        <f>INDEX('Table 10'!$E:$E,MATCH($N30,'Table 10'!$B:$B,0))</f>
        <v>0.80289686414633132</v>
      </c>
      <c r="AA30" s="81">
        <f t="shared" si="35"/>
        <v>43.57820313585367</v>
      </c>
      <c r="AB30" s="99">
        <f t="shared" si="36"/>
        <v>37.732203135853666</v>
      </c>
      <c r="AC30" s="53"/>
      <c r="AD30" s="51">
        <f t="shared" si="37"/>
        <v>2031</v>
      </c>
      <c r="AE30" s="81">
        <f>P30*'Table 2C SolarFixed'!Capacity_Contr_Solar_Fixed</f>
        <v>14.027548526771367</v>
      </c>
      <c r="AF30" s="81">
        <f t="shared" si="38"/>
        <v>38.5351</v>
      </c>
      <c r="AG30" s="81">
        <f t="shared" si="39"/>
        <v>38.5351</v>
      </c>
      <c r="AH30" s="81">
        <f>INDEX('Table 10'!$G:$G,MATCH($N30,'Table 10'!$B:$B,0))</f>
        <v>0.84366102613693927</v>
      </c>
      <c r="AI30" s="81">
        <f t="shared" si="40"/>
        <v>51.718987500634427</v>
      </c>
      <c r="AJ30" s="99">
        <f t="shared" si="41"/>
        <v>37.691438973863058</v>
      </c>
      <c r="AK30" s="53"/>
      <c r="AL30" s="51">
        <f t="shared" si="42"/>
        <v>2031</v>
      </c>
      <c r="AM30" s="81">
        <f>P30*'Table 2D SolarTracking'!Capacity_Contr_Solar_Tracking</f>
        <v>22.078779735202236</v>
      </c>
      <c r="AN30" s="81">
        <f t="shared" si="43"/>
        <v>38.5351</v>
      </c>
      <c r="AO30" s="81">
        <f t="shared" si="44"/>
        <v>38.5351</v>
      </c>
      <c r="AP30" s="81">
        <f>INDEX('Table 10'!$G:$G,MATCH($N30,'Table 10'!$B:$B,0))</f>
        <v>0.84366102613693927</v>
      </c>
      <c r="AQ30" s="81">
        <f t="shared" si="45"/>
        <v>59.77021870906529</v>
      </c>
      <c r="AR30" s="99">
        <f t="shared" si="46"/>
        <v>37.691438973863058</v>
      </c>
    </row>
    <row r="31" spans="2:45" x14ac:dyDescent="0.2">
      <c r="B31" s="51">
        <f t="shared" si="47"/>
        <v>2032</v>
      </c>
      <c r="C31" s="53">
        <f>INDEX('Table 7'!$H$59:$H$86,MATCH($B31,'Table 7'!$B$59:$B$86,0))</f>
        <v>222.28</v>
      </c>
      <c r="D31" s="53">
        <f>INDEX('Table 7'!$H$12:$H$32,MATCH($B31,'Table 7'!$B$12:$B$32,0))</f>
        <v>149.41</v>
      </c>
      <c r="E31" s="53">
        <f t="shared" si="48"/>
        <v>36.44</v>
      </c>
      <c r="F31" s="54">
        <f>ROUND(E31/(8.76*'Table 7'!$D$119),2)</f>
        <v>5.92</v>
      </c>
      <c r="G31" s="53"/>
      <c r="H31" s="51">
        <f t="shared" si="25"/>
        <v>2032</v>
      </c>
      <c r="I31" s="81">
        <f>INDEX('Table 8'!C:C,MATCH('Tables 3 to 5'!$H31,'Table 8'!B:B,0))</f>
        <v>5.38</v>
      </c>
      <c r="J31" s="81">
        <f>I31*'Table 7'!$K$99/1000</f>
        <v>34.485800000000005</v>
      </c>
      <c r="K31" s="81">
        <f t="shared" si="49"/>
        <v>5.92</v>
      </c>
      <c r="L31" s="99">
        <f t="shared" si="50"/>
        <v>40.405800000000006</v>
      </c>
      <c r="M31" s="53"/>
      <c r="N31" s="51">
        <f t="shared" si="28"/>
        <v>2032</v>
      </c>
      <c r="O31" s="53">
        <f t="shared" si="29"/>
        <v>185.85</v>
      </c>
      <c r="P31" s="81">
        <f>ROUND(O31/(8.76*'Table 7'!$D$120*0.56),2)</f>
        <v>37.89</v>
      </c>
      <c r="Q31" s="81">
        <f t="shared" si="51"/>
        <v>40.405800000000006</v>
      </c>
      <c r="R31" s="81">
        <f t="shared" si="30"/>
        <v>40.405800000000006</v>
      </c>
      <c r="S31" s="81">
        <f t="shared" si="52"/>
        <v>78.295800000000014</v>
      </c>
      <c r="T31" s="99">
        <f t="shared" si="53"/>
        <v>40.405800000000006</v>
      </c>
      <c r="U31" s="53"/>
      <c r="V31" s="51">
        <f t="shared" si="32"/>
        <v>2032</v>
      </c>
      <c r="W31" s="81">
        <f>P31*'Table 2B Wind'!Capacity_Contr_Wind</f>
        <v>5.9866200000000003</v>
      </c>
      <c r="X31" s="81">
        <f t="shared" si="33"/>
        <v>40.405800000000006</v>
      </c>
      <c r="Y31" s="81">
        <f t="shared" si="34"/>
        <v>40.405800000000006</v>
      </c>
      <c r="Z31" s="81">
        <f>INDEX('Table 10'!$E:$E,MATCH($N31,'Table 10'!$B:$B,0))</f>
        <v>0.82222667847328645</v>
      </c>
      <c r="AA31" s="81">
        <f t="shared" si="35"/>
        <v>45.570193321526723</v>
      </c>
      <c r="AB31" s="99">
        <f t="shared" si="36"/>
        <v>39.583573321526721</v>
      </c>
      <c r="AC31" s="53"/>
      <c r="AD31" s="51">
        <f t="shared" si="37"/>
        <v>2032</v>
      </c>
      <c r="AE31" s="81">
        <f>P31*'Table 2C SolarFixed'!Capacity_Contr_Solar_Fixed</f>
        <v>14.364967937280191</v>
      </c>
      <c r="AF31" s="81">
        <f t="shared" si="38"/>
        <v>40.405800000000006</v>
      </c>
      <c r="AG31" s="81">
        <f t="shared" si="39"/>
        <v>40.405800000000006</v>
      </c>
      <c r="AH31" s="81">
        <f>INDEX('Table 10'!$G:$G,MATCH($N31,'Table 10'!$B:$B,0))</f>
        <v>0.86397224133573636</v>
      </c>
      <c r="AI31" s="81">
        <f t="shared" si="40"/>
        <v>53.90679569594446</v>
      </c>
      <c r="AJ31" s="99">
        <f t="shared" si="41"/>
        <v>39.541827758664269</v>
      </c>
      <c r="AK31" s="53"/>
      <c r="AL31" s="51">
        <f t="shared" si="42"/>
        <v>2032</v>
      </c>
      <c r="AM31" s="81">
        <f>P31*'Table 2D SolarTracking'!Capacity_Contr_Solar_Tracking</f>
        <v>22.609863896400341</v>
      </c>
      <c r="AN31" s="81">
        <f t="shared" si="43"/>
        <v>40.405800000000006</v>
      </c>
      <c r="AO31" s="81">
        <f t="shared" si="44"/>
        <v>40.405800000000006</v>
      </c>
      <c r="AP31" s="81">
        <f>INDEX('Table 10'!$G:$G,MATCH($N31,'Table 10'!$B:$B,0))</f>
        <v>0.86397224133573636</v>
      </c>
      <c r="AQ31" s="81">
        <f t="shared" si="45"/>
        <v>62.15169165506461</v>
      </c>
      <c r="AR31" s="99">
        <f t="shared" si="46"/>
        <v>39.541827758664269</v>
      </c>
    </row>
    <row r="32" spans="2:45" x14ac:dyDescent="0.2">
      <c r="B32" s="51">
        <f t="shared" si="47"/>
        <v>2033</v>
      </c>
      <c r="C32" s="53">
        <f>INDEX('Table 7'!$H$59:$H$86,MATCH($B32,'Table 7'!$B$59:$B$86,0))</f>
        <v>227.66</v>
      </c>
      <c r="D32" s="53">
        <f>INDEX('Table 7'!$H$12:$H$32,MATCH($B32,'Table 7'!$B$12:$B$32,0))</f>
        <v>153.02000000000001</v>
      </c>
      <c r="E32" s="53">
        <f t="shared" si="48"/>
        <v>37.32</v>
      </c>
      <c r="F32" s="54">
        <f>ROUND(E32/(8.76*'Table 7'!$D$119),2)</f>
        <v>6.06</v>
      </c>
      <c r="G32" s="53"/>
      <c r="H32" s="51">
        <f t="shared" si="25"/>
        <v>2033</v>
      </c>
      <c r="I32" s="81">
        <f>INDEX('Table 8'!C:C,MATCH('Tables 3 to 5'!$H32,'Table 8'!B:B,0))</f>
        <v>5.76</v>
      </c>
      <c r="J32" s="81">
        <f>I32*'Table 7'!$K$99/1000</f>
        <v>36.921599999999998</v>
      </c>
      <c r="K32" s="81">
        <f t="shared" si="49"/>
        <v>6.06</v>
      </c>
      <c r="L32" s="99">
        <f t="shared" si="50"/>
        <v>42.9816</v>
      </c>
      <c r="M32" s="53"/>
      <c r="N32" s="51">
        <f t="shared" si="28"/>
        <v>2033</v>
      </c>
      <c r="O32" s="53">
        <f t="shared" si="29"/>
        <v>190.34</v>
      </c>
      <c r="P32" s="81">
        <f>ROUND(O32/(8.76*'Table 7'!$D$120*0.56),2)</f>
        <v>38.799999999999997</v>
      </c>
      <c r="Q32" s="81">
        <f t="shared" si="51"/>
        <v>42.9816</v>
      </c>
      <c r="R32" s="81">
        <f t="shared" si="30"/>
        <v>42.9816</v>
      </c>
      <c r="S32" s="81">
        <f t="shared" si="52"/>
        <v>81.781599999999997</v>
      </c>
      <c r="T32" s="99">
        <f t="shared" si="53"/>
        <v>42.9816</v>
      </c>
      <c r="U32" s="53"/>
      <c r="V32" s="51">
        <f t="shared" si="32"/>
        <v>2033</v>
      </c>
      <c r="W32" s="81">
        <f>P32*'Table 2B Wind'!Capacity_Contr_Wind</f>
        <v>6.1303999999999998</v>
      </c>
      <c r="X32" s="81">
        <f t="shared" si="33"/>
        <v>42.9816</v>
      </c>
      <c r="Y32" s="81">
        <f t="shared" si="34"/>
        <v>42.9816</v>
      </c>
      <c r="Z32" s="81">
        <f>INDEX('Table 10'!$E:$E,MATCH($N32,'Table 10'!$B:$B,0))</f>
        <v>0.84211722646232945</v>
      </c>
      <c r="AA32" s="81">
        <f t="shared" si="35"/>
        <v>48.269882773537674</v>
      </c>
      <c r="AB32" s="99">
        <f t="shared" si="36"/>
        <v>42.139482773537672</v>
      </c>
      <c r="AC32" s="53"/>
      <c r="AD32" s="51">
        <f t="shared" si="37"/>
        <v>2033</v>
      </c>
      <c r="AE32" s="81">
        <f>P32*'Table 2C SolarFixed'!Capacity_Contr_Solar_Fixed</f>
        <v>14.709969806452134</v>
      </c>
      <c r="AF32" s="81">
        <f t="shared" si="38"/>
        <v>42.9816</v>
      </c>
      <c r="AG32" s="81">
        <f t="shared" si="39"/>
        <v>42.9816</v>
      </c>
      <c r="AH32" s="81">
        <f>INDEX('Table 10'!$G:$G,MATCH($N32,'Table 10'!$B:$B,0))</f>
        <v>0.88487265940463011</v>
      </c>
      <c r="AI32" s="81">
        <f t="shared" si="40"/>
        <v>56.806697147047508</v>
      </c>
      <c r="AJ32" s="99">
        <f t="shared" si="41"/>
        <v>42.096727340595372</v>
      </c>
      <c r="AK32" s="53"/>
      <c r="AL32" s="51">
        <f t="shared" si="42"/>
        <v>2033</v>
      </c>
      <c r="AM32" s="81">
        <f>P32*'Table 2D SolarTracking'!Capacity_Contr_Solar_Tracking</f>
        <v>23.152882533130992</v>
      </c>
      <c r="AN32" s="81">
        <f t="shared" si="43"/>
        <v>42.9816</v>
      </c>
      <c r="AO32" s="81">
        <f t="shared" si="44"/>
        <v>42.9816</v>
      </c>
      <c r="AP32" s="81">
        <f>INDEX('Table 10'!$G:$G,MATCH($N32,'Table 10'!$B:$B,0))</f>
        <v>0.88487265940463011</v>
      </c>
      <c r="AQ32" s="81">
        <f t="shared" si="45"/>
        <v>65.249609873726357</v>
      </c>
      <c r="AR32" s="99">
        <f t="shared" si="46"/>
        <v>42.096727340595372</v>
      </c>
    </row>
    <row r="33" spans="2:44" x14ac:dyDescent="0.2">
      <c r="B33" s="51">
        <f t="shared" si="47"/>
        <v>2034</v>
      </c>
      <c r="C33" s="53">
        <f>INDEX('Table 7'!$H$59:$H$86,MATCH($B33,'Table 7'!$B$59:$B$86,0))</f>
        <v>233.17</v>
      </c>
      <c r="D33" s="53">
        <f>INDEX('Table 7'!$H$12:$H$32,MATCH($B33,'Table 7'!$B$12:$B$32,0))</f>
        <v>156.72999999999999</v>
      </c>
      <c r="E33" s="53">
        <f t="shared" ref="E33:E36" si="54">IF((C33-D33)*0.5&lt;0,0,ROUND((C33-D33)*0.5,2))</f>
        <v>38.22</v>
      </c>
      <c r="F33" s="54">
        <f>ROUND(E33/(8.76*'Table 7'!$D$119),2)</f>
        <v>6.21</v>
      </c>
      <c r="G33" s="53"/>
      <c r="H33" s="51">
        <f t="shared" si="25"/>
        <v>2034</v>
      </c>
      <c r="I33" s="81">
        <f>INDEX('Table 8'!C:C,MATCH('Tables 3 to 5'!$H33,'Table 8'!B:B,0))</f>
        <v>6.02</v>
      </c>
      <c r="J33" s="81">
        <f>I33*'Table 7'!$K$99/1000</f>
        <v>38.588200000000001</v>
      </c>
      <c r="K33" s="81">
        <f t="shared" ref="K33:K36" si="55">F33</f>
        <v>6.21</v>
      </c>
      <c r="L33" s="99">
        <f t="shared" ref="L33:L36" si="56">J33+K33</f>
        <v>44.798200000000001</v>
      </c>
      <c r="M33" s="53"/>
      <c r="N33" s="51">
        <f t="shared" si="28"/>
        <v>2034</v>
      </c>
      <c r="O33" s="53">
        <f t="shared" ref="O33:O36" si="57">D33+E33</f>
        <v>194.95</v>
      </c>
      <c r="P33" s="81">
        <f>ROUND(O33/(8.76*'Table 7'!$D$120*0.56),2)</f>
        <v>39.74</v>
      </c>
      <c r="Q33" s="81">
        <f t="shared" ref="Q33:Q36" si="58">R33</f>
        <v>44.798200000000001</v>
      </c>
      <c r="R33" s="81">
        <f t="shared" ref="R33:R36" si="59">L33</f>
        <v>44.798200000000001</v>
      </c>
      <c r="S33" s="81">
        <f t="shared" ref="S33:S36" si="60">P33+Q33</f>
        <v>84.538200000000003</v>
      </c>
      <c r="T33" s="99">
        <f t="shared" ref="T33:T36" si="61">R33</f>
        <v>44.798200000000001</v>
      </c>
      <c r="U33" s="53"/>
      <c r="V33" s="51">
        <f t="shared" si="32"/>
        <v>2034</v>
      </c>
      <c r="W33" s="81">
        <f>P33*'Table 2B Wind'!Capacity_Contr_Wind</f>
        <v>6.2789200000000003</v>
      </c>
      <c r="X33" s="81">
        <f t="shared" ref="X33:X36" si="62">Q33</f>
        <v>44.798200000000001</v>
      </c>
      <c r="Y33" s="81">
        <f t="shared" ref="Y33:Y36" si="63">R33</f>
        <v>44.798200000000001</v>
      </c>
      <c r="Z33" s="81">
        <f>INDEX('Table 10'!$E:$E,MATCH($N33,'Table 10'!$B:$B,0))</f>
        <v>0.86251284800098671</v>
      </c>
      <c r="AA33" s="81">
        <f t="shared" ref="AA33:AA36" si="64">W33+X33-Z33</f>
        <v>50.214607151999012</v>
      </c>
      <c r="AB33" s="99">
        <f t="shared" ref="AB33:AB36" si="65">Y33-Z33</f>
        <v>43.935687151999012</v>
      </c>
      <c r="AC33" s="53"/>
      <c r="AD33" s="51">
        <f t="shared" si="37"/>
        <v>2034</v>
      </c>
      <c r="AE33" s="81">
        <f>P33*'Table 2C SolarFixed'!Capacity_Contr_Solar_Fixed</f>
        <v>15.06634536361876</v>
      </c>
      <c r="AF33" s="81">
        <f t="shared" ref="AF33:AF36" si="66">Q33</f>
        <v>44.798200000000001</v>
      </c>
      <c r="AG33" s="81">
        <f t="shared" ref="AG33:AG36" si="67">R33</f>
        <v>44.798200000000001</v>
      </c>
      <c r="AH33" s="81">
        <f>INDEX('Table 10'!$G:$G,MATCH($N33,'Table 10'!$B:$B,0))</f>
        <v>0.90630379429179808</v>
      </c>
      <c r="AI33" s="81">
        <f t="shared" ref="AI33:AI36" si="68">AE33+AF33-AH33</f>
        <v>58.958241569326958</v>
      </c>
      <c r="AJ33" s="99">
        <f t="shared" ref="AJ33:AJ36" si="69">AG33-AH33</f>
        <v>43.8918962057082</v>
      </c>
      <c r="AK33" s="53"/>
      <c r="AL33" s="51">
        <f t="shared" si="42"/>
        <v>2034</v>
      </c>
      <c r="AM33" s="81">
        <f>P33*'Table 2D SolarTracking'!Capacity_Contr_Solar_Tracking</f>
        <v>23.713802883160454</v>
      </c>
      <c r="AN33" s="81">
        <f t="shared" ref="AN33:AN36" si="70">Q33</f>
        <v>44.798200000000001</v>
      </c>
      <c r="AO33" s="81">
        <f t="shared" ref="AO33:AO36" si="71">R33</f>
        <v>44.798200000000001</v>
      </c>
      <c r="AP33" s="81">
        <f>INDEX('Table 10'!$G:$G,MATCH($N33,'Table 10'!$B:$B,0))</f>
        <v>0.90630379429179808</v>
      </c>
      <c r="AQ33" s="81">
        <f t="shared" ref="AQ33:AQ36" si="72">AM33+AN33-AP33</f>
        <v>67.605699088868647</v>
      </c>
      <c r="AR33" s="99">
        <f t="shared" ref="AR33:AR36" si="73">AO33-AP33</f>
        <v>43.8918962057082</v>
      </c>
    </row>
    <row r="34" spans="2:44" x14ac:dyDescent="0.2">
      <c r="B34" s="51">
        <f t="shared" si="47"/>
        <v>2035</v>
      </c>
      <c r="C34" s="53">
        <f>INDEX('Table 7'!$H$59:$H$86,MATCH($B34,'Table 7'!$B$59:$B$86,0))</f>
        <v>238.79</v>
      </c>
      <c r="D34" s="53">
        <f>INDEX('Table 7'!$H$12:$H$32,MATCH($B34,'Table 7'!$B$12:$B$32,0))</f>
        <v>160.5</v>
      </c>
      <c r="E34" s="53">
        <f t="shared" si="54"/>
        <v>39.15</v>
      </c>
      <c r="F34" s="54">
        <f>ROUND(E34/(8.76*'Table 7'!$D$119),2)</f>
        <v>6.36</v>
      </c>
      <c r="G34" s="53"/>
      <c r="H34" s="51">
        <f t="shared" si="25"/>
        <v>2035</v>
      </c>
      <c r="I34" s="81">
        <f>INDEX('Table 8'!C:C,MATCH('Tables 3 to 5'!$H34,'Table 8'!B:B,0))</f>
        <v>6.29</v>
      </c>
      <c r="J34" s="81">
        <f>I34*'Table 7'!$K$99/1000</f>
        <v>40.318899999999999</v>
      </c>
      <c r="K34" s="81">
        <f t="shared" si="55"/>
        <v>6.36</v>
      </c>
      <c r="L34" s="99">
        <f t="shared" si="56"/>
        <v>46.678899999999999</v>
      </c>
      <c r="M34" s="53"/>
      <c r="N34" s="51">
        <f t="shared" si="28"/>
        <v>2035</v>
      </c>
      <c r="O34" s="53">
        <f t="shared" si="57"/>
        <v>199.65</v>
      </c>
      <c r="P34" s="81">
        <f>ROUND(O34/(8.76*'Table 7'!$D$120*0.56),2)</f>
        <v>40.700000000000003</v>
      </c>
      <c r="Q34" s="81">
        <f t="shared" si="58"/>
        <v>46.678899999999999</v>
      </c>
      <c r="R34" s="81">
        <f t="shared" si="59"/>
        <v>46.678899999999999</v>
      </c>
      <c r="S34" s="81">
        <f t="shared" si="60"/>
        <v>87.378900000000002</v>
      </c>
      <c r="T34" s="99">
        <f t="shared" si="61"/>
        <v>46.678899999999999</v>
      </c>
      <c r="U34" s="53"/>
      <c r="V34" s="51">
        <f t="shared" si="32"/>
        <v>2035</v>
      </c>
      <c r="W34" s="81">
        <f>P34*'Table 2B Wind'!Capacity_Contr_Wind</f>
        <v>6.4306000000000001</v>
      </c>
      <c r="X34" s="81">
        <f t="shared" si="62"/>
        <v>46.678899999999999</v>
      </c>
      <c r="Y34" s="81">
        <f t="shared" si="63"/>
        <v>46.678899999999999</v>
      </c>
      <c r="Z34" s="81">
        <f>INDEX('Table 10'!$E:$E,MATCH($N34,'Table 10'!$B:$B,0))</f>
        <v>0.88336382349922971</v>
      </c>
      <c r="AA34" s="81">
        <f t="shared" si="64"/>
        <v>52.226136176500766</v>
      </c>
      <c r="AB34" s="99">
        <f t="shared" si="65"/>
        <v>45.795536176500768</v>
      </c>
      <c r="AC34" s="53"/>
      <c r="AD34" s="51">
        <f t="shared" si="37"/>
        <v>2035</v>
      </c>
      <c r="AE34" s="81">
        <f>P34*'Table 2C SolarFixed'!Capacity_Contr_Solar_Fixed</f>
        <v>15.430303379448505</v>
      </c>
      <c r="AF34" s="81">
        <f t="shared" si="66"/>
        <v>46.678899999999999</v>
      </c>
      <c r="AG34" s="81">
        <f t="shared" si="67"/>
        <v>46.678899999999999</v>
      </c>
      <c r="AH34" s="81">
        <f>INDEX('Table 10'!$G:$G,MATCH($N34,'Table 10'!$B:$B,0))</f>
        <v>0.92821340207623926</v>
      </c>
      <c r="AI34" s="81">
        <f t="shared" si="68"/>
        <v>61.180989977372263</v>
      </c>
      <c r="AJ34" s="99">
        <f t="shared" si="69"/>
        <v>45.75068659792376</v>
      </c>
      <c r="AK34" s="53"/>
      <c r="AL34" s="51">
        <f t="shared" si="42"/>
        <v>2035</v>
      </c>
      <c r="AM34" s="81">
        <f>P34*'Table 2D SolarTracking'!Capacity_Contr_Solar_Tracking</f>
        <v>24.286657708722458</v>
      </c>
      <c r="AN34" s="81">
        <f t="shared" si="70"/>
        <v>46.678899999999999</v>
      </c>
      <c r="AO34" s="81">
        <f t="shared" si="71"/>
        <v>46.678899999999999</v>
      </c>
      <c r="AP34" s="81">
        <f>INDEX('Table 10'!$G:$G,MATCH($N34,'Table 10'!$B:$B,0))</f>
        <v>0.92821340207623926</v>
      </c>
      <c r="AQ34" s="81">
        <f t="shared" si="72"/>
        <v>70.037344306646219</v>
      </c>
      <c r="AR34" s="99">
        <f t="shared" si="73"/>
        <v>45.75068659792376</v>
      </c>
    </row>
    <row r="35" spans="2:44" x14ac:dyDescent="0.2">
      <c r="B35" s="51">
        <f t="shared" si="47"/>
        <v>2036</v>
      </c>
      <c r="C35" s="53">
        <f>INDEX('Table 7'!$H$59:$H$86,MATCH($B35,'Table 7'!$B$59:$B$86,0))</f>
        <v>244.62</v>
      </c>
      <c r="D35" s="53">
        <f>INDEX('Table 7'!$H$12:$H$32,MATCH($B35,'Table 7'!$B$12:$B$32,0))</f>
        <v>164.4</v>
      </c>
      <c r="E35" s="53">
        <f t="shared" si="54"/>
        <v>40.11</v>
      </c>
      <c r="F35" s="54">
        <f>ROUND(E35/(8.76*'Table 7'!$D$119),2)</f>
        <v>6.51</v>
      </c>
      <c r="G35" s="53"/>
      <c r="H35" s="51">
        <f t="shared" si="25"/>
        <v>2036</v>
      </c>
      <c r="I35" s="81">
        <f>INDEX('Table 8'!C:C,MATCH('Tables 3 to 5'!$H35,'Table 8'!B:B,0))</f>
        <v>6.8</v>
      </c>
      <c r="J35" s="81">
        <f>I35*'Table 7'!$K$99/1000</f>
        <v>43.588000000000001</v>
      </c>
      <c r="K35" s="81">
        <f t="shared" si="55"/>
        <v>6.51</v>
      </c>
      <c r="L35" s="99">
        <f t="shared" si="56"/>
        <v>50.097999999999999</v>
      </c>
      <c r="M35" s="53"/>
      <c r="N35" s="51">
        <f t="shared" si="28"/>
        <v>2036</v>
      </c>
      <c r="O35" s="53">
        <f t="shared" si="57"/>
        <v>204.51</v>
      </c>
      <c r="P35" s="81">
        <f>ROUND(O35/(8.76*'Table 7'!$D$120*0.56),2)</f>
        <v>41.69</v>
      </c>
      <c r="Q35" s="81">
        <f t="shared" si="58"/>
        <v>50.097999999999999</v>
      </c>
      <c r="R35" s="81">
        <f t="shared" si="59"/>
        <v>50.097999999999999</v>
      </c>
      <c r="S35" s="81">
        <f t="shared" si="60"/>
        <v>91.787999999999997</v>
      </c>
      <c r="T35" s="99">
        <f t="shared" si="61"/>
        <v>50.097999999999999</v>
      </c>
      <c r="U35" s="53"/>
      <c r="V35" s="51">
        <f t="shared" si="32"/>
        <v>2036</v>
      </c>
      <c r="W35" s="81">
        <f>P35*'Table 2B Wind'!Capacity_Contr_Wind</f>
        <v>6.5870199999999999</v>
      </c>
      <c r="X35" s="81">
        <f t="shared" si="62"/>
        <v>50.097999999999999</v>
      </c>
      <c r="Y35" s="81">
        <f t="shared" si="63"/>
        <v>50.097999999999999</v>
      </c>
      <c r="Z35" s="81">
        <f>INDEX('Table 10'!$E:$E,MATCH($N35,'Table 10'!$B:$B,0))</f>
        <v>0.90483971613032466</v>
      </c>
      <c r="AA35" s="81">
        <f t="shared" si="64"/>
        <v>55.780180283869676</v>
      </c>
      <c r="AB35" s="99">
        <f t="shared" si="65"/>
        <v>49.193160283869673</v>
      </c>
      <c r="AC35" s="53"/>
      <c r="AD35" s="51">
        <f t="shared" si="37"/>
        <v>2036</v>
      </c>
      <c r="AE35" s="81">
        <f>P35*'Table 2C SolarFixed'!Capacity_Contr_Solar_Fixed</f>
        <v>15.805635083272925</v>
      </c>
      <c r="AF35" s="81">
        <f t="shared" si="66"/>
        <v>50.097999999999999</v>
      </c>
      <c r="AG35" s="81">
        <f t="shared" si="67"/>
        <v>50.097999999999999</v>
      </c>
      <c r="AH35" s="81">
        <f>INDEX('Table 10'!$G:$G,MATCH($N35,'Table 10'!$B:$B,0))</f>
        <v>0.95077965488334215</v>
      </c>
      <c r="AI35" s="81">
        <f t="shared" si="68"/>
        <v>64.952855428389569</v>
      </c>
      <c r="AJ35" s="99">
        <f t="shared" si="69"/>
        <v>49.147220345116658</v>
      </c>
      <c r="AK35" s="53"/>
      <c r="AL35" s="51">
        <f t="shared" si="42"/>
        <v>2036</v>
      </c>
      <c r="AM35" s="81">
        <f>P35*'Table 2D SolarTracking'!Capacity_Contr_Solar_Tracking</f>
        <v>24.877414247583275</v>
      </c>
      <c r="AN35" s="81">
        <f t="shared" si="70"/>
        <v>50.097999999999999</v>
      </c>
      <c r="AO35" s="81">
        <f t="shared" si="71"/>
        <v>50.097999999999999</v>
      </c>
      <c r="AP35" s="81">
        <f>INDEX('Table 10'!$G:$G,MATCH($N35,'Table 10'!$B:$B,0))</f>
        <v>0.95077965488334215</v>
      </c>
      <c r="AQ35" s="81">
        <f t="shared" si="72"/>
        <v>74.024634592699925</v>
      </c>
      <c r="AR35" s="99">
        <f t="shared" si="73"/>
        <v>49.147220345116658</v>
      </c>
    </row>
    <row r="36" spans="2:44" x14ac:dyDescent="0.2">
      <c r="B36" s="51">
        <f t="shared" si="47"/>
        <v>2037</v>
      </c>
      <c r="C36" s="53">
        <f>INDEX('Table 7'!$H$59:$H$86,MATCH($B36,'Table 7'!$B$59:$B$86,0))</f>
        <v>250.59</v>
      </c>
      <c r="D36" s="53">
        <f>INDEX('Table 7'!$H$12:$H$32,MATCH($B36,'Table 7'!$B$12:$B$32,0))</f>
        <v>168.39</v>
      </c>
      <c r="E36" s="53">
        <f t="shared" si="54"/>
        <v>41.1</v>
      </c>
      <c r="F36" s="54">
        <f>ROUND(E36/(8.76*'Table 7'!$D$119),2)</f>
        <v>6.67</v>
      </c>
      <c r="G36" s="53"/>
      <c r="H36" s="51">
        <f t="shared" si="25"/>
        <v>2037</v>
      </c>
      <c r="I36" s="81">
        <f>INDEX('Table 8'!C:C,MATCH('Tables 3 to 5'!$H36,'Table 8'!B:B,0))</f>
        <v>7.05</v>
      </c>
      <c r="J36" s="81">
        <f>I36*'Table 7'!$K$99/1000</f>
        <v>45.1905</v>
      </c>
      <c r="K36" s="81">
        <f t="shared" si="55"/>
        <v>6.67</v>
      </c>
      <c r="L36" s="99">
        <f t="shared" si="56"/>
        <v>51.860500000000002</v>
      </c>
      <c r="M36" s="53"/>
      <c r="N36" s="51">
        <f t="shared" si="28"/>
        <v>2037</v>
      </c>
      <c r="O36" s="53">
        <f t="shared" si="57"/>
        <v>209.48999999999998</v>
      </c>
      <c r="P36" s="81">
        <f>ROUND(O36/(8.76*'Table 7'!$D$120*0.56),2)</f>
        <v>42.7</v>
      </c>
      <c r="Q36" s="81">
        <f t="shared" si="58"/>
        <v>51.860500000000002</v>
      </c>
      <c r="R36" s="81">
        <f t="shared" si="59"/>
        <v>51.860500000000002</v>
      </c>
      <c r="S36" s="81">
        <f t="shared" si="60"/>
        <v>94.560500000000005</v>
      </c>
      <c r="T36" s="99">
        <f t="shared" si="61"/>
        <v>51.860500000000002</v>
      </c>
      <c r="U36" s="53"/>
      <c r="V36" s="51">
        <f t="shared" si="32"/>
        <v>2037</v>
      </c>
      <c r="W36" s="81">
        <f>P36*'Table 2B Wind'!Capacity_Contr_Wind</f>
        <v>6.7466000000000008</v>
      </c>
      <c r="X36" s="81">
        <f t="shared" si="62"/>
        <v>51.860500000000002</v>
      </c>
      <c r="Y36" s="81">
        <f t="shared" si="63"/>
        <v>51.860500000000002</v>
      </c>
      <c r="Z36" s="81">
        <f>INDEX('Table 10'!$E:$E,MATCH($N36,'Table 10'!$B:$B,0))</f>
        <v>0.92680686413925983</v>
      </c>
      <c r="AA36" s="81">
        <f t="shared" si="64"/>
        <v>57.680293135860744</v>
      </c>
      <c r="AB36" s="99">
        <f t="shared" si="65"/>
        <v>50.933693135860743</v>
      </c>
      <c r="AC36" s="53"/>
      <c r="AD36" s="51">
        <f t="shared" si="37"/>
        <v>2037</v>
      </c>
      <c r="AE36" s="81">
        <f>P36*'Table 2C SolarFixed'!Capacity_Contr_Solar_Fixed</f>
        <v>16.18854924576047</v>
      </c>
      <c r="AF36" s="81">
        <f t="shared" si="66"/>
        <v>51.860500000000002</v>
      </c>
      <c r="AG36" s="81">
        <f t="shared" si="67"/>
        <v>51.860500000000002</v>
      </c>
      <c r="AH36" s="81">
        <f>INDEX('Table 10'!$G:$G,MATCH($N36,'Table 10'!$B:$B,0))</f>
        <v>0.97386210476963608</v>
      </c>
      <c r="AI36" s="81">
        <f t="shared" si="68"/>
        <v>67.075187140990835</v>
      </c>
      <c r="AJ36" s="99">
        <f t="shared" si="69"/>
        <v>50.886637895230365</v>
      </c>
      <c r="AK36" s="53"/>
      <c r="AL36" s="51">
        <f t="shared" si="42"/>
        <v>2037</v>
      </c>
      <c r="AM36" s="81">
        <f>P36*'Table 2D SolarTracking'!Capacity_Contr_Solar_Tracking</f>
        <v>25.480105261976636</v>
      </c>
      <c r="AN36" s="81">
        <f t="shared" si="70"/>
        <v>51.860500000000002</v>
      </c>
      <c r="AO36" s="81">
        <f t="shared" si="71"/>
        <v>51.860500000000002</v>
      </c>
      <c r="AP36" s="81">
        <f>INDEX('Table 10'!$G:$G,MATCH($N36,'Table 10'!$B:$B,0))</f>
        <v>0.97386210476963608</v>
      </c>
      <c r="AQ36" s="81">
        <f t="shared" si="72"/>
        <v>76.366743157206997</v>
      </c>
      <c r="AR36" s="99">
        <f t="shared" si="73"/>
        <v>50.886637895230365</v>
      </c>
    </row>
    <row r="37" spans="2:44" x14ac:dyDescent="0.2">
      <c r="B37" s="51"/>
      <c r="C37" s="53"/>
      <c r="D37" s="53"/>
      <c r="E37" s="53"/>
      <c r="F37" s="54"/>
      <c r="G37" s="53"/>
      <c r="H37" s="51"/>
      <c r="I37" s="81"/>
      <c r="J37" s="81"/>
      <c r="K37" s="81"/>
      <c r="L37" s="99"/>
      <c r="M37" s="53"/>
      <c r="N37" s="51"/>
      <c r="O37" s="53"/>
      <c r="P37" s="81"/>
      <c r="Q37" s="81"/>
      <c r="R37" s="81"/>
      <c r="S37" s="81"/>
      <c r="T37" s="99"/>
      <c r="U37" s="53"/>
      <c r="V37" s="51"/>
      <c r="W37" s="81"/>
      <c r="X37" s="81"/>
      <c r="Y37" s="81"/>
      <c r="Z37" s="81"/>
      <c r="AA37" s="81"/>
      <c r="AB37" s="99"/>
      <c r="AC37" s="53"/>
      <c r="AD37" s="51"/>
      <c r="AE37" s="81"/>
      <c r="AF37" s="81"/>
      <c r="AG37" s="81"/>
      <c r="AH37" s="81"/>
      <c r="AI37" s="81"/>
      <c r="AJ37" s="99"/>
      <c r="AK37" s="53"/>
      <c r="AL37" s="51"/>
      <c r="AM37" s="81"/>
      <c r="AN37" s="81"/>
      <c r="AO37" s="81"/>
      <c r="AP37" s="81"/>
      <c r="AQ37" s="81"/>
      <c r="AR37" s="99"/>
    </row>
    <row r="38" spans="2:44" x14ac:dyDescent="0.2">
      <c r="B38" s="51"/>
      <c r="C38" s="53"/>
      <c r="D38" s="53"/>
      <c r="E38" s="53"/>
      <c r="F38" s="54"/>
      <c r="G38" s="53"/>
      <c r="H38" s="51"/>
      <c r="I38" s="81"/>
      <c r="J38" s="81"/>
      <c r="K38" s="81"/>
      <c r="L38" s="99"/>
      <c r="M38" s="53"/>
      <c r="N38" s="51"/>
      <c r="O38" s="53"/>
      <c r="P38" s="81"/>
      <c r="Q38" s="81"/>
      <c r="R38" s="81"/>
      <c r="S38" s="81"/>
      <c r="T38" s="99"/>
      <c r="U38" s="53"/>
      <c r="V38" s="51"/>
      <c r="W38" s="81"/>
      <c r="X38" s="81"/>
      <c r="Y38" s="81"/>
      <c r="Z38" s="81"/>
      <c r="AA38" s="81"/>
      <c r="AB38" s="99"/>
      <c r="AC38" s="53"/>
      <c r="AD38" s="51"/>
      <c r="AE38" s="81"/>
      <c r="AF38" s="81"/>
      <c r="AG38" s="81"/>
      <c r="AH38" s="81"/>
      <c r="AI38" s="81"/>
      <c r="AJ38" s="99"/>
      <c r="AK38" s="53"/>
      <c r="AL38" s="51"/>
      <c r="AM38" s="81"/>
      <c r="AN38" s="81"/>
      <c r="AO38" s="81"/>
      <c r="AP38" s="81"/>
      <c r="AQ38" s="81"/>
      <c r="AR38" s="99"/>
    </row>
    <row r="39" spans="2:44" x14ac:dyDescent="0.2">
      <c r="B39" s="55"/>
      <c r="C39" s="57"/>
      <c r="D39" s="57"/>
      <c r="E39" s="57"/>
      <c r="F39" s="58"/>
      <c r="G39" s="53"/>
      <c r="H39" s="55"/>
      <c r="I39" s="100"/>
      <c r="J39" s="100"/>
      <c r="K39" s="100"/>
      <c r="L39" s="101"/>
      <c r="M39" s="53"/>
      <c r="N39" s="55"/>
      <c r="O39" s="57"/>
      <c r="P39" s="100"/>
      <c r="Q39" s="100"/>
      <c r="R39" s="100"/>
      <c r="S39" s="100"/>
      <c r="T39" s="101"/>
      <c r="U39" s="53"/>
      <c r="V39" s="55"/>
      <c r="W39" s="100"/>
      <c r="X39" s="100"/>
      <c r="Y39" s="100"/>
      <c r="Z39" s="100"/>
      <c r="AA39" s="100"/>
      <c r="AB39" s="101"/>
      <c r="AC39" s="53"/>
      <c r="AD39" s="55"/>
      <c r="AE39" s="100"/>
      <c r="AF39" s="100"/>
      <c r="AG39" s="100"/>
      <c r="AH39" s="100"/>
      <c r="AI39" s="100"/>
      <c r="AJ39" s="101"/>
      <c r="AK39" s="53"/>
      <c r="AL39" s="55"/>
      <c r="AM39" s="100"/>
      <c r="AN39" s="100"/>
      <c r="AO39" s="100"/>
      <c r="AP39" s="100"/>
      <c r="AQ39" s="100"/>
      <c r="AR39" s="101"/>
    </row>
    <row r="41" spans="2:44" x14ac:dyDescent="0.2">
      <c r="B41" s="35" t="s">
        <v>18</v>
      </c>
      <c r="H41" s="35" t="s">
        <v>18</v>
      </c>
      <c r="N41" s="35" t="s">
        <v>18</v>
      </c>
      <c r="V41" s="35" t="s">
        <v>18</v>
      </c>
      <c r="AD41" s="35" t="s">
        <v>18</v>
      </c>
      <c r="AL41" s="35" t="s">
        <v>18</v>
      </c>
    </row>
    <row r="42" spans="2:44" x14ac:dyDescent="0.2">
      <c r="B42" s="82" t="str">
        <f>C9</f>
        <v>(a)</v>
      </c>
      <c r="C42" s="104" t="str">
        <f>"  "&amp;'Table 7'!$B$1&amp;"  Column "&amp;'Table 7'!$H$7</f>
        <v xml:space="preserve">  Table 7  Column (f)</v>
      </c>
      <c r="H42" s="82" t="str">
        <f>I9</f>
        <v>(a)</v>
      </c>
      <c r="I42" s="35" t="str">
        <f>"  "&amp;'Table 7'!$B$1&amp;"  Column "&amp;'Table 7'!$I$54</f>
        <v xml:space="preserve">  Table 7  Column (g)</v>
      </c>
      <c r="N42" s="103" t="str">
        <f>O9</f>
        <v>(a)</v>
      </c>
      <c r="O42" s="37" t="str">
        <f>"  "&amp;$B$1&amp;"  Column "&amp;$D$9&amp;" + "&amp;$B$1&amp;"  Column "&amp;$E$9</f>
        <v xml:space="preserve">  Table 3  Column (b) + Table 3  Column (c)</v>
      </c>
      <c r="R42" s="37"/>
      <c r="V42" s="103" t="str">
        <f>W9</f>
        <v>(a)</v>
      </c>
      <c r="W42" s="35" t="str">
        <f>"  "&amp;$N$1&amp;"  Column "&amp;$P$9&amp;" multiplied by Capacity Contribution of "&amp;TEXT('Table 2B Wind'!Capacity_Contr_Wind,"0.0%")</f>
        <v xml:space="preserve">  Table 5a  Column (b) multiplied by Capacity Contribution of 15.8%</v>
      </c>
      <c r="Y42" s="37"/>
      <c r="Z42" s="37"/>
      <c r="AD42" s="103" t="str">
        <f>AE9</f>
        <v>(a)</v>
      </c>
      <c r="AE42" s="35" t="str">
        <f>"  "&amp;$N$1&amp;"  Column "&amp;$P$9&amp;" multiplied by Capacity Contribution of "&amp;TEXT('Table 2C SolarFixed'!Capacity_Contr_Solar_Fixed,"0.0%")</f>
        <v xml:space="preserve">  Table 5a  Column (b) multiplied by Capacity Contribution of 37.9%</v>
      </c>
      <c r="AG42" s="37"/>
      <c r="AH42" s="37"/>
      <c r="AL42" s="103" t="s">
        <v>19</v>
      </c>
      <c r="AM42" s="35" t="str">
        <f>"  "&amp;$N$1&amp;"  Column "&amp;$P$9&amp;" multiplied by Capacity Contribution of "&amp;TEXT('Table 2D SolarTracking'!Capacity_Contr_Solar_Tracking,"0.0%")</f>
        <v xml:space="preserve">  Table 5a  Column (b) multiplied by Capacity Contribution of 59.7%</v>
      </c>
      <c r="AO42" s="37"/>
      <c r="AP42" s="37"/>
    </row>
    <row r="43" spans="2:44" x14ac:dyDescent="0.2">
      <c r="B43" s="82" t="str">
        <f>D9</f>
        <v>(b)</v>
      </c>
      <c r="C43" s="104" t="str">
        <f>C42</f>
        <v xml:space="preserve">  Table 7  Column (f)</v>
      </c>
      <c r="H43" s="82" t="str">
        <f>J9</f>
        <v>(b)</v>
      </c>
      <c r="I43" s="35" t="str">
        <f>"  "&amp;'Table 7'!$B$1&amp;"  Column "&amp;'Table 7'!K54&amp;" Heat rate "&amp;TEXT('Table 7'!$K$99/1000,"?.000")&amp;" MMBtu/MWh"</f>
        <v xml:space="preserve">  Table 7  Column (i) Heat rate 6.410 MMBtu/MWh</v>
      </c>
      <c r="N43" s="103" t="str">
        <f>P9</f>
        <v>(b)</v>
      </c>
      <c r="O43" s="35" t="str">
        <f>"  "&amp;'Table 7'!B1&amp;"   "&amp;TEXT('Table 7'!$D$120,"0.0%")&amp;" is the on-peak capacity factor of the proxy resource"</f>
        <v xml:space="preserve">  Table 7   100.0% is the on-peak capacity factor of the proxy resource</v>
      </c>
      <c r="V43" s="103" t="str">
        <f>X9</f>
        <v>(b)</v>
      </c>
      <c r="W43" s="35" t="str">
        <f>"  "&amp;$N$1&amp;"  Column "&amp;$Q$9</f>
        <v xml:space="preserve">  Table 5a  Column (c)</v>
      </c>
      <c r="AD43" s="103" t="str">
        <f>AF9</f>
        <v>(b)</v>
      </c>
      <c r="AE43" s="35" t="str">
        <f>"  "&amp;$N$1&amp;"  Column "&amp;$Q$9</f>
        <v xml:space="preserve">  Table 5a  Column (c)</v>
      </c>
      <c r="AL43" s="103" t="str">
        <f>AN9</f>
        <v>(b)</v>
      </c>
      <c r="AM43" s="35" t="str">
        <f>"  "&amp;$N$1&amp;"  Column "&amp;$Q$9</f>
        <v xml:space="preserve">  Table 5a  Column (c)</v>
      </c>
    </row>
    <row r="44" spans="2:44" x14ac:dyDescent="0.2">
      <c r="B44" s="82" t="str">
        <f>E9</f>
        <v>(c)</v>
      </c>
      <c r="C44" s="104" t="s">
        <v>127</v>
      </c>
      <c r="H44" s="82" t="str">
        <f>K9</f>
        <v>(c)</v>
      </c>
      <c r="I44" s="35" t="str">
        <f>"  "&amp;$B$1&amp;"  Column "&amp;$F$9</f>
        <v xml:space="preserve">  Table 3  Column (d)</v>
      </c>
      <c r="N44" s="103" t="str">
        <f>Q9</f>
        <v>(c)</v>
      </c>
      <c r="O44" s="35" t="str">
        <f>"  On-Peak Avoided Energy values  for "&amp;N14&amp;"-"&amp;MAX(N16:N27)&amp;" -  from "&amp;'Table 2A BaseLoad'!$A$1</f>
        <v xml:space="preserve">  On-Peak Avoided Energy values  for 2018-2028 -  from Table 2A</v>
      </c>
      <c r="V44" s="103" t="str">
        <f>Y9</f>
        <v>(c)</v>
      </c>
      <c r="W44" s="35" t="str">
        <f>"  "&amp;$N$1&amp;"  Column "&amp;$R$9</f>
        <v xml:space="preserve">  Table 5a  Column (d)</v>
      </c>
      <c r="AD44" s="103" t="str">
        <f>AG9</f>
        <v>(c)</v>
      </c>
      <c r="AE44" s="35" t="str">
        <f>"  "&amp;$N$1&amp;"  Column "&amp;$R$9</f>
        <v xml:space="preserve">  Table 5a  Column (d)</v>
      </c>
      <c r="AL44" s="103" t="str">
        <f>AO9</f>
        <v>(c)</v>
      </c>
      <c r="AM44" s="35" t="str">
        <f>"  "&amp;$N$1&amp;"  Column "&amp;$R$9</f>
        <v xml:space="preserve">  Table 5a  Column (d)</v>
      </c>
    </row>
    <row r="45" spans="2:44" x14ac:dyDescent="0.2">
      <c r="C45" s="35" t="s">
        <v>348</v>
      </c>
      <c r="H45" s="84" t="str">
        <f>L9</f>
        <v>(d)</v>
      </c>
      <c r="I45" s="35" t="str">
        <f>"  For "&amp;H14&amp;"-"&amp;MAX(H16:H27)&amp;" - "&amp;'Table 2A BaseLoad'!A1</f>
        <v xml:space="preserve">  For 2018-2028 - Table 2A</v>
      </c>
      <c r="N45" s="103" t="str">
        <f>R9</f>
        <v>(d)</v>
      </c>
      <c r="O45" s="35" t="str">
        <f>"  "&amp;$H$1&amp;"  Column "&amp;$L$9</f>
        <v xml:space="preserve">  Table 4  Column (d)</v>
      </c>
      <c r="V45" s="103" t="str">
        <f>Z9</f>
        <v>(d)</v>
      </c>
      <c r="W45" s="35" t="str">
        <f>"  "&amp;'Table 10'!$B$1&amp;"  Column (c)"</f>
        <v xml:space="preserve">  Table 10  Column (c)</v>
      </c>
      <c r="AD45" s="103" t="str">
        <f>AH9</f>
        <v>(d)</v>
      </c>
      <c r="AE45" s="35" t="str">
        <f>"  "&amp;'Table 10'!$B$1&amp;"  Column (c)"</f>
        <v xml:space="preserve">  Table 10  Column (c)</v>
      </c>
      <c r="AL45" s="103" t="str">
        <f>AP9</f>
        <v>(d)</v>
      </c>
      <c r="AM45" s="35" t="str">
        <f>"  "&amp;'Table 10'!$B$1&amp;"  Column (c)"</f>
        <v xml:space="preserve">  Table 10  Column (c)</v>
      </c>
    </row>
    <row r="46" spans="2:44" x14ac:dyDescent="0.2">
      <c r="B46" s="82" t="str">
        <f>F9</f>
        <v>(d)</v>
      </c>
      <c r="C46" s="104" t="str">
        <f>"  "&amp;TEXT('Table 7'!$D$119,"0.0%")&amp;" CCCT energy weighted capacity factor - "&amp;'Table 7'!$B$1&amp;" page 3"</f>
        <v xml:space="preserve">  70.3% CCCT energy weighted capacity factor - Table 7 page 3</v>
      </c>
      <c r="H46" s="84"/>
      <c r="V46" s="103"/>
      <c r="AD46" s="103"/>
      <c r="AL46" s="103"/>
    </row>
    <row r="47" spans="2:44" hidden="1" x14ac:dyDescent="0.2">
      <c r="G47" s="35"/>
      <c r="M47" s="35"/>
      <c r="N47" s="103"/>
      <c r="U47" s="35"/>
      <c r="V47" s="103"/>
      <c r="AC47" s="35"/>
      <c r="AD47" s="103"/>
      <c r="AK47" s="35"/>
      <c r="AL47" s="103"/>
    </row>
    <row r="48" spans="2:44" hidden="1" x14ac:dyDescent="0.2">
      <c r="N48" s="103"/>
      <c r="V48" s="103"/>
      <c r="AD48" s="103"/>
      <c r="AL48" s="103"/>
    </row>
    <row r="49" spans="14:38" x14ac:dyDescent="0.2">
      <c r="N49" s="103"/>
      <c r="V49" s="103"/>
      <c r="AD49" s="103"/>
      <c r="AL49" s="103"/>
    </row>
    <row r="50" spans="14:38" x14ac:dyDescent="0.2">
      <c r="N50" s="103"/>
      <c r="V50" s="103"/>
      <c r="AD50" s="103"/>
      <c r="AL50" s="103"/>
    </row>
    <row r="51" spans="14:38" x14ac:dyDescent="0.2">
      <c r="N51" s="103"/>
      <c r="V51" s="103"/>
      <c r="AD51" s="103"/>
      <c r="AL51" s="103"/>
    </row>
    <row r="52" spans="14:38" x14ac:dyDescent="0.2">
      <c r="N52" s="103"/>
      <c r="V52" s="103"/>
      <c r="AD52" s="103"/>
      <c r="AL52" s="103"/>
    </row>
    <row r="53" spans="14:38" x14ac:dyDescent="0.2">
      <c r="N53" s="103"/>
      <c r="V53" s="103"/>
      <c r="AD53" s="103"/>
      <c r="AL53" s="103"/>
    </row>
  </sheetData>
  <mergeCells count="4">
    <mergeCell ref="P4:T4"/>
    <mergeCell ref="W4:AB4"/>
    <mergeCell ref="AE4:AJ4"/>
    <mergeCell ref="AM4:AR4"/>
  </mergeCells>
  <phoneticPr fontId="9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  <colBreaks count="5" manualBreakCount="5">
    <brk id="6" max="49" man="1"/>
    <brk id="12" max="49" man="1"/>
    <brk id="20" max="1048575" man="1"/>
    <brk id="28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V61"/>
  <sheetViews>
    <sheetView zoomScale="80" zoomScaleNormal="80" zoomScaleSheetLayoutView="90" workbookViewId="0">
      <pane xSplit="2" ySplit="4" topLeftCell="C8" activePane="bottomRight" state="frozen"/>
      <selection activeCell="D76" sqref="D76"/>
      <selection pane="topRight" activeCell="D76" sqref="D76"/>
      <selection pane="bottomLeft" activeCell="D76" sqref="D76"/>
      <selection pane="bottomRight" activeCell="C46" sqref="C46"/>
    </sheetView>
  </sheetViews>
  <sheetFormatPr defaultColWidth="9.33203125" defaultRowHeight="12.75" x14ac:dyDescent="0.2"/>
  <cols>
    <col min="1" max="1" width="1.6640625" style="211" customWidth="1"/>
    <col min="2" max="2" width="18.83203125" style="211" customWidth="1"/>
    <col min="3" max="14" width="15.33203125" style="211" customWidth="1"/>
    <col min="15" max="15" width="4.5" style="211" customWidth="1"/>
    <col min="16" max="16384" width="9.33203125" style="211"/>
  </cols>
  <sheetData>
    <row r="1" spans="2:19" s="5" customFormat="1" ht="15.75" x14ac:dyDescent="0.25">
      <c r="B1" s="1" t="s">
        <v>258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0"/>
    </row>
    <row r="2" spans="2:19" s="7" customFormat="1" ht="15" x14ac:dyDescent="0.25">
      <c r="B2" s="3" t="s">
        <v>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0"/>
    </row>
    <row r="3" spans="2:19" s="7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0"/>
    </row>
    <row r="4" spans="2:19" x14ac:dyDescent="0.2">
      <c r="C4" s="339" t="s">
        <v>228</v>
      </c>
      <c r="D4" s="340"/>
      <c r="E4" s="341"/>
      <c r="F4" s="339" t="s">
        <v>229</v>
      </c>
      <c r="G4" s="340"/>
      <c r="H4" s="341"/>
      <c r="I4" s="339" t="s">
        <v>230</v>
      </c>
      <c r="J4" s="340"/>
      <c r="K4" s="341"/>
      <c r="L4" s="339" t="s">
        <v>231</v>
      </c>
      <c r="M4" s="340"/>
      <c r="N4" s="341"/>
      <c r="O4" s="130"/>
    </row>
    <row r="5" spans="2:19" x14ac:dyDescent="0.2">
      <c r="B5" s="130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130"/>
    </row>
    <row r="6" spans="2:19" ht="38.25" x14ac:dyDescent="0.2">
      <c r="B6" s="336"/>
      <c r="C6" s="487" t="s">
        <v>343</v>
      </c>
      <c r="D6" s="337" t="s">
        <v>63</v>
      </c>
      <c r="E6" s="338" t="s">
        <v>28</v>
      </c>
      <c r="F6" s="487" t="s">
        <v>343</v>
      </c>
      <c r="G6" s="337" t="s">
        <v>63</v>
      </c>
      <c r="H6" s="338" t="s">
        <v>28</v>
      </c>
      <c r="I6" s="487" t="s">
        <v>343</v>
      </c>
      <c r="J6" s="337" t="s">
        <v>63</v>
      </c>
      <c r="K6" s="338" t="s">
        <v>28</v>
      </c>
      <c r="L6" s="487" t="s">
        <v>343</v>
      </c>
      <c r="M6" s="337" t="s">
        <v>63</v>
      </c>
      <c r="N6" s="338" t="s">
        <v>28</v>
      </c>
      <c r="O6" s="130"/>
    </row>
    <row r="7" spans="2:19" x14ac:dyDescent="0.2">
      <c r="B7" s="276" t="s">
        <v>2</v>
      </c>
      <c r="C7" s="278" t="s">
        <v>64</v>
      </c>
      <c r="D7" s="279" t="s">
        <v>64</v>
      </c>
      <c r="E7" s="277"/>
      <c r="F7" s="278" t="s">
        <v>64</v>
      </c>
      <c r="G7" s="279" t="s">
        <v>64</v>
      </c>
      <c r="H7" s="277"/>
      <c r="I7" s="278" t="s">
        <v>64</v>
      </c>
      <c r="J7" s="279" t="s">
        <v>64</v>
      </c>
      <c r="K7" s="277"/>
      <c r="L7" s="278" t="s">
        <v>64</v>
      </c>
      <c r="M7" s="279" t="s">
        <v>64</v>
      </c>
      <c r="N7" s="277"/>
      <c r="O7" s="130"/>
    </row>
    <row r="8" spans="2:19" x14ac:dyDescent="0.2">
      <c r="B8" s="280"/>
      <c r="C8" s="281" t="s">
        <v>100</v>
      </c>
      <c r="D8" s="282" t="s">
        <v>100</v>
      </c>
      <c r="E8" s="283" t="s">
        <v>100</v>
      </c>
      <c r="F8" s="281" t="s">
        <v>100</v>
      </c>
      <c r="G8" s="282" t="s">
        <v>100</v>
      </c>
      <c r="H8" s="283" t="s">
        <v>100</v>
      </c>
      <c r="I8" s="281" t="s">
        <v>100</v>
      </c>
      <c r="J8" s="282" t="s">
        <v>100</v>
      </c>
      <c r="K8" s="283" t="s">
        <v>100</v>
      </c>
      <c r="L8" s="281" t="s">
        <v>100</v>
      </c>
      <c r="M8" s="282" t="s">
        <v>100</v>
      </c>
      <c r="N8" s="283" t="s">
        <v>100</v>
      </c>
      <c r="O8" s="130"/>
    </row>
    <row r="9" spans="2:19" x14ac:dyDescent="0.2">
      <c r="C9" s="284" t="s">
        <v>19</v>
      </c>
      <c r="D9" s="285" t="s">
        <v>20</v>
      </c>
      <c r="E9" s="285" t="s">
        <v>21</v>
      </c>
      <c r="F9" s="286" t="s">
        <v>19</v>
      </c>
      <c r="G9" s="285" t="s">
        <v>20</v>
      </c>
      <c r="H9" s="285" t="s">
        <v>21</v>
      </c>
      <c r="I9" s="286" t="s">
        <v>19</v>
      </c>
      <c r="J9" s="285" t="s">
        <v>20</v>
      </c>
      <c r="K9" s="285" t="s">
        <v>21</v>
      </c>
      <c r="L9" s="286" t="s">
        <v>19</v>
      </c>
      <c r="M9" s="285" t="s">
        <v>20</v>
      </c>
      <c r="N9" s="285" t="s">
        <v>21</v>
      </c>
      <c r="O9" s="130"/>
    </row>
    <row r="10" spans="2:19" x14ac:dyDescent="0.2">
      <c r="C10" s="285"/>
      <c r="D10" s="285"/>
      <c r="E10" s="4" t="str">
        <f>C9&amp;" - "&amp;D9</f>
        <v>(a) - (b)</v>
      </c>
      <c r="F10" s="287"/>
      <c r="G10" s="285"/>
      <c r="H10" s="4" t="str">
        <f>F9&amp;" - "&amp;G9</f>
        <v>(a) - (b)</v>
      </c>
      <c r="I10" s="287"/>
      <c r="J10" s="285"/>
      <c r="K10" s="4" t="str">
        <f>I9&amp;" - "&amp;J9</f>
        <v>(a) - (b)</v>
      </c>
      <c r="L10" s="287"/>
      <c r="M10" s="285"/>
      <c r="N10" s="4" t="str">
        <f>L9&amp;" - "&amp;M9</f>
        <v>(a) - (b)</v>
      </c>
      <c r="O10" s="130"/>
    </row>
    <row r="11" spans="2:19" x14ac:dyDescent="0.2">
      <c r="C11" s="285"/>
      <c r="D11" s="285"/>
      <c r="E11" s="4"/>
      <c r="F11" s="287"/>
      <c r="G11" s="285"/>
      <c r="H11" s="4"/>
      <c r="I11" s="287"/>
      <c r="J11" s="285"/>
      <c r="K11" s="4"/>
      <c r="L11" s="287"/>
      <c r="M11" s="285"/>
      <c r="N11" s="4"/>
      <c r="O11" s="130"/>
    </row>
    <row r="12" spans="2:19" x14ac:dyDescent="0.2">
      <c r="B12" s="288">
        <f>'Tables 3 to 5'!B13</f>
        <v>2017</v>
      </c>
      <c r="C12" s="289">
        <f>($D$50*INDEX('Tariff Page'!$D$8:$D$32,MATCH($B12,'Tariff Page'!$B$8:$B$32,0))+$D$51*INDEX('Tariff Page'!$C$8:$C$32,MATCH($B12,'Tariff Page'!$B$8:$B$32,0))+$D$52*INDEX('Tariff Page'!$F$8:$F$32,MATCH($B12,'Tariff Page'!$B$8:$B$32,0))+$D$53*INDEX('Tariff Page'!$E$8:$E$32,MATCH($B12,'Tariff Page'!$B$8:$B$32,0)))*10</f>
        <v>22.664079096045199</v>
      </c>
      <c r="D12" s="289">
        <f>($D$50*INDEX('[16]Tariff Page'!$D$10:$D$27,MATCH($B12,'[16]Tariff Page'!$B$10:$B$27,0))+$D$51*INDEX('[16]Tariff Page'!$C$10:$C$27,MATCH($B12,'[16]Tariff Page'!$B$10:$B$27,0))+$D$52*INDEX('[16]Tariff Page'!$F$10:$F$27,MATCH($B12,'[16]Tariff Page'!$B$10:$B$27,0))+$D$53*INDEX('[16]Tariff Page'!$E$10:$E$27,MATCH($B12,'[16]Tariff Page'!$B$10:$B$27,0)))*10</f>
        <v>20.608122555410691</v>
      </c>
      <c r="E12" s="290">
        <f>C12-D12</f>
        <v>2.0559565406345079</v>
      </c>
      <c r="F12" s="291">
        <f>($H$50*INDEX('Tariff Page Wind'!$D$9:$D$32,MATCH($B12,'Tariff Page Wind'!$B$9:$B$32,0))+$H$51*INDEX('Tariff Page Wind'!$C$9:$C$32,MATCH($B12,'Tariff Page Wind'!$B$9:$B$32,0))+$H$52*INDEX('Tariff Page Wind'!$F$9:$F$32,MATCH($B12,'Tariff Page Wind'!$B$9:$B$32,0))+$H$53*INDEX('Tariff Page Wind'!$E$9:$E$32,MATCH($B12,'Tariff Page Wind'!$B$9:$B$32,0)))*10</f>
        <v>21.211399399216958</v>
      </c>
      <c r="G12" s="289">
        <f>($H$50*INDEX('[16]Tariff Page Wind'!$D$10:$D$27,MATCH($B12,'[16]Tariff Page Wind'!$B$10:$B$27,0))+$H$51*INDEX('[16]Tariff Page Wind'!$C$10:$C$27,MATCH($B12,'[16]Tariff Page Wind'!$B$10:$B$27,0))+$H$52*INDEX('[16]Tariff Page Wind'!$F$10:$F$27,MATCH($B12,'[16]Tariff Page Wind'!$B$10:$B$27,0))+$H$53*INDEX('[16]Tariff Page Wind'!$E$10:$E$27,MATCH($B12,'[16]Tariff Page Wind'!$B$10:$B$27,0)))*10</f>
        <v>18.597911594674194</v>
      </c>
      <c r="H12" s="290">
        <f>F12-G12</f>
        <v>2.6134878045427641</v>
      </c>
      <c r="I12" s="291">
        <f>($K$50*INDEX('Tariff Page Solar Fixed'!$D$9:$D$33,MATCH($B12,'Tariff Page Solar Fixed'!$B$9:$B$33,0))+$K$51*INDEX('Tariff Page Solar Fixed'!$C$9:$C$33,MATCH($B12,'Tariff Page Solar Fixed'!$B$9:$B$33,0))+$K$52*INDEX('Tariff Page Solar Fixed'!$F$9:$F$33,MATCH($B12,'Tariff Page Solar Fixed'!$B$9:$B$33,0))+$K$53*INDEX('Tariff Page Solar Fixed'!$E$9:$E$33,MATCH($B12,'Tariff Page Solar Fixed'!$B$9:$B$33,0)))*10</f>
        <v>23.035106669562694</v>
      </c>
      <c r="J12" s="289">
        <f>($K$50*INDEX('[16]Tariff Page Solar Fixed'!$D$10:$D$27,MATCH($B12,'[16]Tariff Page Solar Fixed'!$B$10:$B$27,0))+$K$51*INDEX('[16]Tariff Page Solar Fixed'!$C$10:$C$27,MATCH($B12,'[16]Tariff Page Solar Fixed'!$B$10:$B$27,0))+$K$52*INDEX('[16]Tariff Page Solar Fixed'!$F$10:$F$27,MATCH($B12,'[16]Tariff Page Solar Fixed'!$B$10:$B$27,0))+$K$53*INDEX('[16]Tariff Page Solar Fixed'!$E$10:$E$27,MATCH($B12,'[16]Tariff Page Solar Fixed'!$B$10:$B$27,0)))*10</f>
        <v>18.731744906378182</v>
      </c>
      <c r="K12" s="290">
        <f>I12-J12</f>
        <v>4.3033617631845118</v>
      </c>
      <c r="L12" s="291">
        <f>($N$50*INDEX('Tariff Page Solar Tracking'!$D$9:$D$33,MATCH($B12,'Tariff Page Solar Tracking'!$B$9:$B$33,0))+$N$51*INDEX('Tariff Page Solar Tracking'!$C$9:$C$33,MATCH($B12,'Tariff Page Solar Tracking'!$B$9:$B$33,0))+$N$52*INDEX('Tariff Page Solar Tracking'!$F$9:$F$33,MATCH($B12,'Tariff Page Solar Tracking'!$B$9:$B$33,0))+$N$53*INDEX('Tariff Page Solar Tracking'!$E$9:$E$33,MATCH($B12,'Tariff Page Solar Tracking'!$B$9:$B$33,0)))*10</f>
        <v>22.770263792456586</v>
      </c>
      <c r="M12" s="289">
        <f>($N$50*INDEX('[16]Tariff Page Solar Tracking'!$D$10:$D$27,MATCH($B12,'[16]Tariff Page Solar Tracking'!$B$10:$B$27,0))+$N$51*INDEX('[16]Tariff Page Solar Tracking'!$C$10:$C$27,MATCH($B12,'[16]Tariff Page Solar Tracking'!$B$10:$B$27,0))+$N$52*INDEX('[16]Tariff Page Solar Tracking'!$F$10:$F$27,MATCH($B12,'[16]Tariff Page Solar Tracking'!$B$10:$B$27,0))+$N$53*INDEX('[16]Tariff Page Solar Tracking'!$E$10:$E$27,MATCH($B12,'[16]Tariff Page Solar Tracking'!$B$10:$B$27,0)))*10</f>
        <v>19.283997637373524</v>
      </c>
      <c r="N12" s="290">
        <f>L12-M12</f>
        <v>3.4862661550830616</v>
      </c>
      <c r="O12" s="130"/>
      <c r="Q12" s="271"/>
      <c r="R12" s="271"/>
    </row>
    <row r="13" spans="2:19" x14ac:dyDescent="0.2">
      <c r="B13" s="288">
        <f>'Tables 3 to 5'!B14</f>
        <v>2018</v>
      </c>
      <c r="C13" s="289">
        <f>($D$50*INDEX('Tariff Page'!$D$9:$D$32,MATCH($B13,'Tariff Page'!$B$9:$B$32,0))+$D$51*INDEX('Tariff Page'!$C$9:$C$32,MATCH($B13,'Tariff Page'!$B$9:$B$32,0))+$D$52*INDEX('Tariff Page'!$F$9:$F$32,MATCH($B13,'Tariff Page'!$B$9:$B$32,0))+$D$53*INDEX('Tariff Page'!$E$9:$E$32,MATCH($B13,'Tariff Page'!$B$9:$B$32,0)))*10</f>
        <v>20.39053281182095</v>
      </c>
      <c r="D13" s="289">
        <f>($D$50*INDEX('[16]Tariff Page'!$D$10:$D$27,MATCH($B13,'[16]Tariff Page'!$B$10:$B$27,0))+$D$51*INDEX('[16]Tariff Page'!$C$10:$C$27,MATCH($B13,'[16]Tariff Page'!$B$10:$B$27,0))+$D$52*INDEX('[16]Tariff Page'!$F$10:$F$27,MATCH($B13,'[16]Tariff Page'!$B$10:$B$27,0))+$D$53*INDEX('[16]Tariff Page'!$E$10:$E$27,MATCH($B13,'[16]Tariff Page'!$B$10:$B$27,0)))*10</f>
        <v>22.841131681877446</v>
      </c>
      <c r="E13" s="290">
        <f>C13-D13</f>
        <v>-2.4505988700564956</v>
      </c>
      <c r="F13" s="291">
        <f>($H$50*INDEX('Tariff Page Wind'!$D$9:$D$32,MATCH($B13,'Tariff Page Wind'!$B$9:$B$32,0))+$H$51*INDEX('Tariff Page Wind'!$C$9:$C$32,MATCH($B13,'Tariff Page Wind'!$B$9:$B$32,0))+$H$52*INDEX('Tariff Page Wind'!$F$9:$F$32,MATCH($B13,'Tariff Page Wind'!$B$9:$B$32,0))+$H$53*INDEX('Tariff Page Wind'!$E$9:$E$32,MATCH($B13,'Tariff Page Wind'!$B$9:$B$32,0)))*10</f>
        <v>18.993416244971144</v>
      </c>
      <c r="G13" s="289">
        <f>($H$50*INDEX('[16]Tariff Page Wind'!$D$10:$D$27,MATCH($B13,'[16]Tariff Page Wind'!$B$10:$B$27,0))+$H$51*INDEX('[16]Tariff Page Wind'!$C$10:$C$27,MATCH($B13,'[16]Tariff Page Wind'!$B$10:$B$27,0))+$H$52*INDEX('[16]Tariff Page Wind'!$F$10:$F$27,MATCH($B13,'[16]Tariff Page Wind'!$B$10:$B$27,0))+$H$53*INDEX('[16]Tariff Page Wind'!$E$10:$E$27,MATCH($B13,'[16]Tariff Page Wind'!$B$10:$B$27,0)))*10</f>
        <v>20.45928828334587</v>
      </c>
      <c r="H13" s="290">
        <f>F13-G13</f>
        <v>-1.4658720383747266</v>
      </c>
      <c r="I13" s="291">
        <f>($K$50*INDEX('Tariff Page Solar Fixed'!$D$9:$D$33,MATCH($B13,'Tariff Page Solar Fixed'!$B$9:$B$33,0))+$K$51*INDEX('Tariff Page Solar Fixed'!$C$9:$C$33,MATCH($B13,'Tariff Page Solar Fixed'!$B$9:$B$33,0))+$K$52*INDEX('Tariff Page Solar Fixed'!$F$9:$F$33,MATCH($B13,'Tariff Page Solar Fixed'!$B$9:$B$33,0))+$K$53*INDEX('Tariff Page Solar Fixed'!$E$9:$E$33,MATCH($B13,'Tariff Page Solar Fixed'!$B$9:$B$33,0)))*10</f>
        <v>20.731718793174572</v>
      </c>
      <c r="J13" s="289">
        <f>($K$50*INDEX('[16]Tariff Page Solar Fixed'!$D$10:$D$27,MATCH($B13,'[16]Tariff Page Solar Fixed'!$B$10:$B$27,0))+$K$51*INDEX('[16]Tariff Page Solar Fixed'!$C$10:$C$27,MATCH($B13,'[16]Tariff Page Solar Fixed'!$B$10:$B$27,0))+$K$52*INDEX('[16]Tariff Page Solar Fixed'!$F$10:$F$27,MATCH($B13,'[16]Tariff Page Solar Fixed'!$B$10:$B$27,0))+$K$53*INDEX('[16]Tariff Page Solar Fixed'!$E$10:$E$27,MATCH($B13,'[16]Tariff Page Solar Fixed'!$B$10:$B$27,0)))*10</f>
        <v>21.055133806343846</v>
      </c>
      <c r="K13" s="290">
        <f>I13-J13</f>
        <v>-0.32341501316927435</v>
      </c>
      <c r="L13" s="291">
        <f>($N$50*INDEX('Tariff Page Solar Tracking'!$D$9:$D$33,MATCH($B13,'Tariff Page Solar Tracking'!$B$9:$B$33,0))+$N$51*INDEX('Tariff Page Solar Tracking'!$C$9:$C$33,MATCH($B13,'Tariff Page Solar Tracking'!$B$9:$B$33,0))+$N$52*INDEX('Tariff Page Solar Tracking'!$F$9:$F$33,MATCH($B13,'Tariff Page Solar Tracking'!$B$9:$B$33,0))+$N$53*INDEX('Tariff Page Solar Tracking'!$E$9:$E$33,MATCH($B13,'Tariff Page Solar Tracking'!$B$9:$B$33,0)))*10</f>
        <v>20.514395618336671</v>
      </c>
      <c r="M13" s="289">
        <f>($N$50*INDEX('[16]Tariff Page Solar Tracking'!$D$10:$D$27,MATCH($B13,'[16]Tariff Page Solar Tracking'!$B$10:$B$27,0))+$N$51*INDEX('[16]Tariff Page Solar Tracking'!$C$10:$C$27,MATCH($B13,'[16]Tariff Page Solar Tracking'!$B$10:$B$27,0))+$N$52*INDEX('[16]Tariff Page Solar Tracking'!$F$10:$F$27,MATCH($B13,'[16]Tariff Page Solar Tracking'!$B$10:$B$27,0))+$N$53*INDEX('[16]Tariff Page Solar Tracking'!$E$10:$E$27,MATCH($B13,'[16]Tariff Page Solar Tracking'!$B$10:$B$27,0)))*10</f>
        <v>21.534631085214958</v>
      </c>
      <c r="N13" s="290">
        <f>L13-M13</f>
        <v>-1.0202354668782867</v>
      </c>
      <c r="O13" s="130"/>
      <c r="Q13" s="271"/>
      <c r="R13" s="271"/>
    </row>
    <row r="14" spans="2:19" s="130" customFormat="1" x14ac:dyDescent="0.2">
      <c r="B14" s="288">
        <f>B13+1</f>
        <v>2019</v>
      </c>
      <c r="C14" s="289">
        <f>($D$50*INDEX('Tariff Page'!$D$9:$D$32,MATCH($B14,'Tariff Page'!$B$9:$B$32,0))+$D$51*INDEX('Tariff Page'!$C$9:$C$32,MATCH($B14,'Tariff Page'!$B$9:$B$32,0))+$D$52*INDEX('Tariff Page'!$F$9:$F$32,MATCH($B14,'Tariff Page'!$B$9:$B$32,0))+$D$53*INDEX('Tariff Page'!$E$9:$E$32,MATCH($B14,'Tariff Page'!$B$9:$B$32,0)))*10</f>
        <v>19.587320295523686</v>
      </c>
      <c r="D14" s="289">
        <f>($D$50*INDEX('[16]Tariff Page'!$D$10:$D$27,MATCH($B14,'[16]Tariff Page'!$B$10:$B$27,0))+$D$51*INDEX('[16]Tariff Page'!$C$10:$C$27,MATCH($B14,'[16]Tariff Page'!$B$10:$B$27,0))+$D$52*INDEX('[16]Tariff Page'!$F$10:$F$27,MATCH($B14,'[16]Tariff Page'!$B$10:$B$27,0))+$D$53*INDEX('[16]Tariff Page'!$E$10:$E$27,MATCH($B14,'[16]Tariff Page'!$B$10:$B$27,0)))*10</f>
        <v>24.024144285093438</v>
      </c>
      <c r="E14" s="290">
        <f t="shared" ref="E14:E30" si="0">C14-D14</f>
        <v>-4.4368239895697528</v>
      </c>
      <c r="F14" s="291">
        <f>($H$50*INDEX('Tariff Page Wind'!$D$9:$D$32,MATCH($B14,'Tariff Page Wind'!$B$9:$B$32,0))+$H$51*INDEX('Tariff Page Wind'!$C$9:$C$32,MATCH($B14,'Tariff Page Wind'!$B$9:$B$32,0))+$H$52*INDEX('Tariff Page Wind'!$F$9:$F$32,MATCH($B14,'Tariff Page Wind'!$B$9:$B$32,0))+$H$53*INDEX('Tariff Page Wind'!$E$9:$E$32,MATCH($B14,'Tariff Page Wind'!$B$9:$B$32,0)))*10</f>
        <v>18.081182394652217</v>
      </c>
      <c r="G14" s="289">
        <f>($H$50*INDEX('[16]Tariff Page Wind'!$D$10:$D$27,MATCH($B14,'[16]Tariff Page Wind'!$B$10:$B$27,0))+$H$51*INDEX('[16]Tariff Page Wind'!$C$10:$C$27,MATCH($B14,'[16]Tariff Page Wind'!$B$10:$B$27,0))+$H$52*INDEX('[16]Tariff Page Wind'!$F$10:$F$27,MATCH($B14,'[16]Tariff Page Wind'!$B$10:$B$27,0))+$H$53*INDEX('[16]Tariff Page Wind'!$E$10:$E$27,MATCH($B14,'[16]Tariff Page Wind'!$B$10:$B$27,0)))*10</f>
        <v>21.55569987691246</v>
      </c>
      <c r="H14" s="290">
        <f t="shared" ref="H14:H30" si="1">F14-G14</f>
        <v>-3.4745174822602429</v>
      </c>
      <c r="I14" s="291">
        <f>($K$50*INDEX('Tariff Page Solar Fixed'!$D$9:$D$33,MATCH($B14,'Tariff Page Solar Fixed'!$B$9:$B$33,0))+$K$51*INDEX('Tariff Page Solar Fixed'!$C$9:$C$33,MATCH($B14,'Tariff Page Solar Fixed'!$B$9:$B$33,0))+$K$52*INDEX('Tariff Page Solar Fixed'!$F$9:$F$33,MATCH($B14,'Tariff Page Solar Fixed'!$B$9:$B$33,0))+$K$53*INDEX('Tariff Page Solar Fixed'!$E$9:$E$33,MATCH($B14,'Tariff Page Solar Fixed'!$B$9:$B$33,0)))*10</f>
        <v>20.379728055682428</v>
      </c>
      <c r="J14" s="289">
        <f>($K$50*INDEX('[16]Tariff Page Solar Fixed'!$D$10:$D$27,MATCH($B14,'[16]Tariff Page Solar Fixed'!$B$10:$B$27,0))+$K$51*INDEX('[16]Tariff Page Solar Fixed'!$C$10:$C$27,MATCH($B14,'[16]Tariff Page Solar Fixed'!$B$10:$B$27,0))+$K$52*INDEX('[16]Tariff Page Solar Fixed'!$F$10:$F$27,MATCH($B14,'[16]Tariff Page Solar Fixed'!$B$10:$B$27,0))+$K$53*INDEX('[16]Tariff Page Solar Fixed'!$E$10:$E$27,MATCH($B14,'[16]Tariff Page Solar Fixed'!$B$10:$B$27,0)))*10</f>
        <v>22.394380019765279</v>
      </c>
      <c r="K14" s="290">
        <f t="shared" ref="K14:K30" si="2">I14-J14</f>
        <v>-2.0146519640828515</v>
      </c>
      <c r="L14" s="291">
        <f>($N$50*INDEX('Tariff Page Solar Tracking'!$D$9:$D$33,MATCH($B14,'Tariff Page Solar Tracking'!$B$9:$B$33,0))+$N$51*INDEX('Tariff Page Solar Tracking'!$C$9:$C$33,MATCH($B14,'Tariff Page Solar Tracking'!$B$9:$B$33,0))+$N$52*INDEX('Tariff Page Solar Tracking'!$F$9:$F$33,MATCH($B14,'Tariff Page Solar Tracking'!$B$9:$B$33,0))+$N$53*INDEX('Tariff Page Solar Tracking'!$E$9:$E$33,MATCH($B14,'Tariff Page Solar Tracking'!$B$9:$B$33,0)))*10</f>
        <v>20.304919990723299</v>
      </c>
      <c r="M14" s="289">
        <f>($N$50*INDEX('[16]Tariff Page Solar Tracking'!$D$10:$D$27,MATCH($B14,'[16]Tariff Page Solar Tracking'!$B$10:$B$27,0))+$N$51*INDEX('[16]Tariff Page Solar Tracking'!$C$10:$C$27,MATCH($B14,'[16]Tariff Page Solar Tracking'!$B$10:$B$27,0))+$N$52*INDEX('[16]Tariff Page Solar Tracking'!$F$10:$F$27,MATCH($B14,'[16]Tariff Page Solar Tracking'!$B$10:$B$27,0))+$N$53*INDEX('[16]Tariff Page Solar Tracking'!$E$10:$E$27,MATCH($B14,'[16]Tariff Page Solar Tracking'!$B$10:$B$27,0)))*10</f>
        <v>22.9647174778368</v>
      </c>
      <c r="N14" s="290">
        <f t="shared" ref="N14:N30" si="3">L14-M14</f>
        <v>-2.6597974871135008</v>
      </c>
      <c r="S14" s="292"/>
    </row>
    <row r="15" spans="2:19" x14ac:dyDescent="0.2">
      <c r="B15" s="288">
        <f t="shared" ref="B15:B32" si="4">B14+1</f>
        <v>2020</v>
      </c>
      <c r="C15" s="289">
        <f>($D$50*INDEX('Tariff Page'!$D$9:$D$32,MATCH($B15,'Tariff Page'!$B$9:$B$32,0))+$D$51*INDEX('Tariff Page'!$C$9:$C$32,MATCH($B15,'Tariff Page'!$B$9:$B$32,0))+$D$52*INDEX('Tariff Page'!$F$9:$F$32,MATCH($B15,'Tariff Page'!$B$9:$B$32,0))+$D$53*INDEX('Tariff Page'!$E$9:$E$32,MATCH($B15,'Tariff Page'!$B$9:$B$32,0)))*10</f>
        <v>18.485562798783143</v>
      </c>
      <c r="D15" s="289">
        <f>($D$50*INDEX('[16]Tariff Page'!$D$10:$D$27,MATCH($B15,'[16]Tariff Page'!$B$10:$B$27,0))+$D$51*INDEX('[16]Tariff Page'!$C$10:$C$27,MATCH($B15,'[16]Tariff Page'!$B$10:$B$27,0))+$D$52*INDEX('[16]Tariff Page'!$F$10:$F$27,MATCH($B15,'[16]Tariff Page'!$B$10:$B$27,0))+$D$53*INDEX('[16]Tariff Page'!$E$10:$E$27,MATCH($B15,'[16]Tariff Page'!$B$10:$B$27,0)))*10</f>
        <v>25.596621468926557</v>
      </c>
      <c r="E15" s="290">
        <f t="shared" si="0"/>
        <v>-7.1110586701434144</v>
      </c>
      <c r="F15" s="291">
        <f>($H$50*INDEX('Tariff Page Wind'!$D$9:$D$32,MATCH($B15,'Tariff Page Wind'!$B$9:$B$32,0))+$H$51*INDEX('Tariff Page Wind'!$C$9:$C$32,MATCH($B15,'Tariff Page Wind'!$B$9:$B$32,0))+$H$52*INDEX('Tariff Page Wind'!$F$9:$F$32,MATCH($B15,'Tariff Page Wind'!$B$9:$B$32,0))+$H$53*INDEX('Tariff Page Wind'!$E$9:$E$32,MATCH($B15,'Tariff Page Wind'!$B$9:$B$32,0)))*10</f>
        <v>16.919119226568988</v>
      </c>
      <c r="G15" s="289">
        <f>($H$50*INDEX('[16]Tariff Page Wind'!$D$10:$D$27,MATCH($B15,'[16]Tariff Page Wind'!$B$10:$B$27,0))+$H$51*INDEX('[16]Tariff Page Wind'!$C$10:$C$27,MATCH($B15,'[16]Tariff Page Wind'!$B$10:$B$27,0))+$H$52*INDEX('[16]Tariff Page Wind'!$F$10:$F$27,MATCH($B15,'[16]Tariff Page Wind'!$B$10:$B$27,0))+$H$53*INDEX('[16]Tariff Page Wind'!$E$10:$E$27,MATCH($B15,'[16]Tariff Page Wind'!$B$10:$B$27,0)))*10</f>
        <v>23.090308211001851</v>
      </c>
      <c r="H15" s="290">
        <f t="shared" si="1"/>
        <v>-6.1711889844328631</v>
      </c>
      <c r="I15" s="291">
        <f>($K$50*INDEX('Tariff Page Solar Fixed'!$D$9:$D$33,MATCH($B15,'Tariff Page Solar Fixed'!$B$9:$B$33,0))+$K$51*INDEX('Tariff Page Solar Fixed'!$C$9:$C$33,MATCH($B15,'Tariff Page Solar Fixed'!$B$9:$B$33,0))+$K$52*INDEX('Tariff Page Solar Fixed'!$F$9:$F$33,MATCH($B15,'Tariff Page Solar Fixed'!$B$9:$B$33,0))+$K$53*INDEX('Tariff Page Solar Fixed'!$E$9:$E$33,MATCH($B15,'Tariff Page Solar Fixed'!$B$9:$B$33,0)))*10</f>
        <v>19.410053091735676</v>
      </c>
      <c r="J15" s="289">
        <f>($K$50*INDEX('[16]Tariff Page Solar Fixed'!$D$10:$D$27,MATCH($B15,'[16]Tariff Page Solar Fixed'!$B$10:$B$27,0))+$K$51*INDEX('[16]Tariff Page Solar Fixed'!$C$10:$C$27,MATCH($B15,'[16]Tariff Page Solar Fixed'!$B$10:$B$27,0))+$K$52*INDEX('[16]Tariff Page Solar Fixed'!$F$10:$F$27,MATCH($B15,'[16]Tariff Page Solar Fixed'!$B$10:$B$27,0))+$K$53*INDEX('[16]Tariff Page Solar Fixed'!$E$10:$E$27,MATCH($B15,'[16]Tariff Page Solar Fixed'!$B$10:$B$27,0)))*10</f>
        <v>23.976568873213399</v>
      </c>
      <c r="K15" s="290">
        <f t="shared" si="2"/>
        <v>-4.5665157814777224</v>
      </c>
      <c r="L15" s="291">
        <f>($N$50*INDEX('Tariff Page Solar Tracking'!$D$9:$D$33,MATCH($B15,'Tariff Page Solar Tracking'!$B$9:$B$33,0))+$N$51*INDEX('Tariff Page Solar Tracking'!$C$9:$C$33,MATCH($B15,'Tariff Page Solar Tracking'!$B$9:$B$33,0))+$N$52*INDEX('Tariff Page Solar Tracking'!$F$9:$F$33,MATCH($B15,'Tariff Page Solar Tracking'!$B$9:$B$33,0))+$N$53*INDEX('Tariff Page Solar Tracking'!$E$9:$E$33,MATCH($B15,'Tariff Page Solar Tracking'!$B$9:$B$33,0)))*10</f>
        <v>19.383705001771503</v>
      </c>
      <c r="M15" s="289">
        <f>($N$50*INDEX('[16]Tariff Page Solar Tracking'!$D$10:$D$27,MATCH($B15,'[16]Tariff Page Solar Tracking'!$B$10:$B$27,0))+$N$51*INDEX('[16]Tariff Page Solar Tracking'!$C$10:$C$27,MATCH($B15,'[16]Tariff Page Solar Tracking'!$B$10:$B$27,0))+$N$52*INDEX('[16]Tariff Page Solar Tracking'!$F$10:$F$27,MATCH($B15,'[16]Tariff Page Solar Tracking'!$B$10:$B$27,0))+$N$53*INDEX('[16]Tariff Page Solar Tracking'!$E$10:$E$27,MATCH($B15,'[16]Tariff Page Solar Tracking'!$B$10:$B$27,0)))*10</f>
        <v>24.418088672086856</v>
      </c>
      <c r="N15" s="290">
        <f t="shared" si="3"/>
        <v>-5.0343836703153535</v>
      </c>
      <c r="S15" s="271"/>
    </row>
    <row r="16" spans="2:19" x14ac:dyDescent="0.2">
      <c r="B16" s="288">
        <f t="shared" si="4"/>
        <v>2021</v>
      </c>
      <c r="C16" s="289">
        <f>($D$50*INDEX('Tariff Page'!$D$9:$D$32,MATCH($B16,'Tariff Page'!$B$9:$B$32,0))+$D$51*INDEX('Tariff Page'!$C$9:$C$32,MATCH($B16,'Tariff Page'!$B$9:$B$32,0))+$D$52*INDEX('Tariff Page'!$F$9:$F$32,MATCH($B16,'Tariff Page'!$B$9:$B$32,0))+$D$53*INDEX('Tariff Page'!$E$9:$E$32,MATCH($B16,'Tariff Page'!$B$9:$B$32,0)))*10</f>
        <v>18.787240330291176</v>
      </c>
      <c r="D16" s="289">
        <f>($D$50*INDEX('[16]Tariff Page'!$D$10:$D$27,MATCH($B16,'[16]Tariff Page'!$B$10:$B$27,0))+$D$51*INDEX('[16]Tariff Page'!$C$10:$C$27,MATCH($B16,'[16]Tariff Page'!$B$10:$B$27,0))+$D$52*INDEX('[16]Tariff Page'!$F$10:$F$27,MATCH($B16,'[16]Tariff Page'!$B$10:$B$27,0))+$D$53*INDEX('[16]Tariff Page'!$E$10:$E$27,MATCH($B16,'[16]Tariff Page'!$B$10:$B$27,0)))*10</f>
        <v>27.300233811386356</v>
      </c>
      <c r="E16" s="290">
        <f t="shared" si="0"/>
        <v>-8.5129934810951795</v>
      </c>
      <c r="F16" s="291">
        <f>($H$50*INDEX('Tariff Page Wind'!$D$9:$D$32,MATCH($B16,'Tariff Page Wind'!$B$9:$B$32,0))+$H$51*INDEX('Tariff Page Wind'!$C$9:$C$32,MATCH($B16,'Tariff Page Wind'!$B$9:$B$32,0))+$H$52*INDEX('Tariff Page Wind'!$F$9:$F$32,MATCH($B16,'Tariff Page Wind'!$B$9:$B$32,0))+$H$53*INDEX('Tariff Page Wind'!$E$9:$E$32,MATCH($B16,'Tariff Page Wind'!$B$9:$B$32,0)))*10</f>
        <v>17.272315798027069</v>
      </c>
      <c r="G16" s="289">
        <f>($H$50*INDEX('[16]Tariff Page Wind'!$D$10:$D$27,MATCH($B16,'[16]Tariff Page Wind'!$B$10:$B$27,0))+$H$51*INDEX('[16]Tariff Page Wind'!$C$10:$C$27,MATCH($B16,'[16]Tariff Page Wind'!$B$10:$B$27,0))+$H$52*INDEX('[16]Tariff Page Wind'!$F$10:$F$27,MATCH($B16,'[16]Tariff Page Wind'!$B$10:$B$27,0))+$H$53*INDEX('[16]Tariff Page Wind'!$E$10:$E$27,MATCH($B16,'[16]Tariff Page Wind'!$B$10:$B$27,0)))*10</f>
        <v>24.868469171175711</v>
      </c>
      <c r="H16" s="290">
        <f t="shared" si="1"/>
        <v>-7.5961533731486419</v>
      </c>
      <c r="I16" s="291">
        <f>($K$50*INDEX('Tariff Page Solar Fixed'!$D$9:$D$33,MATCH($B16,'Tariff Page Solar Fixed'!$B$9:$B$33,0))+$K$51*INDEX('Tariff Page Solar Fixed'!$C$9:$C$33,MATCH($B16,'Tariff Page Solar Fixed'!$B$9:$B$33,0))+$K$52*INDEX('Tariff Page Solar Fixed'!$F$9:$F$33,MATCH($B16,'Tariff Page Solar Fixed'!$B$9:$B$33,0))+$K$53*INDEX('Tariff Page Solar Fixed'!$E$9:$E$33,MATCH($B16,'Tariff Page Solar Fixed'!$B$9:$B$33,0)))*10</f>
        <v>19.494490579106724</v>
      </c>
      <c r="J16" s="289">
        <f>($K$50*INDEX('[16]Tariff Page Solar Fixed'!$D$10:$D$27,MATCH($B16,'[16]Tariff Page Solar Fixed'!$B$10:$B$27,0))+$K$51*INDEX('[16]Tariff Page Solar Fixed'!$C$10:$C$27,MATCH($B16,'[16]Tariff Page Solar Fixed'!$B$10:$B$27,0))+$K$52*INDEX('[16]Tariff Page Solar Fixed'!$F$10:$F$27,MATCH($B16,'[16]Tariff Page Solar Fixed'!$B$10:$B$27,0))+$K$53*INDEX('[16]Tariff Page Solar Fixed'!$E$10:$E$27,MATCH($B16,'[16]Tariff Page Solar Fixed'!$B$10:$B$27,0)))*10</f>
        <v>25.78279000000812</v>
      </c>
      <c r="K16" s="290">
        <f t="shared" si="2"/>
        <v>-6.2882994209013958</v>
      </c>
      <c r="L16" s="291">
        <f>($N$50*INDEX('Tariff Page Solar Tracking'!$D$9:$D$33,MATCH($B16,'Tariff Page Solar Tracking'!$B$9:$B$33,0))+$N$51*INDEX('Tariff Page Solar Tracking'!$C$9:$C$33,MATCH($B16,'Tariff Page Solar Tracking'!$B$9:$B$33,0))+$N$52*INDEX('Tariff Page Solar Tracking'!$F$9:$F$33,MATCH($B16,'Tariff Page Solar Tracking'!$B$9:$B$33,0))+$N$53*INDEX('Tariff Page Solar Tracking'!$E$9:$E$33,MATCH($B16,'Tariff Page Solar Tracking'!$B$9:$B$33,0)))*10</f>
        <v>19.435707742681874</v>
      </c>
      <c r="M16" s="289">
        <f>($N$50*INDEX('[16]Tariff Page Solar Tracking'!$D$10:$D$27,MATCH($B16,'[16]Tariff Page Solar Tracking'!$B$10:$B$27,0))+$N$51*INDEX('[16]Tariff Page Solar Tracking'!$C$10:$C$27,MATCH($B16,'[16]Tariff Page Solar Tracking'!$B$10:$B$27,0))+$N$52*INDEX('[16]Tariff Page Solar Tracking'!$F$10:$F$27,MATCH($B16,'[16]Tariff Page Solar Tracking'!$B$10:$B$27,0))+$N$53*INDEX('[16]Tariff Page Solar Tracking'!$E$10:$E$27,MATCH($B16,'[16]Tariff Page Solar Tracking'!$B$10:$B$27,0)))*10</f>
        <v>26.311305136664576</v>
      </c>
      <c r="N16" s="290">
        <f t="shared" si="3"/>
        <v>-6.8755973939827015</v>
      </c>
      <c r="S16" s="271"/>
    </row>
    <row r="17" spans="2:19" x14ac:dyDescent="0.2">
      <c r="B17" s="288">
        <f t="shared" si="4"/>
        <v>2022</v>
      </c>
      <c r="C17" s="289">
        <f>($D$50*INDEX('Tariff Page'!$D$9:$D$32,MATCH($B17,'Tariff Page'!$B$9:$B$32,0))+$D$51*INDEX('Tariff Page'!$C$9:$C$32,MATCH($B17,'Tariff Page'!$B$9:$B$32,0))+$D$52*INDEX('Tariff Page'!$F$9:$F$32,MATCH($B17,'Tariff Page'!$B$9:$B$32,0))+$D$53*INDEX('Tariff Page'!$E$9:$E$32,MATCH($B17,'Tariff Page'!$B$9:$B$32,0)))*10</f>
        <v>20.431158626684049</v>
      </c>
      <c r="D17" s="289">
        <f>($D$50*INDEX('[16]Tariff Page'!$D$10:$D$27,MATCH($B17,'[16]Tariff Page'!$B$10:$B$27,0))+$D$51*INDEX('[16]Tariff Page'!$C$10:$C$27,MATCH($B17,'[16]Tariff Page'!$B$10:$B$27,0))+$D$52*INDEX('[16]Tariff Page'!$F$10:$F$27,MATCH($B17,'[16]Tariff Page'!$B$10:$B$27,0))+$D$53*INDEX('[16]Tariff Page'!$E$10:$E$27,MATCH($B17,'[16]Tariff Page'!$B$10:$B$27,0)))*10</f>
        <v>29.757980877879184</v>
      </c>
      <c r="E17" s="290">
        <f t="shared" si="0"/>
        <v>-9.3268222511951357</v>
      </c>
      <c r="F17" s="291">
        <f>($H$50*INDEX('Tariff Page Wind'!$D$9:$D$32,MATCH($B17,'Tariff Page Wind'!$B$9:$B$32,0))+$H$51*INDEX('Tariff Page Wind'!$C$9:$C$32,MATCH($B17,'Tariff Page Wind'!$B$9:$B$32,0))+$H$52*INDEX('Tariff Page Wind'!$F$9:$F$32,MATCH($B17,'Tariff Page Wind'!$B$9:$B$32,0))+$H$53*INDEX('Tariff Page Wind'!$E$9:$E$32,MATCH($B17,'Tariff Page Wind'!$B$9:$B$32,0)))*10</f>
        <v>18.990243471757893</v>
      </c>
      <c r="G17" s="289">
        <f>($H$50*INDEX('[16]Tariff Page Wind'!$D$10:$D$27,MATCH($B17,'[16]Tariff Page Wind'!$B$10:$B$27,0))+$H$51*INDEX('[16]Tariff Page Wind'!$C$10:$C$27,MATCH($B17,'[16]Tariff Page Wind'!$B$10:$B$27,0))+$H$52*INDEX('[16]Tariff Page Wind'!$F$10:$F$27,MATCH($B17,'[16]Tariff Page Wind'!$B$10:$B$27,0))+$H$53*INDEX('[16]Tariff Page Wind'!$E$10:$E$27,MATCH($B17,'[16]Tariff Page Wind'!$B$10:$B$27,0)))*10</f>
        <v>27.313929178176966</v>
      </c>
      <c r="H17" s="290">
        <f t="shared" si="1"/>
        <v>-8.3236857064190737</v>
      </c>
      <c r="I17" s="291">
        <f>($K$50*INDEX('Tariff Page Solar Fixed'!$D$9:$D$33,MATCH($B17,'Tariff Page Solar Fixed'!$B$9:$B$33,0))+$K$51*INDEX('Tariff Page Solar Fixed'!$C$9:$C$33,MATCH($B17,'Tariff Page Solar Fixed'!$B$9:$B$33,0))+$K$52*INDEX('Tariff Page Solar Fixed'!$F$9:$F$33,MATCH($B17,'Tariff Page Solar Fixed'!$B$9:$B$33,0))+$K$53*INDEX('Tariff Page Solar Fixed'!$E$9:$E$33,MATCH($B17,'Tariff Page Solar Fixed'!$B$9:$B$33,0)))*10</f>
        <v>21.048555696625357</v>
      </c>
      <c r="J17" s="289">
        <f>($K$50*INDEX('[16]Tariff Page Solar Fixed'!$D$10:$D$27,MATCH($B17,'[16]Tariff Page Solar Fixed'!$B$10:$B$27,0))+$K$51*INDEX('[16]Tariff Page Solar Fixed'!$C$10:$C$27,MATCH($B17,'[16]Tariff Page Solar Fixed'!$B$10:$B$27,0))+$K$52*INDEX('[16]Tariff Page Solar Fixed'!$F$10:$F$27,MATCH($B17,'[16]Tariff Page Solar Fixed'!$B$10:$B$27,0))+$K$53*INDEX('[16]Tariff Page Solar Fixed'!$E$10:$E$27,MATCH($B17,'[16]Tariff Page Solar Fixed'!$B$10:$B$27,0)))*10</f>
        <v>28.327164064144831</v>
      </c>
      <c r="K17" s="290">
        <f t="shared" si="2"/>
        <v>-7.2786083675194746</v>
      </c>
      <c r="L17" s="291">
        <f>($N$50*INDEX('Tariff Page Solar Tracking'!$D$9:$D$33,MATCH($B17,'Tariff Page Solar Tracking'!$B$9:$B$33,0))+$N$51*INDEX('Tariff Page Solar Tracking'!$C$9:$C$33,MATCH($B17,'Tariff Page Solar Tracking'!$B$9:$B$33,0))+$N$52*INDEX('Tariff Page Solar Tracking'!$F$9:$F$33,MATCH($B17,'Tariff Page Solar Tracking'!$B$9:$B$33,0))+$N$53*INDEX('Tariff Page Solar Tracking'!$E$9:$E$33,MATCH($B17,'Tariff Page Solar Tracking'!$B$9:$B$33,0)))*10</f>
        <v>21.031595245789426</v>
      </c>
      <c r="M17" s="289">
        <f>($N$50*INDEX('[16]Tariff Page Solar Tracking'!$D$10:$D$27,MATCH($B17,'[16]Tariff Page Solar Tracking'!$B$10:$B$27,0))+$N$51*INDEX('[16]Tariff Page Solar Tracking'!$C$10:$C$27,MATCH($B17,'[16]Tariff Page Solar Tracking'!$B$10:$B$27,0))+$N$52*INDEX('[16]Tariff Page Solar Tracking'!$F$10:$F$27,MATCH($B17,'[16]Tariff Page Solar Tracking'!$B$10:$B$27,0))+$N$53*INDEX('[16]Tariff Page Solar Tracking'!$E$10:$E$27,MATCH($B17,'[16]Tariff Page Solar Tracking'!$B$10:$B$27,0)))*10</f>
        <v>28.974956492211831</v>
      </c>
      <c r="N17" s="290">
        <f t="shared" si="3"/>
        <v>-7.9433612464224055</v>
      </c>
      <c r="S17" s="271"/>
    </row>
    <row r="18" spans="2:19" x14ac:dyDescent="0.2">
      <c r="B18" s="288">
        <f t="shared" si="4"/>
        <v>2023</v>
      </c>
      <c r="C18" s="289">
        <f>($D$50*INDEX('Tariff Page'!$D$9:$D$32,MATCH($B18,'Tariff Page'!$B$9:$B$32,0))+$D$51*INDEX('Tariff Page'!$C$9:$C$32,MATCH($B18,'Tariff Page'!$B$9:$B$32,0))+$D$52*INDEX('Tariff Page'!$F$9:$F$32,MATCH($B18,'Tariff Page'!$B$9:$B$32,0))+$D$53*INDEX('Tariff Page'!$E$9:$E$32,MATCH($B18,'Tariff Page'!$B$9:$B$32,0)))*10</f>
        <v>21.863472403302914</v>
      </c>
      <c r="D18" s="289">
        <f>($D$50*INDEX('[16]Tariff Page'!$D$10:$D$27,MATCH($B18,'[16]Tariff Page'!$B$10:$B$27,0))+$D$51*INDEX('[16]Tariff Page'!$C$10:$C$27,MATCH($B18,'[16]Tariff Page'!$B$10:$B$27,0))+$D$52*INDEX('[16]Tariff Page'!$F$10:$F$27,MATCH($B18,'[16]Tariff Page'!$B$10:$B$27,0))+$D$53*INDEX('[16]Tariff Page'!$E$10:$E$27,MATCH($B18,'[16]Tariff Page'!$B$10:$B$27,0)))*10</f>
        <v>31.991468057366362</v>
      </c>
      <c r="E18" s="290">
        <f t="shared" si="0"/>
        <v>-10.127995654063447</v>
      </c>
      <c r="F18" s="291">
        <f>($H$50*INDEX('Tariff Page Wind'!$D$9:$D$32,MATCH($B18,'Tariff Page Wind'!$B$9:$B$32,0))+$H$51*INDEX('Tariff Page Wind'!$C$9:$C$32,MATCH($B18,'Tariff Page Wind'!$B$9:$B$32,0))+$H$52*INDEX('Tariff Page Wind'!$F$9:$F$32,MATCH($B18,'Tariff Page Wind'!$B$9:$B$32,0))+$H$53*INDEX('Tariff Page Wind'!$E$9:$E$32,MATCH($B18,'Tariff Page Wind'!$B$9:$B$32,0)))*10</f>
        <v>20.560082363005108</v>
      </c>
      <c r="G18" s="289">
        <f>($H$50*INDEX('[16]Tariff Page Wind'!$D$10:$D$27,MATCH($B18,'[16]Tariff Page Wind'!$B$10:$B$27,0))+$H$51*INDEX('[16]Tariff Page Wind'!$C$10:$C$27,MATCH($B18,'[16]Tariff Page Wind'!$B$10:$B$27,0))+$H$52*INDEX('[16]Tariff Page Wind'!$F$10:$F$27,MATCH($B18,'[16]Tariff Page Wind'!$B$10:$B$27,0))+$H$53*INDEX('[16]Tariff Page Wind'!$E$10:$E$27,MATCH($B18,'[16]Tariff Page Wind'!$B$10:$B$27,0)))*10</f>
        <v>29.363950116883903</v>
      </c>
      <c r="H18" s="290">
        <f t="shared" si="1"/>
        <v>-8.8038677538787944</v>
      </c>
      <c r="I18" s="291">
        <f>($K$50*INDEX('Tariff Page Solar Fixed'!$D$9:$D$33,MATCH($B18,'Tariff Page Solar Fixed'!$B$9:$B$33,0))+$K$51*INDEX('Tariff Page Solar Fixed'!$C$9:$C$33,MATCH($B18,'Tariff Page Solar Fixed'!$B$9:$B$33,0))+$K$52*INDEX('Tariff Page Solar Fixed'!$F$9:$F$33,MATCH($B18,'Tariff Page Solar Fixed'!$B$9:$B$33,0))+$K$53*INDEX('Tariff Page Solar Fixed'!$E$9:$E$33,MATCH($B18,'Tariff Page Solar Fixed'!$B$9:$B$33,0)))*10</f>
        <v>22.365790966757334</v>
      </c>
      <c r="J18" s="289">
        <f>($K$50*INDEX('[16]Tariff Page Solar Fixed'!$D$10:$D$27,MATCH($B18,'[16]Tariff Page Solar Fixed'!$B$10:$B$27,0))+$K$51*INDEX('[16]Tariff Page Solar Fixed'!$C$10:$C$27,MATCH($B18,'[16]Tariff Page Solar Fixed'!$B$10:$B$27,0))+$K$52*INDEX('[16]Tariff Page Solar Fixed'!$F$10:$F$27,MATCH($B18,'[16]Tariff Page Solar Fixed'!$B$10:$B$27,0))+$K$53*INDEX('[16]Tariff Page Solar Fixed'!$E$10:$E$27,MATCH($B18,'[16]Tariff Page Solar Fixed'!$B$10:$B$27,0)))*10</f>
        <v>30.613286197210133</v>
      </c>
      <c r="K18" s="290">
        <f t="shared" si="2"/>
        <v>-8.2474952304527989</v>
      </c>
      <c r="L18" s="291">
        <f>($N$50*INDEX('Tariff Page Solar Tracking'!$D$9:$D$33,MATCH($B18,'Tariff Page Solar Tracking'!$B$9:$B$33,0))+$N$51*INDEX('Tariff Page Solar Tracking'!$C$9:$C$33,MATCH($B18,'Tariff Page Solar Tracking'!$B$9:$B$33,0))+$N$52*INDEX('Tariff Page Solar Tracking'!$F$9:$F$33,MATCH($B18,'Tariff Page Solar Tracking'!$B$9:$B$33,0))+$N$53*INDEX('Tariff Page Solar Tracking'!$E$9:$E$33,MATCH($B18,'Tariff Page Solar Tracking'!$B$9:$B$33,0)))*10</f>
        <v>22.424711007946804</v>
      </c>
      <c r="M18" s="289">
        <f>($N$50*INDEX('[16]Tariff Page Solar Tracking'!$D$10:$D$27,MATCH($B18,'[16]Tariff Page Solar Tracking'!$B$10:$B$27,0))+$N$51*INDEX('[16]Tariff Page Solar Tracking'!$C$10:$C$27,MATCH($B18,'[16]Tariff Page Solar Tracking'!$B$10:$B$27,0))+$N$52*INDEX('[16]Tariff Page Solar Tracking'!$F$10:$F$27,MATCH($B18,'[16]Tariff Page Solar Tracking'!$B$10:$B$27,0))+$N$53*INDEX('[16]Tariff Page Solar Tracking'!$E$10:$E$27,MATCH($B18,'[16]Tariff Page Solar Tracking'!$B$10:$B$27,0)))*10</f>
        <v>31.351668439409302</v>
      </c>
      <c r="N18" s="290">
        <f t="shared" si="3"/>
        <v>-8.9269574314624975</v>
      </c>
      <c r="S18" s="271"/>
    </row>
    <row r="19" spans="2:19" x14ac:dyDescent="0.2">
      <c r="B19" s="288">
        <f t="shared" si="4"/>
        <v>2024</v>
      </c>
      <c r="C19" s="289">
        <f>($D$50*INDEX('Tariff Page'!$D$9:$D$32,MATCH($B19,'Tariff Page'!$B$9:$B$32,0))+$D$51*INDEX('Tariff Page'!$C$9:$C$32,MATCH($B19,'Tariff Page'!$B$9:$B$32,0))+$D$52*INDEX('Tariff Page'!$F$9:$F$32,MATCH($B19,'Tariff Page'!$B$9:$B$32,0))+$D$53*INDEX('Tariff Page'!$E$9:$E$32,MATCH($B19,'Tariff Page'!$B$9:$B$32,0)))*10</f>
        <v>24.971003911342894</v>
      </c>
      <c r="D19" s="289">
        <f>($D$50*INDEX('[16]Tariff Page'!$D$10:$D$27,MATCH($B19,'[16]Tariff Page'!$B$10:$B$27,0))+$D$51*INDEX('[16]Tariff Page'!$C$10:$C$27,MATCH($B19,'[16]Tariff Page'!$B$10:$B$27,0))+$D$52*INDEX('[16]Tariff Page'!$F$10:$F$27,MATCH($B19,'[16]Tariff Page'!$B$10:$B$27,0))+$D$53*INDEX('[16]Tariff Page'!$E$10:$E$27,MATCH($B19,'[16]Tariff Page'!$B$10:$B$27,0)))*10</f>
        <v>35.914697088222511</v>
      </c>
      <c r="E19" s="290">
        <f t="shared" si="0"/>
        <v>-10.943693176879616</v>
      </c>
      <c r="F19" s="291">
        <f>($H$50*INDEX('Tariff Page Wind'!$D$9:$D$32,MATCH($B19,'Tariff Page Wind'!$B$9:$B$32,0))+$H$51*INDEX('Tariff Page Wind'!$C$9:$C$32,MATCH($B19,'Tariff Page Wind'!$B$9:$B$32,0))+$H$52*INDEX('Tariff Page Wind'!$F$9:$F$32,MATCH($B19,'Tariff Page Wind'!$B$9:$B$32,0))+$H$53*INDEX('Tariff Page Wind'!$E$9:$E$32,MATCH($B19,'Tariff Page Wind'!$B$9:$B$32,0)))*10</f>
        <v>23.714932041244477</v>
      </c>
      <c r="G19" s="289">
        <f>($H$50*INDEX('[16]Tariff Page Wind'!$D$10:$D$27,MATCH($B19,'[16]Tariff Page Wind'!$B$10:$B$27,0))+$H$51*INDEX('[16]Tariff Page Wind'!$C$10:$C$27,MATCH($B19,'[16]Tariff Page Wind'!$B$10:$B$27,0))+$H$52*INDEX('[16]Tariff Page Wind'!$F$10:$F$27,MATCH($B19,'[16]Tariff Page Wind'!$B$10:$B$27,0))+$H$53*INDEX('[16]Tariff Page Wind'!$E$10:$E$27,MATCH($B19,'[16]Tariff Page Wind'!$B$10:$B$27,0)))*10</f>
        <v>33.064629806413166</v>
      </c>
      <c r="H19" s="290">
        <f t="shared" si="1"/>
        <v>-9.3496977651686883</v>
      </c>
      <c r="I19" s="291">
        <f>($K$50*INDEX('Tariff Page Solar Fixed'!$D$9:$D$33,MATCH($B19,'Tariff Page Solar Fixed'!$B$9:$B$33,0))+$K$51*INDEX('Tariff Page Solar Fixed'!$C$9:$C$33,MATCH($B19,'Tariff Page Solar Fixed'!$B$9:$B$33,0))+$K$52*INDEX('Tariff Page Solar Fixed'!$F$9:$F$33,MATCH($B19,'Tariff Page Solar Fixed'!$B$9:$B$33,0))+$K$53*INDEX('Tariff Page Solar Fixed'!$E$9:$E$33,MATCH($B19,'Tariff Page Solar Fixed'!$B$9:$B$33,0)))*10</f>
        <v>25.364468657549747</v>
      </c>
      <c r="J19" s="289">
        <f>($K$50*INDEX('[16]Tariff Page Solar Fixed'!$D$10:$D$27,MATCH($B19,'[16]Tariff Page Solar Fixed'!$B$10:$B$27,0))+$K$51*INDEX('[16]Tariff Page Solar Fixed'!$C$10:$C$27,MATCH($B19,'[16]Tariff Page Solar Fixed'!$B$10:$B$27,0))+$K$52*INDEX('[16]Tariff Page Solar Fixed'!$F$10:$F$27,MATCH($B19,'[16]Tariff Page Solar Fixed'!$B$10:$B$27,0))+$K$53*INDEX('[16]Tariff Page Solar Fixed'!$E$10:$E$27,MATCH($B19,'[16]Tariff Page Solar Fixed'!$B$10:$B$27,0)))*10</f>
        <v>34.652499452811384</v>
      </c>
      <c r="K19" s="290">
        <f t="shared" si="2"/>
        <v>-9.288030795261637</v>
      </c>
      <c r="L19" s="291">
        <f>($N$50*INDEX('Tariff Page Solar Tracking'!$D$9:$D$33,MATCH($B19,'Tariff Page Solar Tracking'!$B$9:$B$33,0))+$N$51*INDEX('Tariff Page Solar Tracking'!$C$9:$C$33,MATCH($B19,'Tariff Page Solar Tracking'!$B$9:$B$33,0))+$N$52*INDEX('Tariff Page Solar Tracking'!$F$9:$F$33,MATCH($B19,'Tariff Page Solar Tracking'!$B$9:$B$33,0))+$N$53*INDEX('Tariff Page Solar Tracking'!$E$9:$E$33,MATCH($B19,'Tariff Page Solar Tracking'!$B$9:$B$33,0)))*10</f>
        <v>25.414029620340258</v>
      </c>
      <c r="M19" s="289">
        <f>($N$50*INDEX('[16]Tariff Page Solar Tracking'!$D$10:$D$27,MATCH($B19,'[16]Tariff Page Solar Tracking'!$B$10:$B$27,0))+$N$51*INDEX('[16]Tariff Page Solar Tracking'!$C$10:$C$27,MATCH($B19,'[16]Tariff Page Solar Tracking'!$B$10:$B$27,0))+$N$52*INDEX('[16]Tariff Page Solar Tracking'!$F$10:$F$27,MATCH($B19,'[16]Tariff Page Solar Tracking'!$B$10:$B$27,0))+$N$53*INDEX('[16]Tariff Page Solar Tracking'!$E$10:$E$27,MATCH($B19,'[16]Tariff Page Solar Tracking'!$B$10:$B$27,0)))*10</f>
        <v>35.288508712257979</v>
      </c>
      <c r="N19" s="290">
        <f t="shared" si="3"/>
        <v>-9.8744790919177206</v>
      </c>
      <c r="S19" s="271"/>
    </row>
    <row r="20" spans="2:19" x14ac:dyDescent="0.2">
      <c r="B20" s="288">
        <f t="shared" si="4"/>
        <v>2025</v>
      </c>
      <c r="C20" s="289">
        <f>($D$50*INDEX('Tariff Page'!$D$9:$D$32,MATCH($B20,'Tariff Page'!$B$9:$B$32,0))+$D$51*INDEX('Tariff Page'!$C$9:$C$32,MATCH($B20,'Tariff Page'!$B$9:$B$32,0))+$D$52*INDEX('Tariff Page'!$F$9:$F$32,MATCH($B20,'Tariff Page'!$B$9:$B$32,0))+$D$53*INDEX('Tariff Page'!$E$9:$E$32,MATCH($B20,'Tariff Page'!$B$9:$B$32,0)))*10</f>
        <v>27.426653628857018</v>
      </c>
      <c r="D20" s="289">
        <f>($D$50*INDEX('[16]Tariff Page'!$D$10:$D$27,MATCH($B20,'[16]Tariff Page'!$B$10:$B$27,0))+$D$51*INDEX('[16]Tariff Page'!$C$10:$C$27,MATCH($B20,'[16]Tariff Page'!$B$10:$B$27,0))+$D$52*INDEX('[16]Tariff Page'!$F$10:$F$27,MATCH($B20,'[16]Tariff Page'!$B$10:$B$27,0))+$D$53*INDEX('[16]Tariff Page'!$E$10:$E$27,MATCH($B20,'[16]Tariff Page'!$B$10:$B$27,0)))*10</f>
        <v>38.234790091264671</v>
      </c>
      <c r="E20" s="290">
        <f t="shared" si="0"/>
        <v>-10.808136462407653</v>
      </c>
      <c r="F20" s="291">
        <f>($H$50*INDEX('Tariff Page Wind'!$D$9:$D$32,MATCH($B20,'Tariff Page Wind'!$B$9:$B$32,0))+$H$51*INDEX('Tariff Page Wind'!$C$9:$C$32,MATCH($B20,'Tariff Page Wind'!$B$9:$B$32,0))+$H$52*INDEX('Tariff Page Wind'!$F$9:$F$32,MATCH($B20,'Tariff Page Wind'!$B$9:$B$32,0))+$H$53*INDEX('Tariff Page Wind'!$E$9:$E$32,MATCH($B20,'Tariff Page Wind'!$B$9:$B$32,0)))*10</f>
        <v>26.096016971674707</v>
      </c>
      <c r="G20" s="289">
        <f>($H$50*INDEX('[16]Tariff Page Wind'!$D$10:$D$27,MATCH($B20,'[16]Tariff Page Wind'!$B$10:$B$27,0))+$H$51*INDEX('[16]Tariff Page Wind'!$C$10:$C$27,MATCH($B20,'[16]Tariff Page Wind'!$B$10:$B$27,0))+$H$52*INDEX('[16]Tariff Page Wind'!$F$10:$F$27,MATCH($B20,'[16]Tariff Page Wind'!$B$10:$B$27,0))+$H$53*INDEX('[16]Tariff Page Wind'!$E$10:$E$27,MATCH($B20,'[16]Tariff Page Wind'!$B$10:$B$27,0)))*10</f>
        <v>35.252604231922135</v>
      </c>
      <c r="H20" s="290">
        <f t="shared" si="1"/>
        <v>-9.1565872602474272</v>
      </c>
      <c r="I20" s="291">
        <f>($K$50*INDEX('Tariff Page Solar Fixed'!$D$9:$D$33,MATCH($B20,'Tariff Page Solar Fixed'!$B$9:$B$33,0))+$K$51*INDEX('Tariff Page Solar Fixed'!$C$9:$C$33,MATCH($B20,'Tariff Page Solar Fixed'!$B$9:$B$33,0))+$K$52*INDEX('Tariff Page Solar Fixed'!$F$9:$F$33,MATCH($B20,'Tariff Page Solar Fixed'!$B$9:$B$33,0))+$K$53*INDEX('Tariff Page Solar Fixed'!$E$9:$E$33,MATCH($B20,'Tariff Page Solar Fixed'!$B$9:$B$33,0)))*10</f>
        <v>28.059633364248462</v>
      </c>
      <c r="J20" s="289">
        <f>($K$50*INDEX('[16]Tariff Page Solar Fixed'!$D$10:$D$27,MATCH($B20,'[16]Tariff Page Solar Fixed'!$B$10:$B$27,0))+$K$51*INDEX('[16]Tariff Page Solar Fixed'!$C$10:$C$27,MATCH($B20,'[16]Tariff Page Solar Fixed'!$B$10:$B$27,0))+$K$52*INDEX('[16]Tariff Page Solar Fixed'!$F$10:$F$27,MATCH($B20,'[16]Tariff Page Solar Fixed'!$B$10:$B$27,0))+$K$53*INDEX('[16]Tariff Page Solar Fixed'!$E$10:$E$27,MATCH($B20,'[16]Tariff Page Solar Fixed'!$B$10:$B$27,0)))*10</f>
        <v>36.977928594349628</v>
      </c>
      <c r="K20" s="290">
        <f t="shared" si="2"/>
        <v>-8.9182952301011653</v>
      </c>
      <c r="L20" s="291">
        <f>($N$50*INDEX('Tariff Page Solar Tracking'!$D$9:$D$33,MATCH($B20,'Tariff Page Solar Tracking'!$B$9:$B$33,0))+$N$51*INDEX('Tariff Page Solar Tracking'!$C$9:$C$33,MATCH($B20,'Tariff Page Solar Tracking'!$B$9:$B$33,0))+$N$52*INDEX('Tariff Page Solar Tracking'!$F$9:$F$33,MATCH($B20,'Tariff Page Solar Tracking'!$B$9:$B$33,0))+$N$53*INDEX('Tariff Page Solar Tracking'!$E$9:$E$33,MATCH($B20,'Tariff Page Solar Tracking'!$B$9:$B$33,0)))*10</f>
        <v>28.195985831681881</v>
      </c>
      <c r="M20" s="289">
        <f>($N$50*INDEX('[16]Tariff Page Solar Tracking'!$D$10:$D$27,MATCH($B20,'[16]Tariff Page Solar Tracking'!$B$10:$B$27,0))+$N$51*INDEX('[16]Tariff Page Solar Tracking'!$C$10:$C$27,MATCH($B20,'[16]Tariff Page Solar Tracking'!$B$10:$B$27,0))+$N$52*INDEX('[16]Tariff Page Solar Tracking'!$F$10:$F$27,MATCH($B20,'[16]Tariff Page Solar Tracking'!$B$10:$B$27,0))+$N$53*INDEX('[16]Tariff Page Solar Tracking'!$E$10:$E$27,MATCH($B20,'[16]Tariff Page Solar Tracking'!$B$10:$B$27,0)))*10</f>
        <v>37.555824613878762</v>
      </c>
      <c r="N20" s="290">
        <f t="shared" si="3"/>
        <v>-9.3598387821968814</v>
      </c>
      <c r="S20" s="271"/>
    </row>
    <row r="21" spans="2:19" x14ac:dyDescent="0.2">
      <c r="B21" s="288">
        <f t="shared" si="4"/>
        <v>2026</v>
      </c>
      <c r="C21" s="289">
        <f>($D$50*INDEX('Tariff Page'!$D$9:$D$32,MATCH($B21,'Tariff Page'!$B$9:$B$32,0))+$D$51*INDEX('Tariff Page'!$C$9:$C$32,MATCH($B21,'Tariff Page'!$B$9:$B$32,0))+$D$52*INDEX('Tariff Page'!$F$9:$F$32,MATCH($B21,'Tariff Page'!$B$9:$B$32,0))+$D$53*INDEX('Tariff Page'!$E$9:$E$32,MATCH($B21,'Tariff Page'!$B$9:$B$32,0)))*10</f>
        <v>30.443229900043463</v>
      </c>
      <c r="D21" s="289">
        <f>($D$50*INDEX('[16]Tariff Page'!$D$10:$D$27,MATCH($B21,'[16]Tariff Page'!$B$10:$B$27,0))+$D$51*INDEX('[16]Tariff Page'!$C$10:$C$27,MATCH($B21,'[16]Tariff Page'!$B$10:$B$27,0))+$D$52*INDEX('[16]Tariff Page'!$F$10:$F$27,MATCH($B21,'[16]Tariff Page'!$B$10:$B$27,0))+$D$53*INDEX('[16]Tariff Page'!$E$10:$E$27,MATCH($B21,'[16]Tariff Page'!$B$10:$B$27,0)))*10</f>
        <v>38.812538896132118</v>
      </c>
      <c r="E21" s="290">
        <f t="shared" si="0"/>
        <v>-8.3693089960886553</v>
      </c>
      <c r="F21" s="291">
        <f>($H$50*INDEX('Tariff Page Wind'!$D$9:$D$32,MATCH($B21,'Tariff Page Wind'!$B$9:$B$32,0))+$H$51*INDEX('Tariff Page Wind'!$C$9:$C$32,MATCH($B21,'Tariff Page Wind'!$B$9:$B$32,0))+$H$52*INDEX('Tariff Page Wind'!$F$9:$F$32,MATCH($B21,'Tariff Page Wind'!$B$9:$B$32,0))+$H$53*INDEX('Tariff Page Wind'!$E$9:$E$32,MATCH($B21,'Tariff Page Wind'!$B$9:$B$32,0)))*10</f>
        <v>28.861503019810193</v>
      </c>
      <c r="G21" s="289">
        <f>($H$50*INDEX('[16]Tariff Page Wind'!$D$10:$D$27,MATCH($B21,'[16]Tariff Page Wind'!$B$10:$B$27,0))+$H$51*INDEX('[16]Tariff Page Wind'!$C$10:$C$27,MATCH($B21,'[16]Tariff Page Wind'!$B$10:$B$27,0))+$H$52*INDEX('[16]Tariff Page Wind'!$F$10:$F$27,MATCH($B21,'[16]Tariff Page Wind'!$B$10:$B$27,0))+$H$53*INDEX('[16]Tariff Page Wind'!$E$10:$E$27,MATCH($B21,'[16]Tariff Page Wind'!$B$10:$B$27,0)))*10</f>
        <v>35.720932002067755</v>
      </c>
      <c r="H21" s="290">
        <f t="shared" si="1"/>
        <v>-6.8594289822575618</v>
      </c>
      <c r="I21" s="291">
        <f>($K$50*INDEX('Tariff Page Solar Fixed'!$D$9:$D$33,MATCH($B21,'Tariff Page Solar Fixed'!$B$9:$B$33,0))+$K$51*INDEX('Tariff Page Solar Fixed'!$C$9:$C$33,MATCH($B21,'Tariff Page Solar Fixed'!$B$9:$B$33,0))+$K$52*INDEX('Tariff Page Solar Fixed'!$F$9:$F$33,MATCH($B21,'Tariff Page Solar Fixed'!$B$9:$B$33,0))+$K$53*INDEX('Tariff Page Solar Fixed'!$E$9:$E$33,MATCH($B21,'Tariff Page Solar Fixed'!$B$9:$B$33,0)))*10</f>
        <v>30.86173890364638</v>
      </c>
      <c r="J21" s="289">
        <f>($K$50*INDEX('[16]Tariff Page Solar Fixed'!$D$10:$D$27,MATCH($B21,'[16]Tariff Page Solar Fixed'!$B$10:$B$27,0))+$K$51*INDEX('[16]Tariff Page Solar Fixed'!$C$10:$C$27,MATCH($B21,'[16]Tariff Page Solar Fixed'!$B$10:$B$27,0))+$K$52*INDEX('[16]Tariff Page Solar Fixed'!$F$10:$F$27,MATCH($B21,'[16]Tariff Page Solar Fixed'!$B$10:$B$27,0))+$K$53*INDEX('[16]Tariff Page Solar Fixed'!$E$10:$E$27,MATCH($B21,'[16]Tariff Page Solar Fixed'!$B$10:$B$27,0)))*10</f>
        <v>37.619474544290149</v>
      </c>
      <c r="K21" s="290">
        <f t="shared" si="2"/>
        <v>-6.7577356406437694</v>
      </c>
      <c r="L21" s="291">
        <f>($N$50*INDEX('Tariff Page Solar Tracking'!$D$9:$D$33,MATCH($B21,'Tariff Page Solar Tracking'!$B$9:$B$33,0))+$N$51*INDEX('Tariff Page Solar Tracking'!$C$9:$C$33,MATCH($B21,'Tariff Page Solar Tracking'!$B$9:$B$33,0))+$N$52*INDEX('Tariff Page Solar Tracking'!$F$9:$F$33,MATCH($B21,'Tariff Page Solar Tracking'!$B$9:$B$33,0))+$N$53*INDEX('Tariff Page Solar Tracking'!$E$9:$E$33,MATCH($B21,'Tariff Page Solar Tracking'!$B$9:$B$33,0)))*10</f>
        <v>30.675905378729546</v>
      </c>
      <c r="M21" s="289">
        <f>($N$50*INDEX('[16]Tariff Page Solar Tracking'!$D$10:$D$27,MATCH($B21,'[16]Tariff Page Solar Tracking'!$B$10:$B$27,0))+$N$51*INDEX('[16]Tariff Page Solar Tracking'!$C$10:$C$27,MATCH($B21,'[16]Tariff Page Solar Tracking'!$B$10:$B$27,0))+$N$52*INDEX('[16]Tariff Page Solar Tracking'!$F$10:$F$27,MATCH($B21,'[16]Tariff Page Solar Tracking'!$B$10:$B$27,0))+$N$53*INDEX('[16]Tariff Page Solar Tracking'!$E$10:$E$27,MATCH($B21,'[16]Tariff Page Solar Tracking'!$B$10:$B$27,0)))*10</f>
        <v>38.297172692110827</v>
      </c>
      <c r="N21" s="290">
        <f t="shared" si="3"/>
        <v>-7.6212673133812814</v>
      </c>
      <c r="S21" s="271"/>
    </row>
    <row r="22" spans="2:19" x14ac:dyDescent="0.2">
      <c r="B22" s="288">
        <f t="shared" si="4"/>
        <v>2027</v>
      </c>
      <c r="C22" s="289">
        <f>($D$50*INDEX('Tariff Page'!$D$9:$D$32,MATCH($B22,'Tariff Page'!$B$9:$B$32,0))+$D$51*INDEX('Tariff Page'!$C$9:$C$32,MATCH($B22,'Tariff Page'!$B$9:$B$32,0))+$D$52*INDEX('Tariff Page'!$F$9:$F$32,MATCH($B22,'Tariff Page'!$B$9:$B$32,0))+$D$53*INDEX('Tariff Page'!$E$9:$E$32,MATCH($B22,'Tariff Page'!$B$9:$B$32,0)))*10</f>
        <v>28.289538461538459</v>
      </c>
      <c r="D22" s="289">
        <f>($D$50*INDEX('[16]Tariff Page'!$D$10:$D$27,MATCH($B22,'[16]Tariff Page'!$B$10:$B$27,0))+$D$51*INDEX('[16]Tariff Page'!$C$10:$C$27,MATCH($B22,'[16]Tariff Page'!$B$10:$B$27,0))+$D$52*INDEX('[16]Tariff Page'!$F$10:$F$27,MATCH($B22,'[16]Tariff Page'!$B$10:$B$27,0))+$D$53*INDEX('[16]Tariff Page'!$E$10:$E$27,MATCH($B22,'[16]Tariff Page'!$B$10:$B$27,0)))*10</f>
        <v>41.108885701868758</v>
      </c>
      <c r="E22" s="290">
        <f t="shared" si="0"/>
        <v>-12.819347240330298</v>
      </c>
      <c r="F22" s="291">
        <f>($H$50*INDEX('Tariff Page Wind'!$D$9:$D$32,MATCH($B22,'Tariff Page Wind'!$B$9:$B$32,0))+$H$51*INDEX('Tariff Page Wind'!$C$9:$C$32,MATCH($B22,'Tariff Page Wind'!$B$9:$B$32,0))+$H$52*INDEX('Tariff Page Wind'!$F$9:$F$32,MATCH($B22,'Tariff Page Wind'!$B$9:$B$32,0))+$H$53*INDEX('Tariff Page Wind'!$E$9:$E$32,MATCH($B22,'Tariff Page Wind'!$B$9:$B$32,0)))*10</f>
        <v>26.964712040418547</v>
      </c>
      <c r="G22" s="289">
        <f>($H$50*INDEX('[16]Tariff Page Wind'!$D$10:$D$27,MATCH($B22,'[16]Tariff Page Wind'!$B$10:$B$27,0))+$H$51*INDEX('[16]Tariff Page Wind'!$C$10:$C$27,MATCH($B22,'[16]Tariff Page Wind'!$B$10:$B$27,0))+$H$52*INDEX('[16]Tariff Page Wind'!$F$10:$F$27,MATCH($B22,'[16]Tariff Page Wind'!$B$10:$B$27,0))+$H$53*INDEX('[16]Tariff Page Wind'!$E$10:$E$27,MATCH($B22,'[16]Tariff Page Wind'!$B$10:$B$27,0)))*10</f>
        <v>38.00755431328291</v>
      </c>
      <c r="H22" s="290">
        <f t="shared" si="1"/>
        <v>-11.042842272864362</v>
      </c>
      <c r="I22" s="291">
        <f>($K$50*INDEX('Tariff Page Solar Fixed'!$D$9:$D$33,MATCH($B22,'Tariff Page Solar Fixed'!$B$9:$B$33,0))+$K$51*INDEX('Tariff Page Solar Fixed'!$C$9:$C$33,MATCH($B22,'Tariff Page Solar Fixed'!$B$9:$B$33,0))+$K$52*INDEX('Tariff Page Solar Fixed'!$F$9:$F$33,MATCH($B22,'Tariff Page Solar Fixed'!$B$9:$B$33,0))+$K$53*INDEX('Tariff Page Solar Fixed'!$E$9:$E$33,MATCH($B22,'Tariff Page Solar Fixed'!$B$9:$B$33,0)))*10</f>
        <v>28.790842158546823</v>
      </c>
      <c r="J22" s="289">
        <f>($K$50*INDEX('[16]Tariff Page Solar Fixed'!$D$10:$D$27,MATCH($B22,'[16]Tariff Page Solar Fixed'!$B$10:$B$27,0))+$K$51*INDEX('[16]Tariff Page Solar Fixed'!$C$10:$C$27,MATCH($B22,'[16]Tariff Page Solar Fixed'!$B$10:$B$27,0))+$K$52*INDEX('[16]Tariff Page Solar Fixed'!$F$10:$F$27,MATCH($B22,'[16]Tariff Page Solar Fixed'!$B$10:$B$27,0))+$K$53*INDEX('[16]Tariff Page Solar Fixed'!$E$10:$E$27,MATCH($B22,'[16]Tariff Page Solar Fixed'!$B$10:$B$27,0)))*10</f>
        <v>39.936102265840809</v>
      </c>
      <c r="K22" s="290">
        <f t="shared" si="2"/>
        <v>-11.145260107293986</v>
      </c>
      <c r="L22" s="291">
        <f>($N$50*INDEX('Tariff Page Solar Tracking'!$D$9:$D$33,MATCH($B22,'Tariff Page Solar Tracking'!$B$9:$B$33,0))+$N$51*INDEX('Tariff Page Solar Tracking'!$C$9:$C$33,MATCH($B22,'Tariff Page Solar Tracking'!$B$9:$B$33,0))+$N$52*INDEX('Tariff Page Solar Tracking'!$F$9:$F$33,MATCH($B22,'Tariff Page Solar Tracking'!$B$9:$B$33,0))+$N$53*INDEX('Tariff Page Solar Tracking'!$E$9:$E$33,MATCH($B22,'Tariff Page Solar Tracking'!$B$9:$B$33,0)))*10</f>
        <v>28.911526393939717</v>
      </c>
      <c r="M22" s="289">
        <f>($N$50*INDEX('[16]Tariff Page Solar Tracking'!$D$10:$D$27,MATCH($B22,'[16]Tariff Page Solar Tracking'!$B$10:$B$27,0))+$N$51*INDEX('[16]Tariff Page Solar Tracking'!$C$10:$C$27,MATCH($B22,'[16]Tariff Page Solar Tracking'!$B$10:$B$27,0))+$N$52*INDEX('[16]Tariff Page Solar Tracking'!$F$10:$F$27,MATCH($B22,'[16]Tariff Page Solar Tracking'!$B$10:$B$27,0))+$N$53*INDEX('[16]Tariff Page Solar Tracking'!$E$10:$E$27,MATCH($B22,'[16]Tariff Page Solar Tracking'!$B$10:$B$27,0)))*10</f>
        <v>40.574115995752848</v>
      </c>
      <c r="N22" s="290">
        <f t="shared" si="3"/>
        <v>-11.662589601813131</v>
      </c>
      <c r="S22" s="271"/>
    </row>
    <row r="23" spans="2:19" x14ac:dyDescent="0.2">
      <c r="B23" s="288">
        <f t="shared" si="4"/>
        <v>2028</v>
      </c>
      <c r="C23" s="289">
        <f>($D$50*INDEX('Tariff Page'!$D$9:$D$32,MATCH($B23,'Tariff Page'!$B$9:$B$32,0))+$D$51*INDEX('Tariff Page'!$C$9:$C$32,MATCH($B23,'Tariff Page'!$B$9:$B$32,0))+$D$52*INDEX('Tariff Page'!$F$9:$F$32,MATCH($B23,'Tariff Page'!$B$9:$B$32,0))+$D$53*INDEX('Tariff Page'!$E$9:$E$32,MATCH($B23,'Tariff Page'!$B$9:$B$32,0)))*10</f>
        <v>34.403171664493698</v>
      </c>
      <c r="D23" s="289">
        <f>($D$50*INDEX('[16]Tariff Page'!$D$10:$D$27,MATCH($B23,'[16]Tariff Page'!$B$10:$B$27,0))+$D$51*INDEX('[16]Tariff Page'!$C$10:$C$27,MATCH($B23,'[16]Tariff Page'!$B$10:$B$27,0))+$D$52*INDEX('[16]Tariff Page'!$F$10:$F$27,MATCH($B23,'[16]Tariff Page'!$B$10:$B$27,0))+$D$53*INDEX('[16]Tariff Page'!$E$10:$E$27,MATCH($B23,'[16]Tariff Page'!$B$10:$B$27,0)))*10</f>
        <v>48.545966101694916</v>
      </c>
      <c r="E23" s="290">
        <f t="shared" si="0"/>
        <v>-14.142794437201218</v>
      </c>
      <c r="F23" s="291">
        <f>($H$50*INDEX('Tariff Page Wind'!$D$9:$D$32,MATCH($B23,'Tariff Page Wind'!$B$9:$B$32,0))+$H$51*INDEX('Tariff Page Wind'!$C$9:$C$32,MATCH($B23,'Tariff Page Wind'!$B$9:$B$32,0))+$H$52*INDEX('Tariff Page Wind'!$F$9:$F$32,MATCH($B23,'Tariff Page Wind'!$B$9:$B$32,0))+$H$53*INDEX('Tariff Page Wind'!$E$9:$E$32,MATCH($B23,'Tariff Page Wind'!$B$9:$B$32,0)))*10</f>
        <v>32.9636036517471</v>
      </c>
      <c r="G23" s="289">
        <f>($H$50*INDEX('[16]Tariff Page Wind'!$D$10:$D$27,MATCH($B23,'[16]Tariff Page Wind'!$B$10:$B$27,0))+$H$51*INDEX('[16]Tariff Page Wind'!$C$10:$C$27,MATCH($B23,'[16]Tariff Page Wind'!$B$10:$B$27,0))+$H$52*INDEX('[16]Tariff Page Wind'!$F$10:$F$27,MATCH($B23,'[16]Tariff Page Wind'!$B$10:$B$27,0))+$H$53*INDEX('[16]Tariff Page Wind'!$E$10:$E$27,MATCH($B23,'[16]Tariff Page Wind'!$B$10:$B$27,0)))*10</f>
        <v>31.407850708454657</v>
      </c>
      <c r="H23" s="290">
        <f t="shared" si="1"/>
        <v>1.5557529432924433</v>
      </c>
      <c r="I23" s="291">
        <f>($K$50*INDEX('Tariff Page Solar Fixed'!$D$9:$D$33,MATCH($B23,'Tariff Page Solar Fixed'!$B$9:$B$33,0))+$K$51*INDEX('Tariff Page Solar Fixed'!$C$9:$C$33,MATCH($B23,'Tariff Page Solar Fixed'!$B$9:$B$33,0))+$K$52*INDEX('Tariff Page Solar Fixed'!$F$9:$F$33,MATCH($B23,'Tariff Page Solar Fixed'!$B$9:$B$33,0))+$K$53*INDEX('Tariff Page Solar Fixed'!$E$9:$E$33,MATCH($B23,'Tariff Page Solar Fixed'!$B$9:$B$33,0)))*10</f>
        <v>35.078346142781939</v>
      </c>
      <c r="J23" s="289">
        <f>($K$50*INDEX('[16]Tariff Page Solar Fixed'!$D$10:$D$27,MATCH($B23,'[16]Tariff Page Solar Fixed'!$B$10:$B$27,0))+$K$51*INDEX('[16]Tariff Page Solar Fixed'!$C$10:$C$27,MATCH($B23,'[16]Tariff Page Solar Fixed'!$B$10:$B$27,0))+$K$52*INDEX('[16]Tariff Page Solar Fixed'!$F$10:$F$27,MATCH($B23,'[16]Tariff Page Solar Fixed'!$B$10:$B$27,0))+$K$53*INDEX('[16]Tariff Page Solar Fixed'!$E$10:$E$27,MATCH($B23,'[16]Tariff Page Solar Fixed'!$B$10:$B$27,0)))*10</f>
        <v>37.698382622064628</v>
      </c>
      <c r="K23" s="290">
        <f t="shared" si="2"/>
        <v>-2.6200364792826889</v>
      </c>
      <c r="L23" s="291">
        <f>($N$50*INDEX('Tariff Page Solar Tracking'!$D$9:$D$33,MATCH($B23,'Tariff Page Solar Tracking'!$B$9:$B$33,0))+$N$51*INDEX('Tariff Page Solar Tracking'!$C$9:$C$33,MATCH($B23,'Tariff Page Solar Tracking'!$B$9:$B$33,0))+$N$52*INDEX('Tariff Page Solar Tracking'!$F$9:$F$33,MATCH($B23,'Tariff Page Solar Tracking'!$B$9:$B$33,0))+$N$53*INDEX('Tariff Page Solar Tracking'!$E$9:$E$33,MATCH($B23,'Tariff Page Solar Tracking'!$B$9:$B$33,0)))*10</f>
        <v>35.208712773049285</v>
      </c>
      <c r="M23" s="289">
        <f>($N$50*INDEX('[16]Tariff Page Solar Tracking'!$D$10:$D$27,MATCH($B23,'[16]Tariff Page Solar Tracking'!$B$10:$B$27,0))+$N$51*INDEX('[16]Tariff Page Solar Tracking'!$C$10:$C$27,MATCH($B23,'[16]Tariff Page Solar Tracking'!$B$10:$B$27,0))+$N$52*INDEX('[16]Tariff Page Solar Tracking'!$F$10:$F$27,MATCH($B23,'[16]Tariff Page Solar Tracking'!$B$10:$B$27,0))+$N$53*INDEX('[16]Tariff Page Solar Tracking'!$E$10:$E$27,MATCH($B23,'[16]Tariff Page Solar Tracking'!$B$10:$B$27,0)))*10</f>
        <v>39.032059123372179</v>
      </c>
      <c r="N23" s="290">
        <f t="shared" si="3"/>
        <v>-3.8233463503228933</v>
      </c>
      <c r="S23" s="271"/>
    </row>
    <row r="24" spans="2:19" x14ac:dyDescent="0.2">
      <c r="B24" s="288">
        <f t="shared" si="4"/>
        <v>2029</v>
      </c>
      <c r="C24" s="289">
        <f>($D$50*INDEX('Tariff Page'!$D$9:$D$32,MATCH($B24,'Tariff Page'!$B$9:$B$32,0))+$D$51*INDEX('Tariff Page'!$C$9:$C$32,MATCH($B24,'Tariff Page'!$B$9:$B$32,0))+$D$52*INDEX('Tariff Page'!$F$9:$F$32,MATCH($B24,'Tariff Page'!$B$9:$B$32,0))+$D$53*INDEX('Tariff Page'!$E$9:$E$32,MATCH($B24,'Tariff Page'!$B$9:$B$32,0)))*10</f>
        <v>54.198350282485883</v>
      </c>
      <c r="D24" s="289">
        <f>($D$50*INDEX('[16]Tariff Page'!$D$10:$D$27,MATCH($B24,'[16]Tariff Page'!$B$10:$B$27,0))+$D$51*INDEX('[16]Tariff Page'!$C$10:$C$27,MATCH($B24,'[16]Tariff Page'!$B$10:$B$27,0))+$D$52*INDEX('[16]Tariff Page'!$F$10:$F$27,MATCH($B24,'[16]Tariff Page'!$B$10:$B$27,0))+$D$53*INDEX('[16]Tariff Page'!$E$10:$E$27,MATCH($B24,'[16]Tariff Page'!$B$10:$B$27,0)))*10</f>
        <v>49.823446327683627</v>
      </c>
      <c r="E24" s="290">
        <f t="shared" si="0"/>
        <v>4.3749039548022566</v>
      </c>
      <c r="F24" s="291">
        <f>($H$50*INDEX('Tariff Page Wind'!$D$9:$D$32,MATCH($B24,'Tariff Page Wind'!$B$9:$B$32,0))+$H$51*INDEX('Tariff Page Wind'!$C$9:$C$32,MATCH($B24,'Tariff Page Wind'!$B$9:$B$32,0))+$H$52*INDEX('Tariff Page Wind'!$F$9:$F$32,MATCH($B24,'Tariff Page Wind'!$B$9:$B$32,0))+$H$53*INDEX('Tariff Page Wind'!$E$9:$E$32,MATCH($B24,'Tariff Page Wind'!$B$9:$B$32,0)))*10</f>
        <v>35.705037104769971</v>
      </c>
      <c r="G24" s="289">
        <f>($H$50*INDEX('[16]Tariff Page Wind'!$D$10:$D$27,MATCH($B24,'[16]Tariff Page Wind'!$B$10:$B$27,0))+$H$51*INDEX('[16]Tariff Page Wind'!$C$10:$C$27,MATCH($B24,'[16]Tariff Page Wind'!$B$10:$B$27,0))+$H$52*INDEX('[16]Tariff Page Wind'!$F$10:$F$27,MATCH($B24,'[16]Tariff Page Wind'!$B$10:$B$27,0))+$H$53*INDEX('[16]Tariff Page Wind'!$E$10:$E$27,MATCH($B24,'[16]Tariff Page Wind'!$B$10:$B$27,0)))*10</f>
        <v>31.957313606014075</v>
      </c>
      <c r="H24" s="290">
        <f t="shared" si="1"/>
        <v>3.7477234987558958</v>
      </c>
      <c r="I24" s="291">
        <f>($K$50*INDEX('Tariff Page Solar Fixed'!$D$9:$D$33,MATCH($B24,'Tariff Page Solar Fixed'!$B$9:$B$33,0))+$K$51*INDEX('Tariff Page Solar Fixed'!$C$9:$C$33,MATCH($B24,'Tariff Page Solar Fixed'!$B$9:$B$33,0))+$K$52*INDEX('Tariff Page Solar Fixed'!$F$9:$F$33,MATCH($B24,'Tariff Page Solar Fixed'!$B$9:$B$33,0))+$K$53*INDEX('Tariff Page Solar Fixed'!$E$9:$E$33,MATCH($B24,'Tariff Page Solar Fixed'!$B$9:$B$33,0)))*10</f>
        <v>44.793718257869692</v>
      </c>
      <c r="J24" s="289">
        <f>($K$50*INDEX('[16]Tariff Page Solar Fixed'!$D$10:$D$27,MATCH($B24,'[16]Tariff Page Solar Fixed'!$B$10:$B$27,0))+$K$51*INDEX('[16]Tariff Page Solar Fixed'!$C$10:$C$27,MATCH($B24,'[16]Tariff Page Solar Fixed'!$B$10:$B$27,0))+$K$52*INDEX('[16]Tariff Page Solar Fixed'!$F$10:$F$27,MATCH($B24,'[16]Tariff Page Solar Fixed'!$B$10:$B$27,0))+$K$53*INDEX('[16]Tariff Page Solar Fixed'!$E$10:$E$27,MATCH($B24,'[16]Tariff Page Solar Fixed'!$B$10:$B$27,0)))*10</f>
        <v>38.795553298564926</v>
      </c>
      <c r="K24" s="290">
        <f t="shared" si="2"/>
        <v>5.9981649593047663</v>
      </c>
      <c r="L24" s="291">
        <f>($N$50*INDEX('Tariff Page Solar Tracking'!$D$9:$D$33,MATCH($B24,'Tariff Page Solar Tracking'!$B$9:$B$33,0))+$N$51*INDEX('Tariff Page Solar Tracking'!$C$9:$C$33,MATCH($B24,'Tariff Page Solar Tracking'!$B$9:$B$33,0))+$N$52*INDEX('Tariff Page Solar Tracking'!$F$9:$F$33,MATCH($B24,'Tariff Page Solar Tracking'!$B$9:$B$33,0))+$N$53*INDEX('Tariff Page Solar Tracking'!$E$9:$E$33,MATCH($B24,'Tariff Page Solar Tracking'!$B$9:$B$33,0)))*10</f>
        <v>50.236230477455493</v>
      </c>
      <c r="M24" s="289">
        <f>($N$50*INDEX('[16]Tariff Page Solar Tracking'!$D$10:$D$27,MATCH($B24,'[16]Tariff Page Solar Tracking'!$B$10:$B$27,0))+$N$51*INDEX('[16]Tariff Page Solar Tracking'!$C$10:$C$27,MATCH($B24,'[16]Tariff Page Solar Tracking'!$B$10:$B$27,0))+$N$52*INDEX('[16]Tariff Page Solar Tracking'!$F$10:$F$27,MATCH($B24,'[16]Tariff Page Solar Tracking'!$B$10:$B$27,0))+$N$53*INDEX('[16]Tariff Page Solar Tracking'!$E$10:$E$27,MATCH($B24,'[16]Tariff Page Solar Tracking'!$B$10:$B$27,0)))*10</f>
        <v>40.151531835365972</v>
      </c>
      <c r="N24" s="290">
        <f t="shared" si="3"/>
        <v>10.084698642089521</v>
      </c>
      <c r="S24" s="271"/>
    </row>
    <row r="25" spans="2:19" x14ac:dyDescent="0.2">
      <c r="B25" s="288">
        <f t="shared" si="4"/>
        <v>2030</v>
      </c>
      <c r="C25" s="289">
        <f>($D$50*INDEX('Tariff Page'!$D$9:$D$32,MATCH($B25,'Tariff Page'!$B$9:$B$32,0))+$D$51*INDEX('Tariff Page'!$C$9:$C$32,MATCH($B25,'Tariff Page'!$B$9:$B$32,0))+$D$52*INDEX('Tariff Page'!$F$9:$F$32,MATCH($B25,'Tariff Page'!$B$9:$B$32,0))+$D$53*INDEX('Tariff Page'!$E$9:$E$32,MATCH($B25,'Tariff Page'!$B$9:$B$32,0)))*10</f>
        <v>57.163525423728814</v>
      </c>
      <c r="D25" s="289">
        <f>($D$50*INDEX('[16]Tariff Page'!$D$10:$D$27,MATCH($B25,'[16]Tariff Page'!$B$10:$B$27,0))+$D$51*INDEX('[16]Tariff Page'!$C$10:$C$27,MATCH($B25,'[16]Tariff Page'!$B$10:$B$27,0))+$D$52*INDEX('[16]Tariff Page'!$F$10:$F$27,MATCH($B25,'[16]Tariff Page'!$B$10:$B$27,0))+$D$53*INDEX('[16]Tariff Page'!$E$10:$E$27,MATCH($B25,'[16]Tariff Page'!$B$10:$B$27,0)))*10</f>
        <v>52.253344632768361</v>
      </c>
      <c r="E25" s="290">
        <f t="shared" si="0"/>
        <v>4.9101807909604531</v>
      </c>
      <c r="F25" s="291">
        <f>($H$50*INDEX('Tariff Page Wind'!$D$9:$D$32,MATCH($B25,'Tariff Page Wind'!$B$9:$B$32,0))+$H$51*INDEX('Tariff Page Wind'!$C$9:$C$32,MATCH($B25,'Tariff Page Wind'!$B$9:$B$32,0))+$H$52*INDEX('Tariff Page Wind'!$F$9:$F$32,MATCH($B25,'Tariff Page Wind'!$B$9:$B$32,0))+$H$53*INDEX('Tariff Page Wind'!$E$9:$E$32,MATCH($B25,'Tariff Page Wind'!$B$9:$B$32,0)))*10</f>
        <v>38.239231451109113</v>
      </c>
      <c r="G25" s="289">
        <f>($H$50*INDEX('[16]Tariff Page Wind'!$D$10:$D$27,MATCH($B25,'[16]Tariff Page Wind'!$B$10:$B$27,0))+$H$51*INDEX('[16]Tariff Page Wind'!$C$10:$C$27,MATCH($B25,'[16]Tariff Page Wind'!$B$10:$B$27,0))+$H$52*INDEX('[16]Tariff Page Wind'!$F$10:$F$27,MATCH($B25,'[16]Tariff Page Wind'!$B$10:$B$27,0))+$H$53*INDEX('[16]Tariff Page Wind'!$E$10:$E$27,MATCH($B25,'[16]Tariff Page Wind'!$B$10:$B$27,0)))*10</f>
        <v>33.630459365768431</v>
      </c>
      <c r="H25" s="290">
        <f t="shared" si="1"/>
        <v>4.6087720853406822</v>
      </c>
      <c r="I25" s="291">
        <f>($K$50*INDEX('Tariff Page Solar Fixed'!$D$9:$D$33,MATCH($B25,'Tariff Page Solar Fixed'!$B$9:$B$33,0))+$K$51*INDEX('Tariff Page Solar Fixed'!$C$9:$C$33,MATCH($B25,'Tariff Page Solar Fixed'!$B$9:$B$33,0))+$K$52*INDEX('Tariff Page Solar Fixed'!$F$9:$F$33,MATCH($B25,'Tariff Page Solar Fixed'!$B$9:$B$33,0))+$K$53*INDEX('Tariff Page Solar Fixed'!$E$9:$E$33,MATCH($B25,'Tariff Page Solar Fixed'!$B$9:$B$33,0)))*10</f>
        <v>47.542832806445141</v>
      </c>
      <c r="J25" s="289">
        <f>($K$50*INDEX('[16]Tariff Page Solar Fixed'!$D$10:$D$27,MATCH($B25,'[16]Tariff Page Solar Fixed'!$B$10:$B$27,0))+$K$51*INDEX('[16]Tariff Page Solar Fixed'!$C$10:$C$27,MATCH($B25,'[16]Tariff Page Solar Fixed'!$B$10:$B$27,0))+$K$52*INDEX('[16]Tariff Page Solar Fixed'!$F$10:$F$27,MATCH($B25,'[16]Tariff Page Solar Fixed'!$B$10:$B$27,0))+$K$53*INDEX('[16]Tariff Page Solar Fixed'!$E$10:$E$27,MATCH($B25,'[16]Tariff Page Solar Fixed'!$B$10:$B$27,0)))*10</f>
        <v>41.047799576540257</v>
      </c>
      <c r="K25" s="290">
        <f t="shared" si="2"/>
        <v>6.4950332299048839</v>
      </c>
      <c r="L25" s="291">
        <f>($N$50*INDEX('Tariff Page Solar Tracking'!$D$9:$D$33,MATCH($B25,'Tariff Page Solar Tracking'!$B$9:$B$33,0))+$N$51*INDEX('Tariff Page Solar Tracking'!$C$9:$C$33,MATCH($B25,'Tariff Page Solar Tracking'!$B$9:$B$33,0))+$N$52*INDEX('Tariff Page Solar Tracking'!$F$9:$F$33,MATCH($B25,'Tariff Page Solar Tracking'!$B$9:$B$33,0))+$N$53*INDEX('Tariff Page Solar Tracking'!$E$9:$E$33,MATCH($B25,'Tariff Page Solar Tracking'!$B$9:$B$33,0)))*10</f>
        <v>53.113070597776158</v>
      </c>
      <c r="M25" s="289">
        <f>($N$50*INDEX('[16]Tariff Page Solar Tracking'!$D$10:$D$27,MATCH($B25,'[16]Tariff Page Solar Tracking'!$B$10:$B$27,0))+$N$51*INDEX('[16]Tariff Page Solar Tracking'!$C$10:$C$27,MATCH($B25,'[16]Tariff Page Solar Tracking'!$B$10:$B$27,0))+$N$52*INDEX('[16]Tariff Page Solar Tracking'!$F$10:$F$27,MATCH($B25,'[16]Tariff Page Solar Tracking'!$B$10:$B$27,0))+$N$53*INDEX('[16]Tariff Page Solar Tracking'!$E$10:$E$27,MATCH($B25,'[16]Tariff Page Solar Tracking'!$B$10:$B$27,0)))*10</f>
        <v>42.416793940025919</v>
      </c>
      <c r="N25" s="290">
        <f t="shared" si="3"/>
        <v>10.696276657750239</v>
      </c>
      <c r="S25" s="271"/>
    </row>
    <row r="26" spans="2:19" x14ac:dyDescent="0.2">
      <c r="B26" s="288">
        <f t="shared" si="4"/>
        <v>2031</v>
      </c>
      <c r="C26" s="289">
        <f>($D$50*INDEX('Tariff Page'!$D$9:$D$32,MATCH($B26,'Tariff Page'!$B$9:$B$32,0))+$D$51*INDEX('Tariff Page'!$C$9:$C$32,MATCH($B26,'Tariff Page'!$B$9:$B$32,0))+$D$52*INDEX('Tariff Page'!$F$9:$F$32,MATCH($B26,'Tariff Page'!$B$9:$B$32,0))+$D$53*INDEX('Tariff Page'!$E$9:$E$32,MATCH($B26,'Tariff Page'!$B$9:$B$32,0)))*10</f>
        <v>59.276723163841808</v>
      </c>
      <c r="D26" s="289">
        <f>($D$50*INDEX('[16]Tariff Page'!$D$10:$D$27,MATCH($B26,'[16]Tariff Page'!$B$10:$B$27,0))+$D$51*INDEX('[16]Tariff Page'!$C$10:$C$27,MATCH($B26,'[16]Tariff Page'!$B$10:$B$27,0))+$D$52*INDEX('[16]Tariff Page'!$F$10:$F$27,MATCH($B26,'[16]Tariff Page'!$B$10:$B$27,0))+$D$53*INDEX('[16]Tariff Page'!$E$10:$E$27,MATCH($B26,'[16]Tariff Page'!$B$10:$B$27,0)))*10</f>
        <v>53.543242937853101</v>
      </c>
      <c r="E26" s="290">
        <f t="shared" si="0"/>
        <v>5.733480225988707</v>
      </c>
      <c r="F26" s="291">
        <f>($H$50*INDEX('Tariff Page Wind'!$D$9:$D$32,MATCH($B26,'Tariff Page Wind'!$B$9:$B$32,0))+$H$51*INDEX('Tariff Page Wind'!$C$9:$C$32,MATCH($B26,'Tariff Page Wind'!$B$9:$B$32,0))+$H$52*INDEX('Tariff Page Wind'!$F$9:$F$32,MATCH($B26,'Tariff Page Wind'!$B$9:$B$32,0))+$H$53*INDEX('Tariff Page Wind'!$E$9:$E$32,MATCH($B26,'Tariff Page Wind'!$B$9:$B$32,0)))*10</f>
        <v>39.884474384033034</v>
      </c>
      <c r="G26" s="289">
        <f>($H$50*INDEX('[16]Tariff Page Wind'!$D$10:$D$27,MATCH($B26,'[16]Tariff Page Wind'!$B$10:$B$27,0))+$H$51*INDEX('[16]Tariff Page Wind'!$C$10:$C$27,MATCH($B26,'[16]Tariff Page Wind'!$B$10:$B$27,0))+$H$52*INDEX('[16]Tariff Page Wind'!$F$10:$F$27,MATCH($B26,'[16]Tariff Page Wind'!$B$10:$B$27,0))+$H$53*INDEX('[16]Tariff Page Wind'!$E$10:$E$27,MATCH($B26,'[16]Tariff Page Wind'!$B$10:$B$27,0)))*10</f>
        <v>34.390970849912648</v>
      </c>
      <c r="H26" s="290">
        <f t="shared" si="1"/>
        <v>5.4935035341203857</v>
      </c>
      <c r="I26" s="291">
        <f>($K$50*INDEX('Tariff Page Solar Fixed'!$D$9:$D$33,MATCH($B26,'Tariff Page Solar Fixed'!$B$9:$B$33,0))+$K$51*INDEX('Tariff Page Solar Fixed'!$C$9:$C$33,MATCH($B26,'Tariff Page Solar Fixed'!$B$9:$B$33,0))+$K$52*INDEX('Tariff Page Solar Fixed'!$F$9:$F$33,MATCH($B26,'Tariff Page Solar Fixed'!$B$9:$B$33,0))+$K$53*INDEX('Tariff Page Solar Fixed'!$E$9:$E$33,MATCH($B26,'Tariff Page Solar Fixed'!$B$9:$B$33,0)))*10</f>
        <v>49.417022956495636</v>
      </c>
      <c r="J26" s="289">
        <f>($K$50*INDEX('[16]Tariff Page Solar Fixed'!$D$10:$D$27,MATCH($B26,'[16]Tariff Page Solar Fixed'!$B$10:$B$27,0))+$K$51*INDEX('[16]Tariff Page Solar Fixed'!$C$10:$C$27,MATCH($B26,'[16]Tariff Page Solar Fixed'!$B$10:$B$27,0))+$K$52*INDEX('[16]Tariff Page Solar Fixed'!$F$10:$F$27,MATCH($B26,'[16]Tariff Page Solar Fixed'!$B$10:$B$27,0))+$K$53*INDEX('[16]Tariff Page Solar Fixed'!$E$10:$E$27,MATCH($B26,'[16]Tariff Page Solar Fixed'!$B$10:$B$27,0)))*10</f>
        <v>42.160045854515602</v>
      </c>
      <c r="K26" s="290">
        <f t="shared" si="2"/>
        <v>7.2569771019800342</v>
      </c>
      <c r="L26" s="291">
        <f>($N$50*INDEX('Tariff Page Solar Tracking'!$D$9:$D$33,MATCH($B26,'Tariff Page Solar Tracking'!$B$9:$B$33,0))+$N$51*INDEX('Tariff Page Solar Tracking'!$C$9:$C$33,MATCH($B26,'Tariff Page Solar Tracking'!$B$9:$B$33,0))+$N$52*INDEX('Tariff Page Solar Tracking'!$F$9:$F$33,MATCH($B26,'Tariff Page Solar Tracking'!$B$9:$B$33,0))+$N$53*INDEX('Tariff Page Solar Tracking'!$E$9:$E$33,MATCH($B26,'Tariff Page Solar Tracking'!$B$9:$B$33,0)))*10</f>
        <v>55.121489503429132</v>
      </c>
      <c r="M26" s="289">
        <f>($N$50*INDEX('[16]Tariff Page Solar Tracking'!$D$10:$D$27,MATCH($B26,'[16]Tariff Page Solar Tracking'!$B$10:$B$27,0))+$N$51*INDEX('[16]Tariff Page Solar Tracking'!$C$10:$C$27,MATCH($B26,'[16]Tariff Page Solar Tracking'!$B$10:$B$27,0))+$N$52*INDEX('[16]Tariff Page Solar Tracking'!$F$10:$F$27,MATCH($B26,'[16]Tariff Page Solar Tracking'!$B$10:$B$27,0))+$N$53*INDEX('[16]Tariff Page Solar Tracking'!$E$10:$E$27,MATCH($B26,'[16]Tariff Page Solar Tracking'!$B$10:$B$27,0)))*10</f>
        <v>43.542056044685879</v>
      </c>
      <c r="N26" s="290">
        <f t="shared" si="3"/>
        <v>11.579433458743253</v>
      </c>
      <c r="S26" s="271"/>
    </row>
    <row r="27" spans="2:19" x14ac:dyDescent="0.2">
      <c r="B27" s="288">
        <f t="shared" si="4"/>
        <v>2032</v>
      </c>
      <c r="C27" s="289">
        <f>($D$50*INDEX('Tariff Page'!$D$9:$D$32,MATCH($B27,'Tariff Page'!$B$9:$B$32,0))+$D$51*INDEX('Tariff Page'!$C$9:$C$32,MATCH($B27,'Tariff Page'!$B$9:$B$32,0))+$D$52*INDEX('Tariff Page'!$F$9:$F$32,MATCH($B27,'Tariff Page'!$B$9:$B$32,0))+$D$53*INDEX('Tariff Page'!$E$9:$E$32,MATCH($B27,'Tariff Page'!$B$9:$B$32,0)))*10</f>
        <v>61.64552542372882</v>
      </c>
      <c r="D27" s="289">
        <f>($D$50*INDEX('[16]Tariff Page'!$D$10:$D$27,MATCH($B27,'[16]Tariff Page'!$B$10:$B$27,0))+$D$51*INDEX('[16]Tariff Page'!$C$10:$C$27,MATCH($B27,'[16]Tariff Page'!$B$10:$B$27,0))+$D$52*INDEX('[16]Tariff Page'!$F$10:$F$27,MATCH($B27,'[16]Tariff Page'!$B$10:$B$27,0))+$D$53*INDEX('[16]Tariff Page'!$E$10:$E$27,MATCH($B27,'[16]Tariff Page'!$B$10:$B$27,0)))*10</f>
        <v>54.929954802259886</v>
      </c>
      <c r="E27" s="290">
        <f t="shared" si="0"/>
        <v>6.7155706214689346</v>
      </c>
      <c r="F27" s="291">
        <f>($H$50*INDEX('Tariff Page Wind'!$D$9:$D$32,MATCH($B27,'Tariff Page Wind'!$B$9:$B$32,0))+$H$51*INDEX('Tariff Page Wind'!$C$9:$C$32,MATCH($B27,'Tariff Page Wind'!$B$9:$B$32,0))+$H$52*INDEX('Tariff Page Wind'!$F$9:$F$32,MATCH($B27,'Tariff Page Wind'!$B$9:$B$32,0))+$H$53*INDEX('Tariff Page Wind'!$E$9:$E$32,MATCH($B27,'Tariff Page Wind'!$B$9:$B$32,0)))*10</f>
        <v>41.786034454762031</v>
      </c>
      <c r="G27" s="289">
        <f>($H$50*INDEX('[16]Tariff Page Wind'!$D$10:$D$27,MATCH($B27,'[16]Tariff Page Wind'!$B$10:$B$27,0))+$H$51*INDEX('[16]Tariff Page Wind'!$C$10:$C$27,MATCH($B27,'[16]Tariff Page Wind'!$B$10:$B$27,0))+$H$52*INDEX('[16]Tariff Page Wind'!$F$10:$F$27,MATCH($B27,'[16]Tariff Page Wind'!$B$10:$B$27,0))+$H$53*INDEX('[16]Tariff Page Wind'!$E$10:$E$27,MATCH($B27,'[16]Tariff Page Wind'!$B$10:$B$27,0)))*10</f>
        <v>35.124116609666999</v>
      </c>
      <c r="H27" s="290">
        <f t="shared" si="1"/>
        <v>6.6619178450950329</v>
      </c>
      <c r="I27" s="291">
        <f>($K$50*INDEX('Tariff Page Solar Fixed'!$D$9:$D$33,MATCH($B27,'Tariff Page Solar Fixed'!$B$9:$B$33,0))+$K$51*INDEX('Tariff Page Solar Fixed'!$C$9:$C$33,MATCH($B27,'Tariff Page Solar Fixed'!$B$9:$B$33,0))+$K$52*INDEX('Tariff Page Solar Fixed'!$F$9:$F$33,MATCH($B27,'Tariff Page Solar Fixed'!$B$9:$B$33,0))+$K$53*INDEX('Tariff Page Solar Fixed'!$E$9:$E$33,MATCH($B27,'Tariff Page Solar Fixed'!$B$9:$B$33,0)))*10</f>
        <v>51.551213106546143</v>
      </c>
      <c r="J27" s="289">
        <f>($K$50*INDEX('[16]Tariff Page Solar Fixed'!$D$10:$D$27,MATCH($B27,'[16]Tariff Page Solar Fixed'!$B$10:$B$27,0))+$K$51*INDEX('[16]Tariff Page Solar Fixed'!$C$10:$C$27,MATCH($B27,'[16]Tariff Page Solar Fixed'!$B$10:$B$27,0))+$K$52*INDEX('[16]Tariff Page Solar Fixed'!$F$10:$F$27,MATCH($B27,'[16]Tariff Page Solar Fixed'!$B$10:$B$27,0))+$K$53*INDEX('[16]Tariff Page Solar Fixed'!$E$10:$E$27,MATCH($B27,'[16]Tariff Page Solar Fixed'!$B$10:$B$27,0)))*10</f>
        <v>43.352292132490938</v>
      </c>
      <c r="K27" s="290">
        <f t="shared" si="2"/>
        <v>8.1989209740552056</v>
      </c>
      <c r="L27" s="291">
        <f>($N$50*INDEX('Tariff Page Solar Tracking'!$D$9:$D$33,MATCH($B27,'Tariff Page Solar Tracking'!$B$9:$B$33,0))+$N$51*INDEX('Tariff Page Solar Tracking'!$C$9:$C$33,MATCH($B27,'Tariff Page Solar Tracking'!$B$9:$B$33,0))+$N$52*INDEX('Tariff Page Solar Tracking'!$F$9:$F$33,MATCH($B27,'Tariff Page Solar Tracking'!$B$9:$B$33,0))+$N$53*INDEX('Tariff Page Solar Tracking'!$E$9:$E$33,MATCH($B27,'Tariff Page Solar Tracking'!$B$9:$B$33,0)))*10</f>
        <v>57.389908409082089</v>
      </c>
      <c r="M27" s="289">
        <f>($N$50*INDEX('[16]Tariff Page Solar Tracking'!$D$10:$D$27,MATCH($B27,'[16]Tariff Page Solar Tracking'!$B$10:$B$27,0))+$N$51*INDEX('[16]Tariff Page Solar Tracking'!$C$10:$C$27,MATCH($B27,'[16]Tariff Page Solar Tracking'!$B$10:$B$27,0))+$N$52*INDEX('[16]Tariff Page Solar Tracking'!$F$10:$F$27,MATCH($B27,'[16]Tariff Page Solar Tracking'!$B$10:$B$27,0))+$N$53*INDEX('[16]Tariff Page Solar Tracking'!$E$10:$E$27,MATCH($B27,'[16]Tariff Page Solar Tracking'!$B$10:$B$27,0)))*10</f>
        <v>44.755212845678891</v>
      </c>
      <c r="N27" s="290">
        <f t="shared" si="3"/>
        <v>12.634695563403199</v>
      </c>
      <c r="S27" s="271"/>
    </row>
    <row r="28" spans="2:19" x14ac:dyDescent="0.2">
      <c r="B28" s="288">
        <f t="shared" si="4"/>
        <v>2033</v>
      </c>
      <c r="C28" s="289">
        <f>($D$50*INDEX('Tariff Page'!$D$9:$D$32,MATCH($B28,'Tariff Page'!$B$9:$B$32,0))+$D$51*INDEX('Tariff Page'!$C$9:$C$32,MATCH($B28,'Tariff Page'!$B$9:$B$32,0))+$D$52*INDEX('Tariff Page'!$F$9:$F$32,MATCH($B28,'Tariff Page'!$B$9:$B$32,0))+$D$53*INDEX('Tariff Page'!$E$9:$E$32,MATCH($B28,'Tariff Page'!$B$9:$B$32,0)))*10</f>
        <v>64.725536723163856</v>
      </c>
      <c r="D28" s="289">
        <f>($D$50*INDEX('[16]Tariff Page'!$D$10:$D$27,MATCH($B28,'[16]Tariff Page'!$B$10:$B$27,0))+$D$51*INDEX('[16]Tariff Page'!$C$10:$C$27,MATCH($B28,'[16]Tariff Page'!$B$10:$B$27,0))+$D$52*INDEX('[16]Tariff Page'!$F$10:$F$27,MATCH($B28,'[16]Tariff Page'!$B$10:$B$27,0))+$D$53*INDEX('[16]Tariff Page'!$E$10:$E$27,MATCH($B28,'[16]Tariff Page'!$B$10:$B$27,0)))*10</f>
        <v>56.582271186440678</v>
      </c>
      <c r="E28" s="290">
        <f t="shared" si="0"/>
        <v>8.1432655367231774</v>
      </c>
      <c r="F28" s="291">
        <f>($H$50*INDEX('Tariff Page Wind'!$D$9:$D$32,MATCH($B28,'Tariff Page Wind'!$B$9:$B$32,0))+$H$51*INDEX('Tariff Page Wind'!$C$9:$C$32,MATCH($B28,'Tariff Page Wind'!$B$9:$B$32,0))+$H$52*INDEX('Tariff Page Wind'!$F$9:$F$32,MATCH($B28,'Tariff Page Wind'!$B$9:$B$32,0))+$H$53*INDEX('Tariff Page Wind'!$E$9:$E$32,MATCH($B28,'Tariff Page Wind'!$B$9:$B$32,0)))*10</f>
        <v>44.39759452549103</v>
      </c>
      <c r="G28" s="289">
        <f>($H$50*INDEX('[16]Tariff Page Wind'!$D$10:$D$27,MATCH($B28,'[16]Tariff Page Wind'!$B$10:$B$27,0))+$H$51*INDEX('[16]Tariff Page Wind'!$C$10:$C$27,MATCH($B28,'[16]Tariff Page Wind'!$B$10:$B$27,0))+$H$52*INDEX('[16]Tariff Page Wind'!$F$10:$F$27,MATCH($B28,'[16]Tariff Page Wind'!$B$10:$B$27,0))+$H$53*INDEX('[16]Tariff Page Wind'!$E$10:$E$27,MATCH($B28,'[16]Tariff Page Wind'!$B$10:$B$27,0)))*10</f>
        <v>36.860945231616284</v>
      </c>
      <c r="H28" s="290">
        <f t="shared" si="1"/>
        <v>7.5366492938747456</v>
      </c>
      <c r="I28" s="291">
        <f>($K$50*INDEX('Tariff Page Solar Fixed'!$D$9:$D$33,MATCH($B28,'Tariff Page Solar Fixed'!$B$9:$B$33,0))+$K$51*INDEX('Tariff Page Solar Fixed'!$C$9:$C$33,MATCH($B28,'Tariff Page Solar Fixed'!$B$9:$B$33,0))+$K$52*INDEX('Tariff Page Solar Fixed'!$F$9:$F$33,MATCH($B28,'Tariff Page Solar Fixed'!$B$9:$B$33,0))+$K$53*INDEX('Tariff Page Solar Fixed'!$E$9:$E$33,MATCH($B28,'Tariff Page Solar Fixed'!$B$9:$B$33,0)))*10</f>
        <v>54.395403256596644</v>
      </c>
      <c r="J28" s="289">
        <f>($K$50*INDEX('[16]Tariff Page Solar Fixed'!$D$10:$D$27,MATCH($B28,'[16]Tariff Page Solar Fixed'!$B$10:$B$27,0))+$K$51*INDEX('[16]Tariff Page Solar Fixed'!$C$10:$C$27,MATCH($B28,'[16]Tariff Page Solar Fixed'!$B$10:$B$27,0))+$K$52*INDEX('[16]Tariff Page Solar Fixed'!$F$10:$F$27,MATCH($B28,'[16]Tariff Page Solar Fixed'!$B$10:$B$27,0))+$K$53*INDEX('[16]Tariff Page Solar Fixed'!$E$10:$E$27,MATCH($B28,'[16]Tariff Page Solar Fixed'!$B$10:$B$27,0)))*10</f>
        <v>44.812896944291296</v>
      </c>
      <c r="K28" s="290">
        <f t="shared" si="2"/>
        <v>9.5825063123053482</v>
      </c>
      <c r="L28" s="291">
        <f>($N$50*INDEX('Tariff Page Solar Tracking'!$D$9:$D$33,MATCH($B28,'Tariff Page Solar Tracking'!$B$9:$B$33,0))+$N$51*INDEX('Tariff Page Solar Tracking'!$C$9:$C$33,MATCH($B28,'Tariff Page Solar Tracking'!$B$9:$B$33,0))+$N$52*INDEX('Tariff Page Solar Tracking'!$F$9:$F$33,MATCH($B28,'Tariff Page Solar Tracking'!$B$9:$B$33,0))+$N$53*INDEX('Tariff Page Solar Tracking'!$E$9:$E$33,MATCH($B28,'Tariff Page Solar Tracking'!$B$9:$B$33,0)))*10</f>
        <v>60.37622201106813</v>
      </c>
      <c r="M28" s="289">
        <f>($N$50*INDEX('[16]Tariff Page Solar Tracking'!$D$10:$D$27,MATCH($B28,'[16]Tariff Page Solar Tracking'!$B$10:$B$27,0))+$N$51*INDEX('[16]Tariff Page Solar Tracking'!$C$10:$C$27,MATCH($B28,'[16]Tariff Page Solar Tracking'!$B$10:$B$27,0))+$N$52*INDEX('[16]Tariff Page Solar Tracking'!$F$10:$F$27,MATCH($B28,'[16]Tariff Page Solar Tracking'!$B$10:$B$27,0))+$N$53*INDEX('[16]Tariff Page Solar Tracking'!$E$10:$E$27,MATCH($B28,'[16]Tariff Page Solar Tracking'!$B$10:$B$27,0)))*10</f>
        <v>46.228369646671901</v>
      </c>
      <c r="N28" s="290">
        <f t="shared" si="3"/>
        <v>14.147852364396229</v>
      </c>
      <c r="S28" s="271"/>
    </row>
    <row r="29" spans="2:19" x14ac:dyDescent="0.2">
      <c r="B29" s="288">
        <f t="shared" si="4"/>
        <v>2034</v>
      </c>
      <c r="C29" s="289">
        <f>($D$50*INDEX('Tariff Page'!$D$9:$D$32,MATCH($B29,'Tariff Page'!$B$9:$B$32,0))+$D$51*INDEX('Tariff Page'!$C$9:$C$32,MATCH($B29,'Tariff Page'!$B$9:$B$32,0))+$D$52*INDEX('Tariff Page'!$F$9:$F$32,MATCH($B29,'Tariff Page'!$B$9:$B$32,0))+$D$53*INDEX('Tariff Page'!$E$9:$E$32,MATCH($B29,'Tariff Page'!$B$9:$B$32,0)))*10</f>
        <v>67.072361581920916</v>
      </c>
      <c r="D29" s="488">
        <f>D28*(D28/D27)</f>
        <v>58.284289949646912</v>
      </c>
      <c r="E29" s="290">
        <f t="shared" si="0"/>
        <v>8.7880716322740042</v>
      </c>
      <c r="F29" s="291">
        <f>($H$50*INDEX('Tariff Page Wind'!$D$9:$D$32,MATCH($B29,'Tariff Page Wind'!$B$9:$B$32,0))+$H$51*INDEX('Tariff Page Wind'!$C$9:$C$32,MATCH($B29,'Tariff Page Wind'!$B$9:$B$32,0))+$H$52*INDEX('Tariff Page Wind'!$F$9:$F$32,MATCH($B29,'Tariff Page Wind'!$B$9:$B$32,0))+$H$53*INDEX('Tariff Page Wind'!$E$9:$E$32,MATCH($B29,'Tariff Page Wind'!$B$9:$B$32,0)))*10</f>
        <v>46.249154596220023</v>
      </c>
      <c r="G29" s="488">
        <f>G28*(G28/G27)</f>
        <v>38.683657114219365</v>
      </c>
      <c r="H29" s="290">
        <f t="shared" si="1"/>
        <v>7.5654974820006586</v>
      </c>
      <c r="I29" s="291">
        <f>($K$50*INDEX('Tariff Page Solar Fixed'!$D$9:$D$33,MATCH($B29,'Tariff Page Solar Fixed'!$B$9:$B$33,0))+$K$51*INDEX('Tariff Page Solar Fixed'!$C$9:$C$33,MATCH($B29,'Tariff Page Solar Fixed'!$B$9:$B$33,0))+$K$52*INDEX('Tariff Page Solar Fixed'!$F$9:$F$33,MATCH($B29,'Tariff Page Solar Fixed'!$B$9:$B$33,0))+$K$53*INDEX('Tariff Page Solar Fixed'!$E$9:$E$33,MATCH($B29,'Tariff Page Solar Fixed'!$B$9:$B$33,0)))*10</f>
        <v>56.48631047429717</v>
      </c>
      <c r="J29" s="488">
        <f>J28*(J28/J27)</f>
        <v>46.322711758869239</v>
      </c>
      <c r="K29" s="290">
        <f t="shared" si="2"/>
        <v>10.163598715427931</v>
      </c>
      <c r="L29" s="291">
        <f>($N$50*INDEX('Tariff Page Solar Tracking'!$D$9:$D$33,MATCH($B29,'Tariff Page Solar Tracking'!$B$9:$B$33,0))+$N$51*INDEX('Tariff Page Solar Tracking'!$C$9:$C$33,MATCH($B29,'Tariff Page Solar Tracking'!$B$9:$B$33,0))+$N$52*INDEX('Tariff Page Solar Tracking'!$F$9:$F$33,MATCH($B29,'Tariff Page Solar Tracking'!$B$9:$B$33,0))+$N$53*INDEX('Tariff Page Solar Tracking'!$E$9:$E$33,MATCH($B29,'Tariff Page Solar Tracking'!$B$9:$B$33,0)))*10</f>
        <v>62.616219702053392</v>
      </c>
      <c r="M29" s="488">
        <f>M28*(M28/M27)</f>
        <v>47.750016686506925</v>
      </c>
      <c r="N29" s="290">
        <f t="shared" si="3"/>
        <v>14.866203015546468</v>
      </c>
      <c r="S29" s="271"/>
    </row>
    <row r="30" spans="2:19" x14ac:dyDescent="0.2">
      <c r="B30" s="288">
        <f t="shared" si="4"/>
        <v>2035</v>
      </c>
      <c r="C30" s="289">
        <f>($D$50*INDEX('Tariff Page'!$D$9:$D$32,MATCH($B30,'Tariff Page'!$B$9:$B$32,0))+$D$51*INDEX('Tariff Page'!$C$9:$C$32,MATCH($B30,'Tariff Page'!$B$9:$B$32,0))+$D$52*INDEX('Tariff Page'!$F$9:$F$32,MATCH($B30,'Tariff Page'!$B$9:$B$32,0))+$D$53*INDEX('Tariff Page'!$E$9:$E$32,MATCH($B30,'Tariff Page'!$B$9:$B$32,0)))*10</f>
        <v>69.490395480225985</v>
      </c>
      <c r="D30" s="488">
        <f>D29*(D29/D28)</f>
        <v>60.037506160561826</v>
      </c>
      <c r="E30" s="290">
        <f t="shared" si="0"/>
        <v>9.452889319664159</v>
      </c>
      <c r="F30" s="291">
        <f>($H$50*INDEX('Tariff Page Wind'!$D$9:$D$32,MATCH($B30,'Tariff Page Wind'!$B$9:$B$32,0))+$H$51*INDEX('Tariff Page Wind'!$C$9:$C$32,MATCH($B30,'Tariff Page Wind'!$B$9:$B$32,0))+$H$52*INDEX('Tariff Page Wind'!$F$9:$F$32,MATCH($B30,'Tariff Page Wind'!$B$9:$B$32,0))+$H$53*INDEX('Tariff Page Wind'!$E$9:$E$32,MATCH($B30,'Tariff Page Wind'!$B$9:$B$32,0)))*10</f>
        <v>48.168080391338876</v>
      </c>
      <c r="G30" s="488">
        <f>G29*(G29/G28)</f>
        <v>40.596499040588462</v>
      </c>
      <c r="H30" s="290">
        <f t="shared" si="1"/>
        <v>7.5715813507504137</v>
      </c>
      <c r="I30" s="291">
        <f>($K$50*INDEX('Tariff Page Solar Fixed'!$D$9:$D$33,MATCH($B30,'Tariff Page Solar Fixed'!$B$9:$B$33,0))+$K$51*INDEX('Tariff Page Solar Fixed'!$C$9:$C$33,MATCH($B30,'Tariff Page Solar Fixed'!$B$9:$B$33,0))+$K$52*INDEX('Tariff Page Solar Fixed'!$F$9:$F$33,MATCH($B30,'Tariff Page Solar Fixed'!$B$9:$B$33,0))+$K$53*INDEX('Tariff Page Solar Fixed'!$E$9:$E$33,MATCH($B30,'Tariff Page Solar Fixed'!$B$9:$B$33,0)))*10</f>
        <v>58.647217691997717</v>
      </c>
      <c r="J30" s="488">
        <f>J29*(J29/J28)</f>
        <v>47.883394536238178</v>
      </c>
      <c r="K30" s="290">
        <f t="shared" si="2"/>
        <v>10.763823155759539</v>
      </c>
      <c r="L30" s="291">
        <f>($N$50*INDEX('Tariff Page Solar Tracking'!$D$9:$D$33,MATCH($B30,'Tariff Page Solar Tracking'!$B$9:$B$33,0))+$N$51*INDEX('Tariff Page Solar Tracking'!$C$9:$C$33,MATCH($B30,'Tariff Page Solar Tracking'!$B$9:$B$33,0))+$N$52*INDEX('Tariff Page Solar Tracking'!$F$9:$F$33,MATCH($B30,'Tariff Page Solar Tracking'!$B$9:$B$33,0))+$N$53*INDEX('Tariff Page Solar Tracking'!$E$9:$E$33,MATCH($B30,'Tariff Page Solar Tracking'!$B$9:$B$33,0)))*10</f>
        <v>64.926217393038655</v>
      </c>
      <c r="M30" s="488">
        <f>M29*(M29/M28)</f>
        <v>49.321750063617856</v>
      </c>
      <c r="N30" s="290">
        <f t="shared" si="3"/>
        <v>15.6044673294208</v>
      </c>
      <c r="S30" s="271"/>
    </row>
    <row r="31" spans="2:19" x14ac:dyDescent="0.2">
      <c r="B31" s="288">
        <f t="shared" si="4"/>
        <v>2036</v>
      </c>
      <c r="C31" s="289">
        <f>($D$50*INDEX('Tariff Page'!$D$9:$D$32,MATCH($B31,'Tariff Page'!$B$9:$B$32,0))+$D$51*INDEX('Tariff Page'!$C$9:$C$32,MATCH($B31,'Tariff Page'!$B$9:$B$32,0))+$D$52*INDEX('Tariff Page'!$F$9:$F$32,MATCH($B31,'Tariff Page'!$B$9:$B$32,0))+$D$53*INDEX('Tariff Page'!$E$9:$E$32,MATCH($B31,'Tariff Page'!$B$9:$B$32,0)))*10</f>
        <v>73.465242937853105</v>
      </c>
      <c r="D31" s="488">
        <f t="shared" ref="D31:D32" si="5">D30*(D30/D29)</f>
        <v>61.843459860170007</v>
      </c>
      <c r="E31" s="290">
        <f t="shared" ref="E31:E32" si="6">C31-D31</f>
        <v>11.621783077683098</v>
      </c>
      <c r="F31" s="291">
        <f>($H$50*INDEX('Tariff Page Wind'!$D$9:$D$32,MATCH($B31,'Tariff Page Wind'!$B$9:$B$32,0))+$H$51*INDEX('Tariff Page Wind'!$C$9:$C$32,MATCH($B31,'Tariff Page Wind'!$B$9:$B$32,0))+$H$52*INDEX('Tariff Page Wind'!$F$9:$F$32,MATCH($B31,'Tariff Page Wind'!$B$9:$B$32,0))+$H$53*INDEX('Tariff Page Wind'!$E$9:$E$32,MATCH($B31,'Tariff Page Wind'!$B$9:$B$32,0)))*10</f>
        <v>51.617006186457729</v>
      </c>
      <c r="G31" s="488">
        <f t="shared" ref="G31:G32" si="7">G30*(G30/G29)</f>
        <v>42.603927790133866</v>
      </c>
      <c r="H31" s="290">
        <f t="shared" ref="H31:H32" si="8">F31-G31</f>
        <v>9.0130783963238628</v>
      </c>
      <c r="I31" s="291">
        <f>($K$50*INDEX('Tariff Page Solar Fixed'!$D$9:$D$33,MATCH($B31,'Tariff Page Solar Fixed'!$B$9:$B$33,0))+$K$51*INDEX('Tariff Page Solar Fixed'!$C$9:$C$33,MATCH($B31,'Tariff Page Solar Fixed'!$B$9:$B$33,0))+$K$52*INDEX('Tariff Page Solar Fixed'!$F$9:$F$33,MATCH($B31,'Tariff Page Solar Fixed'!$B$9:$B$33,0))+$K$53*INDEX('Tariff Page Solar Fixed'!$E$9:$E$33,MATCH($B31,'Tariff Page Solar Fixed'!$B$9:$B$33,0)))*10</f>
        <v>62.35648344352326</v>
      </c>
      <c r="J31" s="488">
        <f t="shared" ref="J31:J32" si="9">J30*(J30/J29)</f>
        <v>49.496659095611918</v>
      </c>
      <c r="K31" s="290">
        <f t="shared" ref="K31:K32" si="10">I31-J31</f>
        <v>12.859824347911342</v>
      </c>
      <c r="L31" s="291">
        <f>($N$50*INDEX('Tariff Page Solar Tracking'!$D$9:$D$33,MATCH($B31,'Tariff Page Solar Tracking'!$B$9:$B$33,0))+$N$51*INDEX('Tariff Page Solar Tracking'!$C$9:$C$33,MATCH($B31,'Tariff Page Solar Tracking'!$B$9:$B$33,0))+$N$52*INDEX('Tariff Page Solar Tracking'!$F$9:$F$33,MATCH($B31,'Tariff Page Solar Tracking'!$B$9:$B$33,0))+$N$53*INDEX('Tariff Page Solar Tracking'!$E$9:$E$33,MATCH($B31,'Tariff Page Solar Tracking'!$B$9:$B$33,0)))*10</f>
        <v>68.784109780356999</v>
      </c>
      <c r="M31" s="488">
        <f t="shared" ref="M31:M32" si="11">M30*(M30/M29)</f>
        <v>50.945218413408341</v>
      </c>
      <c r="N31" s="290">
        <f t="shared" ref="N31:N32" si="12">L31-M31</f>
        <v>17.838891366948658</v>
      </c>
      <c r="S31" s="271"/>
    </row>
    <row r="32" spans="2:19" x14ac:dyDescent="0.2">
      <c r="B32" s="288">
        <f t="shared" si="4"/>
        <v>2037</v>
      </c>
      <c r="C32" s="289">
        <f>($D$50*INDEX('Tariff Page'!$D$9:$D$32,MATCH($B32,'Tariff Page'!$B$9:$B$32,0))+$D$51*INDEX('Tariff Page'!$C$9:$C$32,MATCH($B32,'Tariff Page'!$B$9:$B$32,0))+$D$52*INDEX('Tariff Page'!$F$9:$F$32,MATCH($B32,'Tariff Page'!$B$9:$B$32,0))+$D$53*INDEX('Tariff Page'!$E$9:$E$32,MATCH($B32,'Tariff Page'!$B$9:$B$32,0)))*10</f>
        <v>75.791299435028236</v>
      </c>
      <c r="D32" s="488">
        <f t="shared" si="5"/>
        <v>63.703737414543347</v>
      </c>
      <c r="E32" s="290">
        <f t="shared" si="6"/>
        <v>12.087562020484889</v>
      </c>
      <c r="F32" s="291">
        <f>($H$50*INDEX('Tariff Page Wind'!$D$9:$D$32,MATCH($B32,'Tariff Page Wind'!$B$9:$B$32,0))+$H$51*INDEX('Tariff Page Wind'!$C$9:$C$32,MATCH($B32,'Tariff Page Wind'!$B$9:$B$32,0))+$H$52*INDEX('Tariff Page Wind'!$F$9:$F$32,MATCH($B32,'Tariff Page Wind'!$B$9:$B$32,0))+$H$53*INDEX('Tariff Page Wind'!$E$9:$E$32,MATCH($B32,'Tariff Page Wind'!$B$9:$B$32,0)))*10</f>
        <v>53.415931981576577</v>
      </c>
      <c r="G32" s="488">
        <f t="shared" si="7"/>
        <v>44.710620522528437</v>
      </c>
      <c r="H32" s="290">
        <f t="shared" si="8"/>
        <v>8.70531145904814</v>
      </c>
      <c r="I32" s="291">
        <f>($K$50*INDEX('Tariff Page Solar Fixed'!$D$9:$D$33,MATCH($B32,'Tariff Page Solar Fixed'!$B$9:$B$33,0))+$K$51*INDEX('Tariff Page Solar Fixed'!$C$9:$C$33,MATCH($B32,'Tariff Page Solar Fixed'!$B$9:$B$33,0))+$K$52*INDEX('Tariff Page Solar Fixed'!$F$9:$F$33,MATCH($B32,'Tariff Page Solar Fixed'!$B$9:$B$33,0))+$K$53*INDEX('Tariff Page Solar Fixed'!$E$9:$E$33,MATCH($B32,'Tariff Page Solar Fixed'!$B$9:$B$33,0)))*10</f>
        <v>64.422466262698819</v>
      </c>
      <c r="J32" s="488">
        <f t="shared" si="9"/>
        <v>51.16427699738626</v>
      </c>
      <c r="K32" s="290">
        <f t="shared" si="10"/>
        <v>13.258189265312559</v>
      </c>
      <c r="L32" s="291">
        <f>($N$50*INDEX('Tariff Page Solar Tracking'!$D$9:$D$33,MATCH($B32,'Tariff Page Solar Tracking'!$B$9:$B$33,0))+$N$51*INDEX('Tariff Page Solar Tracking'!$C$9:$C$33,MATCH($B32,'Tariff Page Solar Tracking'!$B$9:$B$33,0))+$N$52*INDEX('Tariff Page Solar Tracking'!$F$9:$F$33,MATCH($B32,'Tariff Page Solar Tracking'!$B$9:$B$33,0))+$N$53*INDEX('Tariff Page Solar Tracking'!$E$9:$E$33,MATCH($B32,'Tariff Page Solar Tracking'!$B$9:$B$33,0)))*10</f>
        <v>71.005686256674551</v>
      </c>
      <c r="M32" s="488">
        <f t="shared" si="11"/>
        <v>52.622124637551863</v>
      </c>
      <c r="N32" s="290">
        <f t="shared" si="12"/>
        <v>18.383561619122688</v>
      </c>
      <c r="S32" s="271"/>
    </row>
    <row r="33" spans="2:19" x14ac:dyDescent="0.2">
      <c r="B33" s="288"/>
      <c r="C33" s="289"/>
      <c r="D33" s="289"/>
      <c r="E33" s="290"/>
      <c r="F33" s="291"/>
      <c r="G33" s="289"/>
      <c r="H33" s="290"/>
      <c r="I33" s="291"/>
      <c r="J33" s="289"/>
      <c r="K33" s="290"/>
      <c r="L33" s="291"/>
      <c r="M33" s="289"/>
      <c r="N33" s="290"/>
      <c r="S33" s="271"/>
    </row>
    <row r="34" spans="2:19" hidden="1" x14ac:dyDescent="0.2">
      <c r="B34" s="288"/>
      <c r="C34" s="289"/>
      <c r="D34" s="289"/>
      <c r="E34" s="290"/>
      <c r="F34" s="291"/>
      <c r="G34" s="289"/>
      <c r="H34" s="290"/>
      <c r="I34" s="291"/>
      <c r="J34" s="289"/>
      <c r="K34" s="290"/>
      <c r="L34" s="291"/>
      <c r="M34" s="289"/>
      <c r="N34" s="290"/>
      <c r="S34" s="271"/>
    </row>
    <row r="35" spans="2:19" hidden="1" x14ac:dyDescent="0.2">
      <c r="B35" s="288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2:19" hidden="1" x14ac:dyDescent="0.2">
      <c r="B36" s="288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2:19" hidden="1" x14ac:dyDescent="0.2"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2:19" hidden="1" x14ac:dyDescent="0.2">
      <c r="C38" s="262"/>
      <c r="F38" s="262"/>
      <c r="I38" s="262"/>
      <c r="L38" s="262"/>
    </row>
    <row r="39" spans="2:19" x14ac:dyDescent="0.2">
      <c r="B39" s="221" t="str">
        <f>"15 Year ("&amp;B13&amp;" to "&amp;B27&amp;") Levelized Prices (Nominal) @ "&amp;TEXT($P$40,"?.000%")&amp;" Discount Rate"</f>
        <v>15 Year (2018 to 2032) Levelized Prices (Nominal) @ 6.570% Discount Rate</v>
      </c>
      <c r="C39" s="262"/>
      <c r="F39" s="262"/>
      <c r="I39" s="262"/>
      <c r="L39" s="262"/>
      <c r="O39" s="293"/>
      <c r="P39" s="35" t="s">
        <v>338</v>
      </c>
    </row>
    <row r="40" spans="2:19" x14ac:dyDescent="0.2">
      <c r="B40" s="294" t="s">
        <v>36</v>
      </c>
      <c r="C40" s="289">
        <f t="shared" ref="C40:N40" si="13">-PMT($P$40,COUNT(C13:C27),NPV($P$40,C13:C27))</f>
        <v>29.487879381066257</v>
      </c>
      <c r="D40" s="289">
        <f t="shared" si="13"/>
        <v>35.394721175656322</v>
      </c>
      <c r="E40" s="290">
        <f t="shared" si="13"/>
        <v>-5.9068417945900586</v>
      </c>
      <c r="F40" s="289">
        <f t="shared" si="13"/>
        <v>24.845827039988972</v>
      </c>
      <c r="G40" s="289">
        <f t="shared" si="13"/>
        <v>29.048628365178608</v>
      </c>
      <c r="H40" s="290">
        <f t="shared" si="13"/>
        <v>-4.2028013251896379</v>
      </c>
      <c r="I40" s="289">
        <f t="shared" si="13"/>
        <v>28.21337375527181</v>
      </c>
      <c r="J40" s="289">
        <f t="shared" si="13"/>
        <v>31.653584221498996</v>
      </c>
      <c r="K40" s="290">
        <f t="shared" si="13"/>
        <v>-3.440210466227196</v>
      </c>
      <c r="L40" s="289">
        <f t="shared" si="13"/>
        <v>29.216379563135515</v>
      </c>
      <c r="M40" s="289">
        <f t="shared" si="13"/>
        <v>32.420272384515968</v>
      </c>
      <c r="N40" s="290">
        <f t="shared" si="13"/>
        <v>-3.2038928213804505</v>
      </c>
      <c r="O40" s="295"/>
      <c r="P40" s="83">
        <v>6.5699999999999995E-2</v>
      </c>
    </row>
    <row r="41" spans="2:19" x14ac:dyDescent="0.2"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</row>
    <row r="42" spans="2:19" x14ac:dyDescent="0.2">
      <c r="B42" s="221" t="str">
        <f>"15 Year ("&amp;B14&amp;" to "&amp;B28&amp;") Levelized Prices (Nominal) @ "&amp;TEXT($P$40,"?.000%")&amp;" Discount Rate"</f>
        <v>15 Year (2019 to 2033) Levelized Prices (Nominal) @ 6.570% Discount Rate</v>
      </c>
      <c r="C42" s="262"/>
      <c r="F42" s="262"/>
      <c r="I42" s="262"/>
      <c r="L42" s="262"/>
      <c r="O42" s="293"/>
      <c r="P42" s="35"/>
    </row>
    <row r="43" spans="2:19" x14ac:dyDescent="0.2">
      <c r="B43" s="294" t="s">
        <v>36</v>
      </c>
      <c r="C43" s="289">
        <f>-PMT($P$40,COUNT(C14:C28),NPV($P$40,C14:C28))</f>
        <v>31.90914225631062</v>
      </c>
      <c r="D43" s="289">
        <f t="shared" ref="D43:N43" si="14">-PMT($P$40,COUNT(D14:D28),NPV($P$40,D14:D28))</f>
        <v>37.607317201142543</v>
      </c>
      <c r="E43" s="290">
        <f t="shared" si="14"/>
        <v>-5.698174944831921</v>
      </c>
      <c r="F43" s="289">
        <f t="shared" si="14"/>
        <v>26.275243529744948</v>
      </c>
      <c r="G43" s="289">
        <f t="shared" si="14"/>
        <v>30.287573498357958</v>
      </c>
      <c r="H43" s="290">
        <f t="shared" si="14"/>
        <v>-4.0123299686130149</v>
      </c>
      <c r="I43" s="289">
        <f t="shared" si="14"/>
        <v>30.089557836521276</v>
      </c>
      <c r="J43" s="289">
        <f t="shared" si="14"/>
        <v>33.327095915876932</v>
      </c>
      <c r="K43" s="290">
        <f t="shared" si="14"/>
        <v>-3.2375380793556494</v>
      </c>
      <c r="L43" s="289">
        <f t="shared" si="14"/>
        <v>31.427678411837469</v>
      </c>
      <c r="M43" s="289">
        <f t="shared" si="14"/>
        <v>34.151150635173934</v>
      </c>
      <c r="N43" s="290">
        <f t="shared" si="14"/>
        <v>-2.723472223336465</v>
      </c>
    </row>
    <row r="44" spans="2:19" x14ac:dyDescent="0.2">
      <c r="B44" s="294"/>
      <c r="C44" s="289"/>
      <c r="D44" s="289"/>
      <c r="E44" s="290"/>
      <c r="F44" s="289"/>
      <c r="G44" s="289"/>
      <c r="H44" s="290"/>
      <c r="I44" s="289"/>
      <c r="J44" s="289"/>
      <c r="K44" s="290"/>
      <c r="L44" s="289"/>
      <c r="M44" s="289"/>
      <c r="N44" s="290"/>
    </row>
    <row r="45" spans="2:19" x14ac:dyDescent="0.2">
      <c r="B45" s="221" t="str">
        <f>"15 Year ("&amp;B15&amp;" to "&amp;B29&amp;") Levelized Prices (Nominal) @ "&amp;TEXT($P$40,"?.000%")&amp;" Discount Rate"</f>
        <v>15 Year (2020 to 2034) Levelized Prices (Nominal) @ 6.570% Discount Rate</v>
      </c>
      <c r="C45" s="262"/>
      <c r="F45" s="262"/>
      <c r="I45" s="262"/>
      <c r="L45" s="262"/>
      <c r="O45" s="293"/>
      <c r="P45" s="35"/>
    </row>
    <row r="46" spans="2:19" x14ac:dyDescent="0.2">
      <c r="B46" s="294" t="s">
        <v>36</v>
      </c>
      <c r="C46" s="289">
        <f>-PMT($P$40,COUNT(C15:C29),NPV($P$40,C15:C29))</f>
        <v>34.671819068623371</v>
      </c>
      <c r="D46" s="289">
        <f t="shared" ref="D46:N46" si="15">-PMT($P$40,COUNT(D15:D29),NPV($P$40,D15:D29))</f>
        <v>39.908904382663941</v>
      </c>
      <c r="E46" s="290">
        <f t="shared" si="15"/>
        <v>-5.2370853140405726</v>
      </c>
      <c r="F46" s="289">
        <f t="shared" si="15"/>
        <v>27.972185560702986</v>
      </c>
      <c r="G46" s="289">
        <f t="shared" si="15"/>
        <v>31.565756938065842</v>
      </c>
      <c r="H46" s="290">
        <f t="shared" si="15"/>
        <v>-3.5935713773628568</v>
      </c>
      <c r="I46" s="289">
        <f t="shared" si="15"/>
        <v>32.212613170381687</v>
      </c>
      <c r="J46" s="289">
        <f t="shared" si="15"/>
        <v>35.029584602436948</v>
      </c>
      <c r="K46" s="290">
        <f t="shared" si="15"/>
        <v>-2.8169714320552619</v>
      </c>
      <c r="L46" s="289">
        <f t="shared" si="15"/>
        <v>33.898772765508348</v>
      </c>
      <c r="M46" s="289">
        <f t="shared" si="15"/>
        <v>35.905556941780155</v>
      </c>
      <c r="N46" s="290">
        <f t="shared" si="15"/>
        <v>-2.0067841762718022</v>
      </c>
    </row>
    <row r="47" spans="2:19" x14ac:dyDescent="0.2">
      <c r="B47" s="294"/>
    </row>
    <row r="48" spans="2:19" x14ac:dyDescent="0.2">
      <c r="B48"/>
      <c r="C48"/>
      <c r="D48"/>
      <c r="E48"/>
      <c r="F48" s="208"/>
      <c r="G48"/>
      <c r="H48"/>
      <c r="I48" s="208"/>
      <c r="J48"/>
      <c r="K48"/>
      <c r="L48" s="208"/>
      <c r="M48"/>
      <c r="N48"/>
    </row>
    <row r="49" spans="2:22" x14ac:dyDescent="0.2">
      <c r="B49"/>
      <c r="C49" t="s">
        <v>200</v>
      </c>
      <c r="D49" t="s">
        <v>201</v>
      </c>
      <c r="E49"/>
      <c r="F49" s="208"/>
      <c r="H49" s="342" t="s">
        <v>202</v>
      </c>
      <c r="I49" s="208"/>
      <c r="K49" s="343" t="s">
        <v>252</v>
      </c>
      <c r="L49" s="209"/>
      <c r="N49" s="342" t="s">
        <v>253</v>
      </c>
      <c r="O49" s="296"/>
      <c r="P49" s="296"/>
      <c r="Q49" s="296"/>
      <c r="R49" s="296"/>
      <c r="S49" s="297"/>
      <c r="T49" s="297"/>
      <c r="U49" s="297"/>
      <c r="V49" s="297"/>
    </row>
    <row r="50" spans="2:22" x14ac:dyDescent="0.2">
      <c r="B50" s="163" t="s">
        <v>184</v>
      </c>
      <c r="C50" s="163"/>
      <c r="D50" s="131">
        <f>'[5]OFPC Source'!$AN$19</f>
        <v>0.18722294654498045</v>
      </c>
      <c r="E50" s="131"/>
      <c r="F50" s="209"/>
      <c r="G50" s="131"/>
      <c r="H50" s="314">
        <v>0.12623449640840365</v>
      </c>
      <c r="I50" s="209"/>
      <c r="J50" s="131"/>
      <c r="K50" s="314">
        <v>0.31113275152605013</v>
      </c>
      <c r="L50" s="209"/>
      <c r="M50" s="131"/>
      <c r="N50" s="314">
        <v>0.32920509548889204</v>
      </c>
    </row>
    <row r="51" spans="2:22" x14ac:dyDescent="0.2">
      <c r="B51" s="163" t="s">
        <v>185</v>
      </c>
      <c r="C51" s="163"/>
      <c r="D51" s="131">
        <f>'[5]OFPC Source'!$AN$20</f>
        <v>0.3732290308561495</v>
      </c>
      <c r="E51" s="131">
        <f>D51+D50</f>
        <v>0.56045197740112995</v>
      </c>
      <c r="F51" s="209"/>
      <c r="G51" s="131"/>
      <c r="H51" s="314">
        <v>0.24205172308442247</v>
      </c>
      <c r="I51" s="209"/>
      <c r="J51" s="131"/>
      <c r="K51" s="314">
        <v>0.52472063097542176</v>
      </c>
      <c r="L51" s="209"/>
      <c r="M51" s="131"/>
      <c r="N51" s="314">
        <v>0.46026453781858651</v>
      </c>
    </row>
    <row r="52" spans="2:22" x14ac:dyDescent="0.2">
      <c r="B52" s="163" t="s">
        <v>186</v>
      </c>
      <c r="C52" s="163"/>
      <c r="D52" s="131">
        <f>'[5]OFPC Source'!$AN$21</f>
        <v>0.1468057366362451</v>
      </c>
      <c r="E52" s="131"/>
      <c r="F52" s="209"/>
      <c r="G52" s="131"/>
      <c r="H52" s="314">
        <v>0.24648094053086955</v>
      </c>
      <c r="I52" s="209"/>
      <c r="J52" s="131"/>
      <c r="K52" s="314">
        <v>6.5066986914763897E-2</v>
      </c>
      <c r="L52" s="209"/>
      <c r="M52" s="131"/>
      <c r="N52" s="314">
        <v>0.10285010302070161</v>
      </c>
    </row>
    <row r="53" spans="2:22" x14ac:dyDescent="0.2">
      <c r="B53" s="163" t="s">
        <v>187</v>
      </c>
      <c r="C53" s="163"/>
      <c r="D53" s="131">
        <f>'[5]OFPC Source'!$AN$22</f>
        <v>0.29274228596262497</v>
      </c>
      <c r="E53" s="131">
        <f>D53+D52</f>
        <v>0.43954802259887005</v>
      </c>
      <c r="F53" s="209"/>
      <c r="G53" s="163"/>
      <c r="H53" s="314">
        <v>0.38523283997630436</v>
      </c>
      <c r="I53" s="209"/>
      <c r="J53" s="163"/>
      <c r="K53" s="314">
        <v>9.9079630583764081E-2</v>
      </c>
      <c r="L53" s="209"/>
      <c r="M53" s="163"/>
      <c r="N53" s="314">
        <v>0.10768026367181986</v>
      </c>
    </row>
    <row r="54" spans="2:22" x14ac:dyDescent="0.2">
      <c r="B54"/>
      <c r="C54"/>
      <c r="D54"/>
      <c r="E54"/>
      <c r="F54" s="208"/>
      <c r="G54"/>
      <c r="H54"/>
      <c r="I54" s="208"/>
      <c r="J54"/>
      <c r="K54"/>
      <c r="L54" s="208"/>
      <c r="M54"/>
      <c r="N54"/>
    </row>
    <row r="56" spans="2:22" x14ac:dyDescent="0.2">
      <c r="F56" s="298"/>
      <c r="I56" s="298"/>
      <c r="J56" s="298"/>
      <c r="K56" s="298"/>
      <c r="L56" s="298"/>
    </row>
    <row r="61" spans="2:22" ht="24.75" customHeight="1" x14ac:dyDescent="0.2"/>
  </sheetData>
  <phoneticPr fontId="9" type="noConversion"/>
  <printOptions horizontalCentered="1"/>
  <pageMargins left="0.25" right="0.25" top="0.75" bottom="0.75" header="0.3" footer="0.3"/>
  <pageSetup scale="51"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35"/>
  <sheetViews>
    <sheetView topLeftCell="A29" zoomScale="80" zoomScaleNormal="80" workbookViewId="0">
      <selection activeCell="B29" sqref="B29"/>
    </sheetView>
  </sheetViews>
  <sheetFormatPr defaultRowHeight="12.75" x14ac:dyDescent="0.2"/>
  <cols>
    <col min="1" max="1" width="1.33203125" style="345" customWidth="1"/>
    <col min="2" max="2" width="9.33203125" style="345" customWidth="1"/>
    <col min="3" max="3" width="9.83203125" style="345" customWidth="1"/>
    <col min="4" max="4" width="12.1640625" style="345" customWidth="1"/>
    <col min="5" max="5" width="10" style="345" customWidth="1"/>
    <col min="6" max="6" width="9.83203125" style="345" bestFit="1" customWidth="1"/>
    <col min="7" max="8" width="10.1640625" style="345" customWidth="1"/>
    <col min="9" max="9" width="9" style="345" customWidth="1"/>
    <col min="10" max="10" width="10.33203125" style="345" customWidth="1"/>
    <col min="11" max="11" width="10.5" style="345" customWidth="1"/>
    <col min="12" max="13" width="9.33203125" style="345"/>
    <col min="14" max="15" width="0" style="345" hidden="1" customWidth="1"/>
    <col min="16" max="16384" width="9.33203125" style="345"/>
  </cols>
  <sheetData>
    <row r="1" spans="1:12" ht="15.75" x14ac:dyDescent="0.25">
      <c r="B1" s="346" t="s">
        <v>33</v>
      </c>
      <c r="C1" s="347"/>
      <c r="D1" s="347"/>
      <c r="E1" s="347"/>
      <c r="F1" s="347"/>
      <c r="G1" s="347"/>
      <c r="H1" s="347"/>
      <c r="I1" s="347"/>
      <c r="J1" s="347"/>
      <c r="K1" s="346"/>
    </row>
    <row r="2" spans="1:12" ht="15.75" x14ac:dyDescent="0.25">
      <c r="B2" s="346" t="s">
        <v>83</v>
      </c>
      <c r="C2" s="347"/>
      <c r="D2" s="347"/>
      <c r="E2" s="347"/>
      <c r="F2" s="347"/>
      <c r="G2" s="347"/>
      <c r="H2" s="347"/>
      <c r="I2" s="347"/>
      <c r="J2" s="347"/>
      <c r="K2" s="347"/>
    </row>
    <row r="3" spans="1:12" ht="15.75" x14ac:dyDescent="0.25">
      <c r="B3" s="346"/>
      <c r="C3" s="347"/>
      <c r="D3" s="347"/>
      <c r="E3" s="347"/>
      <c r="F3" s="347"/>
      <c r="G3" s="347"/>
      <c r="H3" s="347"/>
      <c r="I3" s="347"/>
      <c r="J3" s="347"/>
      <c r="K3" s="348" t="s">
        <v>84</v>
      </c>
    </row>
    <row r="4" spans="1:12" ht="5.25" customHeight="1" x14ac:dyDescent="0.2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50"/>
    </row>
    <row r="5" spans="1:12" ht="51.75" customHeight="1" x14ac:dyDescent="0.2">
      <c r="A5" s="351"/>
      <c r="B5" s="352" t="s">
        <v>2</v>
      </c>
      <c r="C5" s="353" t="s">
        <v>38</v>
      </c>
      <c r="D5" s="353" t="s">
        <v>39</v>
      </c>
      <c r="E5" s="353" t="s">
        <v>40</v>
      </c>
      <c r="F5" s="353" t="s">
        <v>41</v>
      </c>
      <c r="G5" s="353" t="s">
        <v>42</v>
      </c>
      <c r="H5" s="353" t="s">
        <v>43</v>
      </c>
      <c r="I5" s="349"/>
      <c r="J5" s="349"/>
      <c r="K5" s="349"/>
      <c r="L5" s="350"/>
    </row>
    <row r="6" spans="1:12" ht="18.75" customHeight="1" x14ac:dyDescent="0.2">
      <c r="B6" s="354"/>
      <c r="C6" s="436" t="s">
        <v>34</v>
      </c>
      <c r="D6" s="437" t="s">
        <v>35</v>
      </c>
      <c r="E6" s="437" t="s">
        <v>35</v>
      </c>
      <c r="F6" s="437" t="s">
        <v>36</v>
      </c>
      <c r="G6" s="437" t="s">
        <v>35</v>
      </c>
      <c r="H6" s="437" t="s">
        <v>35</v>
      </c>
      <c r="I6" s="349"/>
      <c r="J6" s="349"/>
      <c r="K6" s="349"/>
      <c r="L6" s="350"/>
    </row>
    <row r="7" spans="1:12" x14ac:dyDescent="0.2">
      <c r="C7" s="355" t="s">
        <v>19</v>
      </c>
      <c r="D7" s="355" t="s">
        <v>20</v>
      </c>
      <c r="E7" s="355" t="s">
        <v>21</v>
      </c>
      <c r="F7" s="355" t="s">
        <v>22</v>
      </c>
      <c r="G7" s="355" t="s">
        <v>23</v>
      </c>
      <c r="H7" s="355" t="s">
        <v>29</v>
      </c>
      <c r="I7" s="349"/>
      <c r="J7" s="349"/>
      <c r="K7" s="349"/>
    </row>
    <row r="8" spans="1:12" ht="6" customHeight="1" x14ac:dyDescent="0.2">
      <c r="I8" s="349"/>
      <c r="J8" s="349"/>
      <c r="K8" s="349"/>
    </row>
    <row r="9" spans="1:12" ht="15.75" x14ac:dyDescent="0.25">
      <c r="B9" s="356" t="str">
        <f>C38</f>
        <v>UT N - 200 MW - SCCT Frame "F" x1 - East Side Resource (5,050')</v>
      </c>
      <c r="C9" s="350"/>
      <c r="E9" s="350"/>
      <c r="F9" s="350"/>
      <c r="G9" s="350"/>
      <c r="H9" s="350"/>
      <c r="I9" s="349"/>
      <c r="J9" s="349"/>
      <c r="K9" s="349"/>
      <c r="L9" s="350"/>
    </row>
    <row r="10" spans="1:12" x14ac:dyDescent="0.2">
      <c r="B10" s="357">
        <v>2016</v>
      </c>
      <c r="C10" s="358">
        <f>ROUND(C40,0)</f>
        <v>702</v>
      </c>
      <c r="D10" s="359">
        <f>ROUND(C10*$C$45,2)</f>
        <v>51.76</v>
      </c>
      <c r="E10" s="359">
        <f>C43</f>
        <v>30.657239904849501</v>
      </c>
      <c r="F10" s="359">
        <f>ROUND(C44,2)</f>
        <v>7.53</v>
      </c>
      <c r="G10" s="360">
        <f t="shared" ref="G10:G29" si="0">ROUND(F10*(8.76*$C$46)+E10,2)</f>
        <v>52.42</v>
      </c>
      <c r="H10" s="360">
        <f t="shared" ref="H10:H12" si="1">ROUND(D10+G10,2)</f>
        <v>104.18</v>
      </c>
      <c r="I10" s="349"/>
      <c r="J10" s="349"/>
      <c r="K10" s="349"/>
      <c r="L10" s="350"/>
    </row>
    <row r="11" spans="1:12" x14ac:dyDescent="0.2">
      <c r="B11" s="357">
        <f>B10+1</f>
        <v>2017</v>
      </c>
      <c r="C11" s="358"/>
      <c r="D11" s="359">
        <f t="shared" ref="D11:F17" si="2">ROUND(D10*(1+INDEX($D$124:$D$130,MATCH($B11,$C$124:$C$130,0))),2)</f>
        <v>52.9</v>
      </c>
      <c r="E11" s="359">
        <f t="shared" si="2"/>
        <v>31.33</v>
      </c>
      <c r="F11" s="359">
        <f t="shared" si="2"/>
        <v>7.7</v>
      </c>
      <c r="G11" s="360">
        <f t="shared" si="0"/>
        <v>53.59</v>
      </c>
      <c r="H11" s="360">
        <f t="shared" si="1"/>
        <v>106.49</v>
      </c>
      <c r="I11" s="349"/>
      <c r="J11" s="349"/>
      <c r="K11" s="349"/>
      <c r="L11" s="350"/>
    </row>
    <row r="12" spans="1:12" x14ac:dyDescent="0.2">
      <c r="B12" s="357">
        <f>B11+1</f>
        <v>2018</v>
      </c>
      <c r="C12" s="358"/>
      <c r="D12" s="359">
        <f t="shared" si="2"/>
        <v>54.05</v>
      </c>
      <c r="E12" s="359">
        <f t="shared" si="2"/>
        <v>32.01</v>
      </c>
      <c r="F12" s="359">
        <f t="shared" si="2"/>
        <v>7.87</v>
      </c>
      <c r="G12" s="360">
        <f t="shared" si="0"/>
        <v>54.76</v>
      </c>
      <c r="H12" s="360">
        <f t="shared" si="1"/>
        <v>108.81</v>
      </c>
      <c r="I12" s="349"/>
      <c r="J12" s="349"/>
      <c r="K12" s="349"/>
    </row>
    <row r="13" spans="1:12" x14ac:dyDescent="0.2">
      <c r="B13" s="357">
        <f t="shared" ref="B13:B31" si="3">B12+1</f>
        <v>2019</v>
      </c>
      <c r="C13" s="361"/>
      <c r="D13" s="359">
        <f t="shared" si="2"/>
        <v>55.13</v>
      </c>
      <c r="E13" s="359">
        <f t="shared" si="2"/>
        <v>32.65</v>
      </c>
      <c r="F13" s="359">
        <f t="shared" si="2"/>
        <v>8.0299999999999994</v>
      </c>
      <c r="G13" s="360">
        <f t="shared" si="0"/>
        <v>55.86</v>
      </c>
      <c r="H13" s="360">
        <f t="shared" ref="H13:H29" si="4">ROUND(D13+G13,2)</f>
        <v>110.99</v>
      </c>
      <c r="I13" s="349"/>
      <c r="J13" s="349"/>
      <c r="K13" s="349"/>
    </row>
    <row r="14" spans="1:12" x14ac:dyDescent="0.2">
      <c r="B14" s="357">
        <f t="shared" si="3"/>
        <v>2020</v>
      </c>
      <c r="C14" s="361"/>
      <c r="D14" s="359">
        <f t="shared" si="2"/>
        <v>56.31</v>
      </c>
      <c r="E14" s="359">
        <f t="shared" si="2"/>
        <v>33.35</v>
      </c>
      <c r="F14" s="359">
        <f t="shared" si="2"/>
        <v>8.1999999999999993</v>
      </c>
      <c r="G14" s="360">
        <f t="shared" si="0"/>
        <v>57.05</v>
      </c>
      <c r="H14" s="360">
        <f t="shared" si="4"/>
        <v>113.36</v>
      </c>
      <c r="I14" s="362"/>
      <c r="J14" s="362"/>
      <c r="K14" s="363"/>
    </row>
    <row r="15" spans="1:12" x14ac:dyDescent="0.2">
      <c r="B15" s="357">
        <f t="shared" si="3"/>
        <v>2021</v>
      </c>
      <c r="C15" s="361"/>
      <c r="D15" s="359">
        <f t="shared" si="2"/>
        <v>57.57</v>
      </c>
      <c r="E15" s="359">
        <f t="shared" si="2"/>
        <v>34.1</v>
      </c>
      <c r="F15" s="359">
        <f t="shared" si="2"/>
        <v>8.3800000000000008</v>
      </c>
      <c r="G15" s="360">
        <f t="shared" si="0"/>
        <v>58.32</v>
      </c>
      <c r="H15" s="360">
        <f t="shared" si="4"/>
        <v>115.89</v>
      </c>
      <c r="I15" s="362"/>
      <c r="J15" s="362"/>
      <c r="K15" s="363"/>
    </row>
    <row r="16" spans="1:12" x14ac:dyDescent="0.2">
      <c r="B16" s="357">
        <f t="shared" si="3"/>
        <v>2022</v>
      </c>
      <c r="C16" s="361"/>
      <c r="D16" s="359">
        <f t="shared" si="2"/>
        <v>58.87</v>
      </c>
      <c r="E16" s="359">
        <f t="shared" si="2"/>
        <v>34.869999999999997</v>
      </c>
      <c r="F16" s="359">
        <f t="shared" si="2"/>
        <v>8.57</v>
      </c>
      <c r="G16" s="360">
        <f t="shared" si="0"/>
        <v>59.64</v>
      </c>
      <c r="H16" s="360">
        <f t="shared" si="4"/>
        <v>118.51</v>
      </c>
      <c r="I16" s="362"/>
      <c r="J16" s="362"/>
      <c r="K16" s="363"/>
    </row>
    <row r="17" spans="2:11" x14ac:dyDescent="0.2">
      <c r="B17" s="357">
        <f t="shared" si="3"/>
        <v>2023</v>
      </c>
      <c r="C17" s="361"/>
      <c r="D17" s="359">
        <f t="shared" si="2"/>
        <v>60.23</v>
      </c>
      <c r="E17" s="359">
        <f t="shared" si="2"/>
        <v>35.67</v>
      </c>
      <c r="F17" s="359">
        <f t="shared" si="2"/>
        <v>8.77</v>
      </c>
      <c r="G17" s="360">
        <f t="shared" si="0"/>
        <v>61.02</v>
      </c>
      <c r="H17" s="360">
        <f t="shared" si="4"/>
        <v>121.25</v>
      </c>
      <c r="I17" s="362"/>
      <c r="J17" s="362"/>
      <c r="K17" s="363"/>
    </row>
    <row r="18" spans="2:11" x14ac:dyDescent="0.2">
      <c r="B18" s="357">
        <f t="shared" si="3"/>
        <v>2024</v>
      </c>
      <c r="C18" s="361"/>
      <c r="D18" s="364">
        <f t="shared" ref="D18:F24" si="5">ROUND(D17*(1+INDEX($G$124:$G$130,MATCH($B18,$F$124:$F$130,0))),2)</f>
        <v>61.62</v>
      </c>
      <c r="E18" s="364">
        <f t="shared" si="5"/>
        <v>36.5</v>
      </c>
      <c r="F18" s="364">
        <f t="shared" si="5"/>
        <v>8.9700000000000006</v>
      </c>
      <c r="G18" s="360">
        <f t="shared" si="0"/>
        <v>62.43</v>
      </c>
      <c r="H18" s="360">
        <f t="shared" ref="H18:H19" si="6">ROUND(D18+G18,2)</f>
        <v>124.05</v>
      </c>
      <c r="I18" s="362"/>
      <c r="J18" s="362"/>
      <c r="K18" s="363"/>
    </row>
    <row r="19" spans="2:11" x14ac:dyDescent="0.2">
      <c r="B19" s="357">
        <f t="shared" si="3"/>
        <v>2025</v>
      </c>
      <c r="C19" s="361"/>
      <c r="D19" s="364">
        <f t="shared" si="5"/>
        <v>63.05</v>
      </c>
      <c r="E19" s="364">
        <f t="shared" si="5"/>
        <v>37.35</v>
      </c>
      <c r="F19" s="364">
        <f t="shared" si="5"/>
        <v>9.18</v>
      </c>
      <c r="G19" s="360">
        <f t="shared" si="0"/>
        <v>63.89</v>
      </c>
      <c r="H19" s="360">
        <f t="shared" si="6"/>
        <v>126.94</v>
      </c>
      <c r="I19" s="362"/>
      <c r="J19" s="362"/>
      <c r="K19" s="363"/>
    </row>
    <row r="20" spans="2:11" x14ac:dyDescent="0.2">
      <c r="B20" s="357">
        <f t="shared" si="3"/>
        <v>2026</v>
      </c>
      <c r="C20" s="361"/>
      <c r="D20" s="364">
        <f t="shared" si="5"/>
        <v>64.5</v>
      </c>
      <c r="E20" s="364">
        <f t="shared" si="5"/>
        <v>38.21</v>
      </c>
      <c r="F20" s="364">
        <f t="shared" si="5"/>
        <v>9.39</v>
      </c>
      <c r="G20" s="360">
        <f t="shared" si="0"/>
        <v>65.349999999999994</v>
      </c>
      <c r="H20" s="360">
        <f t="shared" si="4"/>
        <v>129.85</v>
      </c>
      <c r="I20" s="362"/>
      <c r="J20" s="362"/>
      <c r="K20" s="363"/>
    </row>
    <row r="21" spans="2:11" x14ac:dyDescent="0.2">
      <c r="B21" s="357">
        <f t="shared" si="3"/>
        <v>2027</v>
      </c>
      <c r="C21" s="361"/>
      <c r="D21" s="364">
        <f t="shared" si="5"/>
        <v>65.989999999999995</v>
      </c>
      <c r="E21" s="364">
        <f t="shared" si="5"/>
        <v>39.1</v>
      </c>
      <c r="F21" s="364">
        <f t="shared" si="5"/>
        <v>9.61</v>
      </c>
      <c r="G21" s="360">
        <f t="shared" si="0"/>
        <v>66.88</v>
      </c>
      <c r="H21" s="360">
        <f t="shared" si="4"/>
        <v>132.87</v>
      </c>
      <c r="I21" s="362"/>
      <c r="J21" s="362"/>
      <c r="K21" s="363"/>
    </row>
    <row r="22" spans="2:11" x14ac:dyDescent="0.2">
      <c r="B22" s="357">
        <f t="shared" si="3"/>
        <v>2028</v>
      </c>
      <c r="C22" s="361"/>
      <c r="D22" s="364">
        <f t="shared" si="5"/>
        <v>67.53</v>
      </c>
      <c r="E22" s="364">
        <f t="shared" si="5"/>
        <v>40.01</v>
      </c>
      <c r="F22" s="364">
        <f t="shared" si="5"/>
        <v>9.83</v>
      </c>
      <c r="G22" s="360">
        <f t="shared" si="0"/>
        <v>68.430000000000007</v>
      </c>
      <c r="H22" s="360">
        <f t="shared" si="4"/>
        <v>135.96</v>
      </c>
      <c r="I22" s="362"/>
      <c r="J22" s="362"/>
      <c r="K22" s="363"/>
    </row>
    <row r="23" spans="2:11" x14ac:dyDescent="0.2">
      <c r="B23" s="357">
        <f t="shared" si="3"/>
        <v>2029</v>
      </c>
      <c r="C23" s="361"/>
      <c r="D23" s="364">
        <f t="shared" si="5"/>
        <v>69.13</v>
      </c>
      <c r="E23" s="364">
        <f t="shared" si="5"/>
        <v>40.96</v>
      </c>
      <c r="F23" s="364">
        <f t="shared" si="5"/>
        <v>10.06</v>
      </c>
      <c r="G23" s="360">
        <f t="shared" si="0"/>
        <v>70.040000000000006</v>
      </c>
      <c r="H23" s="360">
        <f t="shared" si="4"/>
        <v>139.16999999999999</v>
      </c>
      <c r="I23" s="362"/>
      <c r="J23" s="362"/>
      <c r="K23" s="363"/>
    </row>
    <row r="24" spans="2:11" x14ac:dyDescent="0.2">
      <c r="B24" s="357">
        <f t="shared" si="3"/>
        <v>2030</v>
      </c>
      <c r="C24" s="361"/>
      <c r="D24" s="364">
        <f t="shared" si="5"/>
        <v>70.78</v>
      </c>
      <c r="E24" s="364">
        <f t="shared" si="5"/>
        <v>41.93</v>
      </c>
      <c r="F24" s="364">
        <f t="shared" si="5"/>
        <v>10.3</v>
      </c>
      <c r="G24" s="360">
        <f t="shared" si="0"/>
        <v>71.709999999999994</v>
      </c>
      <c r="H24" s="360">
        <f t="shared" si="4"/>
        <v>142.49</v>
      </c>
      <c r="I24" s="362"/>
      <c r="J24" s="362"/>
      <c r="K24" s="363"/>
    </row>
    <row r="25" spans="2:11" x14ac:dyDescent="0.2">
      <c r="B25" s="357">
        <f t="shared" si="3"/>
        <v>2031</v>
      </c>
      <c r="C25" s="361"/>
      <c r="D25" s="364">
        <f t="shared" ref="D25:F31" si="7">ROUND(D24*(1+INDEX($J$124:$J$131,MATCH($B25,$I$124:$I$131,0))),2)</f>
        <v>72.48</v>
      </c>
      <c r="E25" s="364">
        <f t="shared" si="7"/>
        <v>42.94</v>
      </c>
      <c r="F25" s="364">
        <f t="shared" si="7"/>
        <v>10.55</v>
      </c>
      <c r="G25" s="360">
        <f t="shared" si="0"/>
        <v>73.44</v>
      </c>
      <c r="H25" s="360">
        <f t="shared" si="4"/>
        <v>145.91999999999999</v>
      </c>
      <c r="I25" s="362"/>
      <c r="J25" s="362"/>
      <c r="K25" s="363"/>
    </row>
    <row r="26" spans="2:11" x14ac:dyDescent="0.2">
      <c r="B26" s="357">
        <f t="shared" si="3"/>
        <v>2032</v>
      </c>
      <c r="C26" s="361"/>
      <c r="D26" s="364">
        <f t="shared" si="7"/>
        <v>74.22</v>
      </c>
      <c r="E26" s="364">
        <f t="shared" si="7"/>
        <v>43.97</v>
      </c>
      <c r="F26" s="364">
        <f t="shared" si="7"/>
        <v>10.8</v>
      </c>
      <c r="G26" s="360">
        <f t="shared" si="0"/>
        <v>75.19</v>
      </c>
      <c r="H26" s="360">
        <f t="shared" si="4"/>
        <v>149.41</v>
      </c>
      <c r="I26" s="362"/>
      <c r="J26" s="362"/>
      <c r="K26" s="363"/>
    </row>
    <row r="27" spans="2:11" x14ac:dyDescent="0.2">
      <c r="B27" s="357">
        <f t="shared" si="3"/>
        <v>2033</v>
      </c>
      <c r="C27" s="361"/>
      <c r="D27" s="364">
        <f t="shared" si="7"/>
        <v>76.02</v>
      </c>
      <c r="E27" s="364">
        <f t="shared" si="7"/>
        <v>45.03</v>
      </c>
      <c r="F27" s="364">
        <f t="shared" si="7"/>
        <v>11.06</v>
      </c>
      <c r="G27" s="360">
        <f t="shared" si="0"/>
        <v>77</v>
      </c>
      <c r="H27" s="360">
        <f t="shared" si="4"/>
        <v>153.02000000000001</v>
      </c>
      <c r="I27" s="362"/>
      <c r="J27" s="362"/>
      <c r="K27" s="363"/>
    </row>
    <row r="28" spans="2:11" x14ac:dyDescent="0.2">
      <c r="B28" s="357">
        <f t="shared" si="3"/>
        <v>2034</v>
      </c>
      <c r="C28" s="361"/>
      <c r="D28" s="364">
        <f t="shared" si="7"/>
        <v>77.86</v>
      </c>
      <c r="E28" s="364">
        <f t="shared" si="7"/>
        <v>46.12</v>
      </c>
      <c r="F28" s="364">
        <f t="shared" si="7"/>
        <v>11.33</v>
      </c>
      <c r="G28" s="360">
        <f t="shared" si="0"/>
        <v>78.87</v>
      </c>
      <c r="H28" s="360">
        <f t="shared" si="4"/>
        <v>156.72999999999999</v>
      </c>
      <c r="I28" s="362"/>
      <c r="J28" s="362"/>
      <c r="K28" s="363"/>
    </row>
    <row r="29" spans="2:11" x14ac:dyDescent="0.2">
      <c r="B29" s="357">
        <f t="shared" si="3"/>
        <v>2035</v>
      </c>
      <c r="C29" s="361"/>
      <c r="D29" s="364">
        <f t="shared" si="7"/>
        <v>79.739999999999995</v>
      </c>
      <c r="E29" s="364">
        <f t="shared" si="7"/>
        <v>47.23</v>
      </c>
      <c r="F29" s="364">
        <f t="shared" si="7"/>
        <v>11.6</v>
      </c>
      <c r="G29" s="360">
        <f t="shared" si="0"/>
        <v>80.760000000000005</v>
      </c>
      <c r="H29" s="360">
        <f t="shared" si="4"/>
        <v>160.5</v>
      </c>
      <c r="I29" s="362"/>
      <c r="J29" s="362"/>
      <c r="K29" s="363"/>
    </row>
    <row r="30" spans="2:11" x14ac:dyDescent="0.2">
      <c r="B30" s="357">
        <f t="shared" si="3"/>
        <v>2036</v>
      </c>
      <c r="C30" s="361"/>
      <c r="D30" s="364">
        <f t="shared" si="7"/>
        <v>81.680000000000007</v>
      </c>
      <c r="E30" s="364">
        <f t="shared" si="7"/>
        <v>48.38</v>
      </c>
      <c r="F30" s="364">
        <f t="shared" si="7"/>
        <v>11.88</v>
      </c>
      <c r="G30" s="360">
        <f t="shared" ref="G30:G31" si="8">ROUND(F30*(8.76*$C$46)+E30,2)</f>
        <v>82.72</v>
      </c>
      <c r="H30" s="360">
        <f t="shared" ref="H30:H31" si="9">ROUND(D30+G30,2)</f>
        <v>164.4</v>
      </c>
      <c r="I30" s="362"/>
      <c r="J30" s="362"/>
      <c r="K30" s="363"/>
    </row>
    <row r="31" spans="2:11" x14ac:dyDescent="0.2">
      <c r="B31" s="357">
        <f t="shared" si="3"/>
        <v>2037</v>
      </c>
      <c r="C31" s="361"/>
      <c r="D31" s="364">
        <f t="shared" si="7"/>
        <v>83.66</v>
      </c>
      <c r="E31" s="364">
        <f t="shared" si="7"/>
        <v>49.55</v>
      </c>
      <c r="F31" s="364">
        <f t="shared" si="7"/>
        <v>12.17</v>
      </c>
      <c r="G31" s="360">
        <f t="shared" si="8"/>
        <v>84.73</v>
      </c>
      <c r="H31" s="360">
        <f t="shared" si="9"/>
        <v>168.39</v>
      </c>
      <c r="I31" s="362"/>
      <c r="J31" s="362"/>
      <c r="K31" s="363"/>
    </row>
    <row r="32" spans="2:11" ht="12.75" customHeight="1" x14ac:dyDescent="0.2">
      <c r="B32" s="368"/>
      <c r="C32" s="369"/>
      <c r="D32" s="370"/>
      <c r="E32" s="364"/>
      <c r="F32" s="364"/>
      <c r="G32" s="364"/>
      <c r="H32" s="364"/>
      <c r="I32" s="362"/>
      <c r="J32" s="362"/>
      <c r="K32" s="371"/>
    </row>
    <row r="33" spans="2:12" x14ac:dyDescent="0.2">
      <c r="B33" s="372" t="str">
        <f>B80</f>
        <v>Source: (a)(c)(d)</v>
      </c>
      <c r="C33" s="372"/>
      <c r="D33" s="372" t="str">
        <f>D80</f>
        <v>Plant Costs  - 2017 IRP - Table 6.2</v>
      </c>
      <c r="E33" s="372"/>
      <c r="F33" s="372"/>
      <c r="G33" s="372"/>
      <c r="H33" s="372"/>
      <c r="I33" s="372"/>
      <c r="J33" s="372"/>
      <c r="K33" s="372"/>
      <c r="L33" s="372"/>
    </row>
    <row r="34" spans="2:12" x14ac:dyDescent="0.2">
      <c r="B34" s="372"/>
      <c r="C34" s="373" t="str">
        <f>D7</f>
        <v>(b)</v>
      </c>
      <c r="D34" s="374" t="str">
        <f>"= "&amp;C7&amp;" x "&amp;C45&amp;D45</f>
        <v>= (a) x 0.0737263117964292  Payment Factor</v>
      </c>
      <c r="E34" s="372"/>
      <c r="F34" s="372"/>
      <c r="G34" s="372"/>
      <c r="H34" s="372"/>
      <c r="I34" s="372"/>
      <c r="J34" s="372"/>
      <c r="K34" s="372"/>
      <c r="L34" s="372"/>
    </row>
    <row r="35" spans="2:12" x14ac:dyDescent="0.2">
      <c r="B35" s="372"/>
      <c r="C35" s="373" t="str">
        <f>G7</f>
        <v>(e)</v>
      </c>
      <c r="D35" s="374" t="str">
        <f>"= "&amp;$F$7&amp;" x  (8.76 x "&amp;TEXT(C46,"?%")&amp;" ) + "&amp;$E$7</f>
        <v>= (d) x  (8.76 x 33% ) + (c)</v>
      </c>
      <c r="E35" s="372"/>
      <c r="F35" s="372"/>
      <c r="G35" s="372"/>
      <c r="H35" s="372"/>
      <c r="I35" s="372"/>
      <c r="J35" s="372"/>
      <c r="K35" s="372"/>
      <c r="L35" s="372"/>
    </row>
    <row r="36" spans="2:12" x14ac:dyDescent="0.2">
      <c r="B36" s="372"/>
      <c r="C36" s="373" t="str">
        <f>H7</f>
        <v>(f)</v>
      </c>
      <c r="D36" s="374" t="str">
        <f>"= "&amp;D7&amp;" + "&amp;G7</f>
        <v>= (b) + (e)</v>
      </c>
      <c r="E36" s="372"/>
      <c r="F36" s="372"/>
      <c r="G36" s="372"/>
      <c r="H36" s="372"/>
      <c r="I36" s="372"/>
      <c r="J36" s="372"/>
      <c r="K36" s="372"/>
      <c r="L36" s="372"/>
    </row>
    <row r="37" spans="2:12" ht="6" customHeight="1" thickBot="1" x14ac:dyDescent="0.25">
      <c r="B37" s="372"/>
      <c r="C37" s="373"/>
      <c r="D37" s="374"/>
      <c r="E37" s="372"/>
      <c r="F37" s="372"/>
      <c r="G37" s="372"/>
      <c r="H37" s="372"/>
      <c r="I37" s="372"/>
      <c r="J37" s="372"/>
      <c r="K37" s="372"/>
      <c r="L37" s="372"/>
    </row>
    <row r="38" spans="2:12" ht="13.5" thickBot="1" x14ac:dyDescent="0.25">
      <c r="B38" s="372"/>
      <c r="C38" s="375" t="s">
        <v>320</v>
      </c>
      <c r="D38" s="376"/>
      <c r="E38" s="377"/>
      <c r="F38" s="376"/>
      <c r="G38" s="376"/>
      <c r="H38" s="376"/>
      <c r="I38" s="376"/>
      <c r="J38" s="378"/>
      <c r="K38" s="379"/>
    </row>
    <row r="39" spans="2:12" x14ac:dyDescent="0.2">
      <c r="C39" s="372">
        <v>199.924125</v>
      </c>
      <c r="D39" s="345" t="s">
        <v>85</v>
      </c>
      <c r="E39" s="372"/>
      <c r="J39" s="372"/>
      <c r="K39" s="372"/>
    </row>
    <row r="40" spans="2:12" x14ac:dyDescent="0.2">
      <c r="B40" s="345" t="s">
        <v>321</v>
      </c>
      <c r="C40" s="380">
        <v>701.59905041057641</v>
      </c>
      <c r="D40" s="345" t="s">
        <v>86</v>
      </c>
      <c r="E40" s="381"/>
      <c r="F40" s="382"/>
      <c r="G40" s="383"/>
      <c r="H40" s="372"/>
      <c r="I40" s="372"/>
      <c r="J40" s="372"/>
      <c r="K40" s="372"/>
    </row>
    <row r="41" spans="2:12" x14ac:dyDescent="0.2">
      <c r="B41" s="345" t="s">
        <v>321</v>
      </c>
      <c r="C41" s="384">
        <v>16.0158293408495</v>
      </c>
      <c r="D41" s="385" t="str">
        <f>E112</f>
        <v xml:space="preserve">  Fixed O&amp;M &amp; Capitalized O&amp;M</v>
      </c>
      <c r="E41" s="381"/>
      <c r="F41" s="382"/>
      <c r="G41" s="383"/>
      <c r="H41" s="372"/>
      <c r="I41" s="372"/>
      <c r="J41" s="372"/>
      <c r="K41" s="372"/>
    </row>
    <row r="42" spans="2:12" x14ac:dyDescent="0.2">
      <c r="B42" s="345" t="s">
        <v>321</v>
      </c>
      <c r="C42" s="386">
        <v>14.641410564000001</v>
      </c>
      <c r="D42" s="385" t="str">
        <f t="shared" ref="D42:D44" si="10">E113</f>
        <v xml:space="preserve">  Fixed Pipeline</v>
      </c>
      <c r="E42" s="381"/>
      <c r="F42" s="382"/>
      <c r="G42" s="383"/>
      <c r="H42" s="372"/>
      <c r="I42" s="372"/>
      <c r="J42" s="372"/>
      <c r="K42" s="372"/>
    </row>
    <row r="43" spans="2:12" x14ac:dyDescent="0.2">
      <c r="B43" s="345" t="s">
        <v>321</v>
      </c>
      <c r="C43" s="384">
        <f>C41+C42</f>
        <v>30.657239904849501</v>
      </c>
      <c r="D43" s="385" t="str">
        <f t="shared" si="10"/>
        <v xml:space="preserve">  Fixed O&amp;M including Fixed Pipeline &amp; Capitalized O&amp;M ($/kW-Yr)</v>
      </c>
      <c r="E43" s="381"/>
      <c r="F43" s="382"/>
      <c r="G43" s="383"/>
      <c r="H43" s="372"/>
      <c r="I43" s="372"/>
      <c r="J43" s="372"/>
      <c r="K43" s="372"/>
    </row>
    <row r="44" spans="2:12" x14ac:dyDescent="0.2">
      <c r="B44" s="345" t="s">
        <v>321</v>
      </c>
      <c r="C44" s="384">
        <v>7.5299874286936257</v>
      </c>
      <c r="D44" s="385" t="str">
        <f t="shared" si="10"/>
        <v xml:space="preserve">  Variable O&amp;M Costs &amp; Capitalized Variable O&amp;M ($/MWh)</v>
      </c>
      <c r="E44" s="381"/>
      <c r="F44" s="382"/>
      <c r="G44" s="383"/>
      <c r="H44" s="372"/>
      <c r="I44" s="372"/>
      <c r="J44" s="372"/>
      <c r="K44" s="372"/>
    </row>
    <row r="45" spans="2:12" x14ac:dyDescent="0.2">
      <c r="B45" s="372"/>
      <c r="C45" s="387">
        <v>7.3726311796429175E-2</v>
      </c>
      <c r="D45" s="345" t="s">
        <v>87</v>
      </c>
      <c r="E45" s="372"/>
      <c r="F45" s="372"/>
      <c r="G45" s="372"/>
      <c r="H45" s="372"/>
      <c r="I45" s="372"/>
      <c r="J45" s="372"/>
      <c r="K45" s="372"/>
    </row>
    <row r="46" spans="2:12" x14ac:dyDescent="0.2">
      <c r="B46" s="372"/>
      <c r="C46" s="388">
        <v>0.33</v>
      </c>
      <c r="D46" s="345" t="s">
        <v>88</v>
      </c>
      <c r="E46" s="372"/>
      <c r="F46" s="372"/>
      <c r="G46" s="372"/>
      <c r="H46" s="372"/>
      <c r="I46" s="372"/>
      <c r="J46" s="372"/>
      <c r="K46" s="372"/>
    </row>
    <row r="47" spans="2:12" ht="3.75" customHeight="1" x14ac:dyDescent="0.2">
      <c r="B47" s="372"/>
      <c r="C47" s="372"/>
      <c r="D47" s="389"/>
      <c r="E47" s="390"/>
      <c r="F47" s="391"/>
      <c r="G47" s="372"/>
      <c r="H47" s="372"/>
      <c r="I47" s="372"/>
      <c r="J47" s="372"/>
      <c r="K47" s="372"/>
    </row>
    <row r="48" spans="2:12" ht="15.75" x14ac:dyDescent="0.25">
      <c r="B48" s="346" t="str">
        <f>$B$1</f>
        <v>Table 7</v>
      </c>
      <c r="C48" s="347"/>
      <c r="D48" s="347"/>
      <c r="E48" s="347"/>
      <c r="F48" s="347"/>
      <c r="G48" s="347"/>
      <c r="H48" s="347"/>
      <c r="I48" s="347"/>
      <c r="J48" s="347"/>
      <c r="K48" s="346"/>
    </row>
    <row r="49" spans="2:12" ht="15.75" x14ac:dyDescent="0.25">
      <c r="B49" s="346" t="str">
        <f>B2</f>
        <v>Total Cost of Displaceable Resources</v>
      </c>
      <c r="C49" s="346"/>
      <c r="D49" s="347"/>
      <c r="E49" s="347"/>
      <c r="F49" s="347"/>
      <c r="G49" s="347"/>
      <c r="H49" s="347"/>
      <c r="I49" s="347"/>
      <c r="J49" s="347"/>
      <c r="K49" s="347"/>
    </row>
    <row r="50" spans="2:12" ht="15.75" x14ac:dyDescent="0.25">
      <c r="B50" s="346"/>
      <c r="C50" s="347"/>
      <c r="D50" s="347"/>
      <c r="E50" s="347"/>
      <c r="F50" s="347"/>
      <c r="G50" s="347"/>
      <c r="H50" s="347"/>
      <c r="I50" s="347"/>
      <c r="J50" s="347"/>
      <c r="K50" s="348" t="s">
        <v>89</v>
      </c>
    </row>
    <row r="51" spans="2:12" ht="7.5" customHeight="1" x14ac:dyDescent="0.2"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50"/>
    </row>
    <row r="52" spans="2:12" ht="51.75" customHeight="1" x14ac:dyDescent="0.2">
      <c r="B52" s="352" t="s">
        <v>2</v>
      </c>
      <c r="C52" s="353" t="s">
        <v>38</v>
      </c>
      <c r="D52" s="353" t="s">
        <v>39</v>
      </c>
      <c r="E52" s="353" t="s">
        <v>40</v>
      </c>
      <c r="F52" s="353" t="s">
        <v>41</v>
      </c>
      <c r="G52" s="353" t="s">
        <v>42</v>
      </c>
      <c r="H52" s="353" t="s">
        <v>43</v>
      </c>
      <c r="I52" s="392" t="s">
        <v>30</v>
      </c>
      <c r="J52" s="392" t="s">
        <v>115</v>
      </c>
      <c r="K52" s="393" t="s">
        <v>116</v>
      </c>
      <c r="L52" s="350"/>
    </row>
    <row r="53" spans="2:12" ht="18.75" customHeight="1" x14ac:dyDescent="0.2">
      <c r="B53" s="354"/>
      <c r="C53" s="436" t="s">
        <v>34</v>
      </c>
      <c r="D53" s="437" t="s">
        <v>35</v>
      </c>
      <c r="E53" s="437" t="s">
        <v>35</v>
      </c>
      <c r="F53" s="437" t="s">
        <v>36</v>
      </c>
      <c r="G53" s="437" t="s">
        <v>35</v>
      </c>
      <c r="H53" s="437" t="s">
        <v>35</v>
      </c>
      <c r="I53" s="438" t="s">
        <v>37</v>
      </c>
      <c r="J53" s="439" t="s">
        <v>117</v>
      </c>
      <c r="K53" s="439" t="s">
        <v>117</v>
      </c>
      <c r="L53" s="350"/>
    </row>
    <row r="54" spans="2:12" x14ac:dyDescent="0.2">
      <c r="C54" s="355" t="s">
        <v>19</v>
      </c>
      <c r="D54" s="355" t="s">
        <v>20</v>
      </c>
      <c r="E54" s="355" t="s">
        <v>21</v>
      </c>
      <c r="F54" s="355" t="s">
        <v>22</v>
      </c>
      <c r="G54" s="355" t="s">
        <v>23</v>
      </c>
      <c r="H54" s="355" t="s">
        <v>29</v>
      </c>
      <c r="I54" s="394" t="s">
        <v>118</v>
      </c>
      <c r="J54" s="394" t="s">
        <v>119</v>
      </c>
      <c r="K54" s="394" t="s">
        <v>120</v>
      </c>
    </row>
    <row r="55" spans="2:12" ht="6" customHeight="1" x14ac:dyDescent="0.2">
      <c r="I55" s="349"/>
      <c r="J55" s="349"/>
      <c r="K55" s="349"/>
    </row>
    <row r="56" spans="2:12" ht="15.75" x14ac:dyDescent="0.25">
      <c r="B56" s="356" t="str">
        <f>C88</f>
        <v>Willamette Valley - 436 MW - CCCT Dry "G/H", 1x1 - West Side Resource (1,500')</v>
      </c>
      <c r="C56" s="350"/>
      <c r="E56" s="350"/>
      <c r="F56" s="350"/>
      <c r="G56" s="350"/>
      <c r="H56" s="350"/>
      <c r="I56" s="349"/>
      <c r="J56" s="349"/>
      <c r="K56" s="349"/>
      <c r="L56" s="350"/>
    </row>
    <row r="57" spans="2:12" x14ac:dyDescent="0.2">
      <c r="B57" s="357">
        <v>2016</v>
      </c>
      <c r="C57" s="358">
        <f>I94</f>
        <v>1363</v>
      </c>
      <c r="D57" s="359">
        <f>ROUND(C57*$C$117,2)</f>
        <v>98.9</v>
      </c>
      <c r="E57" s="359">
        <f>J94</f>
        <v>43.7</v>
      </c>
      <c r="F57" s="359">
        <f>J99</f>
        <v>2.02</v>
      </c>
      <c r="G57" s="360">
        <f t="shared" ref="G57:G76" si="11">ROUND(F57*(8.76*$G$99)+E57,2)</f>
        <v>56.14</v>
      </c>
      <c r="H57" s="360">
        <f t="shared" ref="H57:H59" si="12">ROUND(D57+G57,2)</f>
        <v>155.04</v>
      </c>
      <c r="I57" s="349"/>
      <c r="J57" s="349"/>
      <c r="K57" s="349"/>
      <c r="L57" s="350"/>
    </row>
    <row r="58" spans="2:12" x14ac:dyDescent="0.2">
      <c r="B58" s="357">
        <f>B57+1</f>
        <v>2017</v>
      </c>
      <c r="C58" s="358"/>
      <c r="D58" s="359">
        <f t="shared" ref="D58:F64" si="13">ROUND(D57*(1+INDEX($D$124:$D$130,MATCH($B58,$C$124:$C$130,0))),2)</f>
        <v>101.08</v>
      </c>
      <c r="E58" s="359">
        <f t="shared" si="13"/>
        <v>44.67</v>
      </c>
      <c r="F58" s="359">
        <f t="shared" si="13"/>
        <v>2.06</v>
      </c>
      <c r="G58" s="360">
        <f t="shared" si="11"/>
        <v>57.36</v>
      </c>
      <c r="H58" s="364">
        <f t="shared" si="12"/>
        <v>158.44</v>
      </c>
      <c r="I58" s="349"/>
      <c r="J58" s="349"/>
      <c r="K58" s="349"/>
      <c r="L58" s="350"/>
    </row>
    <row r="59" spans="2:12" x14ac:dyDescent="0.2">
      <c r="B59" s="357">
        <f>B58+1</f>
        <v>2018</v>
      </c>
      <c r="C59" s="358"/>
      <c r="D59" s="359">
        <f t="shared" si="13"/>
        <v>103.27</v>
      </c>
      <c r="E59" s="359">
        <f t="shared" si="13"/>
        <v>45.64</v>
      </c>
      <c r="F59" s="359">
        <f t="shared" si="13"/>
        <v>2.1</v>
      </c>
      <c r="G59" s="360">
        <f t="shared" si="11"/>
        <v>58.57</v>
      </c>
      <c r="H59" s="364">
        <f t="shared" si="12"/>
        <v>161.84</v>
      </c>
      <c r="I59" s="349"/>
      <c r="J59" s="349"/>
      <c r="K59" s="349"/>
    </row>
    <row r="60" spans="2:12" x14ac:dyDescent="0.2">
      <c r="B60" s="357">
        <f t="shared" ref="B60:B78" si="14">B59+1</f>
        <v>2019</v>
      </c>
      <c r="C60" s="361"/>
      <c r="D60" s="359">
        <f t="shared" si="13"/>
        <v>105.34</v>
      </c>
      <c r="E60" s="359">
        <f t="shared" si="13"/>
        <v>46.55</v>
      </c>
      <c r="F60" s="359">
        <f t="shared" si="13"/>
        <v>2.14</v>
      </c>
      <c r="G60" s="360">
        <f t="shared" si="11"/>
        <v>59.73</v>
      </c>
      <c r="H60" s="364">
        <f t="shared" ref="H60:H69" si="15">ROUND(D60+G60,2)</f>
        <v>165.07</v>
      </c>
      <c r="I60" s="349"/>
      <c r="J60" s="349"/>
      <c r="K60" s="349"/>
    </row>
    <row r="61" spans="2:12" s="350" customFormat="1" x14ac:dyDescent="0.2">
      <c r="B61" s="368">
        <f t="shared" si="14"/>
        <v>2020</v>
      </c>
      <c r="C61" s="369"/>
      <c r="D61" s="359">
        <f t="shared" si="13"/>
        <v>107.6</v>
      </c>
      <c r="E61" s="359">
        <f t="shared" si="13"/>
        <v>47.55</v>
      </c>
      <c r="F61" s="359">
        <f t="shared" si="13"/>
        <v>2.19</v>
      </c>
      <c r="G61" s="364">
        <f t="shared" si="11"/>
        <v>61.04</v>
      </c>
      <c r="H61" s="360">
        <f t="shared" si="15"/>
        <v>168.64</v>
      </c>
      <c r="I61" s="349"/>
      <c r="J61" s="349"/>
      <c r="K61" s="349"/>
    </row>
    <row r="62" spans="2:12" s="350" customFormat="1" x14ac:dyDescent="0.2">
      <c r="B62" s="368">
        <f t="shared" si="14"/>
        <v>2021</v>
      </c>
      <c r="C62" s="369"/>
      <c r="D62" s="359">
        <f t="shared" si="13"/>
        <v>110.02</v>
      </c>
      <c r="E62" s="359">
        <f t="shared" si="13"/>
        <v>48.62</v>
      </c>
      <c r="F62" s="359">
        <f t="shared" si="13"/>
        <v>2.2400000000000002</v>
      </c>
      <c r="G62" s="364">
        <f t="shared" si="11"/>
        <v>62.41</v>
      </c>
      <c r="H62" s="364">
        <f t="shared" si="15"/>
        <v>172.43</v>
      </c>
      <c r="I62" s="349"/>
      <c r="J62" s="349"/>
      <c r="K62" s="349"/>
    </row>
    <row r="63" spans="2:12" s="350" customFormat="1" x14ac:dyDescent="0.2">
      <c r="B63" s="368">
        <f t="shared" si="14"/>
        <v>2022</v>
      </c>
      <c r="C63" s="369"/>
      <c r="D63" s="359">
        <f t="shared" si="13"/>
        <v>112.5</v>
      </c>
      <c r="E63" s="359">
        <f t="shared" si="13"/>
        <v>49.72</v>
      </c>
      <c r="F63" s="359">
        <f t="shared" si="13"/>
        <v>2.29</v>
      </c>
      <c r="G63" s="364">
        <f t="shared" si="11"/>
        <v>63.82</v>
      </c>
      <c r="H63" s="364">
        <f t="shared" si="15"/>
        <v>176.32</v>
      </c>
      <c r="I63" s="349"/>
      <c r="J63" s="349"/>
      <c r="K63" s="349"/>
    </row>
    <row r="64" spans="2:12" s="350" customFormat="1" x14ac:dyDescent="0.2">
      <c r="B64" s="368">
        <f t="shared" si="14"/>
        <v>2023</v>
      </c>
      <c r="C64" s="369"/>
      <c r="D64" s="359">
        <f t="shared" si="13"/>
        <v>115.09</v>
      </c>
      <c r="E64" s="359">
        <f t="shared" si="13"/>
        <v>50.87</v>
      </c>
      <c r="F64" s="359">
        <f t="shared" si="13"/>
        <v>2.34</v>
      </c>
      <c r="G64" s="364">
        <f t="shared" si="11"/>
        <v>65.28</v>
      </c>
      <c r="H64" s="364">
        <f t="shared" ref="H64:H65" si="16">ROUND(D64+G64,2)</f>
        <v>180.37</v>
      </c>
      <c r="I64" s="349"/>
      <c r="J64" s="349"/>
      <c r="K64" s="349"/>
    </row>
    <row r="65" spans="2:11" x14ac:dyDescent="0.2">
      <c r="B65" s="357">
        <f t="shared" si="14"/>
        <v>2024</v>
      </c>
      <c r="C65" s="361"/>
      <c r="D65" s="359">
        <f t="shared" ref="D65:F71" si="17">ROUND(D64*(1+INDEX($G$124:$G$130,MATCH($B65,$F$124:$F$130,0))),2)</f>
        <v>117.75</v>
      </c>
      <c r="E65" s="359">
        <f t="shared" si="17"/>
        <v>52.05</v>
      </c>
      <c r="F65" s="359">
        <f t="shared" si="17"/>
        <v>2.39</v>
      </c>
      <c r="G65" s="364">
        <f t="shared" si="11"/>
        <v>66.77</v>
      </c>
      <c r="H65" s="364">
        <f t="shared" si="16"/>
        <v>184.52</v>
      </c>
      <c r="I65" s="349"/>
      <c r="J65" s="349"/>
      <c r="K65" s="349"/>
    </row>
    <row r="66" spans="2:11" x14ac:dyDescent="0.2">
      <c r="B66" s="357">
        <f t="shared" si="14"/>
        <v>2025</v>
      </c>
      <c r="C66" s="361"/>
      <c r="D66" s="359">
        <f t="shared" si="17"/>
        <v>120.48</v>
      </c>
      <c r="E66" s="359">
        <f t="shared" si="17"/>
        <v>53.26</v>
      </c>
      <c r="F66" s="359">
        <f t="shared" si="17"/>
        <v>2.4500000000000002</v>
      </c>
      <c r="G66" s="364">
        <f t="shared" si="11"/>
        <v>68.349999999999994</v>
      </c>
      <c r="H66" s="364">
        <f t="shared" si="15"/>
        <v>188.83</v>
      </c>
      <c r="I66" s="349"/>
      <c r="J66" s="349"/>
      <c r="K66" s="349"/>
    </row>
    <row r="67" spans="2:11" x14ac:dyDescent="0.2">
      <c r="B67" s="357">
        <f t="shared" si="14"/>
        <v>2026</v>
      </c>
      <c r="C67" s="361"/>
      <c r="D67" s="364">
        <f t="shared" si="17"/>
        <v>123.24</v>
      </c>
      <c r="E67" s="364">
        <f t="shared" si="17"/>
        <v>54.48</v>
      </c>
      <c r="F67" s="364">
        <f t="shared" si="17"/>
        <v>2.5099999999999998</v>
      </c>
      <c r="G67" s="364">
        <f t="shared" si="11"/>
        <v>69.94</v>
      </c>
      <c r="H67" s="364">
        <f t="shared" si="15"/>
        <v>193.18</v>
      </c>
      <c r="I67" s="349"/>
      <c r="J67" s="349"/>
      <c r="K67" s="349"/>
    </row>
    <row r="68" spans="2:11" x14ac:dyDescent="0.2">
      <c r="B68" s="357">
        <f t="shared" si="14"/>
        <v>2027</v>
      </c>
      <c r="C68" s="361"/>
      <c r="D68" s="364">
        <f t="shared" si="17"/>
        <v>126.09</v>
      </c>
      <c r="E68" s="364">
        <f t="shared" si="17"/>
        <v>55.74</v>
      </c>
      <c r="F68" s="364">
        <f t="shared" si="17"/>
        <v>2.57</v>
      </c>
      <c r="G68" s="364">
        <f t="shared" si="11"/>
        <v>71.569999999999993</v>
      </c>
      <c r="H68" s="364">
        <f t="shared" si="15"/>
        <v>197.66</v>
      </c>
      <c r="I68" s="349"/>
      <c r="J68" s="349"/>
      <c r="K68" s="349"/>
    </row>
    <row r="69" spans="2:11" x14ac:dyDescent="0.2">
      <c r="B69" s="365">
        <f t="shared" si="14"/>
        <v>2028</v>
      </c>
      <c r="C69" s="366"/>
      <c r="D69" s="367">
        <f t="shared" si="17"/>
        <v>129.02000000000001</v>
      </c>
      <c r="E69" s="367">
        <f t="shared" si="17"/>
        <v>57.04</v>
      </c>
      <c r="F69" s="367">
        <f t="shared" si="17"/>
        <v>2.63</v>
      </c>
      <c r="G69" s="367">
        <f t="shared" si="11"/>
        <v>73.239999999999995</v>
      </c>
      <c r="H69" s="367">
        <f t="shared" si="15"/>
        <v>202.26</v>
      </c>
      <c r="I69" s="471"/>
      <c r="J69" s="471"/>
      <c r="K69" s="471"/>
    </row>
    <row r="70" spans="2:11" x14ac:dyDescent="0.2">
      <c r="B70" s="357">
        <f t="shared" si="14"/>
        <v>2029</v>
      </c>
      <c r="C70" s="361"/>
      <c r="D70" s="364">
        <f t="shared" si="17"/>
        <v>132.07</v>
      </c>
      <c r="E70" s="364">
        <f t="shared" si="17"/>
        <v>58.39</v>
      </c>
      <c r="F70" s="364">
        <f t="shared" si="17"/>
        <v>2.69</v>
      </c>
      <c r="G70" s="364">
        <f t="shared" si="11"/>
        <v>74.959999999999994</v>
      </c>
      <c r="H70" s="364">
        <f t="shared" ref="H70:H76" si="18">ROUND(D70+G70,2)</f>
        <v>207.03</v>
      </c>
      <c r="I70" s="395">
        <f>VLOOKUP(B70,'Table 8'!$B$10:$F$30,2,FALSE)</f>
        <v>4.51</v>
      </c>
      <c r="J70" s="395">
        <f t="shared" ref="J70:J76" si="19">ROUND($K$99*I70/1000,2)</f>
        <v>28.91</v>
      </c>
      <c r="K70" s="395">
        <f t="shared" ref="K70:K76" si="20">ROUND(H70*1000/8760/$G$99+J70,2)</f>
        <v>62.53</v>
      </c>
    </row>
    <row r="71" spans="2:11" x14ac:dyDescent="0.2">
      <c r="B71" s="368">
        <f t="shared" si="14"/>
        <v>2030</v>
      </c>
      <c r="C71" s="369"/>
      <c r="D71" s="364">
        <f t="shared" si="17"/>
        <v>135.21</v>
      </c>
      <c r="E71" s="364">
        <f t="shared" si="17"/>
        <v>59.78</v>
      </c>
      <c r="F71" s="364">
        <f t="shared" si="17"/>
        <v>2.75</v>
      </c>
      <c r="G71" s="364">
        <f t="shared" si="11"/>
        <v>76.72</v>
      </c>
      <c r="H71" s="364">
        <f t="shared" si="18"/>
        <v>211.93</v>
      </c>
      <c r="I71" s="395">
        <f>VLOOKUP(B71,'Table 8'!$B$10:$F$30,2,FALSE)</f>
        <v>4.88</v>
      </c>
      <c r="J71" s="395">
        <f t="shared" si="19"/>
        <v>31.28</v>
      </c>
      <c r="K71" s="395">
        <f t="shared" si="20"/>
        <v>65.69</v>
      </c>
    </row>
    <row r="72" spans="2:11" x14ac:dyDescent="0.2">
      <c r="B72" s="368">
        <f t="shared" si="14"/>
        <v>2031</v>
      </c>
      <c r="C72" s="369"/>
      <c r="D72" s="364">
        <f t="shared" ref="D72:F76" si="21">ROUND(D71*(1+INDEX($J$124:$J$131,MATCH($B72,$I$124:$I$131,0))),2)</f>
        <v>138.46</v>
      </c>
      <c r="E72" s="364">
        <f t="shared" si="21"/>
        <v>61.22</v>
      </c>
      <c r="F72" s="364">
        <f t="shared" si="21"/>
        <v>2.82</v>
      </c>
      <c r="G72" s="364">
        <f t="shared" si="11"/>
        <v>78.59</v>
      </c>
      <c r="H72" s="364">
        <f t="shared" si="18"/>
        <v>217.05</v>
      </c>
      <c r="I72" s="395">
        <f>VLOOKUP(B72,'Table 8'!$B$10:$F$30,2,FALSE)</f>
        <v>5.1100000000000003</v>
      </c>
      <c r="J72" s="395">
        <f t="shared" si="19"/>
        <v>32.76</v>
      </c>
      <c r="K72" s="395">
        <f t="shared" si="20"/>
        <v>68.010000000000005</v>
      </c>
    </row>
    <row r="73" spans="2:11" x14ac:dyDescent="0.2">
      <c r="B73" s="368">
        <f t="shared" si="14"/>
        <v>2032</v>
      </c>
      <c r="C73" s="369"/>
      <c r="D73" s="364">
        <f t="shared" si="21"/>
        <v>141.79</v>
      </c>
      <c r="E73" s="364">
        <f t="shared" si="21"/>
        <v>62.69</v>
      </c>
      <c r="F73" s="364">
        <f t="shared" si="21"/>
        <v>2.89</v>
      </c>
      <c r="G73" s="364">
        <f t="shared" si="11"/>
        <v>80.489999999999995</v>
      </c>
      <c r="H73" s="364">
        <f t="shared" si="18"/>
        <v>222.28</v>
      </c>
      <c r="I73" s="395">
        <f>VLOOKUP(B73,'Table 8'!$B$10:$F$30,2,FALSE)</f>
        <v>5.38</v>
      </c>
      <c r="J73" s="395">
        <f t="shared" si="19"/>
        <v>34.49</v>
      </c>
      <c r="K73" s="395">
        <f t="shared" si="20"/>
        <v>70.58</v>
      </c>
    </row>
    <row r="74" spans="2:11" x14ac:dyDescent="0.2">
      <c r="B74" s="368">
        <f t="shared" si="14"/>
        <v>2033</v>
      </c>
      <c r="C74" s="369"/>
      <c r="D74" s="364">
        <f t="shared" si="21"/>
        <v>145.22</v>
      </c>
      <c r="E74" s="364">
        <f t="shared" si="21"/>
        <v>64.209999999999994</v>
      </c>
      <c r="F74" s="364">
        <f t="shared" si="21"/>
        <v>2.96</v>
      </c>
      <c r="G74" s="364">
        <f t="shared" si="11"/>
        <v>82.44</v>
      </c>
      <c r="H74" s="364">
        <f t="shared" si="18"/>
        <v>227.66</v>
      </c>
      <c r="I74" s="395">
        <f>VLOOKUP(B74,'Table 8'!$B$10:$F$30,2,FALSE)</f>
        <v>5.76</v>
      </c>
      <c r="J74" s="395">
        <f t="shared" si="19"/>
        <v>36.92</v>
      </c>
      <c r="K74" s="395">
        <f t="shared" si="20"/>
        <v>73.89</v>
      </c>
    </row>
    <row r="75" spans="2:11" x14ac:dyDescent="0.2">
      <c r="B75" s="368">
        <f t="shared" si="14"/>
        <v>2034</v>
      </c>
      <c r="C75" s="369"/>
      <c r="D75" s="364">
        <f t="shared" si="21"/>
        <v>148.74</v>
      </c>
      <c r="E75" s="364">
        <f t="shared" si="21"/>
        <v>65.77</v>
      </c>
      <c r="F75" s="364">
        <f t="shared" si="21"/>
        <v>3.03</v>
      </c>
      <c r="G75" s="364">
        <f t="shared" si="11"/>
        <v>84.43</v>
      </c>
      <c r="H75" s="364">
        <f t="shared" si="18"/>
        <v>233.17</v>
      </c>
      <c r="I75" s="395">
        <f>VLOOKUP(B75,'Table 8'!$B$10:$F$30,2,FALSE)</f>
        <v>6.02</v>
      </c>
      <c r="J75" s="395">
        <f t="shared" si="19"/>
        <v>38.590000000000003</v>
      </c>
      <c r="K75" s="395">
        <f t="shared" si="20"/>
        <v>76.45</v>
      </c>
    </row>
    <row r="76" spans="2:11" x14ac:dyDescent="0.2">
      <c r="B76" s="368">
        <f t="shared" si="14"/>
        <v>2035</v>
      </c>
      <c r="C76" s="369"/>
      <c r="D76" s="364">
        <f t="shared" si="21"/>
        <v>152.34</v>
      </c>
      <c r="E76" s="364">
        <f t="shared" si="21"/>
        <v>67.36</v>
      </c>
      <c r="F76" s="364">
        <f t="shared" si="21"/>
        <v>3.1</v>
      </c>
      <c r="G76" s="364">
        <f t="shared" si="11"/>
        <v>86.45</v>
      </c>
      <c r="H76" s="364">
        <f t="shared" si="18"/>
        <v>238.79</v>
      </c>
      <c r="I76" s="395">
        <f>VLOOKUP(B76,'Table 8'!$B$10:$F$30,2,FALSE)</f>
        <v>6.29</v>
      </c>
      <c r="J76" s="395">
        <f t="shared" si="19"/>
        <v>40.32</v>
      </c>
      <c r="K76" s="395">
        <f t="shared" si="20"/>
        <v>79.099999999999994</v>
      </c>
    </row>
    <row r="77" spans="2:11" x14ac:dyDescent="0.2">
      <c r="B77" s="368">
        <f t="shared" si="14"/>
        <v>2036</v>
      </c>
      <c r="C77" s="369"/>
      <c r="D77" s="364">
        <f t="shared" ref="D77:D78" si="22">ROUND(D76*(1+INDEX($J$124:$J$131,MATCH($B77,$I$124:$I$131,0))),2)</f>
        <v>156.04</v>
      </c>
      <c r="E77" s="364">
        <f t="shared" ref="E77:E78" si="23">ROUND(E76*(1+INDEX($J$124:$J$131,MATCH($B77,$I$124:$I$131,0))),2)</f>
        <v>69</v>
      </c>
      <c r="F77" s="364">
        <f t="shared" ref="F77:F78" si="24">ROUND(F76*(1+INDEX($J$124:$J$131,MATCH($B77,$I$124:$I$131,0))),2)</f>
        <v>3.18</v>
      </c>
      <c r="G77" s="364">
        <f t="shared" ref="G77:G78" si="25">ROUND(F77*(8.76*$G$99)+E77,2)</f>
        <v>88.58</v>
      </c>
      <c r="H77" s="364">
        <f t="shared" ref="H77:H78" si="26">ROUND(D77+G77,2)</f>
        <v>244.62</v>
      </c>
      <c r="I77" s="395">
        <f>VLOOKUP(B77,'Table 8'!$B$10:$F$30,2,FALSE)</f>
        <v>6.8</v>
      </c>
      <c r="J77" s="395">
        <f t="shared" ref="J77:J78" si="27">ROUND($K$99*I77/1000,2)</f>
        <v>43.59</v>
      </c>
      <c r="K77" s="395">
        <f t="shared" ref="K77:K78" si="28">ROUND(H77*1000/8760/$G$99+J77,2)</f>
        <v>83.31</v>
      </c>
    </row>
    <row r="78" spans="2:11" x14ac:dyDescent="0.2">
      <c r="B78" s="368">
        <f t="shared" si="14"/>
        <v>2037</v>
      </c>
      <c r="C78" s="369"/>
      <c r="D78" s="364">
        <f t="shared" si="22"/>
        <v>159.83000000000001</v>
      </c>
      <c r="E78" s="364">
        <f t="shared" si="23"/>
        <v>70.680000000000007</v>
      </c>
      <c r="F78" s="364">
        <f t="shared" si="24"/>
        <v>3.26</v>
      </c>
      <c r="G78" s="364">
        <f t="shared" si="25"/>
        <v>90.76</v>
      </c>
      <c r="H78" s="364">
        <f t="shared" si="26"/>
        <v>250.59</v>
      </c>
      <c r="I78" s="395">
        <f>VLOOKUP(B78,'Table 8'!$B$10:$F$30,2,FALSE)</f>
        <v>7.05</v>
      </c>
      <c r="J78" s="395">
        <f t="shared" si="27"/>
        <v>45.19</v>
      </c>
      <c r="K78" s="395">
        <f t="shared" si="28"/>
        <v>85.88</v>
      </c>
    </row>
    <row r="79" spans="2:11" x14ac:dyDescent="0.2">
      <c r="B79" s="357"/>
      <c r="C79" s="361"/>
      <c r="D79" s="364"/>
      <c r="E79" s="364"/>
      <c r="F79" s="364"/>
      <c r="G79" s="364"/>
      <c r="H79" s="364"/>
      <c r="I79" s="395"/>
      <c r="J79" s="395"/>
      <c r="K79" s="395"/>
    </row>
    <row r="80" spans="2:11" x14ac:dyDescent="0.2">
      <c r="B80" s="385" t="s">
        <v>60</v>
      </c>
      <c r="C80" s="385"/>
      <c r="D80" s="372" t="s">
        <v>323</v>
      </c>
      <c r="E80" s="385"/>
      <c r="F80" s="385"/>
      <c r="G80" s="385"/>
      <c r="H80" s="385"/>
      <c r="I80" s="385"/>
    </row>
    <row r="81" spans="3:11" x14ac:dyDescent="0.2">
      <c r="C81" s="399" t="str">
        <f>D54</f>
        <v>(b)</v>
      </c>
      <c r="D81" s="364" t="str">
        <f>"= "&amp;C54&amp;" x "&amp;C117&amp;E117</f>
        <v>= (a) x 0.0725628795024555  Payment Factor</v>
      </c>
    </row>
    <row r="82" spans="3:11" x14ac:dyDescent="0.2">
      <c r="C82" s="399" t="str">
        <f>G54</f>
        <v>(e)</v>
      </c>
      <c r="D82" s="364" t="str">
        <f>"= "&amp;$F$54&amp;" x  (8.76 x "&amp;TEXT(G99,"0.0%")&amp;") + "&amp;$E$54</f>
        <v>= (d) x  (8.76 x 70.3%) + (c)</v>
      </c>
    </row>
    <row r="83" spans="3:11" x14ac:dyDescent="0.2">
      <c r="C83" s="399" t="str">
        <f>H54</f>
        <v>(f)</v>
      </c>
      <c r="D83" s="364" t="str">
        <f>"= "&amp;D54&amp;" + "&amp;G54</f>
        <v>= (b) + (e)</v>
      </c>
    </row>
    <row r="84" spans="3:11" x14ac:dyDescent="0.2">
      <c r="C84" s="399" t="str">
        <f>I54</f>
        <v>(g)</v>
      </c>
      <c r="D84" s="400" t="str">
        <f>'Table 8'!B1&amp;" - "&amp;'Table 8'!B2</f>
        <v>Table 8 - Natural Gas Price - Delivered to Plant</v>
      </c>
    </row>
    <row r="85" spans="3:11" x14ac:dyDescent="0.2">
      <c r="C85" s="399" t="str">
        <f>J54</f>
        <v>(h)</v>
      </c>
      <c r="D85" s="364" t="str">
        <f>"= "&amp;TEXT(K99,"?,0")&amp;" MMBtu/MWH x "&amp;I54</f>
        <v>= 6,410 MMBtu/MWH x (g)</v>
      </c>
    </row>
    <row r="86" spans="3:11" x14ac:dyDescent="0.2">
      <c r="C86" s="399" t="str">
        <f>K54</f>
        <v>(i)</v>
      </c>
      <c r="D86" s="401" t="str">
        <f>"= "&amp;H54&amp;" / (8.76 x 'Capacity Factor' ) + "&amp;J54</f>
        <v>= (f) / (8.76 x 'Capacity Factor' ) + (h)</v>
      </c>
    </row>
    <row r="87" spans="3:11" ht="13.5" thickBot="1" x14ac:dyDescent="0.25">
      <c r="C87" s="399"/>
      <c r="D87" s="401"/>
    </row>
    <row r="88" spans="3:11" ht="13.5" thickBot="1" x14ac:dyDescent="0.25">
      <c r="C88" s="375" t="s">
        <v>322</v>
      </c>
      <c r="D88" s="402"/>
      <c r="E88" s="402"/>
      <c r="F88" s="402"/>
      <c r="G88" s="402"/>
      <c r="H88" s="402"/>
      <c r="I88" s="402"/>
      <c r="J88" s="403"/>
      <c r="K88" s="404"/>
    </row>
    <row r="89" spans="3:11" ht="5.25" customHeight="1" x14ac:dyDescent="0.2"/>
    <row r="90" spans="3:11" ht="5.25" customHeight="1" x14ac:dyDescent="0.2"/>
    <row r="91" spans="3:11" x14ac:dyDescent="0.2">
      <c r="C91" s="405" t="s">
        <v>74</v>
      </c>
      <c r="D91" s="406"/>
      <c r="E91" s="405"/>
      <c r="F91" s="347"/>
      <c r="G91" s="407" t="s">
        <v>71</v>
      </c>
      <c r="H91" s="407" t="s">
        <v>73</v>
      </c>
      <c r="I91" s="407" t="s">
        <v>68</v>
      </c>
      <c r="J91" s="407" t="s">
        <v>69</v>
      </c>
    </row>
    <row r="92" spans="3:11" x14ac:dyDescent="0.2">
      <c r="C92" s="32" t="s">
        <v>324</v>
      </c>
      <c r="G92" s="408">
        <f>C110</f>
        <v>385.35346874999999</v>
      </c>
      <c r="H92" s="409">
        <f>G92/G94</f>
        <v>0.88311475045887722</v>
      </c>
      <c r="I92" s="380">
        <f>C111</f>
        <v>1484.338135058779</v>
      </c>
      <c r="J92" s="384">
        <f>C114</f>
        <v>44.501635407885907</v>
      </c>
    </row>
    <row r="93" spans="3:11" x14ac:dyDescent="0.2">
      <c r="C93" s="32" t="s">
        <v>325</v>
      </c>
      <c r="G93" s="410">
        <f>D110</f>
        <v>51.003718749999997</v>
      </c>
      <c r="H93" s="411">
        <f>1-H92</f>
        <v>0.11688524954112278</v>
      </c>
      <c r="I93" s="412">
        <f>D111</f>
        <v>443.00439708045104</v>
      </c>
      <c r="J93" s="386">
        <f>D114</f>
        <v>37.670659567999998</v>
      </c>
    </row>
    <row r="94" spans="3:11" x14ac:dyDescent="0.2">
      <c r="C94" s="345" t="s">
        <v>75</v>
      </c>
      <c r="G94" s="408">
        <f>G92+G93</f>
        <v>436.35718750000001</v>
      </c>
      <c r="H94" s="409">
        <f>H92+H93</f>
        <v>1</v>
      </c>
      <c r="I94" s="380">
        <f>ROUND(((G92*I92)+(G93*I93))/G94,0)</f>
        <v>1363</v>
      </c>
      <c r="J94" s="384">
        <f>ROUND(((G92*J92)+(G93*J93))/G94,2)</f>
        <v>43.7</v>
      </c>
    </row>
    <row r="95" spans="3:11" x14ac:dyDescent="0.2">
      <c r="F95" s="408"/>
      <c r="G95" s="409"/>
      <c r="H95" s="380"/>
      <c r="I95" s="384"/>
    </row>
    <row r="96" spans="3:11" x14ac:dyDescent="0.2">
      <c r="C96" s="405" t="s">
        <v>74</v>
      </c>
      <c r="D96" s="406"/>
      <c r="E96" s="405"/>
      <c r="F96" s="407" t="s">
        <v>71</v>
      </c>
      <c r="G96" s="407" t="s">
        <v>76</v>
      </c>
      <c r="H96" s="407" t="s">
        <v>61</v>
      </c>
      <c r="I96" s="407" t="s">
        <v>73</v>
      </c>
      <c r="J96" s="407" t="s">
        <v>92</v>
      </c>
      <c r="K96" s="407" t="s">
        <v>70</v>
      </c>
    </row>
    <row r="97" spans="2:15" x14ac:dyDescent="0.2">
      <c r="C97" s="413" t="s">
        <v>324</v>
      </c>
      <c r="D97" s="413"/>
      <c r="E97" s="413"/>
      <c r="F97" s="345">
        <f>C110</f>
        <v>385.35346874999999</v>
      </c>
      <c r="G97" s="409">
        <f>C118</f>
        <v>0.78</v>
      </c>
      <c r="H97" s="345">
        <f>G97*F97</f>
        <v>300.57570562500001</v>
      </c>
      <c r="I97" s="409">
        <f>H97/H99</f>
        <v>0.98004394182130306</v>
      </c>
      <c r="J97" s="384">
        <f>C115</f>
        <v>2.0592662948867351</v>
      </c>
      <c r="K97" s="414">
        <f>C116</f>
        <v>6362</v>
      </c>
    </row>
    <row r="98" spans="2:15" x14ac:dyDescent="0.2">
      <c r="C98" s="413" t="s">
        <v>325</v>
      </c>
      <c r="D98" s="413"/>
      <c r="E98" s="413"/>
      <c r="F98" s="415">
        <f>D110</f>
        <v>51.003718749999997</v>
      </c>
      <c r="G98" s="411">
        <f>D118</f>
        <v>0.12</v>
      </c>
      <c r="H98" s="415">
        <f>G98*F98</f>
        <v>6.1204462499999996</v>
      </c>
      <c r="I98" s="411">
        <f>1-I97</f>
        <v>1.9956058178696945E-2</v>
      </c>
      <c r="J98" s="386">
        <f>D115</f>
        <v>0.15</v>
      </c>
      <c r="K98" s="416">
        <f>D116</f>
        <v>9012</v>
      </c>
    </row>
    <row r="99" spans="2:15" x14ac:dyDescent="0.2">
      <c r="C99" s="345" t="s">
        <v>77</v>
      </c>
      <c r="F99" s="345">
        <f>F97+F98</f>
        <v>436.35718750000001</v>
      </c>
      <c r="G99" s="417">
        <f>ROUND(H99/F99,3)</f>
        <v>0.70299999999999996</v>
      </c>
      <c r="H99" s="345">
        <f>SUM(H97:H98)</f>
        <v>306.696151875</v>
      </c>
      <c r="I99" s="409">
        <f>I97+I98</f>
        <v>1</v>
      </c>
      <c r="J99" s="384">
        <f>ROUND(($I97*J97)+($I98*J98),2)</f>
        <v>2.02</v>
      </c>
      <c r="K99" s="408">
        <f>ROUND(($I97*K97)+($I98*K98),-1)</f>
        <v>6410</v>
      </c>
    </row>
    <row r="100" spans="2:15" x14ac:dyDescent="0.2">
      <c r="G100" s="417"/>
      <c r="I100" s="409"/>
      <c r="J100" s="384"/>
      <c r="K100" s="418" t="s">
        <v>93</v>
      </c>
    </row>
    <row r="101" spans="2:15" ht="3" customHeight="1" x14ac:dyDescent="0.2">
      <c r="M101" s="357"/>
      <c r="O101" s="396"/>
    </row>
    <row r="102" spans="2:15" ht="15.75" x14ac:dyDescent="0.25">
      <c r="B102" s="346" t="str">
        <f>$B$48</f>
        <v>Table 7</v>
      </c>
      <c r="C102" s="347"/>
      <c r="D102" s="347"/>
      <c r="E102" s="347"/>
      <c r="F102" s="347"/>
      <c r="G102" s="347"/>
      <c r="H102" s="347"/>
      <c r="I102" s="347"/>
      <c r="J102" s="347"/>
      <c r="K102" s="346"/>
      <c r="M102" s="357"/>
      <c r="N102" s="396"/>
      <c r="O102" s="396"/>
    </row>
    <row r="103" spans="2:15" ht="15.75" x14ac:dyDescent="0.25">
      <c r="B103" s="346" t="str">
        <f>B2</f>
        <v>Total Cost of Displaceable Resources</v>
      </c>
      <c r="C103" s="397"/>
      <c r="D103" s="347"/>
      <c r="E103" s="347"/>
      <c r="F103" s="347"/>
      <c r="G103" s="347"/>
      <c r="H103" s="347"/>
      <c r="I103" s="347"/>
      <c r="J103" s="347"/>
      <c r="K103" s="347"/>
      <c r="M103" s="357"/>
      <c r="N103" s="396"/>
      <c r="O103" s="396"/>
    </row>
    <row r="104" spans="2:15" ht="15.75" x14ac:dyDescent="0.25">
      <c r="B104" s="346"/>
      <c r="C104" s="347"/>
      <c r="D104" s="347"/>
      <c r="E104" s="347"/>
      <c r="F104" s="347"/>
      <c r="G104" s="347"/>
      <c r="H104" s="347"/>
      <c r="I104" s="347"/>
      <c r="J104" s="347"/>
      <c r="K104" s="348" t="s">
        <v>90</v>
      </c>
      <c r="M104" s="357"/>
      <c r="N104" s="396"/>
      <c r="O104" s="396"/>
    </row>
    <row r="105" spans="2:15" ht="5.25" customHeight="1" x14ac:dyDescent="0.2"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50"/>
      <c r="M105" s="357"/>
      <c r="N105" s="396"/>
      <c r="O105" s="396"/>
    </row>
    <row r="106" spans="2:15" ht="15" x14ac:dyDescent="0.25">
      <c r="B106" s="397" t="s">
        <v>91</v>
      </c>
      <c r="C106" s="398"/>
      <c r="D106" s="398"/>
      <c r="E106" s="398"/>
      <c r="F106" s="398"/>
      <c r="G106" s="398"/>
      <c r="H106" s="398"/>
      <c r="I106" s="398"/>
      <c r="J106" s="398"/>
      <c r="K106" s="398"/>
      <c r="M106" s="357"/>
      <c r="N106" s="396"/>
      <c r="O106" s="396"/>
    </row>
    <row r="108" spans="2:15" x14ac:dyDescent="0.2">
      <c r="B108" s="419"/>
    </row>
    <row r="109" spans="2:15" x14ac:dyDescent="0.2">
      <c r="C109" s="420"/>
      <c r="D109" s="420"/>
      <c r="E109" s="421" t="str">
        <f>D80</f>
        <v>Plant Costs  - 2017 IRP - Table 6.2</v>
      </c>
      <c r="F109" s="422"/>
      <c r="G109" s="422"/>
      <c r="H109" s="422"/>
      <c r="I109" s="422"/>
      <c r="J109" s="422"/>
      <c r="K109" s="423"/>
    </row>
    <row r="110" spans="2:15" x14ac:dyDescent="0.2">
      <c r="C110" s="385">
        <v>385.35346874999999</v>
      </c>
      <c r="D110" s="385">
        <v>51.003718749999997</v>
      </c>
      <c r="E110" s="385" t="s">
        <v>85</v>
      </c>
      <c r="F110" s="385"/>
      <c r="G110" s="385"/>
      <c r="H110" s="424"/>
      <c r="I110" s="385"/>
      <c r="J110" s="385"/>
      <c r="K110" s="385"/>
    </row>
    <row r="111" spans="2:15" x14ac:dyDescent="0.2">
      <c r="B111" s="345" t="s">
        <v>321</v>
      </c>
      <c r="C111" s="380">
        <v>1484.338135058779</v>
      </c>
      <c r="D111" s="380">
        <v>443.00439708045104</v>
      </c>
      <c r="E111" s="385" t="s">
        <v>110</v>
      </c>
      <c r="F111" s="385"/>
      <c r="G111" s="385"/>
      <c r="H111" s="385"/>
      <c r="I111" s="385"/>
      <c r="J111" s="385"/>
      <c r="K111" s="385"/>
    </row>
    <row r="112" spans="2:15" x14ac:dyDescent="0.2">
      <c r="B112" s="345" t="s">
        <v>321</v>
      </c>
      <c r="C112" s="384">
        <v>21.713180439885903</v>
      </c>
      <c r="D112" s="384">
        <v>5.39</v>
      </c>
      <c r="E112" s="385" t="s">
        <v>124</v>
      </c>
      <c r="F112" s="385"/>
      <c r="G112" s="385"/>
      <c r="H112" s="385"/>
      <c r="I112" s="385"/>
      <c r="J112" s="385"/>
      <c r="K112" s="385"/>
    </row>
    <row r="113" spans="2:15" x14ac:dyDescent="0.2">
      <c r="B113" s="345" t="s">
        <v>321</v>
      </c>
      <c r="C113" s="386">
        <v>22.788454968000003</v>
      </c>
      <c r="D113" s="386">
        <v>32.280659567999997</v>
      </c>
      <c r="E113" s="385" t="s">
        <v>114</v>
      </c>
      <c r="F113" s="385"/>
      <c r="G113" s="385"/>
      <c r="H113" s="385"/>
      <c r="I113" s="385"/>
      <c r="J113" s="385"/>
      <c r="K113" s="385"/>
    </row>
    <row r="114" spans="2:15" x14ac:dyDescent="0.2">
      <c r="C114" s="384">
        <f>C112+C113</f>
        <v>44.501635407885907</v>
      </c>
      <c r="D114" s="384">
        <f>D112+D113</f>
        <v>37.670659567999998</v>
      </c>
      <c r="E114" s="385" t="s">
        <v>125</v>
      </c>
      <c r="F114" s="385"/>
      <c r="G114" s="385"/>
      <c r="H114" s="385"/>
      <c r="I114" s="385"/>
      <c r="J114" s="385"/>
      <c r="K114" s="385"/>
    </row>
    <row r="115" spans="2:15" x14ac:dyDescent="0.2">
      <c r="C115" s="384">
        <v>2.0592662948867351</v>
      </c>
      <c r="D115" s="384">
        <v>0.15</v>
      </c>
      <c r="E115" s="385" t="s">
        <v>126</v>
      </c>
      <c r="F115" s="385"/>
      <c r="G115" s="385"/>
      <c r="H115" s="385"/>
      <c r="I115" s="385"/>
      <c r="J115" s="385"/>
      <c r="K115" s="385"/>
    </row>
    <row r="116" spans="2:15" x14ac:dyDescent="0.2">
      <c r="C116" s="425">
        <v>6362</v>
      </c>
      <c r="D116" s="425">
        <v>9012</v>
      </c>
      <c r="E116" s="385" t="s">
        <v>111</v>
      </c>
      <c r="F116" s="385"/>
      <c r="G116" s="385"/>
      <c r="H116" s="385"/>
      <c r="I116" s="385"/>
      <c r="J116" s="385"/>
      <c r="K116" s="385"/>
    </row>
    <row r="117" spans="2:15" x14ac:dyDescent="0.2">
      <c r="C117" s="426">
        <v>7.2562879502455491E-2</v>
      </c>
      <c r="D117" s="426">
        <v>7.2562879502455491E-2</v>
      </c>
      <c r="E117" s="385" t="s">
        <v>87</v>
      </c>
      <c r="F117" s="385"/>
      <c r="G117" s="385"/>
      <c r="H117" s="385"/>
      <c r="I117" s="385"/>
      <c r="J117" s="385"/>
      <c r="K117" s="385"/>
    </row>
    <row r="118" spans="2:15" x14ac:dyDescent="0.2">
      <c r="C118" s="427">
        <v>0.78</v>
      </c>
      <c r="D118" s="427">
        <v>0.12</v>
      </c>
      <c r="E118" s="385" t="s">
        <v>88</v>
      </c>
      <c r="F118" s="385"/>
      <c r="G118" s="385"/>
      <c r="H118" s="385"/>
      <c r="I118" s="385"/>
      <c r="J118" s="385"/>
      <c r="K118" s="385"/>
    </row>
    <row r="119" spans="2:15" x14ac:dyDescent="0.2">
      <c r="C119" s="385"/>
      <c r="D119" s="409">
        <f>ROUND(H99/F99,3)</f>
        <v>0.70299999999999996</v>
      </c>
      <c r="E119" s="385" t="s">
        <v>112</v>
      </c>
      <c r="F119" s="385"/>
      <c r="G119" s="385"/>
      <c r="H119" s="385"/>
      <c r="I119" s="385"/>
      <c r="J119" s="385"/>
      <c r="K119" s="385"/>
    </row>
    <row r="120" spans="2:15" x14ac:dyDescent="0.2">
      <c r="C120" s="385"/>
      <c r="D120" s="427">
        <f>MIN(1,ROUND(D119/0.56,3))</f>
        <v>1</v>
      </c>
      <c r="E120" s="428" t="str">
        <f>"  Capacity Factor - On-peak     "&amp;TEXT(D119,"0.0%")&amp;" / 56% (percent of hours on-peak) "</f>
        <v xml:space="preserve">  Capacity Factor - On-peak     70.3% / 56% (percent of hours on-peak) </v>
      </c>
      <c r="F120" s="385"/>
      <c r="G120" s="385"/>
      <c r="H120" s="385"/>
      <c r="I120" s="385"/>
      <c r="J120" s="385"/>
      <c r="K120" s="385"/>
    </row>
    <row r="121" spans="2:15" x14ac:dyDescent="0.2">
      <c r="C121" s="429"/>
      <c r="D121" s="430"/>
      <c r="N121" s="431" t="e">
        <f>#REF!+1</f>
        <v>#REF!</v>
      </c>
      <c r="O121" s="409">
        <v>1.6E-2</v>
      </c>
    </row>
    <row r="122" spans="2:15" ht="13.5" thickBot="1" x14ac:dyDescent="0.25"/>
    <row r="123" spans="2:15" ht="13.5" thickBot="1" x14ac:dyDescent="0.25">
      <c r="C123" s="432" t="str">
        <f>"Company Official Inflation - "&amp;'Table 8'!B33</f>
        <v>Company Official Inflation - Official Forward Price Curve dated   March 31 2017</v>
      </c>
      <c r="D123" s="433"/>
      <c r="E123" s="433"/>
      <c r="F123" s="433"/>
      <c r="G123" s="433"/>
      <c r="H123" s="433"/>
      <c r="I123" s="433"/>
      <c r="J123" s="433"/>
      <c r="K123" s="434"/>
      <c r="N123" s="345" t="s">
        <v>109</v>
      </c>
    </row>
    <row r="124" spans="2:15" x14ac:dyDescent="0.2">
      <c r="C124" s="431">
        <v>2017</v>
      </c>
      <c r="D124" s="409">
        <v>2.2092462442320437E-2</v>
      </c>
      <c r="E124" s="385"/>
      <c r="F124" s="431">
        <f>C130+1</f>
        <v>2024</v>
      </c>
      <c r="G124" s="409">
        <v>2.3134274986934988E-2</v>
      </c>
      <c r="H124" s="385"/>
      <c r="I124" s="431">
        <f>F130+1</f>
        <v>2031</v>
      </c>
      <c r="J124" s="409">
        <v>2.4014000123530499E-2</v>
      </c>
      <c r="K124" s="431"/>
      <c r="N124" s="431">
        <v>2009</v>
      </c>
      <c r="O124" s="409">
        <v>4.0000000000000001E-3</v>
      </c>
    </row>
    <row r="125" spans="2:15" x14ac:dyDescent="0.2">
      <c r="C125" s="431">
        <f>C124+1</f>
        <v>2018</v>
      </c>
      <c r="D125" s="409">
        <v>2.1684070430924685E-2</v>
      </c>
      <c r="E125" s="385"/>
      <c r="F125" s="431">
        <f>F124+1</f>
        <v>2025</v>
      </c>
      <c r="G125" s="409">
        <v>2.3159080336675242E-2</v>
      </c>
      <c r="H125" s="385"/>
      <c r="I125" s="431">
        <f t="shared" ref="I125:I130" si="29">I124+1</f>
        <v>2032</v>
      </c>
      <c r="J125" s="409">
        <v>2.4075090077113837E-2</v>
      </c>
      <c r="K125" s="431"/>
      <c r="N125" s="431">
        <f t="shared" ref="N125:N130" si="30">N124+1</f>
        <v>2010</v>
      </c>
      <c r="O125" s="409">
        <v>1.2999999999999999E-2</v>
      </c>
    </row>
    <row r="126" spans="2:15" x14ac:dyDescent="0.2">
      <c r="C126" s="431">
        <f t="shared" ref="C126:C130" si="31">C125+1</f>
        <v>2019</v>
      </c>
      <c r="D126" s="409">
        <v>2.0023445288848141E-2</v>
      </c>
      <c r="E126" s="385"/>
      <c r="F126" s="431">
        <f>F125+1</f>
        <v>2026</v>
      </c>
      <c r="G126" s="409">
        <v>2.2944058791238842E-2</v>
      </c>
      <c r="H126" s="385"/>
      <c r="I126" s="431">
        <f t="shared" si="29"/>
        <v>2033</v>
      </c>
      <c r="J126" s="409">
        <v>2.4191075903759129E-2</v>
      </c>
      <c r="K126" s="431"/>
      <c r="N126" s="431">
        <f t="shared" si="30"/>
        <v>2011</v>
      </c>
      <c r="O126" s="409">
        <v>1.7000000000000001E-2</v>
      </c>
    </row>
    <row r="127" spans="2:15" x14ac:dyDescent="0.2">
      <c r="C127" s="431">
        <f t="shared" si="31"/>
        <v>2020</v>
      </c>
      <c r="D127" s="409">
        <v>2.1423649370385656E-2</v>
      </c>
      <c r="E127" s="385"/>
      <c r="F127" s="431">
        <f>F126+1</f>
        <v>2027</v>
      </c>
      <c r="G127" s="409">
        <v>2.3164081218836952E-2</v>
      </c>
      <c r="H127" s="385"/>
      <c r="I127" s="431">
        <f t="shared" si="29"/>
        <v>2034</v>
      </c>
      <c r="J127" s="409">
        <v>2.4219456505286896E-2</v>
      </c>
      <c r="K127" s="431"/>
      <c r="N127" s="431">
        <f t="shared" si="30"/>
        <v>2012</v>
      </c>
      <c r="O127" s="409">
        <v>0.02</v>
      </c>
    </row>
    <row r="128" spans="2:15" x14ac:dyDescent="0.2">
      <c r="C128" s="431">
        <f t="shared" si="31"/>
        <v>2021</v>
      </c>
      <c r="D128" s="409">
        <v>2.2444603435442634E-2</v>
      </c>
      <c r="E128" s="385"/>
      <c r="F128" s="431">
        <f t="shared" ref="F128:F130" si="32">F127+1</f>
        <v>2028</v>
      </c>
      <c r="G128" s="409">
        <v>2.3269517424980624E-2</v>
      </c>
      <c r="H128" s="385"/>
      <c r="I128" s="431">
        <f t="shared" si="29"/>
        <v>2035</v>
      </c>
      <c r="J128" s="409">
        <v>2.4174683944208519E-2</v>
      </c>
      <c r="K128" s="431"/>
      <c r="N128" s="431">
        <f t="shared" si="30"/>
        <v>2013</v>
      </c>
      <c r="O128" s="409">
        <v>0.02</v>
      </c>
    </row>
    <row r="129" spans="3:15" x14ac:dyDescent="0.2">
      <c r="C129" s="431">
        <f t="shared" si="31"/>
        <v>2022</v>
      </c>
      <c r="D129" s="409">
        <v>2.2559296067847567E-2</v>
      </c>
      <c r="E129" s="385"/>
      <c r="F129" s="431">
        <f t="shared" si="32"/>
        <v>2029</v>
      </c>
      <c r="G129" s="409">
        <v>2.3660062349176059E-2</v>
      </c>
      <c r="H129" s="385"/>
      <c r="I129" s="431">
        <f t="shared" si="29"/>
        <v>2036</v>
      </c>
      <c r="J129" s="409">
        <v>2.4311492116604327E-2</v>
      </c>
      <c r="K129" s="431"/>
      <c r="N129" s="431">
        <f t="shared" si="30"/>
        <v>2014</v>
      </c>
      <c r="O129" s="409">
        <v>1.9E-2</v>
      </c>
    </row>
    <row r="130" spans="3:15" s="350" customFormat="1" x14ac:dyDescent="0.2">
      <c r="C130" s="431">
        <f t="shared" si="31"/>
        <v>2023</v>
      </c>
      <c r="D130" s="409">
        <v>2.3031082544693549E-2</v>
      </c>
      <c r="E130" s="435"/>
      <c r="F130" s="431">
        <f t="shared" si="32"/>
        <v>2030</v>
      </c>
      <c r="G130" s="409">
        <v>2.3797996946838929E-2</v>
      </c>
      <c r="H130" s="435"/>
      <c r="I130" s="431">
        <f t="shared" si="29"/>
        <v>2037</v>
      </c>
      <c r="J130" s="409">
        <v>2.4277391473133791E-2</v>
      </c>
      <c r="K130" s="431"/>
      <c r="N130" s="431">
        <f t="shared" si="30"/>
        <v>2015</v>
      </c>
      <c r="O130" s="409">
        <v>1.9E-2</v>
      </c>
    </row>
    <row r="131" spans="3:15" x14ac:dyDescent="0.2">
      <c r="I131" s="431"/>
      <c r="J131" s="409"/>
    </row>
    <row r="132" spans="3:15" x14ac:dyDescent="0.2">
      <c r="I132" s="431"/>
      <c r="J132" s="409"/>
    </row>
    <row r="133" spans="3:15" x14ac:dyDescent="0.2">
      <c r="I133" s="431"/>
      <c r="J133" s="409"/>
    </row>
    <row r="134" spans="3:15" x14ac:dyDescent="0.2">
      <c r="I134" s="431"/>
      <c r="J134" s="409"/>
    </row>
    <row r="135" spans="3:15" x14ac:dyDescent="0.2">
      <c r="I135" s="431"/>
      <c r="J135" s="409"/>
    </row>
  </sheetData>
  <phoneticPr fontId="9" type="noConversion"/>
  <printOptions horizontalCentered="1"/>
  <pageMargins left="0.25" right="0.25" top="0.75" bottom="0.75" header="0.3" footer="0.3"/>
  <pageSetup scale="95" fitToHeight="2" orientation="portrait" r:id="rId1"/>
  <headerFooter alignWithMargins="0">
    <oddFooter>&amp;L&amp;8NPC Group - &amp;F   ( &amp;A )&amp;C &amp;R &amp;8&amp;D  &amp;T</oddFooter>
  </headerFooter>
  <rowBreaks count="2" manualBreakCount="2">
    <brk id="47" min="1" max="10" man="1"/>
    <brk id="101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37"/>
  <sheetViews>
    <sheetView zoomScale="80" zoomScaleNormal="80" workbookViewId="0">
      <selection activeCell="C6" sqref="C6"/>
    </sheetView>
  </sheetViews>
  <sheetFormatPr defaultRowHeight="12.75" x14ac:dyDescent="0.2"/>
  <cols>
    <col min="1" max="1" width="2" style="32" customWidth="1"/>
    <col min="2" max="2" width="24.5" style="32" customWidth="1"/>
    <col min="3" max="5" width="19.6640625" style="32" customWidth="1"/>
    <col min="6" max="6" width="2.1640625" style="32" customWidth="1"/>
    <col min="7" max="16384" width="9.33203125" style="32"/>
  </cols>
  <sheetData>
    <row r="1" spans="2:5" ht="15.75" x14ac:dyDescent="0.25">
      <c r="B1" s="20" t="s">
        <v>82</v>
      </c>
      <c r="C1" s="23"/>
      <c r="D1" s="23"/>
      <c r="E1" s="23"/>
    </row>
    <row r="2" spans="2:5" ht="15.75" x14ac:dyDescent="0.25">
      <c r="B2" s="20" t="s">
        <v>99</v>
      </c>
      <c r="C2" s="23"/>
      <c r="D2" s="23"/>
      <c r="E2" s="23"/>
    </row>
    <row r="3" spans="2:5" ht="15.75" x14ac:dyDescent="0.25">
      <c r="B3" s="20" t="s">
        <v>37</v>
      </c>
      <c r="C3" s="66"/>
      <c r="D3" s="66"/>
      <c r="E3" s="66"/>
    </row>
    <row r="4" spans="2:5" ht="15.75" x14ac:dyDescent="0.25">
      <c r="B4" s="443"/>
      <c r="C4" s="66"/>
      <c r="D4" s="444"/>
      <c r="E4" s="444"/>
    </row>
    <row r="5" spans="2:5" x14ac:dyDescent="0.2">
      <c r="B5" s="21"/>
      <c r="C5" s="21"/>
      <c r="D5" s="21"/>
      <c r="E5" s="21"/>
    </row>
    <row r="6" spans="2:5" x14ac:dyDescent="0.2">
      <c r="B6" s="25" t="s">
        <v>2</v>
      </c>
      <c r="C6" s="25" t="str">
        <f>'OFPC Source'!D273</f>
        <v>Pacific NW</v>
      </c>
      <c r="D6" s="25" t="str">
        <f>'OFPC Source'!C273</f>
        <v>IRP - Wyo NE</v>
      </c>
      <c r="E6" s="25"/>
    </row>
    <row r="7" spans="2:5" x14ac:dyDescent="0.2">
      <c r="B7" s="67"/>
      <c r="C7" s="26"/>
      <c r="D7" s="26"/>
      <c r="E7" s="26"/>
    </row>
    <row r="8" spans="2:5" x14ac:dyDescent="0.2">
      <c r="C8" s="72" t="s">
        <v>19</v>
      </c>
      <c r="D8" s="72" t="s">
        <v>20</v>
      </c>
      <c r="E8" s="72"/>
    </row>
    <row r="9" spans="2:5" x14ac:dyDescent="0.2">
      <c r="C9" s="68"/>
      <c r="D9" s="68"/>
      <c r="E9" s="68"/>
    </row>
    <row r="10" spans="2:5" x14ac:dyDescent="0.2">
      <c r="B10" s="69">
        <f>'Tables 3 to 5'!$B$14</f>
        <v>2018</v>
      </c>
      <c r="C10" s="70">
        <f>VLOOKUP(B10,'OFPC Source'!$G$8:$J$33,3,FALSE)</f>
        <v>2.72</v>
      </c>
      <c r="D10" s="70">
        <f>VLOOKUP(B10,'OFPC Source'!$G$8:$H$33,2,FALSE)</f>
        <v>2.7</v>
      </c>
      <c r="E10" s="70"/>
    </row>
    <row r="11" spans="2:5" x14ac:dyDescent="0.2">
      <c r="B11" s="69">
        <f>B10+1</f>
        <v>2019</v>
      </c>
      <c r="C11" s="70">
        <f>VLOOKUP(B11,'OFPC Source'!$G$8:$J$33,3,FALSE)</f>
        <v>2.5</v>
      </c>
      <c r="D11" s="70">
        <f>VLOOKUP(B11,'OFPC Source'!$G$8:$H$33,2,FALSE)</f>
        <v>2.48</v>
      </c>
      <c r="E11" s="70"/>
    </row>
    <row r="12" spans="2:5" x14ac:dyDescent="0.2">
      <c r="B12" s="69">
        <f t="shared" ref="B12:B29" si="0">B11+1</f>
        <v>2020</v>
      </c>
      <c r="C12" s="70">
        <f>VLOOKUP(B12,'OFPC Source'!$G$8:$J$33,3,FALSE)</f>
        <v>2.5</v>
      </c>
      <c r="D12" s="70">
        <f>VLOOKUP(B12,'OFPC Source'!$G$8:$H$33,2,FALSE)</f>
        <v>2.48</v>
      </c>
      <c r="E12" s="70"/>
    </row>
    <row r="13" spans="2:5" x14ac:dyDescent="0.2">
      <c r="B13" s="69">
        <f t="shared" si="0"/>
        <v>2021</v>
      </c>
      <c r="C13" s="70">
        <f>VLOOKUP(B13,'OFPC Source'!$G$8:$J$33,3,FALSE)</f>
        <v>2.52</v>
      </c>
      <c r="D13" s="70">
        <f>VLOOKUP(B13,'OFPC Source'!$G$8:$H$33,2,FALSE)</f>
        <v>2.5299999999999998</v>
      </c>
      <c r="E13" s="70"/>
    </row>
    <row r="14" spans="2:5" x14ac:dyDescent="0.2">
      <c r="B14" s="69">
        <f t="shared" si="0"/>
        <v>2022</v>
      </c>
      <c r="C14" s="70">
        <f>VLOOKUP(B14,'OFPC Source'!$G$8:$J$33,3,FALSE)</f>
        <v>2.5299999999999998</v>
      </c>
      <c r="D14" s="70">
        <f>VLOOKUP(B14,'OFPC Source'!$G$8:$H$33,2,FALSE)</f>
        <v>2.5499999999999998</v>
      </c>
      <c r="E14" s="70"/>
    </row>
    <row r="15" spans="2:5" x14ac:dyDescent="0.2">
      <c r="B15" s="69">
        <f t="shared" si="0"/>
        <v>2023</v>
      </c>
      <c r="C15" s="70">
        <f>VLOOKUP(B15,'OFPC Source'!$G$8:$J$33,3,FALSE)</f>
        <v>2.91</v>
      </c>
      <c r="D15" s="70">
        <f>VLOOKUP(B15,'OFPC Source'!$G$8:$H$33,2,FALSE)</f>
        <v>2.99</v>
      </c>
      <c r="E15" s="70"/>
    </row>
    <row r="16" spans="2:5" x14ac:dyDescent="0.2">
      <c r="B16" s="69">
        <f t="shared" si="0"/>
        <v>2024</v>
      </c>
      <c r="C16" s="70">
        <f>VLOOKUP(B16,'OFPC Source'!$G$8:$J$33,3,FALSE)</f>
        <v>3.5</v>
      </c>
      <c r="D16" s="70">
        <f>VLOOKUP(B16,'OFPC Source'!$G$8:$H$33,2,FALSE)</f>
        <v>3.61</v>
      </c>
      <c r="E16" s="70"/>
    </row>
    <row r="17" spans="2:5" x14ac:dyDescent="0.2">
      <c r="B17" s="69">
        <f t="shared" si="0"/>
        <v>2025</v>
      </c>
      <c r="C17" s="70">
        <f>VLOOKUP(B17,'OFPC Source'!$G$8:$J$33,3,FALSE)</f>
        <v>3.78</v>
      </c>
      <c r="D17" s="70">
        <f>VLOOKUP(B17,'OFPC Source'!$G$8:$H$33,2,FALSE)</f>
        <v>3.81</v>
      </c>
      <c r="E17" s="70"/>
    </row>
    <row r="18" spans="2:5" x14ac:dyDescent="0.2">
      <c r="B18" s="69">
        <f t="shared" si="0"/>
        <v>2026</v>
      </c>
      <c r="C18" s="70">
        <f>VLOOKUP(B18,'OFPC Source'!$G$8:$J$33,3,FALSE)</f>
        <v>3.77</v>
      </c>
      <c r="D18" s="70">
        <f>VLOOKUP(B18,'OFPC Source'!$G$8:$H$33,2,FALSE)</f>
        <v>3.81</v>
      </c>
      <c r="E18" s="70"/>
    </row>
    <row r="19" spans="2:5" x14ac:dyDescent="0.2">
      <c r="B19" s="69">
        <f t="shared" si="0"/>
        <v>2027</v>
      </c>
      <c r="C19" s="70">
        <f>VLOOKUP(B19,'OFPC Source'!$G$8:$J$33,3,FALSE)</f>
        <v>3.92</v>
      </c>
      <c r="D19" s="70">
        <f>VLOOKUP(B19,'OFPC Source'!$G$8:$H$33,2,FALSE)</f>
        <v>3.95</v>
      </c>
      <c r="E19" s="70"/>
    </row>
    <row r="20" spans="2:5" x14ac:dyDescent="0.2">
      <c r="B20" s="69">
        <f t="shared" si="0"/>
        <v>2028</v>
      </c>
      <c r="C20" s="70">
        <f>VLOOKUP(B20,'OFPC Source'!$G$8:$J$33,3,FALSE)</f>
        <v>4.1500000000000004</v>
      </c>
      <c r="D20" s="70">
        <f>VLOOKUP(B20,'OFPC Source'!$G$8:$H$33,2,FALSE)</f>
        <v>4.1500000000000004</v>
      </c>
      <c r="E20" s="70"/>
    </row>
    <row r="21" spans="2:5" x14ac:dyDescent="0.2">
      <c r="B21" s="69">
        <f t="shared" si="0"/>
        <v>2029</v>
      </c>
      <c r="C21" s="70">
        <f>VLOOKUP(B21,'OFPC Source'!$G$8:$J$33,3,FALSE)</f>
        <v>4.51</v>
      </c>
      <c r="D21" s="70">
        <f>VLOOKUP(B21,'OFPC Source'!$G$8:$H$33,2,FALSE)</f>
        <v>4.47</v>
      </c>
      <c r="E21" s="70"/>
    </row>
    <row r="22" spans="2:5" x14ac:dyDescent="0.2">
      <c r="B22" s="69">
        <f t="shared" si="0"/>
        <v>2030</v>
      </c>
      <c r="C22" s="70">
        <f>VLOOKUP(B22,'OFPC Source'!$G$8:$J$33,3,FALSE)</f>
        <v>4.88</v>
      </c>
      <c r="D22" s="70">
        <f>VLOOKUP(B22,'OFPC Source'!$G$8:$H$33,2,FALSE)</f>
        <v>4.8099999999999996</v>
      </c>
      <c r="E22" s="70"/>
    </row>
    <row r="23" spans="2:5" x14ac:dyDescent="0.2">
      <c r="B23" s="69">
        <f t="shared" si="0"/>
        <v>2031</v>
      </c>
      <c r="C23" s="70">
        <f>VLOOKUP(B23,'OFPC Source'!$G$8:$J$33,3,FALSE)</f>
        <v>5.1100000000000003</v>
      </c>
      <c r="D23" s="70">
        <f>VLOOKUP(B23,'OFPC Source'!$G$8:$H$33,2,FALSE)</f>
        <v>5.04</v>
      </c>
      <c r="E23" s="70"/>
    </row>
    <row r="24" spans="2:5" x14ac:dyDescent="0.2">
      <c r="B24" s="69">
        <f t="shared" si="0"/>
        <v>2032</v>
      </c>
      <c r="C24" s="70">
        <f>VLOOKUP(B24,'OFPC Source'!$G$8:$J$33,3,FALSE)</f>
        <v>5.38</v>
      </c>
      <c r="D24" s="70">
        <f>VLOOKUP(B24,'OFPC Source'!$G$8:$H$33,2,FALSE)</f>
        <v>5.28</v>
      </c>
      <c r="E24" s="70"/>
    </row>
    <row r="25" spans="2:5" x14ac:dyDescent="0.2">
      <c r="B25" s="69">
        <f t="shared" si="0"/>
        <v>2033</v>
      </c>
      <c r="C25" s="70">
        <f>VLOOKUP(B25,'OFPC Source'!$G$8:$J$33,3,FALSE)</f>
        <v>5.76</v>
      </c>
      <c r="D25" s="70">
        <f>VLOOKUP(B25,'OFPC Source'!$G$8:$H$33,2,FALSE)</f>
        <v>5.62</v>
      </c>
      <c r="E25" s="70"/>
    </row>
    <row r="26" spans="2:5" x14ac:dyDescent="0.2">
      <c r="B26" s="69">
        <f t="shared" si="0"/>
        <v>2034</v>
      </c>
      <c r="C26" s="70">
        <f>VLOOKUP(B26,'OFPC Source'!$G$8:$J$33,3,FALSE)</f>
        <v>6.02</v>
      </c>
      <c r="D26" s="70">
        <f>VLOOKUP(B26,'OFPC Source'!$G$8:$H$33,2,FALSE)</f>
        <v>5.9</v>
      </c>
      <c r="E26" s="70"/>
    </row>
    <row r="27" spans="2:5" x14ac:dyDescent="0.2">
      <c r="B27" s="69">
        <f t="shared" si="0"/>
        <v>2035</v>
      </c>
      <c r="C27" s="70">
        <f>VLOOKUP(B27,'OFPC Source'!$G$8:$J$33,3,FALSE)</f>
        <v>6.29</v>
      </c>
      <c r="D27" s="70">
        <f>VLOOKUP(B27,'OFPC Source'!$G$8:$H$33,2,FALSE)</f>
        <v>6.23</v>
      </c>
      <c r="E27" s="70"/>
    </row>
    <row r="28" spans="2:5" x14ac:dyDescent="0.2">
      <c r="B28" s="69">
        <f t="shared" si="0"/>
        <v>2036</v>
      </c>
      <c r="C28" s="70">
        <f>VLOOKUP(B28,'OFPC Source'!$G$8:$J$33,3,FALSE)</f>
        <v>6.8</v>
      </c>
      <c r="D28" s="70">
        <f>VLOOKUP(B28,'OFPC Source'!$G$8:$H$33,2,FALSE)</f>
        <v>6.7</v>
      </c>
      <c r="E28" s="70"/>
    </row>
    <row r="29" spans="2:5" x14ac:dyDescent="0.2">
      <c r="B29" s="69">
        <f t="shared" si="0"/>
        <v>2037</v>
      </c>
      <c r="C29" s="70">
        <f>VLOOKUP(B29,'OFPC Source'!$G$8:$J$33,3,FALSE)</f>
        <v>7.05</v>
      </c>
      <c r="D29" s="70">
        <f>VLOOKUP(B29,'OFPC Source'!$G$8:$H$33,2,FALSE)</f>
        <v>6.9</v>
      </c>
      <c r="E29" s="70"/>
    </row>
    <row r="30" spans="2:5" x14ac:dyDescent="0.2">
      <c r="B30" s="69"/>
      <c r="C30" s="70"/>
      <c r="D30" s="70"/>
      <c r="E30" s="70"/>
    </row>
    <row r="31" spans="2:5" x14ac:dyDescent="0.2">
      <c r="B31" s="69"/>
      <c r="C31" s="70"/>
      <c r="D31" s="70"/>
      <c r="E31" s="70"/>
    </row>
    <row r="32" spans="2:5" x14ac:dyDescent="0.2">
      <c r="B32" s="27" t="s">
        <v>95</v>
      </c>
    </row>
    <row r="33" spans="2:5" ht="12.75" customHeight="1" x14ac:dyDescent="0.2">
      <c r="B33" s="446" t="str">
        <f>"Official Forward Price Curve dated "&amp;TEXT('OFPC Source'!C4,"  mmmm dd yyyy")</f>
        <v>Official Forward Price Curve dated   March 31 2017</v>
      </c>
      <c r="C33" s="446"/>
      <c r="D33" s="66"/>
      <c r="E33" s="344"/>
    </row>
    <row r="35" spans="2:5" x14ac:dyDescent="0.2">
      <c r="B35" s="32" t="str">
        <f>'Table 7'!C97</f>
        <v>CCCT Dry "G/H", 1x1 - Turbine</v>
      </c>
      <c r="D35" s="36">
        <f>'Table 7'!I97</f>
        <v>0.98004394182130306</v>
      </c>
    </row>
    <row r="36" spans="2:5" x14ac:dyDescent="0.2">
      <c r="B36" s="32" t="str">
        <f>'Table 7'!C98</f>
        <v>CCCT Dry "G/H", 1x1 - Duct Firing</v>
      </c>
      <c r="D36" s="445">
        <f>'Table 7'!I98</f>
        <v>1.9956058178696945E-2</v>
      </c>
    </row>
    <row r="37" spans="2:5" x14ac:dyDescent="0.2">
      <c r="D37" s="36">
        <f>'Table 7'!I99</f>
        <v>1</v>
      </c>
    </row>
  </sheetData>
  <phoneticPr fontId="9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Table 1</vt:lpstr>
      <vt:lpstr>Table 2A BaseLoad</vt:lpstr>
      <vt:lpstr>Table 2B Wind</vt:lpstr>
      <vt:lpstr>Table 2C SolarFixed</vt:lpstr>
      <vt:lpstr>Table 2D SolarTracking</vt:lpstr>
      <vt:lpstr>Tables 3 to 5</vt:lpstr>
      <vt:lpstr>Table 6</vt:lpstr>
      <vt:lpstr>Table 7</vt:lpstr>
      <vt:lpstr>Table 8</vt:lpstr>
      <vt:lpstr>Table 9</vt:lpstr>
      <vt:lpstr>Table 10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'Table 2C SolarFixed'!Capacity_Contr_Solar_Fixed</vt:lpstr>
      <vt:lpstr>Capacity_Contr_Solar_Fixed</vt:lpstr>
      <vt:lpstr>'Table 2B Wind'!Capacity_Contr_Solar_Tracking</vt:lpstr>
      <vt:lpstr>'Table 2D SolarTracking'!Capacity_Contr_Solar_Tracking</vt:lpstr>
      <vt:lpstr>'Table 2B Wind'!Capacity_Contr_Wind</vt:lpstr>
      <vt:lpstr>'Table 1'!Print_Area</vt:lpstr>
      <vt:lpstr>'Table 10'!Print_Area</vt:lpstr>
      <vt:lpstr>'Table 2A BaseLoad'!Print_Area</vt:lpstr>
      <vt:lpstr>'Table 2B Wind'!Print_Area</vt:lpstr>
      <vt:lpstr>'Table 2C SolarFixed'!Print_Area</vt:lpstr>
      <vt:lpstr>'Table 2D SolarTracking'!Print_Area</vt:lpstr>
      <vt:lpstr>'Table 6'!Print_Area</vt:lpstr>
      <vt:lpstr>'Table 7'!Print_Area</vt:lpstr>
      <vt:lpstr>'Table 8'!Print_Area</vt:lpstr>
      <vt:lpstr>'Table 9'!Print_Area</vt:lpstr>
      <vt:lpstr>'Tables 3 to 5'!Print_Area</vt:lpstr>
      <vt:lpstr>'Tariff Page'!Print_Area</vt:lpstr>
      <vt:lpstr>'Tariff Page Solar Fixed'!Print_Area</vt:lpstr>
      <vt:lpstr>'Tariff Page Solar Tracking'!Print_Area</vt:lpstr>
      <vt:lpstr>'Tariff Page Wind'!Print_Area</vt:lpstr>
      <vt:lpstr>Solar_Fixed_integr_cost</vt:lpstr>
      <vt:lpstr>Solar_Tracking_integr_cost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2017-06-12T22:47:25Z</dcterms:created>
  <dcterms:modified xsi:type="dcterms:W3CDTF">2017-06-13T17:13:24Z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