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15" yWindow="5325" windowWidth="19230" windowHeight="1560" tabRatio="928"/>
  </bookViews>
  <sheets>
    <sheet name="Table 1 Portfolio" sheetId="38" r:id="rId1"/>
    <sheet name="Table 2 QF Queue" sheetId="58" r:id="rId2"/>
    <sheet name="Table 3 Comparison" sheetId="13" r:id="rId3"/>
    <sheet name="Table 4 Gas Price" sheetId="29" r:id="rId4"/>
    <sheet name=" Table 5 Electric Price" sheetId="32" r:id="rId5"/>
    <sheet name="Table 6 Integration" sheetId="59" r:id="rId6"/>
    <sheet name="--- Do Not Print ---&gt;" sheetId="37" r:id="rId7"/>
    <sheet name="Tariff Page" sheetId="36" r:id="rId8"/>
    <sheet name="Tariff Page Solar Fixed" sheetId="44" r:id="rId9"/>
    <sheet name="Tariff Page Solar Tracking" sheetId="45" r:id="rId10"/>
    <sheet name="Tariff Page Wind" sheetId="39" r:id="rId11"/>
    <sheet name="OFPC Source" sheetId="5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200_SCCT_UtahN">'[1]Table 1'!$I$19</definedName>
    <definedName name="_200_SCCT_WYNE">#REF!</definedName>
    <definedName name="_30_Geo_West">'[1]Table 1'!$I$17</definedName>
    <definedName name="_436_CCCT_WestMain">'[1]Table 1'!$I$18</definedName>
    <definedName name="_477_CCCT_WestMain" localSheetId="5">#REF!</definedName>
    <definedName name="_477_CCCT_WestMain">'[2]Table 1'!$I$18</definedName>
    <definedName name="_477_CCCT_WYNE">#REF!</definedName>
    <definedName name="_635_CCCT_UtahS" localSheetId="5">#REF!</definedName>
    <definedName name="_635_CCCT_UtahS">'[2]Table 1'!$I$19</definedName>
    <definedName name="_635_CCCT_WyoNE" localSheetId="5">#REF!</definedName>
    <definedName name="_635_CCCT_WyoNE">'[2]Table 1'!$I$17</definedName>
    <definedName name="_774_Wind_IDGoshen">#REF!</definedName>
    <definedName name="_85_Wind_DJ_2031">#REF!</definedName>
    <definedName name="_Discount_Rate">[3]Comparison!$M$33</definedName>
    <definedName name="_xlnm._FilterDatabase" localSheetId="1" hidden="1">'Table 2 QF Queue'!$B$3:$I$101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#REF!</definedName>
    <definedName name="_UtahS_Solar_2031">#REF!</definedName>
    <definedName name="_UtahS_Solar_2032">#REF!</definedName>
    <definedName name="_UtahS_Solar_2033">#REF!</definedName>
    <definedName name="_UtahS_Solar_2034">#REF!</definedName>
    <definedName name="_UtahS_Solar_2035">#REF!</definedName>
    <definedName name="_UtahS_Solar_2036">#REF!</definedName>
    <definedName name="_Yakima_Solar_2028">#REF!</definedName>
    <definedName name="_Yakima_Solar_2029">#REF!</definedName>
    <definedName name="_Yakima_Solar_2031">#REF!</definedName>
    <definedName name="_Yakima_Solar_2032">#REF!</definedName>
    <definedName name="_Yakima_Solar_2033">#REF!</definedName>
    <definedName name="_Yakima_Solar_2034">#REF!</definedName>
    <definedName name="a" localSheetId="5" hidden="1">'[4]DSM Output'!$J$21:$J$23</definedName>
    <definedName name="a" hidden="1">'[5]DSM Output'!$J$21:$J$23</definedName>
    <definedName name="above">OFFSET(!A1,-1,0)</definedName>
    <definedName name="AC_Case">'Table 2 QF Queue'!#REF!</definedName>
    <definedName name="Active_CF">[6]!Active_CF</definedName>
    <definedName name="Active_Deg_Method">[6]!Active_Deg_Method</definedName>
    <definedName name="Active_Deg_Rate">[6]!Active_Deg_Rate</definedName>
    <definedName name="Active_Delivery_Point">[6]!Active_Delivery_Point</definedName>
    <definedName name="Active_MW">[6]!Active_MW</definedName>
    <definedName name="Active_Name_Conf">[6]!Active_Name_Conf</definedName>
    <definedName name="Active_Online">[6]!Active_Online</definedName>
    <definedName name="Active_QF_Name">[6]!Active_QF_Name</definedName>
    <definedName name="Active_QF_Queue_Date">[6]!Active_QF_Queue_Date</definedName>
    <definedName name="Active_Status">[6]!Active_Status</definedName>
    <definedName name="anscount" hidden="1">1</definedName>
    <definedName name="Base_Case">'Table 2 QF Queue'!$D$100</definedName>
    <definedName name="below">OFFSET(!A1,1,0)</definedName>
    <definedName name="Capacity_Contr_Solar_Fixed">#REF!</definedName>
    <definedName name="Capacity_Contr_Solar_Tracking">#REF!</definedName>
    <definedName name="Capacity_Contr_Wind">#REF!</definedName>
    <definedName name="CC_E_Fixed">'Table 2 QF Queue'!$K$6</definedName>
    <definedName name="CC_E_Gas">'Table 2 QF Queue'!$K$8</definedName>
    <definedName name="CC_E_Hydro">'Table 2 QF Queue'!$K$9</definedName>
    <definedName name="CC_E_Tracking">'Table 2 QF Queue'!$K$7</definedName>
    <definedName name="CC_E_Wind">'Table 2 QF Queue'!$K$5</definedName>
    <definedName name="CC_W_Fixed">'Table 2 QF Queue'!$N$6</definedName>
    <definedName name="CC_W_Gas">'Table 2 QF Queue'!$N$8</definedName>
    <definedName name="CC_W_Hydro">'Table 2 QF Queue'!$N$9</definedName>
    <definedName name="CC_W_Tracking">'Table 2 QF Queue'!$N$7</definedName>
    <definedName name="CC_W_Wind">'Table 2 QF Queue'!$N$5</definedName>
    <definedName name="dateTable" localSheetId="0">'[7]on off peak hours'!$C$15:$ED$15</definedName>
    <definedName name="dateTable">'[8]on off peak hours'!$C$15:$ED$15</definedName>
    <definedName name="daysMonth">#REF!</definedName>
    <definedName name="Discount_Rate" localSheetId="5">#REF!</definedName>
    <definedName name="Discount_Rate">'[1]Table 1'!$I$42</definedName>
    <definedName name="Discount_Rate_2015_IRP">'[9]Table 7 to 8'!$AE$43</definedName>
    <definedName name="DispatchSum">"GRID Thermal Generation!R2C1:R4C2"</definedName>
    <definedName name="FixedSolar_Capacity_Contr">'[9]Exhibit 3- Std FixedSolar QF'!$G$53</definedName>
    <definedName name="HolidayObserved">#REF!</definedName>
    <definedName name="Holidays">#REF!</definedName>
    <definedName name="HoursHoliday" localSheetId="0">'[7]on off peak hours'!$C$16:$ED$20</definedName>
    <definedName name="HoursHoliday">'[8]on off peak hours'!$C$16:$ED$20</definedName>
    <definedName name="HoursNoHoliday">#REF!</definedName>
    <definedName name="Incr_Reserve">[10]ImportData!$G$45</definedName>
    <definedName name="Incremental_Coal_Costing">[10]ImportData!$B$37</definedName>
    <definedName name="left">OFFSET(!A1,0,-1)</definedName>
    <definedName name="limcount" hidden="1">1</definedName>
    <definedName name="Market">'[9]OFPC Source'!$J$8:$M$295</definedName>
    <definedName name="MidC_Flat">[11]Market_Price!#REF!</definedName>
    <definedName name="Monthly_Discount_Rate" localSheetId="5">[12]SourceEnergy!$N$4</definedName>
    <definedName name="Monthly_Discount_Rate">[13]SourceEnergy!$N$4</definedName>
    <definedName name="OR_AC_price">#REF!</definedName>
    <definedName name="_xlnm.Print_Area" localSheetId="4">' Table 5 Electric Price'!$A$1:$G$33</definedName>
    <definedName name="_xlnm.Print_Area" localSheetId="0">'Table 1 Portfolio'!$A$1:$Y$87</definedName>
    <definedName name="_xlnm.Print_Area" localSheetId="1">'Table 2 QF Queue'!$B$1:$H$101</definedName>
    <definedName name="_xlnm.Print_Area" localSheetId="2">'Table 3 Comparison'!$A$1:$O$51</definedName>
    <definedName name="_xlnm.Print_Area" localSheetId="3">'Table 4 Gas Price'!$A$1:$E$37</definedName>
    <definedName name="_xlnm.Print_Area" localSheetId="5">'Table 6 Integration'!$A$1:$E$77</definedName>
    <definedName name="_xlnm.Print_Area" localSheetId="7">'Tariff Page'!$A$1:$G$36</definedName>
    <definedName name="_xlnm.Print_Area" localSheetId="8">'Tariff Page Solar Fixed'!$A$1:$F$44</definedName>
    <definedName name="_xlnm.Print_Area" localSheetId="9">'Tariff Page Solar Tracking'!$A$1:$F$45</definedName>
    <definedName name="_xlnm.Print_Area" localSheetId="10">'Tariff Page Wind'!$A$1:$F$47</definedName>
    <definedName name="PSATable">[10]Hermiston!$A$35:$E$41</definedName>
    <definedName name="QF_CF">#REF!</definedName>
    <definedName name="RampLossMonthlyDemand">'[14]Source - Ramp Losses'!$O$46:$P$57</definedName>
    <definedName name="RenewableMarketShape">'[9]OFPC Source'!$P$5:$U$33</definedName>
    <definedName name="RevenueSum">"GRID Thermal Revenue!R2C1:R4C2"</definedName>
    <definedName name="right">OFFSET(!A1,0,1)</definedName>
    <definedName name="SAPBEXrevision" hidden="1">1</definedName>
    <definedName name="SAPBEXsysID" hidden="1">"BWP"</definedName>
    <definedName name="SAPBEXwbID" hidden="1">"45EQYSCWE9WJMGB34OOD1BOQZ"</definedName>
    <definedName name="Shape_Annually" localSheetId="5">'[12]Monthly Levelized'!$K$9</definedName>
    <definedName name="Shape_Annually">'[13]Monthly Levelized'!$K$9</definedName>
    <definedName name="Shape_Start" localSheetId="5">'[12]Monthly Levelized'!$L$9</definedName>
    <definedName name="Shape_Start">'[13]Monthly Levelized'!$L$9</definedName>
    <definedName name="Signed_MW" localSheetId="1">'Table 2 QF Queue'!$D$27</definedName>
    <definedName name="Solar_Fixed_integr_cost" localSheetId="11">'[15]Table 12'!$B$46</definedName>
    <definedName name="Solar_Fixed_integr_cost">#REF!</definedName>
    <definedName name="Solar_HLH">'[9]OFPC Source'!$U$48</definedName>
    <definedName name="Solar_LLH">'[9]OFPC Source'!$V$48</definedName>
    <definedName name="Solar_Tracking_integr_cost" localSheetId="11">'[15]Table 12'!$B$45</definedName>
    <definedName name="Solar_Tracking_integr_cost">#REF!</definedName>
    <definedName name="SSMonthlyDemand">'[14]Source - Station Use'!$H$78:$H$89</definedName>
    <definedName name="Study_Cap_Adj" localSheetId="5">#REF!</definedName>
    <definedName name="Study_Cap_Adj">'[1]Table 1'!$I$8</definedName>
    <definedName name="Study_CF">'[1]Table 5'!$M$7</definedName>
    <definedName name="Study_MW">'[1]Table 5'!$M$6</definedName>
    <definedName name="Study_Name" localSheetId="0">[16]ImportData!$D$7</definedName>
    <definedName name="Study_Name">[8]ImportData!$D$7</definedName>
    <definedName name="ValuationDate">#REF!</definedName>
    <definedName name="Wind_Capacity_Contr">'[9]Exhibit 2- Std Wind QF '!$E$57</definedName>
    <definedName name="Wind_Integration_Charge">'[9]Exhibit 2- Std Wind QF '!$E$45</definedName>
    <definedName name="y" localSheetId="5" hidden="1">'[4]DSM Output'!$B$21:$B$23</definedName>
    <definedName name="y" hidden="1">'[5]DSM Output'!$B$21:$B$23</definedName>
    <definedName name="z" localSheetId="5" hidden="1">'[4]DSM Output'!$G$21:$G$23</definedName>
    <definedName name="z" hidden="1">'[5]DSM Output'!$G$21:$G$23</definedName>
  </definedNames>
  <calcPr calcId="152511"/>
</workbook>
</file>

<file path=xl/calcChain.xml><?xml version="1.0" encoding="utf-8"?>
<calcChain xmlns="http://schemas.openxmlformats.org/spreadsheetml/2006/main">
  <c r="M30" i="13" l="1"/>
  <c r="J30" i="13"/>
  <c r="G30" i="13"/>
  <c r="D30" i="13"/>
  <c r="M29" i="13"/>
  <c r="J29" i="13"/>
  <c r="G29" i="13"/>
  <c r="D29" i="13"/>
  <c r="M28" i="13"/>
  <c r="J28" i="13"/>
  <c r="G28" i="13"/>
  <c r="D28" i="13"/>
  <c r="M27" i="13"/>
  <c r="J27" i="13"/>
  <c r="G27" i="13"/>
  <c r="D27" i="13"/>
  <c r="M26" i="13"/>
  <c r="J26" i="13"/>
  <c r="G26" i="13"/>
  <c r="D26" i="13"/>
  <c r="M25" i="13"/>
  <c r="J25" i="13"/>
  <c r="G25" i="13"/>
  <c r="D25" i="13"/>
  <c r="M24" i="13"/>
  <c r="J24" i="13"/>
  <c r="G24" i="13"/>
  <c r="D24" i="13"/>
  <c r="M23" i="13"/>
  <c r="J23" i="13"/>
  <c r="G23" i="13"/>
  <c r="D23" i="13"/>
  <c r="M22" i="13"/>
  <c r="J22" i="13"/>
  <c r="G22" i="13"/>
  <c r="D22" i="13"/>
  <c r="M21" i="13"/>
  <c r="J21" i="13"/>
  <c r="G21" i="13"/>
  <c r="D21" i="13"/>
  <c r="M20" i="13"/>
  <c r="J20" i="13"/>
  <c r="G20" i="13"/>
  <c r="D20" i="13"/>
  <c r="M19" i="13"/>
  <c r="J19" i="13"/>
  <c r="G19" i="13"/>
  <c r="D19" i="13"/>
  <c r="M18" i="13"/>
  <c r="J18" i="13"/>
  <c r="G18" i="13"/>
  <c r="D18" i="13"/>
  <c r="M17" i="13"/>
  <c r="J17" i="13"/>
  <c r="G17" i="13"/>
  <c r="D17" i="13"/>
  <c r="M16" i="13"/>
  <c r="J16" i="13"/>
  <c r="G16" i="13"/>
  <c r="D16" i="13"/>
  <c r="M15" i="13"/>
  <c r="J15" i="13"/>
  <c r="G15" i="13"/>
  <c r="D15" i="13"/>
  <c r="M14" i="13"/>
  <c r="J14" i="13"/>
  <c r="G14" i="13"/>
  <c r="D14" i="13"/>
  <c r="M13" i="13"/>
  <c r="J13" i="13"/>
  <c r="G13" i="13"/>
  <c r="D13" i="13"/>
  <c r="M12" i="13"/>
  <c r="J12" i="13"/>
  <c r="G12" i="13"/>
  <c r="D12" i="13"/>
  <c r="B10" i="36" l="1"/>
  <c r="B10" i="39"/>
  <c r="D10" i="39" l="1"/>
  <c r="E10" i="39"/>
  <c r="D10" i="36"/>
  <c r="E10" i="36"/>
  <c r="F10" i="36"/>
  <c r="C10" i="36"/>
  <c r="F10" i="39"/>
  <c r="C10" i="39"/>
  <c r="I14" i="45" l="1"/>
  <c r="I13" i="45"/>
  <c r="I12" i="45"/>
  <c r="I11" i="45"/>
  <c r="I15" i="45" l="1"/>
  <c r="I11" i="44"/>
  <c r="I12" i="44" s="1"/>
  <c r="I13" i="44" s="1"/>
  <c r="I14" i="44" s="1"/>
  <c r="I15" i="44" s="1"/>
  <c r="I16" i="44" s="1"/>
  <c r="I17" i="44" s="1"/>
  <c r="I18" i="44" s="1"/>
  <c r="I19" i="44" s="1"/>
  <c r="I20" i="44" s="1"/>
  <c r="I21" i="44" s="1"/>
  <c r="I22" i="44" s="1"/>
  <c r="I23" i="44" s="1"/>
  <c r="I24" i="44" s="1"/>
  <c r="I25" i="44" s="1"/>
  <c r="I26" i="44" s="1"/>
  <c r="I27" i="44" s="1"/>
  <c r="I34" i="44" l="1"/>
  <c r="I35" i="44"/>
  <c r="I36" i="44"/>
  <c r="I16" i="45"/>
  <c r="I17" i="45" l="1"/>
  <c r="I18" i="45" l="1"/>
  <c r="I19" i="45" l="1"/>
  <c r="N10" i="13"/>
  <c r="K10" i="13"/>
  <c r="H10" i="13"/>
  <c r="E10" i="13"/>
  <c r="I20" i="45" l="1"/>
  <c r="D50" i="13"/>
  <c r="D49" i="13"/>
  <c r="D48" i="13"/>
  <c r="D47" i="13"/>
  <c r="I21" i="45" l="1"/>
  <c r="AE2" i="52"/>
  <c r="AD2" i="52" s="1"/>
  <c r="AI2" i="52"/>
  <c r="AJ2" i="52"/>
  <c r="AE3" i="52"/>
  <c r="AD3" i="52" s="1"/>
  <c r="AI3" i="52"/>
  <c r="AJ3" i="52"/>
  <c r="AE4" i="52"/>
  <c r="AD4" i="52" s="1"/>
  <c r="AI4" i="52"/>
  <c r="AJ4" i="52"/>
  <c r="AE5" i="52"/>
  <c r="AD5" i="52" s="1"/>
  <c r="AI5" i="52"/>
  <c r="AJ5" i="52"/>
  <c r="AE6" i="52"/>
  <c r="AD6" i="52" s="1"/>
  <c r="AI6" i="52"/>
  <c r="AJ6" i="52"/>
  <c r="AE7" i="52"/>
  <c r="AD7" i="52" s="1"/>
  <c r="AI7" i="52"/>
  <c r="AJ7" i="52"/>
  <c r="AE8" i="52"/>
  <c r="AD8" i="52" s="1"/>
  <c r="AI8" i="52"/>
  <c r="AJ8" i="52"/>
  <c r="AE9" i="52"/>
  <c r="AD9" i="52" s="1"/>
  <c r="AI9" i="52"/>
  <c r="AJ9" i="52"/>
  <c r="AE10" i="52"/>
  <c r="AD10" i="52" s="1"/>
  <c r="AI10" i="52"/>
  <c r="AJ10" i="52"/>
  <c r="AE11" i="52"/>
  <c r="AD11" i="52" s="1"/>
  <c r="AI11" i="52"/>
  <c r="AJ11" i="52"/>
  <c r="AE12" i="52"/>
  <c r="AD12" i="52" s="1"/>
  <c r="AI12" i="52"/>
  <c r="AJ12" i="52"/>
  <c r="AE13" i="52"/>
  <c r="AD13" i="52" s="1"/>
  <c r="AI13" i="52"/>
  <c r="AJ13" i="52"/>
  <c r="AE14" i="52"/>
  <c r="AD14" i="52" s="1"/>
  <c r="AI14" i="52"/>
  <c r="AJ14" i="52"/>
  <c r="AE15" i="52"/>
  <c r="AD15" i="52" s="1"/>
  <c r="AI15" i="52"/>
  <c r="AJ15" i="52"/>
  <c r="AE16" i="52"/>
  <c r="AD16" i="52" s="1"/>
  <c r="AI16" i="52"/>
  <c r="AJ16" i="52"/>
  <c r="AE17" i="52"/>
  <c r="AD17" i="52" s="1"/>
  <c r="AI17" i="52"/>
  <c r="AJ17" i="52"/>
  <c r="AM17" i="52"/>
  <c r="AN17" i="52"/>
  <c r="AO17" i="52"/>
  <c r="AD18" i="52"/>
  <c r="AE18" i="52"/>
  <c r="AI18" i="52"/>
  <c r="AJ18" i="52"/>
  <c r="AD19" i="52"/>
  <c r="AE19" i="52"/>
  <c r="AI19" i="52"/>
  <c r="AJ19" i="52"/>
  <c r="AE20" i="52"/>
  <c r="AD20" i="52" s="1"/>
  <c r="AI20" i="52"/>
  <c r="AJ20" i="52" s="1"/>
  <c r="AE21" i="52"/>
  <c r="AD21" i="52" s="1"/>
  <c r="AI21" i="52"/>
  <c r="AJ21" i="52"/>
  <c r="AE22" i="52"/>
  <c r="AD22" i="52" s="1"/>
  <c r="AI22" i="52"/>
  <c r="AJ22" i="52"/>
  <c r="AE23" i="52"/>
  <c r="AD23" i="52" s="1"/>
  <c r="AI23" i="52"/>
  <c r="AJ23" i="52" s="1"/>
  <c r="AE24" i="52"/>
  <c r="AD24" i="52" s="1"/>
  <c r="AI24" i="52"/>
  <c r="AJ24" i="52"/>
  <c r="AE25" i="52"/>
  <c r="AD25" i="52" s="1"/>
  <c r="AI25" i="52"/>
  <c r="AJ25" i="52"/>
  <c r="AE26" i="52"/>
  <c r="AD26" i="52" s="1"/>
  <c r="AI26" i="52"/>
  <c r="AJ26" i="52"/>
  <c r="AE27" i="52"/>
  <c r="AD27" i="52" s="1"/>
  <c r="AI27" i="52"/>
  <c r="AJ27" i="52"/>
  <c r="AE28" i="52"/>
  <c r="AD28" i="52" s="1"/>
  <c r="AI28" i="52"/>
  <c r="AJ28" i="52"/>
  <c r="AE29" i="52"/>
  <c r="AD29" i="52" s="1"/>
  <c r="AI29" i="52"/>
  <c r="AJ29" i="52"/>
  <c r="AE30" i="52"/>
  <c r="AD30" i="52" s="1"/>
  <c r="AI30" i="52"/>
  <c r="AJ30" i="52"/>
  <c r="AE31" i="52"/>
  <c r="AD31" i="52" s="1"/>
  <c r="AI31" i="52"/>
  <c r="AJ31" i="52"/>
  <c r="AE32" i="52"/>
  <c r="AD32" i="52" s="1"/>
  <c r="AI32" i="52"/>
  <c r="AJ32" i="52"/>
  <c r="AE33" i="52"/>
  <c r="AD33" i="52" s="1"/>
  <c r="AI33" i="52"/>
  <c r="AJ33" i="52"/>
  <c r="AE34" i="52"/>
  <c r="AD34" i="52" s="1"/>
  <c r="AI34" i="52"/>
  <c r="AJ34" i="52"/>
  <c r="AE35" i="52"/>
  <c r="AD35" i="52" s="1"/>
  <c r="AI35" i="52"/>
  <c r="AJ35" i="52"/>
  <c r="AE36" i="52"/>
  <c r="AD36" i="52" s="1"/>
  <c r="AI36" i="52"/>
  <c r="AJ36" i="52"/>
  <c r="AE37" i="52"/>
  <c r="AD37" i="52" s="1"/>
  <c r="AI37" i="52"/>
  <c r="AJ37" i="52"/>
  <c r="AE38" i="52"/>
  <c r="AD38" i="52" s="1"/>
  <c r="AI38" i="52"/>
  <c r="AJ38" i="52"/>
  <c r="AE39" i="52"/>
  <c r="AD39" i="52" s="1"/>
  <c r="AI39" i="52"/>
  <c r="AJ39" i="52"/>
  <c r="AE40" i="52"/>
  <c r="AD40" i="52" s="1"/>
  <c r="AI40" i="52"/>
  <c r="AJ40" i="52"/>
  <c r="AE41" i="52"/>
  <c r="AD41" i="52" s="1"/>
  <c r="AI41" i="52"/>
  <c r="AJ41" i="52"/>
  <c r="AE42" i="52"/>
  <c r="AD42" i="52" s="1"/>
  <c r="AI42" i="52"/>
  <c r="AJ42" i="52"/>
  <c r="AE43" i="52"/>
  <c r="AD43" i="52" s="1"/>
  <c r="AI43" i="52"/>
  <c r="AJ43" i="52"/>
  <c r="AE44" i="52"/>
  <c r="AD44" i="52" s="1"/>
  <c r="AI44" i="52"/>
  <c r="AJ44" i="52"/>
  <c r="AE45" i="52"/>
  <c r="AD45" i="52" s="1"/>
  <c r="AI45" i="52"/>
  <c r="AJ45" i="52"/>
  <c r="AE46" i="52"/>
  <c r="AD46" i="52" s="1"/>
  <c r="AI46" i="52"/>
  <c r="AJ46" i="52"/>
  <c r="AE47" i="52"/>
  <c r="AD47" i="52" s="1"/>
  <c r="AI47" i="52"/>
  <c r="AJ47" i="52"/>
  <c r="AE48" i="52"/>
  <c r="AD48" i="52" s="1"/>
  <c r="AI48" i="52"/>
  <c r="AJ48" i="52"/>
  <c r="AE49" i="52"/>
  <c r="AD49" i="52" s="1"/>
  <c r="AI49" i="52"/>
  <c r="AJ49" i="52"/>
  <c r="AE50" i="52"/>
  <c r="AD50" i="52" s="1"/>
  <c r="AI50" i="52"/>
  <c r="AJ50" i="52"/>
  <c r="AE51" i="52"/>
  <c r="AD51" i="52" s="1"/>
  <c r="AI51" i="52"/>
  <c r="AJ51" i="52"/>
  <c r="AE52" i="52"/>
  <c r="AD52" i="52" s="1"/>
  <c r="AI52" i="52"/>
  <c r="AJ52" i="52"/>
  <c r="AE53" i="52"/>
  <c r="AD53" i="52" s="1"/>
  <c r="AI53" i="52"/>
  <c r="AJ53" i="52"/>
  <c r="AE54" i="52"/>
  <c r="AD54" i="52" s="1"/>
  <c r="AI54" i="52"/>
  <c r="AJ54" i="52"/>
  <c r="AE55" i="52"/>
  <c r="AD55" i="52" s="1"/>
  <c r="AI55" i="52"/>
  <c r="AJ55" i="52"/>
  <c r="AE56" i="52"/>
  <c r="AD56" i="52" s="1"/>
  <c r="AI56" i="52"/>
  <c r="AJ56" i="52"/>
  <c r="AE57" i="52"/>
  <c r="AD57" i="52" s="1"/>
  <c r="AI57" i="52"/>
  <c r="AJ57" i="52"/>
  <c r="AE58" i="52"/>
  <c r="AD58" i="52" s="1"/>
  <c r="AI58" i="52"/>
  <c r="AJ58" i="52"/>
  <c r="AE59" i="52"/>
  <c r="AD59" i="52" s="1"/>
  <c r="AI59" i="52"/>
  <c r="AJ59" i="52"/>
  <c r="AE60" i="52"/>
  <c r="AD60" i="52" s="1"/>
  <c r="AI60" i="52"/>
  <c r="AJ60" i="52"/>
  <c r="AE61" i="52"/>
  <c r="AD61" i="52" s="1"/>
  <c r="AI61" i="52"/>
  <c r="AJ61" i="52"/>
  <c r="AE62" i="52"/>
  <c r="AD62" i="52" s="1"/>
  <c r="AI62" i="52"/>
  <c r="AJ62" i="52"/>
  <c r="AE63" i="52"/>
  <c r="AD63" i="52" s="1"/>
  <c r="AI63" i="52"/>
  <c r="AJ63" i="52"/>
  <c r="AE64" i="52"/>
  <c r="AD64" i="52" s="1"/>
  <c r="AI64" i="52"/>
  <c r="AJ64" i="52"/>
  <c r="AE65" i="52"/>
  <c r="AD65" i="52" s="1"/>
  <c r="AI65" i="52"/>
  <c r="AJ65" i="52"/>
  <c r="AE66" i="52"/>
  <c r="AD66" i="52" s="1"/>
  <c r="AI66" i="52"/>
  <c r="AJ66" i="52"/>
  <c r="AE67" i="52"/>
  <c r="AD67" i="52" s="1"/>
  <c r="AI67" i="52"/>
  <c r="AJ67" i="52"/>
  <c r="AE68" i="52"/>
  <c r="AD68" i="52" s="1"/>
  <c r="AI68" i="52"/>
  <c r="AJ68" i="52"/>
  <c r="AE69" i="52"/>
  <c r="AD69" i="52" s="1"/>
  <c r="AI69" i="52"/>
  <c r="AJ69" i="52"/>
  <c r="AE70" i="52"/>
  <c r="AD70" i="52" s="1"/>
  <c r="AI70" i="52"/>
  <c r="AJ70" i="52"/>
  <c r="AE71" i="52"/>
  <c r="AD71" i="52" s="1"/>
  <c r="AI71" i="52"/>
  <c r="AJ71" i="52"/>
  <c r="AE72" i="52"/>
  <c r="AD72" i="52" s="1"/>
  <c r="AI72" i="52"/>
  <c r="AJ72" i="52"/>
  <c r="AE73" i="52"/>
  <c r="AD73" i="52" s="1"/>
  <c r="AI73" i="52"/>
  <c r="AJ73" i="52"/>
  <c r="AE74" i="52"/>
  <c r="AD74" i="52" s="1"/>
  <c r="AI74" i="52"/>
  <c r="AJ74" i="52"/>
  <c r="AE75" i="52"/>
  <c r="AD75" i="52" s="1"/>
  <c r="AI75" i="52"/>
  <c r="AJ75" i="52"/>
  <c r="AE76" i="52"/>
  <c r="AD76" i="52" s="1"/>
  <c r="AI76" i="52"/>
  <c r="AJ76" i="52"/>
  <c r="AE77" i="52"/>
  <c r="AD77" i="52" s="1"/>
  <c r="AI77" i="52"/>
  <c r="AJ77" i="52"/>
  <c r="AE78" i="52"/>
  <c r="AD78" i="52" s="1"/>
  <c r="AI78" i="52"/>
  <c r="AJ78" i="52"/>
  <c r="AE79" i="52"/>
  <c r="AD79" i="52" s="1"/>
  <c r="AI79" i="52"/>
  <c r="AJ79" i="52"/>
  <c r="AE80" i="52"/>
  <c r="AD80" i="52" s="1"/>
  <c r="AI80" i="52"/>
  <c r="AJ80" i="52"/>
  <c r="AE81" i="52"/>
  <c r="AD81" i="52" s="1"/>
  <c r="AI81" i="52"/>
  <c r="AJ81" i="52"/>
  <c r="AE82" i="52"/>
  <c r="AD82" i="52" s="1"/>
  <c r="AI82" i="52"/>
  <c r="AJ82" i="52"/>
  <c r="AE83" i="52"/>
  <c r="AD83" i="52" s="1"/>
  <c r="AI83" i="52"/>
  <c r="AJ83" i="52"/>
  <c r="AE84" i="52"/>
  <c r="AD84" i="52" s="1"/>
  <c r="AI84" i="52"/>
  <c r="AJ84" i="52"/>
  <c r="AE85" i="52"/>
  <c r="AD85" i="52" s="1"/>
  <c r="AI85" i="52"/>
  <c r="AJ85" i="52"/>
  <c r="AE86" i="52"/>
  <c r="AD86" i="52" s="1"/>
  <c r="AI86" i="52"/>
  <c r="AJ86" i="52"/>
  <c r="AE87" i="52"/>
  <c r="AD87" i="52" s="1"/>
  <c r="AI87" i="52"/>
  <c r="AJ87" i="52"/>
  <c r="AE88" i="52"/>
  <c r="AD88" i="52" s="1"/>
  <c r="AI88" i="52"/>
  <c r="AJ88" i="52"/>
  <c r="AE89" i="52"/>
  <c r="AD89" i="52" s="1"/>
  <c r="AI89" i="52"/>
  <c r="AJ89" i="52"/>
  <c r="AE90" i="52"/>
  <c r="AD90" i="52" s="1"/>
  <c r="AI90" i="52"/>
  <c r="AJ90" i="52"/>
  <c r="AE91" i="52"/>
  <c r="AD91" i="52" s="1"/>
  <c r="AI91" i="52"/>
  <c r="AJ91" i="52"/>
  <c r="AE92" i="52"/>
  <c r="AD92" i="52" s="1"/>
  <c r="AI92" i="52"/>
  <c r="AJ92" i="52"/>
  <c r="AE93" i="52"/>
  <c r="AD93" i="52" s="1"/>
  <c r="AI93" i="52"/>
  <c r="AJ93" i="52"/>
  <c r="AE94" i="52"/>
  <c r="AD94" i="52" s="1"/>
  <c r="AI94" i="52"/>
  <c r="AJ94" i="52"/>
  <c r="AE95" i="52"/>
  <c r="AD95" i="52" s="1"/>
  <c r="AI95" i="52"/>
  <c r="AJ95" i="52"/>
  <c r="AE96" i="52"/>
  <c r="AD96" i="52" s="1"/>
  <c r="AI96" i="52"/>
  <c r="AJ96" i="52"/>
  <c r="AE97" i="52"/>
  <c r="AD97" i="52" s="1"/>
  <c r="AI97" i="52"/>
  <c r="AJ97" i="52"/>
  <c r="AE98" i="52"/>
  <c r="AD98" i="52" s="1"/>
  <c r="AI98" i="52"/>
  <c r="AJ98" i="52"/>
  <c r="AE99" i="52"/>
  <c r="AD99" i="52" s="1"/>
  <c r="AI99" i="52"/>
  <c r="AJ99" i="52"/>
  <c r="AE100" i="52"/>
  <c r="AD100" i="52" s="1"/>
  <c r="AI100" i="52"/>
  <c r="AJ100" i="52"/>
  <c r="AE101" i="52"/>
  <c r="AD101" i="52" s="1"/>
  <c r="AI101" i="52"/>
  <c r="AJ101" i="52"/>
  <c r="AE102" i="52"/>
  <c r="AD102" i="52" s="1"/>
  <c r="AI102" i="52"/>
  <c r="AJ102" i="52"/>
  <c r="AE103" i="52"/>
  <c r="AD103" i="52" s="1"/>
  <c r="AI103" i="52"/>
  <c r="AJ103" i="52"/>
  <c r="AE104" i="52"/>
  <c r="AD104" i="52" s="1"/>
  <c r="AI104" i="52"/>
  <c r="AJ104" i="52"/>
  <c r="AE105" i="52"/>
  <c r="AD105" i="52" s="1"/>
  <c r="AI105" i="52"/>
  <c r="AJ105" i="52"/>
  <c r="AE106" i="52"/>
  <c r="AD106" i="52" s="1"/>
  <c r="AI106" i="52"/>
  <c r="AJ106" i="52"/>
  <c r="AE107" i="52"/>
  <c r="AD107" i="52" s="1"/>
  <c r="AI107" i="52"/>
  <c r="AJ107" i="52"/>
  <c r="AE108" i="52"/>
  <c r="AD108" i="52" s="1"/>
  <c r="AI108" i="52"/>
  <c r="AJ108" i="52"/>
  <c r="AE109" i="52"/>
  <c r="AD109" i="52" s="1"/>
  <c r="AI109" i="52"/>
  <c r="AJ109" i="52"/>
  <c r="AE110" i="52"/>
  <c r="AD110" i="52" s="1"/>
  <c r="AI110" i="52"/>
  <c r="AJ110" i="52"/>
  <c r="AE111" i="52"/>
  <c r="AD111" i="52" s="1"/>
  <c r="AI111" i="52"/>
  <c r="AJ111" i="52"/>
  <c r="AE112" i="52"/>
  <c r="AD112" i="52" s="1"/>
  <c r="AI112" i="52"/>
  <c r="AJ112" i="52"/>
  <c r="AE113" i="52"/>
  <c r="AD113" i="52" s="1"/>
  <c r="AI113" i="52"/>
  <c r="AJ113" i="52"/>
  <c r="AE114" i="52"/>
  <c r="AD114" i="52" s="1"/>
  <c r="AI114" i="52"/>
  <c r="AJ114" i="52"/>
  <c r="AE115" i="52"/>
  <c r="AD115" i="52" s="1"/>
  <c r="AI115" i="52"/>
  <c r="AJ115" i="52"/>
  <c r="AE116" i="52"/>
  <c r="AD116" i="52" s="1"/>
  <c r="AI116" i="52"/>
  <c r="AJ116" i="52"/>
  <c r="AE117" i="52"/>
  <c r="AD117" i="52" s="1"/>
  <c r="AI117" i="52"/>
  <c r="AJ117" i="52"/>
  <c r="AE118" i="52"/>
  <c r="AD118" i="52" s="1"/>
  <c r="AI118" i="52"/>
  <c r="AJ118" i="52"/>
  <c r="AE119" i="52"/>
  <c r="AD119" i="52" s="1"/>
  <c r="AI119" i="52"/>
  <c r="AJ119" i="52"/>
  <c r="AE120" i="52"/>
  <c r="AD120" i="52" s="1"/>
  <c r="AI120" i="52"/>
  <c r="AJ120" i="52"/>
  <c r="AE121" i="52"/>
  <c r="AD121" i="52" s="1"/>
  <c r="AI121" i="52"/>
  <c r="AJ121" i="52"/>
  <c r="AE122" i="52"/>
  <c r="AD122" i="52" s="1"/>
  <c r="AI122" i="52"/>
  <c r="AJ122" i="52"/>
  <c r="AE123" i="52"/>
  <c r="AD123" i="52" s="1"/>
  <c r="AI123" i="52"/>
  <c r="AJ123" i="52"/>
  <c r="AE124" i="52"/>
  <c r="AD124" i="52" s="1"/>
  <c r="AI124" i="52"/>
  <c r="AJ124" i="52"/>
  <c r="AE125" i="52"/>
  <c r="AD125" i="52" s="1"/>
  <c r="AI125" i="52"/>
  <c r="AJ125" i="52"/>
  <c r="AE126" i="52"/>
  <c r="AD126" i="52" s="1"/>
  <c r="AI126" i="52"/>
  <c r="AJ126" i="52"/>
  <c r="AE127" i="52"/>
  <c r="AD127" i="52" s="1"/>
  <c r="AI127" i="52"/>
  <c r="AJ127" i="52"/>
  <c r="AE128" i="52"/>
  <c r="AD128" i="52" s="1"/>
  <c r="AI128" i="52"/>
  <c r="AJ128" i="52"/>
  <c r="AE129" i="52"/>
  <c r="AD129" i="52" s="1"/>
  <c r="AI129" i="52"/>
  <c r="AJ129" i="52"/>
  <c r="AE130" i="52"/>
  <c r="AD130" i="52" s="1"/>
  <c r="AI130" i="52"/>
  <c r="AJ130" i="52"/>
  <c r="AE131" i="52"/>
  <c r="AD131" i="52" s="1"/>
  <c r="AI131" i="52"/>
  <c r="AJ131" i="52"/>
  <c r="AE132" i="52"/>
  <c r="AD132" i="52" s="1"/>
  <c r="AI132" i="52"/>
  <c r="AJ132" i="52"/>
  <c r="AE133" i="52"/>
  <c r="AD133" i="52" s="1"/>
  <c r="AI133" i="52"/>
  <c r="AJ133" i="52"/>
  <c r="AE134" i="52"/>
  <c r="AD134" i="52" s="1"/>
  <c r="AI134" i="52"/>
  <c r="AJ134" i="52"/>
  <c r="AE135" i="52"/>
  <c r="AD135" i="52" s="1"/>
  <c r="AI135" i="52"/>
  <c r="AJ135" i="52"/>
  <c r="AE136" i="52"/>
  <c r="AD136" i="52" s="1"/>
  <c r="AI136" i="52"/>
  <c r="AJ136" i="52"/>
  <c r="AE137" i="52"/>
  <c r="AD137" i="52" s="1"/>
  <c r="AI137" i="52"/>
  <c r="AJ137" i="52"/>
  <c r="AE138" i="52"/>
  <c r="AD138" i="52" s="1"/>
  <c r="AI138" i="52"/>
  <c r="AJ138" i="52"/>
  <c r="AE139" i="52"/>
  <c r="AD139" i="52" s="1"/>
  <c r="AI139" i="52"/>
  <c r="AJ139" i="52"/>
  <c r="AE140" i="52"/>
  <c r="AD140" i="52" s="1"/>
  <c r="AI140" i="52"/>
  <c r="AJ140" i="52"/>
  <c r="AE141" i="52"/>
  <c r="AD141" i="52" s="1"/>
  <c r="AI141" i="52"/>
  <c r="AJ141" i="52"/>
  <c r="AE142" i="52"/>
  <c r="AD142" i="52" s="1"/>
  <c r="AI142" i="52"/>
  <c r="AJ142" i="52"/>
  <c r="AE143" i="52"/>
  <c r="AD143" i="52" s="1"/>
  <c r="AI143" i="52"/>
  <c r="AJ143" i="52"/>
  <c r="AE144" i="52"/>
  <c r="AD144" i="52" s="1"/>
  <c r="AI144" i="52"/>
  <c r="AJ144" i="52"/>
  <c r="AE145" i="52"/>
  <c r="AD145" i="52" s="1"/>
  <c r="AI145" i="52"/>
  <c r="AJ145" i="52"/>
  <c r="AE146" i="52"/>
  <c r="AD146" i="52" s="1"/>
  <c r="AI146" i="52"/>
  <c r="AJ146" i="52"/>
  <c r="AE147" i="52"/>
  <c r="AD147" i="52" s="1"/>
  <c r="AI147" i="52"/>
  <c r="AJ147" i="52"/>
  <c r="AE148" i="52"/>
  <c r="AD148" i="52" s="1"/>
  <c r="AI148" i="52"/>
  <c r="AJ148" i="52"/>
  <c r="AE149" i="52"/>
  <c r="AD149" i="52" s="1"/>
  <c r="AI149" i="52"/>
  <c r="AJ149" i="52"/>
  <c r="AE150" i="52"/>
  <c r="AD150" i="52" s="1"/>
  <c r="AI150" i="52"/>
  <c r="AJ150" i="52"/>
  <c r="AE151" i="52"/>
  <c r="AD151" i="52" s="1"/>
  <c r="AI151" i="52"/>
  <c r="AJ151" i="52"/>
  <c r="AE152" i="52"/>
  <c r="AD152" i="52" s="1"/>
  <c r="AI152" i="52"/>
  <c r="AJ152" i="52"/>
  <c r="AE153" i="52"/>
  <c r="AD153" i="52" s="1"/>
  <c r="AI153" i="52"/>
  <c r="AJ153" i="52"/>
  <c r="AE154" i="52"/>
  <c r="AD154" i="52" s="1"/>
  <c r="AI154" i="52"/>
  <c r="AJ154" i="52"/>
  <c r="AE155" i="52"/>
  <c r="AD155" i="52" s="1"/>
  <c r="AI155" i="52"/>
  <c r="AJ155" i="52"/>
  <c r="AE156" i="52"/>
  <c r="AD156" i="52" s="1"/>
  <c r="AI156" i="52"/>
  <c r="AJ156" i="52"/>
  <c r="AE157" i="52"/>
  <c r="AD157" i="52" s="1"/>
  <c r="AI157" i="52"/>
  <c r="AJ157" i="52"/>
  <c r="AE158" i="52"/>
  <c r="AD158" i="52" s="1"/>
  <c r="AI158" i="52"/>
  <c r="AJ158" i="52"/>
  <c r="AE159" i="52"/>
  <c r="AD159" i="52" s="1"/>
  <c r="AI159" i="52"/>
  <c r="AJ159" i="52"/>
  <c r="AE160" i="52"/>
  <c r="AD160" i="52" s="1"/>
  <c r="AI160" i="52"/>
  <c r="AJ160" i="52"/>
  <c r="AE161" i="52"/>
  <c r="AD161" i="52" s="1"/>
  <c r="AI161" i="52"/>
  <c r="AJ161" i="52"/>
  <c r="AE162" i="52"/>
  <c r="AD162" i="52" s="1"/>
  <c r="AI162" i="52"/>
  <c r="AJ162" i="52"/>
  <c r="AE163" i="52"/>
  <c r="AD163" i="52" s="1"/>
  <c r="AI163" i="52"/>
  <c r="AJ163" i="52"/>
  <c r="AE164" i="52"/>
  <c r="AD164" i="52" s="1"/>
  <c r="AI164" i="52"/>
  <c r="AJ164" i="52"/>
  <c r="AE165" i="52"/>
  <c r="AD165" i="52" s="1"/>
  <c r="AI165" i="52"/>
  <c r="AJ165" i="52"/>
  <c r="AE166" i="52"/>
  <c r="AD166" i="52" s="1"/>
  <c r="AI166" i="52"/>
  <c r="AJ166" i="52"/>
  <c r="AE167" i="52"/>
  <c r="AD167" i="52" s="1"/>
  <c r="AI167" i="52"/>
  <c r="AJ167" i="52"/>
  <c r="AE168" i="52"/>
  <c r="AD168" i="52" s="1"/>
  <c r="AI168" i="52"/>
  <c r="AJ168" i="52"/>
  <c r="AE169" i="52"/>
  <c r="AD169" i="52" s="1"/>
  <c r="AI169" i="52"/>
  <c r="AJ169" i="52"/>
  <c r="AE170" i="52"/>
  <c r="AD170" i="52" s="1"/>
  <c r="AI170" i="52"/>
  <c r="AJ170" i="52"/>
  <c r="AE171" i="52"/>
  <c r="AD171" i="52" s="1"/>
  <c r="AI171" i="52"/>
  <c r="AJ171" i="52"/>
  <c r="AE172" i="52"/>
  <c r="AD172" i="52" s="1"/>
  <c r="AI172" i="52"/>
  <c r="AJ172" i="52"/>
  <c r="AE173" i="52"/>
  <c r="AD173" i="52" s="1"/>
  <c r="AI173" i="52"/>
  <c r="AJ173" i="52"/>
  <c r="AE174" i="52"/>
  <c r="AD174" i="52" s="1"/>
  <c r="AI174" i="52"/>
  <c r="AJ174" i="52"/>
  <c r="AE175" i="52"/>
  <c r="AD175" i="52" s="1"/>
  <c r="AI175" i="52"/>
  <c r="AJ175" i="52"/>
  <c r="AE176" i="52"/>
  <c r="AD176" i="52" s="1"/>
  <c r="AI176" i="52"/>
  <c r="AJ176" i="52"/>
  <c r="AE177" i="52"/>
  <c r="AD177" i="52" s="1"/>
  <c r="AI177" i="52"/>
  <c r="AJ177" i="52"/>
  <c r="AE178" i="52"/>
  <c r="AD178" i="52" s="1"/>
  <c r="AI178" i="52"/>
  <c r="AJ178" i="52"/>
  <c r="AE179" i="52"/>
  <c r="AD179" i="52" s="1"/>
  <c r="AI179" i="52"/>
  <c r="AJ179" i="52"/>
  <c r="AE180" i="52"/>
  <c r="AD180" i="52" s="1"/>
  <c r="AI180" i="52"/>
  <c r="AJ180" i="52"/>
  <c r="AE181" i="52"/>
  <c r="AD181" i="52" s="1"/>
  <c r="AI181" i="52"/>
  <c r="AJ181" i="52"/>
  <c r="AE182" i="52"/>
  <c r="AD182" i="52" s="1"/>
  <c r="AI182" i="52"/>
  <c r="AJ182" i="52"/>
  <c r="AE183" i="52"/>
  <c r="AD183" i="52" s="1"/>
  <c r="AI183" i="52"/>
  <c r="AJ183" i="52"/>
  <c r="AE184" i="52"/>
  <c r="AD184" i="52" s="1"/>
  <c r="AI184" i="52"/>
  <c r="AJ184" i="52"/>
  <c r="AE185" i="52"/>
  <c r="AD185" i="52" s="1"/>
  <c r="AI185" i="52"/>
  <c r="AJ185" i="52"/>
  <c r="AE186" i="52"/>
  <c r="AD186" i="52" s="1"/>
  <c r="AI186" i="52"/>
  <c r="AJ186" i="52"/>
  <c r="AE187" i="52"/>
  <c r="AD187" i="52" s="1"/>
  <c r="AI187" i="52"/>
  <c r="AJ187" i="52"/>
  <c r="AE188" i="52"/>
  <c r="AD188" i="52" s="1"/>
  <c r="AI188" i="52"/>
  <c r="AJ188" i="52"/>
  <c r="AE189" i="52"/>
  <c r="AD189" i="52" s="1"/>
  <c r="AI189" i="52"/>
  <c r="AJ189" i="52"/>
  <c r="AE190" i="52"/>
  <c r="AD190" i="52" s="1"/>
  <c r="AI190" i="52"/>
  <c r="AJ190" i="52"/>
  <c r="AE191" i="52"/>
  <c r="AD191" i="52" s="1"/>
  <c r="AI191" i="52"/>
  <c r="AJ191" i="52"/>
  <c r="AE192" i="52"/>
  <c r="AD192" i="52" s="1"/>
  <c r="AI192" i="52"/>
  <c r="AJ192" i="52"/>
  <c r="AE193" i="52"/>
  <c r="AD193" i="52" s="1"/>
  <c r="AI193" i="52"/>
  <c r="AJ193" i="52"/>
  <c r="AE194" i="52"/>
  <c r="AD194" i="52" s="1"/>
  <c r="AI194" i="52"/>
  <c r="AJ194" i="52"/>
  <c r="AE195" i="52"/>
  <c r="AD195" i="52" s="1"/>
  <c r="AI195" i="52"/>
  <c r="AJ195" i="52"/>
  <c r="AE196" i="52"/>
  <c r="AD196" i="52" s="1"/>
  <c r="AI196" i="52"/>
  <c r="AJ196" i="52"/>
  <c r="AE197" i="52"/>
  <c r="AD197" i="52" s="1"/>
  <c r="AI197" i="52"/>
  <c r="AJ197" i="52"/>
  <c r="AE198" i="52"/>
  <c r="AD198" i="52" s="1"/>
  <c r="AI198" i="52"/>
  <c r="AJ198" i="52"/>
  <c r="AE199" i="52"/>
  <c r="AD199" i="52" s="1"/>
  <c r="AI199" i="52"/>
  <c r="AJ199" i="52"/>
  <c r="AE200" i="52"/>
  <c r="AD200" i="52" s="1"/>
  <c r="AI200" i="52"/>
  <c r="AJ200" i="52"/>
  <c r="AE201" i="52"/>
  <c r="AD201" i="52" s="1"/>
  <c r="AI201" i="52"/>
  <c r="AJ201" i="52"/>
  <c r="AE202" i="52"/>
  <c r="AD202" i="52" s="1"/>
  <c r="AI202" i="52"/>
  <c r="AJ202" i="52"/>
  <c r="AE203" i="52"/>
  <c r="AD203" i="52" s="1"/>
  <c r="AI203" i="52"/>
  <c r="AJ203" i="52"/>
  <c r="AE204" i="52"/>
  <c r="AD204" i="52" s="1"/>
  <c r="AI204" i="52"/>
  <c r="AJ204" i="52"/>
  <c r="AE205" i="52"/>
  <c r="AD205" i="52" s="1"/>
  <c r="AI205" i="52"/>
  <c r="AJ205" i="52"/>
  <c r="AE206" i="52"/>
  <c r="AD206" i="52" s="1"/>
  <c r="AI206" i="52"/>
  <c r="AJ206" i="52"/>
  <c r="AE207" i="52"/>
  <c r="AD207" i="52" s="1"/>
  <c r="AI207" i="52"/>
  <c r="AJ207" i="52"/>
  <c r="AE208" i="52"/>
  <c r="AD208" i="52" s="1"/>
  <c r="AI208" i="52"/>
  <c r="AJ208" i="52"/>
  <c r="AE209" i="52"/>
  <c r="AD209" i="52" s="1"/>
  <c r="AI209" i="52"/>
  <c r="AJ209" i="52"/>
  <c r="AE210" i="52"/>
  <c r="AD210" i="52" s="1"/>
  <c r="AI210" i="52"/>
  <c r="AJ210" i="52"/>
  <c r="AE211" i="52"/>
  <c r="AD211" i="52" s="1"/>
  <c r="AI211" i="52"/>
  <c r="AJ211" i="52"/>
  <c r="AE212" i="52"/>
  <c r="AD212" i="52" s="1"/>
  <c r="AI212" i="52"/>
  <c r="AJ212" i="52"/>
  <c r="AE213" i="52"/>
  <c r="AD213" i="52" s="1"/>
  <c r="AI213" i="52"/>
  <c r="AJ213" i="52"/>
  <c r="AE214" i="52"/>
  <c r="AD214" i="52" s="1"/>
  <c r="AI214" i="52"/>
  <c r="AJ214" i="52"/>
  <c r="AE215" i="52"/>
  <c r="AD215" i="52" s="1"/>
  <c r="AI215" i="52"/>
  <c r="AJ215" i="52"/>
  <c r="AE216" i="52"/>
  <c r="AD216" i="52" s="1"/>
  <c r="AI216" i="52"/>
  <c r="AJ216" i="52"/>
  <c r="AE217" i="52"/>
  <c r="AD217" i="52" s="1"/>
  <c r="AI217" i="52"/>
  <c r="AJ217" i="52"/>
  <c r="AE218" i="52"/>
  <c r="AD218" i="52" s="1"/>
  <c r="AI218" i="52"/>
  <c r="AJ218" i="52"/>
  <c r="AE219" i="52"/>
  <c r="AD219" i="52" s="1"/>
  <c r="AI219" i="52"/>
  <c r="AJ219" i="52"/>
  <c r="AE220" i="52"/>
  <c r="AD220" i="52" s="1"/>
  <c r="AI220" i="52"/>
  <c r="AJ220" i="52"/>
  <c r="AE221" i="52"/>
  <c r="AD221" i="52" s="1"/>
  <c r="AI221" i="52"/>
  <c r="AJ221" i="52"/>
  <c r="AE222" i="52"/>
  <c r="AD222" i="52" s="1"/>
  <c r="AI222" i="52"/>
  <c r="AJ222" i="52"/>
  <c r="AE223" i="52"/>
  <c r="AD223" i="52" s="1"/>
  <c r="AI223" i="52"/>
  <c r="AJ223" i="52"/>
  <c r="AE224" i="52"/>
  <c r="AD224" i="52" s="1"/>
  <c r="AI224" i="52"/>
  <c r="AJ224" i="52"/>
  <c r="AE225" i="52"/>
  <c r="AD225" i="52" s="1"/>
  <c r="AI225" i="52"/>
  <c r="AJ225" i="52"/>
  <c r="AE226" i="52"/>
  <c r="AD226" i="52" s="1"/>
  <c r="AI226" i="52"/>
  <c r="AJ226" i="52"/>
  <c r="AE227" i="52"/>
  <c r="AD227" i="52" s="1"/>
  <c r="AI227" i="52"/>
  <c r="AJ227" i="52"/>
  <c r="AE228" i="52"/>
  <c r="AD228" i="52" s="1"/>
  <c r="AI228" i="52"/>
  <c r="AJ228" i="52"/>
  <c r="AE229" i="52"/>
  <c r="AD229" i="52" s="1"/>
  <c r="AI229" i="52"/>
  <c r="AJ229" i="52"/>
  <c r="AE230" i="52"/>
  <c r="AD230" i="52" s="1"/>
  <c r="AI230" i="52"/>
  <c r="AJ230" i="52"/>
  <c r="AE231" i="52"/>
  <c r="AD231" i="52" s="1"/>
  <c r="AI231" i="52"/>
  <c r="AJ231" i="52"/>
  <c r="AE232" i="52"/>
  <c r="AD232" i="52" s="1"/>
  <c r="AI232" i="52"/>
  <c r="AJ232" i="52"/>
  <c r="AE233" i="52"/>
  <c r="AD233" i="52" s="1"/>
  <c r="AI233" i="52"/>
  <c r="AJ233" i="52"/>
  <c r="AE234" i="52"/>
  <c r="AD234" i="52" s="1"/>
  <c r="AI234" i="52"/>
  <c r="AJ234" i="52"/>
  <c r="AE235" i="52"/>
  <c r="AD235" i="52" s="1"/>
  <c r="AI235" i="52"/>
  <c r="AJ235" i="52"/>
  <c r="AE236" i="52"/>
  <c r="AD236" i="52" s="1"/>
  <c r="AI236" i="52"/>
  <c r="AJ236" i="52"/>
  <c r="AE237" i="52"/>
  <c r="AD237" i="52" s="1"/>
  <c r="AI237" i="52"/>
  <c r="AJ237" i="52"/>
  <c r="AE238" i="52"/>
  <c r="AD238" i="52" s="1"/>
  <c r="AI238" i="52"/>
  <c r="AJ238" i="52"/>
  <c r="AE239" i="52"/>
  <c r="AD239" i="52" s="1"/>
  <c r="AI239" i="52"/>
  <c r="AJ239" i="52"/>
  <c r="AE240" i="52"/>
  <c r="AD240" i="52" s="1"/>
  <c r="AI240" i="52"/>
  <c r="AJ240" i="52"/>
  <c r="AE241" i="52"/>
  <c r="AD241" i="52" s="1"/>
  <c r="AI241" i="52"/>
  <c r="AJ241" i="52"/>
  <c r="AE242" i="52"/>
  <c r="AD242" i="52" s="1"/>
  <c r="AI242" i="52"/>
  <c r="AJ242" i="52"/>
  <c r="AE243" i="52"/>
  <c r="AD243" i="52" s="1"/>
  <c r="AI243" i="52"/>
  <c r="AJ243" i="52"/>
  <c r="AE244" i="52"/>
  <c r="AD244" i="52" s="1"/>
  <c r="AI244" i="52"/>
  <c r="AJ244" i="52"/>
  <c r="AE245" i="52"/>
  <c r="AD245" i="52" s="1"/>
  <c r="AI245" i="52"/>
  <c r="AJ245" i="52"/>
  <c r="AE246" i="52"/>
  <c r="AD246" i="52" s="1"/>
  <c r="AI246" i="52"/>
  <c r="AJ246" i="52"/>
  <c r="AE247" i="52"/>
  <c r="AD247" i="52" s="1"/>
  <c r="AI247" i="52"/>
  <c r="AJ247" i="52"/>
  <c r="AE248" i="52"/>
  <c r="AD248" i="52" s="1"/>
  <c r="AI248" i="52"/>
  <c r="AJ248" i="52"/>
  <c r="AE249" i="52"/>
  <c r="AD249" i="52" s="1"/>
  <c r="AI249" i="52"/>
  <c r="AJ249" i="52"/>
  <c r="AE250" i="52"/>
  <c r="AD250" i="52" s="1"/>
  <c r="AI250" i="52"/>
  <c r="AJ250" i="52"/>
  <c r="AE251" i="52"/>
  <c r="AD251" i="52" s="1"/>
  <c r="AI251" i="52"/>
  <c r="AJ251" i="52"/>
  <c r="AE252" i="52"/>
  <c r="AD252" i="52" s="1"/>
  <c r="AI252" i="52"/>
  <c r="AJ252" i="52"/>
  <c r="AE253" i="52"/>
  <c r="AD253" i="52" s="1"/>
  <c r="AI253" i="52"/>
  <c r="AJ253" i="52"/>
  <c r="I22" i="45" l="1"/>
  <c r="AM19" i="52"/>
  <c r="AM21" i="52"/>
  <c r="AM22" i="52"/>
  <c r="AM20" i="52"/>
  <c r="I23" i="45" l="1"/>
  <c r="AM23" i="52"/>
  <c r="AN20" i="52" s="1"/>
  <c r="I24" i="45" l="1"/>
  <c r="AO20" i="52"/>
  <c r="AN19" i="52"/>
  <c r="AN22" i="52"/>
  <c r="AN21" i="52"/>
  <c r="AO22" i="52" s="1"/>
  <c r="I25" i="45" l="1"/>
  <c r="B28" i="32"/>
  <c r="B29" i="32" s="1"/>
  <c r="I26" i="45" l="1"/>
  <c r="I34" i="45"/>
  <c r="F12" i="59"/>
  <c r="E12" i="59"/>
  <c r="D12" i="59"/>
  <c r="C12" i="59"/>
  <c r="B13" i="59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B37" i="59" s="1"/>
  <c r="B38" i="59" s="1"/>
  <c r="I27" i="45" l="1"/>
  <c r="I35" i="45"/>
  <c r="H12" i="59"/>
  <c r="H13" i="59" s="1"/>
  <c r="I36" i="45" l="1"/>
  <c r="H14" i="59"/>
  <c r="J13" i="59"/>
  <c r="E13" i="59" l="1"/>
  <c r="F13" i="59"/>
  <c r="D13" i="59"/>
  <c r="C13" i="59"/>
  <c r="H15" i="59"/>
  <c r="J14" i="59"/>
  <c r="E14" i="59" l="1"/>
  <c r="D14" i="59"/>
  <c r="F14" i="59"/>
  <c r="C14" i="59"/>
  <c r="H16" i="59"/>
  <c r="J15" i="59"/>
  <c r="E15" i="59" l="1"/>
  <c r="C15" i="59"/>
  <c r="F15" i="59"/>
  <c r="D15" i="59"/>
  <c r="H17" i="59"/>
  <c r="J16" i="59"/>
  <c r="E16" i="59" l="1"/>
  <c r="D16" i="59"/>
  <c r="C16" i="59"/>
  <c r="F16" i="59"/>
  <c r="H18" i="59"/>
  <c r="J17" i="59"/>
  <c r="E17" i="59" l="1"/>
  <c r="F17" i="59"/>
  <c r="D17" i="59"/>
  <c r="C17" i="59"/>
  <c r="H19" i="59"/>
  <c r="J18" i="59"/>
  <c r="E18" i="59" l="1"/>
  <c r="D18" i="59"/>
  <c r="F18" i="59"/>
  <c r="C18" i="59"/>
  <c r="H20" i="59"/>
  <c r="J19" i="59"/>
  <c r="E19" i="59" l="1"/>
  <c r="C19" i="59"/>
  <c r="F19" i="59"/>
  <c r="D19" i="59"/>
  <c r="H21" i="59"/>
  <c r="J20" i="59"/>
  <c r="E20" i="59" l="1"/>
  <c r="D20" i="59"/>
  <c r="C20" i="59"/>
  <c r="F20" i="59"/>
  <c r="H22" i="59"/>
  <c r="J21" i="59"/>
  <c r="E21" i="59" l="1"/>
  <c r="D21" i="59"/>
  <c r="F21" i="59"/>
  <c r="C21" i="59"/>
  <c r="H23" i="59"/>
  <c r="J22" i="59"/>
  <c r="E22" i="59" l="1"/>
  <c r="D22" i="59"/>
  <c r="F22" i="59"/>
  <c r="C22" i="59"/>
  <c r="H24" i="59"/>
  <c r="J23" i="59"/>
  <c r="E23" i="59" l="1"/>
  <c r="C23" i="59"/>
  <c r="D23" i="59"/>
  <c r="F23" i="59"/>
  <c r="H25" i="59"/>
  <c r="J24" i="59"/>
  <c r="E24" i="59" l="1"/>
  <c r="C24" i="59"/>
  <c r="F24" i="59"/>
  <c r="D24" i="59"/>
  <c r="H26" i="59"/>
  <c r="J25" i="59"/>
  <c r="E25" i="59" l="1"/>
  <c r="F25" i="59"/>
  <c r="C25" i="59"/>
  <c r="D25" i="59"/>
  <c r="H27" i="59"/>
  <c r="J26" i="59"/>
  <c r="E26" i="59" l="1"/>
  <c r="F26" i="59"/>
  <c r="D26" i="59"/>
  <c r="C26" i="59"/>
  <c r="H28" i="59"/>
  <c r="J27" i="59"/>
  <c r="E27" i="59" l="1"/>
  <c r="C27" i="59"/>
  <c r="D27" i="59"/>
  <c r="F27" i="59"/>
  <c r="H29" i="59"/>
  <c r="J28" i="59"/>
  <c r="E28" i="59" l="1"/>
  <c r="C28" i="59"/>
  <c r="F28" i="59"/>
  <c r="D28" i="59"/>
  <c r="H30" i="59"/>
  <c r="J29" i="59"/>
  <c r="E29" i="59" l="1"/>
  <c r="F29" i="59"/>
  <c r="C29" i="59"/>
  <c r="D29" i="59"/>
  <c r="H31" i="59"/>
  <c r="J30" i="59"/>
  <c r="E30" i="59" l="1"/>
  <c r="F30" i="59"/>
  <c r="D30" i="59"/>
  <c r="C30" i="59"/>
  <c r="H32" i="59"/>
  <c r="J31" i="59"/>
  <c r="E31" i="59" l="1"/>
  <c r="C31" i="59"/>
  <c r="D31" i="59"/>
  <c r="F31" i="59"/>
  <c r="H33" i="59"/>
  <c r="J32" i="59"/>
  <c r="E32" i="59" l="1"/>
  <c r="C32" i="59"/>
  <c r="F32" i="59"/>
  <c r="D32" i="59"/>
  <c r="H34" i="59"/>
  <c r="J33" i="59"/>
  <c r="E33" i="59" l="1"/>
  <c r="F33" i="59"/>
  <c r="C33" i="59"/>
  <c r="D33" i="59"/>
  <c r="H35" i="59"/>
  <c r="J34" i="59"/>
  <c r="E34" i="59" l="1"/>
  <c r="F34" i="59"/>
  <c r="D34" i="59"/>
  <c r="C34" i="59"/>
  <c r="H36" i="59"/>
  <c r="J35" i="59"/>
  <c r="E35" i="59" l="1"/>
  <c r="C35" i="59"/>
  <c r="D35" i="59"/>
  <c r="F35" i="59"/>
  <c r="H37" i="59"/>
  <c r="J36" i="59"/>
  <c r="E36" i="59" l="1"/>
  <c r="C36" i="59"/>
  <c r="F36" i="59"/>
  <c r="D36" i="59"/>
  <c r="H38" i="59"/>
  <c r="J37" i="59"/>
  <c r="E37" i="59" l="1"/>
  <c r="F37" i="59"/>
  <c r="C37" i="59"/>
  <c r="D37" i="59"/>
  <c r="J38" i="59"/>
  <c r="E38" i="59" l="1"/>
  <c r="F38" i="59"/>
  <c r="C38" i="59"/>
  <c r="D38" i="59"/>
  <c r="E98" i="58" l="1"/>
  <c r="E100" i="58" s="1"/>
  <c r="D98" i="58"/>
  <c r="D100" i="58" s="1"/>
  <c r="M12" i="58"/>
  <c r="M9" i="58"/>
  <c r="M8" i="58"/>
  <c r="M7" i="58"/>
  <c r="M6" i="58"/>
  <c r="M5" i="58"/>
  <c r="B11" i="39" l="1"/>
  <c r="D11" i="39" l="1"/>
  <c r="C11" i="39"/>
  <c r="F11" i="39"/>
  <c r="E11" i="39"/>
  <c r="B12" i="39"/>
  <c r="B13" i="39" s="1"/>
  <c r="D13" i="39" l="1"/>
  <c r="C13" i="39"/>
  <c r="F13" i="39"/>
  <c r="E13" i="39"/>
  <c r="D12" i="39"/>
  <c r="C12" i="39"/>
  <c r="F12" i="39"/>
  <c r="E12" i="39"/>
  <c r="B14" i="39"/>
  <c r="D14" i="39" l="1"/>
  <c r="C14" i="39"/>
  <c r="F14" i="39"/>
  <c r="E14" i="39"/>
  <c r="B15" i="39"/>
  <c r="D15" i="39" l="1"/>
  <c r="C15" i="39"/>
  <c r="F15" i="39"/>
  <c r="E15" i="39"/>
  <c r="B16" i="39"/>
  <c r="D16" i="39" l="1"/>
  <c r="C16" i="39"/>
  <c r="F16" i="39"/>
  <c r="E16" i="39"/>
  <c r="B17" i="39"/>
  <c r="D17" i="39" l="1"/>
  <c r="C17" i="39"/>
  <c r="F17" i="39"/>
  <c r="E17" i="39"/>
  <c r="B18" i="39"/>
  <c r="D18" i="39" l="1"/>
  <c r="C18" i="39"/>
  <c r="F18" i="39"/>
  <c r="E18" i="39"/>
  <c r="B19" i="39"/>
  <c r="D19" i="39" l="1"/>
  <c r="C19" i="39"/>
  <c r="F19" i="39"/>
  <c r="E19" i="39"/>
  <c r="B20" i="39"/>
  <c r="D20" i="39" l="1"/>
  <c r="C20" i="39"/>
  <c r="F20" i="39"/>
  <c r="E20" i="39"/>
  <c r="B21" i="39"/>
  <c r="D21" i="39" l="1"/>
  <c r="C21" i="39"/>
  <c r="F21" i="39"/>
  <c r="E21" i="39"/>
  <c r="B22" i="39"/>
  <c r="D7" i="52"/>
  <c r="I6" i="52" s="1"/>
  <c r="C7" i="52"/>
  <c r="H6" i="52" s="1"/>
  <c r="C6" i="29"/>
  <c r="D6" i="29"/>
  <c r="D22" i="39" l="1"/>
  <c r="C22" i="39"/>
  <c r="F22" i="39"/>
  <c r="E22" i="39"/>
  <c r="B23" i="39"/>
  <c r="D23" i="39" l="1"/>
  <c r="C23" i="39"/>
  <c r="F23" i="39"/>
  <c r="E23" i="39"/>
  <c r="B24" i="39"/>
  <c r="D24" i="39" l="1"/>
  <c r="C24" i="39"/>
  <c r="F24" i="39"/>
  <c r="E24" i="39"/>
  <c r="B25" i="39"/>
  <c r="D25" i="39" l="1"/>
  <c r="C25" i="39"/>
  <c r="F25" i="39"/>
  <c r="E25" i="39"/>
  <c r="E34" i="39" s="1"/>
  <c r="D34" i="39"/>
  <c r="C34" i="39"/>
  <c r="F34" i="39"/>
  <c r="B26" i="39"/>
  <c r="D26" i="39" l="1"/>
  <c r="C26" i="39"/>
  <c r="F26" i="39"/>
  <c r="E26" i="39"/>
  <c r="E35" i="39" s="1"/>
  <c r="D35" i="39"/>
  <c r="C35" i="39"/>
  <c r="F35" i="39"/>
  <c r="B27" i="39"/>
  <c r="D27" i="39" l="1"/>
  <c r="D36" i="39" s="1"/>
  <c r="C27" i="39"/>
  <c r="C36" i="39" s="1"/>
  <c r="F27" i="39"/>
  <c r="F36" i="39" s="1"/>
  <c r="E27" i="39"/>
  <c r="E36" i="39" s="1"/>
  <c r="B28" i="39"/>
  <c r="B33" i="29"/>
  <c r="D28" i="39" l="1"/>
  <c r="C28" i="39"/>
  <c r="F28" i="39"/>
  <c r="E28" i="39"/>
  <c r="B29" i="39"/>
  <c r="D29" i="39" l="1"/>
  <c r="C29" i="39"/>
  <c r="F29" i="39"/>
  <c r="E29" i="39"/>
  <c r="B30" i="39"/>
  <c r="F30" i="13" l="1"/>
  <c r="H30" i="13" s="1"/>
  <c r="D30" i="39"/>
  <c r="C30" i="39"/>
  <c r="F30" i="39"/>
  <c r="E30" i="39"/>
  <c r="B32" i="32" l="1"/>
  <c r="B13" i="13" l="1"/>
  <c r="B14" i="13" l="1"/>
  <c r="B15" i="13" l="1"/>
  <c r="B16" i="13" l="1"/>
  <c r="B17" i="13" l="1"/>
  <c r="B18" i="13" l="1"/>
  <c r="B19" i="13" l="1"/>
  <c r="B20" i="13" l="1"/>
  <c r="B21" i="13" l="1"/>
  <c r="B22" i="13" l="1"/>
  <c r="B23" i="13" l="1"/>
  <c r="Q250" i="52"/>
  <c r="P250" i="52"/>
  <c r="B9" i="52"/>
  <c r="M8" i="52"/>
  <c r="G8" i="52"/>
  <c r="E8" i="52"/>
  <c r="M3" i="52"/>
  <c r="L8" i="52" l="1"/>
  <c r="K8" i="52"/>
  <c r="B10" i="52"/>
  <c r="B24" i="13"/>
  <c r="E9" i="52"/>
  <c r="G9" i="52"/>
  <c r="W8" i="52"/>
  <c r="M9" i="52"/>
  <c r="M10" i="52" l="1"/>
  <c r="L10" i="52" s="1"/>
  <c r="E10" i="52"/>
  <c r="B11" i="52"/>
  <c r="K9" i="52"/>
  <c r="L9" i="52"/>
  <c r="U8" i="52"/>
  <c r="B25" i="13"/>
  <c r="T8" i="52"/>
  <c r="W9" i="52"/>
  <c r="G10" i="52"/>
  <c r="K10" i="52" l="1"/>
  <c r="E11" i="52"/>
  <c r="B12" i="52"/>
  <c r="M11" i="52"/>
  <c r="T9" i="52"/>
  <c r="U9" i="52"/>
  <c r="B26" i="13"/>
  <c r="W10" i="52"/>
  <c r="G11" i="52"/>
  <c r="M37" i="13" l="1"/>
  <c r="B36" i="13"/>
  <c r="K11" i="52"/>
  <c r="B13" i="52"/>
  <c r="E12" i="52"/>
  <c r="L11" i="52"/>
  <c r="M12" i="52"/>
  <c r="U10" i="52"/>
  <c r="T10" i="52"/>
  <c r="B27" i="13"/>
  <c r="G12" i="52"/>
  <c r="B14" i="52"/>
  <c r="W11" i="52"/>
  <c r="J37" i="13" l="1"/>
  <c r="G37" i="13"/>
  <c r="D37" i="13"/>
  <c r="M40" i="13"/>
  <c r="B39" i="13"/>
  <c r="M13" i="52"/>
  <c r="K13" i="52" s="1"/>
  <c r="L12" i="52"/>
  <c r="E13" i="52"/>
  <c r="K12" i="52"/>
  <c r="T11" i="52"/>
  <c r="U11" i="52"/>
  <c r="B28" i="13"/>
  <c r="B42" i="13" s="1"/>
  <c r="E14" i="52"/>
  <c r="B15" i="52"/>
  <c r="M14" i="52"/>
  <c r="G13" i="52"/>
  <c r="W12" i="52"/>
  <c r="J40" i="13" l="1"/>
  <c r="G40" i="13"/>
  <c r="D40" i="13"/>
  <c r="L13" i="52"/>
  <c r="U12" i="52"/>
  <c r="T12" i="52"/>
  <c r="K14" i="52"/>
  <c r="L14" i="52"/>
  <c r="G14" i="52"/>
  <c r="W13" i="52"/>
  <c r="M15" i="52"/>
  <c r="B16" i="52"/>
  <c r="E15" i="52"/>
  <c r="M43" i="13" l="1"/>
  <c r="G43" i="13"/>
  <c r="D43" i="13"/>
  <c r="J43" i="13"/>
  <c r="U13" i="52"/>
  <c r="T13" i="52"/>
  <c r="U14" i="52"/>
  <c r="K15" i="52"/>
  <c r="L15" i="52"/>
  <c r="T14" i="52"/>
  <c r="W14" i="52"/>
  <c r="G15" i="52"/>
  <c r="E16" i="52"/>
  <c r="M16" i="52"/>
  <c r="B17" i="52"/>
  <c r="T15" i="52" l="1"/>
  <c r="U15" i="52"/>
  <c r="K16" i="52"/>
  <c r="L16" i="52"/>
  <c r="B18" i="52"/>
  <c r="E17" i="52"/>
  <c r="M17" i="52"/>
  <c r="W15" i="52"/>
  <c r="G16" i="52"/>
  <c r="F29" i="13" l="1"/>
  <c r="U16" i="52"/>
  <c r="L17" i="52"/>
  <c r="K17" i="52"/>
  <c r="T16" i="52"/>
  <c r="W16" i="52"/>
  <c r="E18" i="52"/>
  <c r="B19" i="52"/>
  <c r="M18" i="52"/>
  <c r="G17" i="52"/>
  <c r="H29" i="13" l="1"/>
  <c r="U17" i="52"/>
  <c r="T17" i="52"/>
  <c r="K18" i="52"/>
  <c r="L18" i="52"/>
  <c r="M19" i="52"/>
  <c r="E19" i="52"/>
  <c r="B20" i="52"/>
  <c r="G18" i="52"/>
  <c r="W17" i="52"/>
  <c r="T18" i="52" l="1"/>
  <c r="U18" i="52"/>
  <c r="L19" i="52"/>
  <c r="K19" i="52"/>
  <c r="E20" i="52"/>
  <c r="M20" i="52"/>
  <c r="B21" i="52"/>
  <c r="G19" i="52"/>
  <c r="W18" i="52"/>
  <c r="U19" i="52" l="1"/>
  <c r="T19" i="52"/>
  <c r="K20" i="52"/>
  <c r="L20" i="52"/>
  <c r="B22" i="52"/>
  <c r="E21" i="52"/>
  <c r="M21" i="52"/>
  <c r="W19" i="52"/>
  <c r="G20" i="52"/>
  <c r="U20" i="52" l="1"/>
  <c r="T20" i="52"/>
  <c r="K21" i="52"/>
  <c r="L21" i="52"/>
  <c r="G21" i="52"/>
  <c r="W20" i="52"/>
  <c r="B23" i="52"/>
  <c r="M22" i="52"/>
  <c r="E22" i="52"/>
  <c r="U21" i="52" l="1"/>
  <c r="T21" i="52"/>
  <c r="K22" i="52"/>
  <c r="L22" i="52"/>
  <c r="M23" i="52"/>
  <c r="E23" i="52"/>
  <c r="B24" i="52"/>
  <c r="W21" i="52"/>
  <c r="G22" i="52"/>
  <c r="U22" i="52" l="1"/>
  <c r="T22" i="52"/>
  <c r="K23" i="52"/>
  <c r="L23" i="52"/>
  <c r="E24" i="52"/>
  <c r="M24" i="52"/>
  <c r="B25" i="52"/>
  <c r="W22" i="52"/>
  <c r="G23" i="52"/>
  <c r="U23" i="52" l="1"/>
  <c r="T23" i="52"/>
  <c r="K24" i="52"/>
  <c r="L24" i="52"/>
  <c r="B26" i="52"/>
  <c r="M25" i="52"/>
  <c r="E25" i="52"/>
  <c r="G24" i="52"/>
  <c r="W23" i="52"/>
  <c r="G25" i="52" l="1"/>
  <c r="U24" i="52"/>
  <c r="T24" i="52"/>
  <c r="L25" i="52"/>
  <c r="K25" i="52"/>
  <c r="W24" i="52"/>
  <c r="B27" i="52"/>
  <c r="M26" i="52"/>
  <c r="E26" i="52"/>
  <c r="G26" i="52" l="1"/>
  <c r="T25" i="52"/>
  <c r="U25" i="52"/>
  <c r="K26" i="52"/>
  <c r="L26" i="52"/>
  <c r="M27" i="52"/>
  <c r="B28" i="52"/>
  <c r="E27" i="52"/>
  <c r="W25" i="52"/>
  <c r="W26" i="52" s="1"/>
  <c r="W27" i="52" s="1"/>
  <c r="G27" i="52" l="1"/>
  <c r="U26" i="52"/>
  <c r="T26" i="52"/>
  <c r="K27" i="52"/>
  <c r="L27" i="52"/>
  <c r="E28" i="52"/>
  <c r="B29" i="52"/>
  <c r="M28" i="52"/>
  <c r="U27" i="52" l="1"/>
  <c r="T27" i="52"/>
  <c r="K28" i="52"/>
  <c r="L28" i="52"/>
  <c r="M29" i="52"/>
  <c r="B30" i="52"/>
  <c r="E29" i="52"/>
  <c r="U28" i="52" l="1"/>
  <c r="T28" i="52"/>
  <c r="L29" i="52"/>
  <c r="K29" i="52"/>
  <c r="E30" i="52"/>
  <c r="B31" i="52"/>
  <c r="M30" i="52"/>
  <c r="T29" i="52" l="1"/>
  <c r="U29" i="52"/>
  <c r="K30" i="52"/>
  <c r="L30" i="52"/>
  <c r="B32" i="52"/>
  <c r="M31" i="52"/>
  <c r="E31" i="52"/>
  <c r="U30" i="52" l="1"/>
  <c r="T30" i="52"/>
  <c r="K31" i="52"/>
  <c r="L31" i="52"/>
  <c r="E32" i="52"/>
  <c r="M32" i="52"/>
  <c r="B33" i="52"/>
  <c r="T31" i="52" l="1"/>
  <c r="U31" i="52"/>
  <c r="K32" i="52"/>
  <c r="L32" i="52"/>
  <c r="M33" i="52"/>
  <c r="E33" i="52"/>
  <c r="B34" i="52"/>
  <c r="U32" i="52" l="1"/>
  <c r="T32" i="52"/>
  <c r="L33" i="52"/>
  <c r="K33" i="52"/>
  <c r="M34" i="52"/>
  <c r="E34" i="52"/>
  <c r="B35" i="52"/>
  <c r="T33" i="52" l="1"/>
  <c r="U33" i="52"/>
  <c r="K34" i="52"/>
  <c r="L34" i="52"/>
  <c r="M35" i="52"/>
  <c r="E35" i="52"/>
  <c r="B36" i="52"/>
  <c r="T34" i="52" l="1"/>
  <c r="U34" i="52"/>
  <c r="K35" i="52"/>
  <c r="L35" i="52"/>
  <c r="M36" i="52"/>
  <c r="E36" i="52"/>
  <c r="B37" i="52"/>
  <c r="U35" i="52" l="1"/>
  <c r="T35" i="52"/>
  <c r="K36" i="52"/>
  <c r="L36" i="52"/>
  <c r="B38" i="52"/>
  <c r="M37" i="52"/>
  <c r="E37" i="52"/>
  <c r="U36" i="52" l="1"/>
  <c r="T36" i="52"/>
  <c r="L37" i="52"/>
  <c r="K37" i="52"/>
  <c r="B39" i="52"/>
  <c r="E38" i="52"/>
  <c r="M38" i="52"/>
  <c r="U37" i="52" l="1"/>
  <c r="T37" i="52"/>
  <c r="K38" i="52"/>
  <c r="L38" i="52"/>
  <c r="B40" i="52"/>
  <c r="E39" i="52"/>
  <c r="M39" i="52"/>
  <c r="T38" i="52" l="1"/>
  <c r="U38" i="52"/>
  <c r="L39" i="52"/>
  <c r="K39" i="52"/>
  <c r="B41" i="52"/>
  <c r="E40" i="52"/>
  <c r="M40" i="52"/>
  <c r="U39" i="52" l="1"/>
  <c r="T39" i="52"/>
  <c r="K40" i="52"/>
  <c r="L40" i="52"/>
  <c r="B42" i="52"/>
  <c r="E41" i="52"/>
  <c r="M41" i="52"/>
  <c r="U40" i="52" l="1"/>
  <c r="T40" i="52"/>
  <c r="K41" i="52"/>
  <c r="L41" i="52"/>
  <c r="B43" i="52"/>
  <c r="E42" i="52"/>
  <c r="M42" i="52"/>
  <c r="U41" i="52" l="1"/>
  <c r="T41" i="52"/>
  <c r="K42" i="52"/>
  <c r="L42" i="52"/>
  <c r="B44" i="52"/>
  <c r="E43" i="52"/>
  <c r="M43" i="52"/>
  <c r="U42" i="52" l="1"/>
  <c r="T42" i="52"/>
  <c r="L43" i="52"/>
  <c r="K43" i="52"/>
  <c r="B45" i="52"/>
  <c r="E44" i="52"/>
  <c r="M44" i="52"/>
  <c r="U43" i="52" l="1"/>
  <c r="T43" i="52"/>
  <c r="K44" i="52"/>
  <c r="L44" i="52"/>
  <c r="B46" i="52"/>
  <c r="E45" i="52"/>
  <c r="M45" i="52"/>
  <c r="U44" i="52" l="1"/>
  <c r="T44" i="52"/>
  <c r="K45" i="52"/>
  <c r="L45" i="52"/>
  <c r="B47" i="52"/>
  <c r="E46" i="52"/>
  <c r="M46" i="52"/>
  <c r="U45" i="52" l="1"/>
  <c r="T45" i="52"/>
  <c r="K46" i="52"/>
  <c r="L46" i="52"/>
  <c r="B48" i="52"/>
  <c r="E47" i="52"/>
  <c r="M47" i="52"/>
  <c r="U46" i="52" l="1"/>
  <c r="T46" i="52"/>
  <c r="L47" i="52"/>
  <c r="K47" i="52"/>
  <c r="B49" i="52"/>
  <c r="E48" i="52"/>
  <c r="M48" i="52"/>
  <c r="U47" i="52" l="1"/>
  <c r="T47" i="52"/>
  <c r="K48" i="52"/>
  <c r="L48" i="52"/>
  <c r="B50" i="52"/>
  <c r="E49" i="52"/>
  <c r="M49" i="52"/>
  <c r="U48" i="52" l="1"/>
  <c r="T48" i="52"/>
  <c r="K49" i="52"/>
  <c r="L49" i="52"/>
  <c r="B51" i="52"/>
  <c r="E50" i="52"/>
  <c r="M50" i="52"/>
  <c r="U49" i="52" l="1"/>
  <c r="T49" i="52"/>
  <c r="K50" i="52"/>
  <c r="L50" i="52"/>
  <c r="B52" i="52"/>
  <c r="E51" i="52"/>
  <c r="M51" i="52"/>
  <c r="T50" i="52" l="1"/>
  <c r="U50" i="52"/>
  <c r="L51" i="52"/>
  <c r="K51" i="52"/>
  <c r="B53" i="52"/>
  <c r="E52" i="52"/>
  <c r="M52" i="52"/>
  <c r="U51" i="52" l="1"/>
  <c r="T51" i="52"/>
  <c r="K52" i="52"/>
  <c r="L52" i="52"/>
  <c r="B54" i="52"/>
  <c r="M53" i="52"/>
  <c r="E53" i="52"/>
  <c r="U52" i="52" l="1"/>
  <c r="T52" i="52"/>
  <c r="L53" i="52"/>
  <c r="K53" i="52"/>
  <c r="B55" i="52"/>
  <c r="M54" i="52"/>
  <c r="E54" i="52"/>
  <c r="T53" i="52" l="1"/>
  <c r="U53" i="52"/>
  <c r="K54" i="52"/>
  <c r="L54" i="52"/>
  <c r="B56" i="52"/>
  <c r="M55" i="52"/>
  <c r="E55" i="52"/>
  <c r="U54" i="52" l="1"/>
  <c r="T54" i="52"/>
  <c r="K55" i="52"/>
  <c r="L55" i="52"/>
  <c r="B57" i="52"/>
  <c r="M56" i="52"/>
  <c r="E56" i="52"/>
  <c r="U55" i="52" l="1"/>
  <c r="T55" i="52"/>
  <c r="K56" i="52"/>
  <c r="L56" i="52"/>
  <c r="B58" i="52"/>
  <c r="M57" i="52"/>
  <c r="E57" i="52"/>
  <c r="U56" i="52" l="1"/>
  <c r="T56" i="52"/>
  <c r="L57" i="52"/>
  <c r="K57" i="52"/>
  <c r="B59" i="52"/>
  <c r="M58" i="52"/>
  <c r="E58" i="52"/>
  <c r="U57" i="52" l="1"/>
  <c r="T57" i="52"/>
  <c r="K58" i="52"/>
  <c r="L58" i="52"/>
  <c r="B60" i="52"/>
  <c r="M59" i="52"/>
  <c r="E59" i="52"/>
  <c r="U58" i="52" l="1"/>
  <c r="T58" i="52"/>
  <c r="K59" i="52"/>
  <c r="L59" i="52"/>
  <c r="B61" i="52"/>
  <c r="M60" i="52"/>
  <c r="E60" i="52"/>
  <c r="T59" i="52" l="1"/>
  <c r="U59" i="52"/>
  <c r="K60" i="52"/>
  <c r="L60" i="52"/>
  <c r="B62" i="52"/>
  <c r="M61" i="52"/>
  <c r="E61" i="52"/>
  <c r="U60" i="52" l="1"/>
  <c r="T60" i="52"/>
  <c r="L61" i="52"/>
  <c r="K61" i="52"/>
  <c r="B63" i="52"/>
  <c r="M62" i="52"/>
  <c r="E62" i="52"/>
  <c r="U61" i="52" l="1"/>
  <c r="T61" i="52"/>
  <c r="K62" i="52"/>
  <c r="L62" i="52"/>
  <c r="B64" i="52"/>
  <c r="M63" i="52"/>
  <c r="E63" i="52"/>
  <c r="U62" i="52" l="1"/>
  <c r="T62" i="52"/>
  <c r="K63" i="52"/>
  <c r="L63" i="52"/>
  <c r="B65" i="52"/>
  <c r="M64" i="52"/>
  <c r="E64" i="52"/>
  <c r="U63" i="52" l="1"/>
  <c r="T63" i="52"/>
  <c r="K64" i="52"/>
  <c r="L64" i="52"/>
  <c r="B66" i="52"/>
  <c r="M65" i="52"/>
  <c r="E65" i="52"/>
  <c r="U64" i="52" l="1"/>
  <c r="T64" i="52"/>
  <c r="L65" i="52"/>
  <c r="K65" i="52"/>
  <c r="B67" i="52"/>
  <c r="M66" i="52"/>
  <c r="E66" i="52"/>
  <c r="U65" i="52" l="1"/>
  <c r="T65" i="52"/>
  <c r="K66" i="52"/>
  <c r="L66" i="52"/>
  <c r="B68" i="52"/>
  <c r="M67" i="52"/>
  <c r="E67" i="52"/>
  <c r="U66" i="52" l="1"/>
  <c r="T66" i="52"/>
  <c r="K67" i="52"/>
  <c r="L67" i="52"/>
  <c r="B69" i="52"/>
  <c r="M68" i="52"/>
  <c r="E68" i="52"/>
  <c r="U67" i="52" l="1"/>
  <c r="T67" i="52"/>
  <c r="K68" i="52"/>
  <c r="L68" i="52"/>
  <c r="B70" i="52"/>
  <c r="M69" i="52"/>
  <c r="E69" i="52"/>
  <c r="U68" i="52" l="1"/>
  <c r="T68" i="52"/>
  <c r="L69" i="52"/>
  <c r="K69" i="52"/>
  <c r="B71" i="52"/>
  <c r="M70" i="52"/>
  <c r="E70" i="52"/>
  <c r="U69" i="52" l="1"/>
  <c r="K70" i="52"/>
  <c r="L70" i="52"/>
  <c r="T69" i="52"/>
  <c r="B72" i="52"/>
  <c r="M71" i="52"/>
  <c r="E71" i="52"/>
  <c r="U70" i="52" l="1"/>
  <c r="T70" i="52"/>
  <c r="L71" i="52"/>
  <c r="K71" i="52"/>
  <c r="B73" i="52"/>
  <c r="M72" i="52"/>
  <c r="E72" i="52"/>
  <c r="U71" i="52" l="1"/>
  <c r="T71" i="52"/>
  <c r="K72" i="52"/>
  <c r="L72" i="52"/>
  <c r="B74" i="52"/>
  <c r="M73" i="52"/>
  <c r="E73" i="52"/>
  <c r="U72" i="52" l="1"/>
  <c r="T72" i="52"/>
  <c r="K73" i="52"/>
  <c r="L73" i="52"/>
  <c r="B75" i="52"/>
  <c r="M74" i="52"/>
  <c r="E74" i="52"/>
  <c r="U73" i="52" l="1"/>
  <c r="T73" i="52"/>
  <c r="K74" i="52"/>
  <c r="L74" i="52"/>
  <c r="B76" i="52"/>
  <c r="M75" i="52"/>
  <c r="E75" i="52"/>
  <c r="U74" i="52" l="1"/>
  <c r="T74" i="52"/>
  <c r="L75" i="52"/>
  <c r="K75" i="52"/>
  <c r="B77" i="52"/>
  <c r="M76" i="52"/>
  <c r="E76" i="52"/>
  <c r="U75" i="52" l="1"/>
  <c r="T75" i="52"/>
  <c r="K76" i="52"/>
  <c r="L76" i="52"/>
  <c r="B78" i="52"/>
  <c r="M77" i="52"/>
  <c r="E77" i="52"/>
  <c r="U76" i="52" l="1"/>
  <c r="T76" i="52"/>
  <c r="L77" i="52"/>
  <c r="K77" i="52"/>
  <c r="B79" i="52"/>
  <c r="M78" i="52"/>
  <c r="E78" i="52"/>
  <c r="U77" i="52" l="1"/>
  <c r="T77" i="52"/>
  <c r="K78" i="52"/>
  <c r="L78" i="52"/>
  <c r="B80" i="52"/>
  <c r="M79" i="52"/>
  <c r="E79" i="52"/>
  <c r="U78" i="52" l="1"/>
  <c r="T78" i="52"/>
  <c r="K79" i="52"/>
  <c r="L79" i="52"/>
  <c r="B81" i="52"/>
  <c r="M80" i="52"/>
  <c r="E80" i="52"/>
  <c r="U79" i="52" l="1"/>
  <c r="T79" i="52"/>
  <c r="K80" i="52"/>
  <c r="L80" i="52"/>
  <c r="B82" i="52"/>
  <c r="M81" i="52"/>
  <c r="E81" i="52"/>
  <c r="T80" i="52" l="1"/>
  <c r="U80" i="52"/>
  <c r="K81" i="52"/>
  <c r="L81" i="52"/>
  <c r="B83" i="52"/>
  <c r="M82" i="52"/>
  <c r="E82" i="52"/>
  <c r="U81" i="52" l="1"/>
  <c r="T81" i="52"/>
  <c r="K82" i="52"/>
  <c r="L82" i="52"/>
  <c r="B84" i="52"/>
  <c r="M83" i="52"/>
  <c r="E83" i="52"/>
  <c r="T82" i="52" l="1"/>
  <c r="U82" i="52"/>
  <c r="L83" i="52"/>
  <c r="K83" i="52"/>
  <c r="B85" i="52"/>
  <c r="M84" i="52"/>
  <c r="E84" i="52"/>
  <c r="T83" i="52" l="1"/>
  <c r="U83" i="52"/>
  <c r="K84" i="52"/>
  <c r="L84" i="52"/>
  <c r="B86" i="52"/>
  <c r="M85" i="52"/>
  <c r="E85" i="52"/>
  <c r="U84" i="52" l="1"/>
  <c r="T84" i="52"/>
  <c r="L85" i="52"/>
  <c r="K85" i="52"/>
  <c r="B87" i="52"/>
  <c r="M86" i="52"/>
  <c r="E86" i="52"/>
  <c r="U85" i="52" l="1"/>
  <c r="T85" i="52"/>
  <c r="K86" i="52"/>
  <c r="L86" i="52"/>
  <c r="B88" i="52"/>
  <c r="M87" i="52"/>
  <c r="E87" i="52"/>
  <c r="T86" i="52" l="1"/>
  <c r="U86" i="52"/>
  <c r="K87" i="52"/>
  <c r="L87" i="52"/>
  <c r="B89" i="52"/>
  <c r="M88" i="52"/>
  <c r="E88" i="52"/>
  <c r="U87" i="52" l="1"/>
  <c r="T87" i="52"/>
  <c r="K88" i="52"/>
  <c r="L88" i="52"/>
  <c r="B90" i="52"/>
  <c r="M89" i="52"/>
  <c r="E89" i="52"/>
  <c r="U88" i="52" l="1"/>
  <c r="T88" i="52"/>
  <c r="L89" i="52"/>
  <c r="K89" i="52"/>
  <c r="B91" i="52"/>
  <c r="M90" i="52"/>
  <c r="E90" i="52"/>
  <c r="U89" i="52" l="1"/>
  <c r="T89" i="52"/>
  <c r="K90" i="52"/>
  <c r="L90" i="52"/>
  <c r="B92" i="52"/>
  <c r="M91" i="52"/>
  <c r="E91" i="52"/>
  <c r="U90" i="52" l="1"/>
  <c r="T90" i="52"/>
  <c r="L91" i="52"/>
  <c r="K91" i="52"/>
  <c r="B93" i="52"/>
  <c r="M92" i="52"/>
  <c r="E92" i="52"/>
  <c r="U91" i="52" l="1"/>
  <c r="K92" i="52"/>
  <c r="L92" i="52"/>
  <c r="T91" i="52"/>
  <c r="B94" i="52"/>
  <c r="M93" i="52"/>
  <c r="E93" i="52"/>
  <c r="U92" i="52" l="1"/>
  <c r="T92" i="52"/>
  <c r="K93" i="52"/>
  <c r="L93" i="52"/>
  <c r="B95" i="52"/>
  <c r="M94" i="52"/>
  <c r="E94" i="52"/>
  <c r="T93" i="52" l="1"/>
  <c r="U93" i="52"/>
  <c r="K94" i="52"/>
  <c r="L94" i="52"/>
  <c r="B96" i="52"/>
  <c r="M95" i="52"/>
  <c r="E95" i="52"/>
  <c r="U94" i="52" l="1"/>
  <c r="T94" i="52"/>
  <c r="K95" i="52"/>
  <c r="L95" i="52"/>
  <c r="B97" i="52"/>
  <c r="M96" i="52"/>
  <c r="E96" i="52"/>
  <c r="T95" i="52" l="1"/>
  <c r="U95" i="52"/>
  <c r="K96" i="52"/>
  <c r="L96" i="52"/>
  <c r="B98" i="52"/>
  <c r="M97" i="52"/>
  <c r="E97" i="52"/>
  <c r="U96" i="52" l="1"/>
  <c r="T96" i="52"/>
  <c r="K97" i="52"/>
  <c r="L97" i="52"/>
  <c r="B99" i="52"/>
  <c r="M98" i="52"/>
  <c r="E98" i="52"/>
  <c r="U97" i="52" l="1"/>
  <c r="T97" i="52"/>
  <c r="K98" i="52"/>
  <c r="L98" i="52"/>
  <c r="B100" i="52"/>
  <c r="M99" i="52"/>
  <c r="E99" i="52"/>
  <c r="T98" i="52" l="1"/>
  <c r="U98" i="52"/>
  <c r="K99" i="52"/>
  <c r="L99" i="52"/>
  <c r="B101" i="52"/>
  <c r="M100" i="52"/>
  <c r="E100" i="52"/>
  <c r="U99" i="52" l="1"/>
  <c r="T99" i="52"/>
  <c r="K100" i="52"/>
  <c r="L100" i="52"/>
  <c r="B102" i="52"/>
  <c r="M101" i="52"/>
  <c r="E101" i="52"/>
  <c r="T100" i="52" l="1"/>
  <c r="U100" i="52"/>
  <c r="K101" i="52"/>
  <c r="L101" i="52"/>
  <c r="B103" i="52"/>
  <c r="M102" i="52"/>
  <c r="E102" i="52"/>
  <c r="U101" i="52" l="1"/>
  <c r="T101" i="52"/>
  <c r="K102" i="52"/>
  <c r="L102" i="52"/>
  <c r="B104" i="52"/>
  <c r="M103" i="52"/>
  <c r="E103" i="52"/>
  <c r="U102" i="52" l="1"/>
  <c r="T102" i="52"/>
  <c r="K103" i="52"/>
  <c r="L103" i="52"/>
  <c r="B105" i="52"/>
  <c r="M104" i="52"/>
  <c r="E104" i="52"/>
  <c r="U103" i="52" l="1"/>
  <c r="T103" i="52"/>
  <c r="K104" i="52"/>
  <c r="L104" i="52"/>
  <c r="B106" i="52"/>
  <c r="M105" i="52"/>
  <c r="E105" i="52"/>
  <c r="U104" i="52" l="1"/>
  <c r="T104" i="52"/>
  <c r="K105" i="52"/>
  <c r="L105" i="52"/>
  <c r="B107" i="52"/>
  <c r="M106" i="52"/>
  <c r="E106" i="52"/>
  <c r="T105" i="52" l="1"/>
  <c r="U105" i="52"/>
  <c r="K106" i="52"/>
  <c r="L106" i="52"/>
  <c r="B108" i="52"/>
  <c r="M107" i="52"/>
  <c r="E107" i="52"/>
  <c r="U106" i="52" l="1"/>
  <c r="T106" i="52"/>
  <c r="K107" i="52"/>
  <c r="L107" i="52"/>
  <c r="B109" i="52"/>
  <c r="M108" i="52"/>
  <c r="E108" i="52"/>
  <c r="U107" i="52" l="1"/>
  <c r="T107" i="52"/>
  <c r="K108" i="52"/>
  <c r="L108" i="52"/>
  <c r="B110" i="52"/>
  <c r="M109" i="52"/>
  <c r="E109" i="52"/>
  <c r="T108" i="52" l="1"/>
  <c r="U108" i="52"/>
  <c r="K109" i="52"/>
  <c r="L109" i="52"/>
  <c r="B111" i="52"/>
  <c r="M110" i="52"/>
  <c r="E110" i="52"/>
  <c r="T109" i="52" l="1"/>
  <c r="U109" i="52"/>
  <c r="K110" i="52"/>
  <c r="L110" i="52"/>
  <c r="B112" i="52"/>
  <c r="M111" i="52"/>
  <c r="E111" i="52"/>
  <c r="T110" i="52" l="1"/>
  <c r="U110" i="52"/>
  <c r="K111" i="52"/>
  <c r="L111" i="52"/>
  <c r="B113" i="52"/>
  <c r="M112" i="52"/>
  <c r="E112" i="52"/>
  <c r="U111" i="52" l="1"/>
  <c r="T111" i="52"/>
  <c r="K112" i="52"/>
  <c r="L112" i="52"/>
  <c r="B114" i="52"/>
  <c r="M113" i="52"/>
  <c r="E113" i="52"/>
  <c r="U112" i="52" l="1"/>
  <c r="T112" i="52"/>
  <c r="K113" i="52"/>
  <c r="L113" i="52"/>
  <c r="B115" i="52"/>
  <c r="M114" i="52"/>
  <c r="E114" i="52"/>
  <c r="U113" i="52" l="1"/>
  <c r="T113" i="52"/>
  <c r="K114" i="52"/>
  <c r="L114" i="52"/>
  <c r="B116" i="52"/>
  <c r="M115" i="52"/>
  <c r="E115" i="52"/>
  <c r="U114" i="52" l="1"/>
  <c r="T114" i="52"/>
  <c r="K115" i="52"/>
  <c r="L115" i="52"/>
  <c r="B117" i="52"/>
  <c r="M116" i="52"/>
  <c r="E116" i="52"/>
  <c r="U115" i="52" l="1"/>
  <c r="T115" i="52"/>
  <c r="K116" i="52"/>
  <c r="L116" i="52"/>
  <c r="B118" i="52"/>
  <c r="M117" i="52"/>
  <c r="E117" i="52"/>
  <c r="T116" i="52" l="1"/>
  <c r="U116" i="52"/>
  <c r="K117" i="52"/>
  <c r="L117" i="52"/>
  <c r="B119" i="52"/>
  <c r="M118" i="52"/>
  <c r="E118" i="52"/>
  <c r="U117" i="52" l="1"/>
  <c r="T117" i="52"/>
  <c r="K118" i="52"/>
  <c r="L118" i="52"/>
  <c r="B120" i="52"/>
  <c r="M119" i="52"/>
  <c r="E119" i="52"/>
  <c r="U118" i="52" l="1"/>
  <c r="T118" i="52"/>
  <c r="K119" i="52"/>
  <c r="L119" i="52"/>
  <c r="B121" i="52"/>
  <c r="M120" i="52"/>
  <c r="E120" i="52"/>
  <c r="U119" i="52" l="1"/>
  <c r="T119" i="52"/>
  <c r="K120" i="52"/>
  <c r="L120" i="52"/>
  <c r="B122" i="52"/>
  <c r="M121" i="52"/>
  <c r="E121" i="52"/>
  <c r="U120" i="52" l="1"/>
  <c r="T120" i="52"/>
  <c r="K121" i="52"/>
  <c r="L121" i="52"/>
  <c r="B123" i="52"/>
  <c r="M122" i="52"/>
  <c r="E122" i="52"/>
  <c r="U121" i="52" l="1"/>
  <c r="T121" i="52"/>
  <c r="K122" i="52"/>
  <c r="L122" i="52"/>
  <c r="B124" i="52"/>
  <c r="M123" i="52"/>
  <c r="E123" i="52"/>
  <c r="U122" i="52" l="1"/>
  <c r="T122" i="52"/>
  <c r="K123" i="52"/>
  <c r="L123" i="52"/>
  <c r="B125" i="52"/>
  <c r="M124" i="52"/>
  <c r="E124" i="52"/>
  <c r="U123" i="52" l="1"/>
  <c r="T123" i="52"/>
  <c r="K124" i="52"/>
  <c r="L124" i="52"/>
  <c r="B126" i="52"/>
  <c r="M125" i="52"/>
  <c r="E125" i="52"/>
  <c r="T124" i="52" l="1"/>
  <c r="K125" i="52"/>
  <c r="L125" i="52"/>
  <c r="U124" i="52"/>
  <c r="B127" i="52"/>
  <c r="M126" i="52"/>
  <c r="E126" i="52"/>
  <c r="U125" i="52" l="1"/>
  <c r="T125" i="52"/>
  <c r="K126" i="52"/>
  <c r="L126" i="52"/>
  <c r="B128" i="52"/>
  <c r="M127" i="52"/>
  <c r="E127" i="52"/>
  <c r="U126" i="52" l="1"/>
  <c r="T126" i="52"/>
  <c r="K127" i="52"/>
  <c r="L127" i="52"/>
  <c r="B129" i="52"/>
  <c r="M128" i="52"/>
  <c r="E128" i="52"/>
  <c r="U127" i="52" l="1"/>
  <c r="T127" i="52"/>
  <c r="K128" i="52"/>
  <c r="L128" i="52"/>
  <c r="B130" i="52"/>
  <c r="M129" i="52"/>
  <c r="E129" i="52"/>
  <c r="T128" i="52" l="1"/>
  <c r="U128" i="52"/>
  <c r="K129" i="52"/>
  <c r="L129" i="52"/>
  <c r="B131" i="52"/>
  <c r="M130" i="52"/>
  <c r="E130" i="52"/>
  <c r="U129" i="52" l="1"/>
  <c r="T129" i="52"/>
  <c r="K130" i="52"/>
  <c r="L130" i="52"/>
  <c r="B132" i="52"/>
  <c r="M131" i="52"/>
  <c r="E131" i="52"/>
  <c r="T130" i="52" l="1"/>
  <c r="U130" i="52"/>
  <c r="K131" i="52"/>
  <c r="L131" i="52"/>
  <c r="B133" i="52"/>
  <c r="E132" i="52"/>
  <c r="M132" i="52"/>
  <c r="U131" i="52" l="1"/>
  <c r="T131" i="52"/>
  <c r="K132" i="52"/>
  <c r="L132" i="52"/>
  <c r="B134" i="52"/>
  <c r="M133" i="52"/>
  <c r="E133" i="52"/>
  <c r="T132" i="52" l="1"/>
  <c r="U132" i="52"/>
  <c r="K133" i="52"/>
  <c r="L133" i="52"/>
  <c r="B135" i="52"/>
  <c r="E134" i="52"/>
  <c r="M134" i="52"/>
  <c r="U133" i="52" l="1"/>
  <c r="T133" i="52"/>
  <c r="K134" i="52"/>
  <c r="L134" i="52"/>
  <c r="B136" i="52"/>
  <c r="M135" i="52"/>
  <c r="E135" i="52"/>
  <c r="U134" i="52" l="1"/>
  <c r="T134" i="52"/>
  <c r="K135" i="52"/>
  <c r="L135" i="52"/>
  <c r="B137" i="52"/>
  <c r="E136" i="52"/>
  <c r="M136" i="52"/>
  <c r="U135" i="52" l="1"/>
  <c r="T135" i="52"/>
  <c r="K136" i="52"/>
  <c r="L136" i="52"/>
  <c r="B138" i="52"/>
  <c r="M137" i="52"/>
  <c r="E137" i="52"/>
  <c r="U136" i="52" l="1"/>
  <c r="T136" i="52"/>
  <c r="K137" i="52"/>
  <c r="L137" i="52"/>
  <c r="B139" i="52"/>
  <c r="E138" i="52"/>
  <c r="M138" i="52"/>
  <c r="U137" i="52" l="1"/>
  <c r="T137" i="52"/>
  <c r="K138" i="52"/>
  <c r="L138" i="52"/>
  <c r="B140" i="52"/>
  <c r="M139" i="52"/>
  <c r="E139" i="52"/>
  <c r="U138" i="52" l="1"/>
  <c r="T138" i="52"/>
  <c r="K139" i="52"/>
  <c r="L139" i="52"/>
  <c r="B141" i="52"/>
  <c r="E140" i="52"/>
  <c r="M140" i="52"/>
  <c r="U139" i="52" l="1"/>
  <c r="T139" i="52"/>
  <c r="K140" i="52"/>
  <c r="L140" i="52"/>
  <c r="B142" i="52"/>
  <c r="M141" i="52"/>
  <c r="E141" i="52"/>
  <c r="U140" i="52" l="1"/>
  <c r="T140" i="52"/>
  <c r="K141" i="52"/>
  <c r="L141" i="52"/>
  <c r="B143" i="52"/>
  <c r="E142" i="52"/>
  <c r="M142" i="52"/>
  <c r="T141" i="52" l="1"/>
  <c r="U141" i="52"/>
  <c r="K142" i="52"/>
  <c r="L142" i="52"/>
  <c r="B144" i="52"/>
  <c r="M143" i="52"/>
  <c r="E143" i="52"/>
  <c r="U142" i="52" l="1"/>
  <c r="T142" i="52"/>
  <c r="K143" i="52"/>
  <c r="L143" i="52"/>
  <c r="B145" i="52"/>
  <c r="E144" i="52"/>
  <c r="M144" i="52"/>
  <c r="U143" i="52" l="1"/>
  <c r="T143" i="52"/>
  <c r="K144" i="52"/>
  <c r="L144" i="52"/>
  <c r="B146" i="52"/>
  <c r="M145" i="52"/>
  <c r="E145" i="52"/>
  <c r="U144" i="52" l="1"/>
  <c r="T144" i="52"/>
  <c r="K145" i="52"/>
  <c r="L145" i="52"/>
  <c r="B147" i="52"/>
  <c r="E146" i="52"/>
  <c r="M146" i="52"/>
  <c r="T145" i="52" l="1"/>
  <c r="U145" i="52"/>
  <c r="K146" i="52"/>
  <c r="L146" i="52"/>
  <c r="B148" i="52"/>
  <c r="M147" i="52"/>
  <c r="E147" i="52"/>
  <c r="U146" i="52" l="1"/>
  <c r="T146" i="52"/>
  <c r="K147" i="52"/>
  <c r="L147" i="52"/>
  <c r="B149" i="52"/>
  <c r="E148" i="52"/>
  <c r="M148" i="52"/>
  <c r="U147" i="52" l="1"/>
  <c r="T147" i="52"/>
  <c r="K148" i="52"/>
  <c r="L148" i="52"/>
  <c r="B150" i="52"/>
  <c r="M149" i="52"/>
  <c r="E149" i="52"/>
  <c r="T148" i="52" l="1"/>
  <c r="U148" i="52"/>
  <c r="K149" i="52"/>
  <c r="L149" i="52"/>
  <c r="B151" i="52"/>
  <c r="E150" i="52"/>
  <c r="M150" i="52"/>
  <c r="T149" i="52" l="1"/>
  <c r="U149" i="52"/>
  <c r="K150" i="52"/>
  <c r="L150" i="52"/>
  <c r="B152" i="52"/>
  <c r="M151" i="52"/>
  <c r="E151" i="52"/>
  <c r="U150" i="52" l="1"/>
  <c r="T150" i="52"/>
  <c r="K151" i="52"/>
  <c r="L151" i="52"/>
  <c r="B153" i="52"/>
  <c r="E152" i="52"/>
  <c r="M152" i="52"/>
  <c r="T151" i="52" l="1"/>
  <c r="U151" i="52"/>
  <c r="K152" i="52"/>
  <c r="L152" i="52"/>
  <c r="B154" i="52"/>
  <c r="M153" i="52"/>
  <c r="E153" i="52"/>
  <c r="U152" i="52" l="1"/>
  <c r="T152" i="52"/>
  <c r="K153" i="52"/>
  <c r="L153" i="52"/>
  <c r="B155" i="52"/>
  <c r="E154" i="52"/>
  <c r="M154" i="52"/>
  <c r="U153" i="52" l="1"/>
  <c r="T153" i="52"/>
  <c r="K154" i="52"/>
  <c r="L154" i="52"/>
  <c r="B156" i="52"/>
  <c r="M155" i="52"/>
  <c r="E155" i="52"/>
  <c r="U154" i="52" l="1"/>
  <c r="T154" i="52"/>
  <c r="K155" i="52"/>
  <c r="L155" i="52"/>
  <c r="B157" i="52"/>
  <c r="E156" i="52"/>
  <c r="M156" i="52"/>
  <c r="T155" i="52" l="1"/>
  <c r="U155" i="52"/>
  <c r="K156" i="52"/>
  <c r="L156" i="52"/>
  <c r="B158" i="52"/>
  <c r="M157" i="52"/>
  <c r="E157" i="52"/>
  <c r="U156" i="52" l="1"/>
  <c r="T156" i="52"/>
  <c r="K157" i="52"/>
  <c r="L157" i="52"/>
  <c r="B159" i="52"/>
  <c r="E158" i="52"/>
  <c r="M158" i="52"/>
  <c r="U157" i="52" l="1"/>
  <c r="T157" i="52"/>
  <c r="K158" i="52"/>
  <c r="L158" i="52"/>
  <c r="B160" i="52"/>
  <c r="M159" i="52"/>
  <c r="E159" i="52"/>
  <c r="T158" i="52" l="1"/>
  <c r="U158" i="52"/>
  <c r="K159" i="52"/>
  <c r="L159" i="52"/>
  <c r="B161" i="52"/>
  <c r="E160" i="52"/>
  <c r="M160" i="52"/>
  <c r="U159" i="52" l="1"/>
  <c r="T159" i="52"/>
  <c r="K160" i="52"/>
  <c r="L160" i="52"/>
  <c r="B162" i="52"/>
  <c r="M161" i="52"/>
  <c r="E161" i="52"/>
  <c r="U160" i="52" l="1"/>
  <c r="T160" i="52"/>
  <c r="K161" i="52"/>
  <c r="L161" i="52"/>
  <c r="B163" i="52"/>
  <c r="E162" i="52"/>
  <c r="M162" i="52"/>
  <c r="U161" i="52" l="1"/>
  <c r="T161" i="52"/>
  <c r="K162" i="52"/>
  <c r="L162" i="52"/>
  <c r="B164" i="52"/>
  <c r="M163" i="52"/>
  <c r="E163" i="52"/>
  <c r="U162" i="52" l="1"/>
  <c r="T162" i="52"/>
  <c r="K163" i="52"/>
  <c r="L163" i="52"/>
  <c r="B165" i="52"/>
  <c r="E164" i="52"/>
  <c r="M164" i="52"/>
  <c r="U163" i="52" l="1"/>
  <c r="T163" i="52"/>
  <c r="K164" i="52"/>
  <c r="L164" i="52"/>
  <c r="B166" i="52"/>
  <c r="E165" i="52"/>
  <c r="M165" i="52"/>
  <c r="U164" i="52" l="1"/>
  <c r="T164" i="52"/>
  <c r="K165" i="52"/>
  <c r="L165" i="52"/>
  <c r="B167" i="52"/>
  <c r="M166" i="52"/>
  <c r="E166" i="52"/>
  <c r="T165" i="52" l="1"/>
  <c r="U165" i="52"/>
  <c r="K166" i="52"/>
  <c r="L166" i="52"/>
  <c r="B168" i="52"/>
  <c r="E167" i="52"/>
  <c r="M167" i="52"/>
  <c r="U166" i="52" l="1"/>
  <c r="T166" i="52"/>
  <c r="K167" i="52"/>
  <c r="L167" i="52"/>
  <c r="B169" i="52"/>
  <c r="M168" i="52"/>
  <c r="E168" i="52"/>
  <c r="U167" i="52" l="1"/>
  <c r="T167" i="52"/>
  <c r="K168" i="52"/>
  <c r="L168" i="52"/>
  <c r="B170" i="52"/>
  <c r="E169" i="52"/>
  <c r="M169" i="52"/>
  <c r="U168" i="52" l="1"/>
  <c r="T168" i="52"/>
  <c r="K169" i="52"/>
  <c r="L169" i="52"/>
  <c r="B171" i="52"/>
  <c r="M170" i="52"/>
  <c r="E170" i="52"/>
  <c r="U169" i="52" l="1"/>
  <c r="T169" i="52"/>
  <c r="K170" i="52"/>
  <c r="L170" i="52"/>
  <c r="B172" i="52"/>
  <c r="E171" i="52"/>
  <c r="M171" i="52"/>
  <c r="U170" i="52" l="1"/>
  <c r="T170" i="52"/>
  <c r="K171" i="52"/>
  <c r="L171" i="52"/>
  <c r="B173" i="52"/>
  <c r="E172" i="52"/>
  <c r="M172" i="52"/>
  <c r="U171" i="52" l="1"/>
  <c r="T171" i="52"/>
  <c r="K172" i="52"/>
  <c r="L172" i="52"/>
  <c r="B174" i="52"/>
  <c r="E173" i="52"/>
  <c r="M173" i="52"/>
  <c r="T172" i="52" l="1"/>
  <c r="U172" i="52"/>
  <c r="K173" i="52"/>
  <c r="L173" i="52"/>
  <c r="B175" i="52"/>
  <c r="M174" i="52"/>
  <c r="E174" i="52"/>
  <c r="U173" i="52" l="1"/>
  <c r="T173" i="52"/>
  <c r="K174" i="52"/>
  <c r="L174" i="52"/>
  <c r="B176" i="52"/>
  <c r="E175" i="52"/>
  <c r="M175" i="52"/>
  <c r="T174" i="52" l="1"/>
  <c r="U174" i="52"/>
  <c r="K175" i="52"/>
  <c r="L175" i="52"/>
  <c r="B177" i="52"/>
  <c r="M176" i="52"/>
  <c r="E176" i="52"/>
  <c r="U175" i="52" l="1"/>
  <c r="T175" i="52"/>
  <c r="K176" i="52"/>
  <c r="L176" i="52"/>
  <c r="B178" i="52"/>
  <c r="E177" i="52"/>
  <c r="M177" i="52"/>
  <c r="T176" i="52" l="1"/>
  <c r="U176" i="52"/>
  <c r="K177" i="52"/>
  <c r="L177" i="52"/>
  <c r="B179" i="52"/>
  <c r="M178" i="52"/>
  <c r="E178" i="52"/>
  <c r="U177" i="52" l="1"/>
  <c r="T177" i="52"/>
  <c r="K178" i="52"/>
  <c r="L178" i="52"/>
  <c r="B180" i="52"/>
  <c r="E179" i="52"/>
  <c r="M179" i="52"/>
  <c r="U178" i="52" l="1"/>
  <c r="T178" i="52"/>
  <c r="K179" i="52"/>
  <c r="L179" i="52"/>
  <c r="B181" i="52"/>
  <c r="E180" i="52"/>
  <c r="M180" i="52"/>
  <c r="U179" i="52" l="1"/>
  <c r="T179" i="52"/>
  <c r="K180" i="52"/>
  <c r="L180" i="52"/>
  <c r="B182" i="52"/>
  <c r="E181" i="52"/>
  <c r="M181" i="52"/>
  <c r="U180" i="52" l="1"/>
  <c r="T180" i="52"/>
  <c r="K181" i="52"/>
  <c r="L181" i="52"/>
  <c r="B183" i="52"/>
  <c r="M182" i="52"/>
  <c r="E182" i="52"/>
  <c r="U181" i="52" l="1"/>
  <c r="T181" i="52"/>
  <c r="K182" i="52"/>
  <c r="L182" i="52"/>
  <c r="B184" i="52"/>
  <c r="E183" i="52"/>
  <c r="M183" i="52"/>
  <c r="U182" i="52" l="1"/>
  <c r="T182" i="52"/>
  <c r="K183" i="52"/>
  <c r="L183" i="52"/>
  <c r="B185" i="52"/>
  <c r="M184" i="52"/>
  <c r="E184" i="52"/>
  <c r="T183" i="52" l="1"/>
  <c r="U183" i="52"/>
  <c r="K184" i="52"/>
  <c r="L184" i="52"/>
  <c r="B186" i="52"/>
  <c r="M185" i="52"/>
  <c r="E185" i="52"/>
  <c r="T184" i="52" l="1"/>
  <c r="U184" i="52"/>
  <c r="K185" i="52"/>
  <c r="L185" i="52"/>
  <c r="B187" i="52"/>
  <c r="M186" i="52"/>
  <c r="E186" i="52"/>
  <c r="U185" i="52" l="1"/>
  <c r="T185" i="52"/>
  <c r="K186" i="52"/>
  <c r="L186" i="52"/>
  <c r="B188" i="52"/>
  <c r="M187" i="52"/>
  <c r="E187" i="52"/>
  <c r="U186" i="52" l="1"/>
  <c r="T186" i="52"/>
  <c r="K187" i="52"/>
  <c r="L187" i="52"/>
  <c r="B189" i="52"/>
  <c r="M188" i="52"/>
  <c r="E188" i="52"/>
  <c r="T187" i="52" l="1"/>
  <c r="U187" i="52"/>
  <c r="K188" i="52"/>
  <c r="L188" i="52"/>
  <c r="B190" i="52"/>
  <c r="M189" i="52"/>
  <c r="E189" i="52"/>
  <c r="U188" i="52" l="1"/>
  <c r="T188" i="52"/>
  <c r="K189" i="52"/>
  <c r="L189" i="52"/>
  <c r="B191" i="52"/>
  <c r="M190" i="52"/>
  <c r="E190" i="52"/>
  <c r="U189" i="52" l="1"/>
  <c r="T189" i="52"/>
  <c r="K190" i="52"/>
  <c r="L190" i="52"/>
  <c r="B192" i="52"/>
  <c r="M191" i="52"/>
  <c r="E191" i="52"/>
  <c r="U190" i="52" l="1"/>
  <c r="T190" i="52"/>
  <c r="K191" i="52"/>
  <c r="L191" i="52"/>
  <c r="B193" i="52"/>
  <c r="M192" i="52"/>
  <c r="E192" i="52"/>
  <c r="U191" i="52" l="1"/>
  <c r="T191" i="52"/>
  <c r="K192" i="52"/>
  <c r="L192" i="52"/>
  <c r="B194" i="52"/>
  <c r="M193" i="52"/>
  <c r="E193" i="52"/>
  <c r="T192" i="52" l="1"/>
  <c r="U192" i="52"/>
  <c r="K193" i="52"/>
  <c r="L193" i="52"/>
  <c r="B195" i="52"/>
  <c r="M194" i="52"/>
  <c r="E194" i="52"/>
  <c r="U193" i="52" l="1"/>
  <c r="T193" i="52"/>
  <c r="K194" i="52"/>
  <c r="L194" i="52"/>
  <c r="B196" i="52"/>
  <c r="M195" i="52"/>
  <c r="E195" i="52"/>
  <c r="U194" i="52" l="1"/>
  <c r="T194" i="52"/>
  <c r="K195" i="52"/>
  <c r="L195" i="52"/>
  <c r="B197" i="52"/>
  <c r="M196" i="52"/>
  <c r="E196" i="52"/>
  <c r="U195" i="52" l="1"/>
  <c r="T195" i="52"/>
  <c r="K196" i="52"/>
  <c r="L196" i="52"/>
  <c r="B198" i="52"/>
  <c r="M197" i="52"/>
  <c r="E197" i="52"/>
  <c r="U196" i="52" l="1"/>
  <c r="T196" i="52"/>
  <c r="K197" i="52"/>
  <c r="L197" i="52"/>
  <c r="B199" i="52"/>
  <c r="M198" i="52"/>
  <c r="E198" i="52"/>
  <c r="U197" i="52" l="1"/>
  <c r="T197" i="52"/>
  <c r="K198" i="52"/>
  <c r="L198" i="52"/>
  <c r="B200" i="52"/>
  <c r="M199" i="52"/>
  <c r="E199" i="52"/>
  <c r="T198" i="52" l="1"/>
  <c r="U198" i="52"/>
  <c r="K199" i="52"/>
  <c r="L199" i="52"/>
  <c r="B201" i="52"/>
  <c r="M200" i="52"/>
  <c r="E200" i="52"/>
  <c r="U199" i="52" l="1"/>
  <c r="T199" i="52"/>
  <c r="K200" i="52"/>
  <c r="L200" i="52"/>
  <c r="B202" i="52"/>
  <c r="M201" i="52"/>
  <c r="E201" i="52"/>
  <c r="T200" i="52" l="1"/>
  <c r="U200" i="52"/>
  <c r="K201" i="52"/>
  <c r="L201" i="52"/>
  <c r="B203" i="52"/>
  <c r="M202" i="52"/>
  <c r="E202" i="52"/>
  <c r="U201" i="52" l="1"/>
  <c r="T201" i="52"/>
  <c r="K202" i="52"/>
  <c r="L202" i="52"/>
  <c r="B204" i="52"/>
  <c r="M203" i="52"/>
  <c r="E203" i="52"/>
  <c r="T202" i="52" l="1"/>
  <c r="U202" i="52"/>
  <c r="K203" i="52"/>
  <c r="L203" i="52"/>
  <c r="B205" i="52"/>
  <c r="E204" i="52"/>
  <c r="M204" i="52"/>
  <c r="U203" i="52" l="1"/>
  <c r="T203" i="52"/>
  <c r="K204" i="52"/>
  <c r="L204" i="52"/>
  <c r="B206" i="52"/>
  <c r="E205" i="52"/>
  <c r="M205" i="52"/>
  <c r="U204" i="52" l="1"/>
  <c r="T204" i="52"/>
  <c r="K205" i="52"/>
  <c r="L205" i="52"/>
  <c r="B207" i="52"/>
  <c r="E206" i="52"/>
  <c r="M206" i="52"/>
  <c r="U205" i="52" l="1"/>
  <c r="T205" i="52"/>
  <c r="K206" i="52"/>
  <c r="L206" i="52"/>
  <c r="B208" i="52"/>
  <c r="M207" i="52"/>
  <c r="E207" i="52"/>
  <c r="U206" i="52" l="1"/>
  <c r="T206" i="52"/>
  <c r="K207" i="52"/>
  <c r="L207" i="52"/>
  <c r="B209" i="52"/>
  <c r="E208" i="52"/>
  <c r="M208" i="52"/>
  <c r="T207" i="52" l="1"/>
  <c r="U207" i="52"/>
  <c r="K208" i="52"/>
  <c r="L208" i="52"/>
  <c r="B210" i="52"/>
  <c r="M209" i="52"/>
  <c r="E209" i="52"/>
  <c r="U208" i="52" l="1"/>
  <c r="T208" i="52"/>
  <c r="K209" i="52"/>
  <c r="L209" i="52"/>
  <c r="B211" i="52"/>
  <c r="E210" i="52"/>
  <c r="M210" i="52"/>
  <c r="T209" i="52" l="1"/>
  <c r="U209" i="52"/>
  <c r="K210" i="52"/>
  <c r="L210" i="52"/>
  <c r="B212" i="52"/>
  <c r="M211" i="52"/>
  <c r="E211" i="52"/>
  <c r="U210" i="52" l="1"/>
  <c r="T210" i="52"/>
  <c r="K211" i="52"/>
  <c r="L211" i="52"/>
  <c r="B213" i="52"/>
  <c r="E212" i="52"/>
  <c r="M212" i="52"/>
  <c r="T211" i="52" l="1"/>
  <c r="U211" i="52"/>
  <c r="K212" i="52"/>
  <c r="L212" i="52"/>
  <c r="B214" i="52"/>
  <c r="E213" i="52"/>
  <c r="M213" i="52"/>
  <c r="U212" i="52" l="1"/>
  <c r="T212" i="52"/>
  <c r="K213" i="52"/>
  <c r="L213" i="52"/>
  <c r="B215" i="52"/>
  <c r="E214" i="52"/>
  <c r="M214" i="52"/>
  <c r="U213" i="52" l="1"/>
  <c r="T213" i="52"/>
  <c r="K214" i="52"/>
  <c r="L214" i="52"/>
  <c r="B216" i="52"/>
  <c r="M215" i="52"/>
  <c r="E215" i="52"/>
  <c r="U214" i="52" l="1"/>
  <c r="T214" i="52"/>
  <c r="K215" i="52"/>
  <c r="L215" i="52"/>
  <c r="B217" i="52"/>
  <c r="E216" i="52"/>
  <c r="M216" i="52"/>
  <c r="U215" i="52" l="1"/>
  <c r="T215" i="52"/>
  <c r="K216" i="52"/>
  <c r="L216" i="52"/>
  <c r="B218" i="52"/>
  <c r="M217" i="52"/>
  <c r="E217" i="52"/>
  <c r="U216" i="52" l="1"/>
  <c r="T216" i="52"/>
  <c r="K217" i="52"/>
  <c r="L217" i="52"/>
  <c r="B219" i="52"/>
  <c r="E218" i="52"/>
  <c r="M218" i="52"/>
  <c r="U217" i="52" l="1"/>
  <c r="T217" i="52"/>
  <c r="K218" i="52"/>
  <c r="L218" i="52"/>
  <c r="B220" i="52"/>
  <c r="M219" i="52"/>
  <c r="E219" i="52"/>
  <c r="U218" i="52" l="1"/>
  <c r="T218" i="52"/>
  <c r="K219" i="52"/>
  <c r="L219" i="52"/>
  <c r="B221" i="52"/>
  <c r="E220" i="52"/>
  <c r="M220" i="52"/>
  <c r="U219" i="52" l="1"/>
  <c r="T219" i="52"/>
  <c r="K220" i="52"/>
  <c r="L220" i="52"/>
  <c r="B222" i="52"/>
  <c r="E221" i="52"/>
  <c r="M221" i="52"/>
  <c r="U220" i="52" l="1"/>
  <c r="T220" i="52"/>
  <c r="K221" i="52"/>
  <c r="L221" i="52"/>
  <c r="B223" i="52"/>
  <c r="M222" i="52"/>
  <c r="E222" i="52"/>
  <c r="B224" i="52" l="1"/>
  <c r="U221" i="52"/>
  <c r="T221" i="52"/>
  <c r="K222" i="52"/>
  <c r="L222" i="52"/>
  <c r="E223" i="52"/>
  <c r="M223" i="52"/>
  <c r="E224" i="52" l="1"/>
  <c r="B225" i="52"/>
  <c r="M224" i="52"/>
  <c r="U222" i="52"/>
  <c r="T222" i="52"/>
  <c r="K223" i="52"/>
  <c r="L223" i="52"/>
  <c r="B226" i="52" l="1"/>
  <c r="M225" i="52"/>
  <c r="E225" i="52"/>
  <c r="K224" i="52"/>
  <c r="L224" i="52"/>
  <c r="U223" i="52"/>
  <c r="T223" i="52"/>
  <c r="U224" i="52" l="1"/>
  <c r="T224" i="52"/>
  <c r="L225" i="52"/>
  <c r="K225" i="52"/>
  <c r="E226" i="52"/>
  <c r="B227" i="52"/>
  <c r="M226" i="52"/>
  <c r="M227" i="52" l="1"/>
  <c r="E227" i="52"/>
  <c r="B228" i="52"/>
  <c r="T225" i="52"/>
  <c r="L226" i="52"/>
  <c r="K226" i="52"/>
  <c r="U225" i="52"/>
  <c r="L227" i="52" l="1"/>
  <c r="K227" i="52"/>
  <c r="T226" i="52"/>
  <c r="U226" i="52"/>
  <c r="E228" i="52"/>
  <c r="B229" i="52"/>
  <c r="M228" i="52"/>
  <c r="B230" i="52" l="1"/>
  <c r="M229" i="52"/>
  <c r="E229" i="52"/>
  <c r="T227" i="52"/>
  <c r="K228" i="52"/>
  <c r="L228" i="52"/>
  <c r="U227" i="52"/>
  <c r="T228" i="52" l="1"/>
  <c r="U228" i="52"/>
  <c r="L229" i="52"/>
  <c r="K229" i="52"/>
  <c r="E230" i="52"/>
  <c r="B231" i="52"/>
  <c r="M230" i="52"/>
  <c r="U229" i="52" l="1"/>
  <c r="T229" i="52"/>
  <c r="L230" i="52"/>
  <c r="K230" i="52"/>
  <c r="B232" i="52"/>
  <c r="M231" i="52"/>
  <c r="E231" i="52"/>
  <c r="T230" i="52" l="1"/>
  <c r="U230" i="52"/>
  <c r="L231" i="52"/>
  <c r="K231" i="52"/>
  <c r="E232" i="52"/>
  <c r="B233" i="52"/>
  <c r="M232" i="52"/>
  <c r="B11" i="32"/>
  <c r="T231" i="52" l="1"/>
  <c r="K232" i="52"/>
  <c r="L232" i="52"/>
  <c r="B234" i="52"/>
  <c r="M233" i="52"/>
  <c r="E233" i="52"/>
  <c r="U231" i="52"/>
  <c r="B12" i="32"/>
  <c r="U232" i="52" l="1"/>
  <c r="T232" i="52"/>
  <c r="L233" i="52"/>
  <c r="K233" i="52"/>
  <c r="E234" i="52"/>
  <c r="B235" i="52"/>
  <c r="B236" i="52" s="1"/>
  <c r="M234" i="52"/>
  <c r="B13" i="32"/>
  <c r="M236" i="52" l="1"/>
  <c r="E236" i="52"/>
  <c r="B237" i="52"/>
  <c r="M235" i="52"/>
  <c r="E235" i="52"/>
  <c r="T233" i="52"/>
  <c r="L234" i="52"/>
  <c r="K234" i="52"/>
  <c r="U233" i="52"/>
  <c r="B14" i="32"/>
  <c r="B11" i="29"/>
  <c r="M237" i="52" l="1"/>
  <c r="E237" i="52"/>
  <c r="B238" i="52"/>
  <c r="K236" i="52"/>
  <c r="L236" i="52"/>
  <c r="L235" i="52"/>
  <c r="K235" i="52"/>
  <c r="T234" i="52"/>
  <c r="U234" i="52"/>
  <c r="B15" i="32"/>
  <c r="B12" i="29"/>
  <c r="T236" i="52" l="1"/>
  <c r="U236" i="52"/>
  <c r="K237" i="52"/>
  <c r="L237" i="52"/>
  <c r="B239" i="52"/>
  <c r="M238" i="52"/>
  <c r="E238" i="52"/>
  <c r="U235" i="52"/>
  <c r="T235" i="52"/>
  <c r="B16" i="32"/>
  <c r="B13" i="29"/>
  <c r="K238" i="52" l="1"/>
  <c r="L238" i="52"/>
  <c r="T237" i="52"/>
  <c r="M239" i="52"/>
  <c r="B240" i="52"/>
  <c r="E239" i="52"/>
  <c r="U237" i="52"/>
  <c r="B17" i="32"/>
  <c r="B14" i="29"/>
  <c r="U238" i="52" l="1"/>
  <c r="M240" i="52"/>
  <c r="E240" i="52"/>
  <c r="B241" i="52"/>
  <c r="K239" i="52"/>
  <c r="L239" i="52"/>
  <c r="T238" i="52"/>
  <c r="B18" i="32"/>
  <c r="B15" i="29"/>
  <c r="T239" i="52" l="1"/>
  <c r="U239" i="52"/>
  <c r="E241" i="52"/>
  <c r="M241" i="52"/>
  <c r="B242" i="52"/>
  <c r="L240" i="52"/>
  <c r="K240" i="52"/>
  <c r="B19" i="32"/>
  <c r="B16" i="29"/>
  <c r="K241" i="52" l="1"/>
  <c r="L241" i="52"/>
  <c r="T240" i="52"/>
  <c r="B243" i="52"/>
  <c r="M242" i="52"/>
  <c r="E242" i="52"/>
  <c r="U240" i="52"/>
  <c r="B20" i="32"/>
  <c r="B17" i="29"/>
  <c r="L242" i="52" l="1"/>
  <c r="K242" i="52"/>
  <c r="M243" i="52"/>
  <c r="E243" i="52"/>
  <c r="B244" i="52"/>
  <c r="U241" i="52"/>
  <c r="T241" i="52"/>
  <c r="B21" i="32"/>
  <c r="B18" i="29"/>
  <c r="U242" i="52" l="1"/>
  <c r="T242" i="52"/>
  <c r="E244" i="52"/>
  <c r="B245" i="52"/>
  <c r="M244" i="52"/>
  <c r="K243" i="52"/>
  <c r="L243" i="52"/>
  <c r="B22" i="32"/>
  <c r="B19" i="29"/>
  <c r="U243" i="52" l="1"/>
  <c r="B246" i="52"/>
  <c r="M245" i="52"/>
  <c r="E245" i="52"/>
  <c r="T243" i="52"/>
  <c r="L244" i="52"/>
  <c r="K244" i="52"/>
  <c r="U244" i="52"/>
  <c r="B23" i="32"/>
  <c r="B20" i="29"/>
  <c r="T244" i="52" l="1"/>
  <c r="K245" i="52"/>
  <c r="L245" i="52"/>
  <c r="E246" i="52"/>
  <c r="B247" i="52"/>
  <c r="M246" i="52"/>
  <c r="B24" i="32"/>
  <c r="B21" i="29"/>
  <c r="U245" i="52" l="1"/>
  <c r="T245" i="52"/>
  <c r="E247" i="52"/>
  <c r="M247" i="52"/>
  <c r="K246" i="52"/>
  <c r="L246" i="52"/>
  <c r="B25" i="32"/>
  <c r="B22" i="29"/>
  <c r="U246" i="52" l="1"/>
  <c r="T246" i="52"/>
  <c r="L247" i="52"/>
  <c r="K247" i="52"/>
  <c r="B26" i="32"/>
  <c r="B23" i="29"/>
  <c r="X8" i="52" l="1"/>
  <c r="X9" i="52"/>
  <c r="C11" i="32" s="1"/>
  <c r="X10" i="52"/>
  <c r="C12" i="32" s="1"/>
  <c r="X11" i="52"/>
  <c r="C13" i="32" s="1"/>
  <c r="X12" i="52"/>
  <c r="C14" i="32" s="1"/>
  <c r="X13" i="52"/>
  <c r="C15" i="32" s="1"/>
  <c r="X14" i="52"/>
  <c r="C16" i="32" s="1"/>
  <c r="X15" i="52"/>
  <c r="C17" i="32" s="1"/>
  <c r="X16" i="52"/>
  <c r="C18" i="32" s="1"/>
  <c r="X17" i="52"/>
  <c r="C19" i="32" s="1"/>
  <c r="X18" i="52"/>
  <c r="C20" i="32" s="1"/>
  <c r="X19" i="52"/>
  <c r="C21" i="32" s="1"/>
  <c r="X20" i="52"/>
  <c r="C22" i="32" s="1"/>
  <c r="X21" i="52"/>
  <c r="C23" i="32" s="1"/>
  <c r="X22" i="52"/>
  <c r="C24" i="32" s="1"/>
  <c r="X23" i="52"/>
  <c r="C25" i="32" s="1"/>
  <c r="X24" i="52"/>
  <c r="C26" i="32" s="1"/>
  <c r="X25" i="52"/>
  <c r="X26" i="52"/>
  <c r="C28" i="32" s="1"/>
  <c r="X27" i="52"/>
  <c r="C29" i="32" s="1"/>
  <c r="AA8" i="52"/>
  <c r="AA9" i="52"/>
  <c r="F11" i="32" s="1"/>
  <c r="AA10" i="52"/>
  <c r="F12" i="32" s="1"/>
  <c r="AA11" i="52"/>
  <c r="F13" i="32" s="1"/>
  <c r="AA12" i="52"/>
  <c r="F14" i="32" s="1"/>
  <c r="AA13" i="52"/>
  <c r="F15" i="32" s="1"/>
  <c r="AA14" i="52"/>
  <c r="F16" i="32" s="1"/>
  <c r="AA15" i="52"/>
  <c r="F17" i="32" s="1"/>
  <c r="AA16" i="52"/>
  <c r="F18" i="32" s="1"/>
  <c r="AA17" i="52"/>
  <c r="F19" i="32" s="1"/>
  <c r="AA18" i="52"/>
  <c r="F20" i="32" s="1"/>
  <c r="AA19" i="52"/>
  <c r="F21" i="32" s="1"/>
  <c r="AA20" i="52"/>
  <c r="F22" i="32" s="1"/>
  <c r="AA21" i="52"/>
  <c r="F23" i="32" s="1"/>
  <c r="AA22" i="52"/>
  <c r="F24" i="32" s="1"/>
  <c r="AA23" i="52"/>
  <c r="F25" i="32" s="1"/>
  <c r="AA24" i="52"/>
  <c r="F26" i="32" s="1"/>
  <c r="AA25" i="52"/>
  <c r="AA26" i="52"/>
  <c r="F28" i="32" s="1"/>
  <c r="AA27" i="52"/>
  <c r="F29" i="32" s="1"/>
  <c r="Z8" i="52"/>
  <c r="Z9" i="52"/>
  <c r="E11" i="32" s="1"/>
  <c r="Z10" i="52"/>
  <c r="E12" i="32" s="1"/>
  <c r="Z11" i="52"/>
  <c r="E13" i="32" s="1"/>
  <c r="Z12" i="52"/>
  <c r="E14" i="32" s="1"/>
  <c r="Z13" i="52"/>
  <c r="E15" i="32" s="1"/>
  <c r="Z14" i="52"/>
  <c r="E16" i="32" s="1"/>
  <c r="Z15" i="52"/>
  <c r="E17" i="32" s="1"/>
  <c r="Z16" i="52"/>
  <c r="E18" i="32" s="1"/>
  <c r="Z17" i="52"/>
  <c r="E19" i="32" s="1"/>
  <c r="Z18" i="52"/>
  <c r="E20" i="32" s="1"/>
  <c r="Z19" i="52"/>
  <c r="E21" i="32" s="1"/>
  <c r="Z20" i="52"/>
  <c r="E22" i="32" s="1"/>
  <c r="Z21" i="52"/>
  <c r="E23" i="32" s="1"/>
  <c r="Z22" i="52"/>
  <c r="E24" i="32" s="1"/>
  <c r="Z23" i="52"/>
  <c r="E25" i="32" s="1"/>
  <c r="Z24" i="52"/>
  <c r="Z25" i="52"/>
  <c r="Z26" i="52"/>
  <c r="E28" i="32" s="1"/>
  <c r="Z27" i="52"/>
  <c r="E29" i="32" s="1"/>
  <c r="Y8" i="52"/>
  <c r="Y9" i="52"/>
  <c r="D11" i="32" s="1"/>
  <c r="Y10" i="52"/>
  <c r="D12" i="32" s="1"/>
  <c r="Y11" i="52"/>
  <c r="D13" i="32" s="1"/>
  <c r="Y12" i="52"/>
  <c r="D14" i="32" s="1"/>
  <c r="Y13" i="52"/>
  <c r="D15" i="32" s="1"/>
  <c r="Y14" i="52"/>
  <c r="D16" i="32" s="1"/>
  <c r="Y15" i="52"/>
  <c r="D17" i="32" s="1"/>
  <c r="Y16" i="52"/>
  <c r="D18" i="32" s="1"/>
  <c r="Y17" i="52"/>
  <c r="D19" i="32" s="1"/>
  <c r="Y18" i="52"/>
  <c r="D20" i="32" s="1"/>
  <c r="Y19" i="52"/>
  <c r="D21" i="32" s="1"/>
  <c r="Y20" i="52"/>
  <c r="D22" i="32" s="1"/>
  <c r="Y21" i="52"/>
  <c r="D23" i="32" s="1"/>
  <c r="Y22" i="52"/>
  <c r="D24" i="32" s="1"/>
  <c r="Y23" i="52"/>
  <c r="D25" i="32" s="1"/>
  <c r="Y24" i="52"/>
  <c r="D26" i="32" s="1"/>
  <c r="Y25" i="52"/>
  <c r="Y26" i="52"/>
  <c r="D28" i="32" s="1"/>
  <c r="Y27" i="52"/>
  <c r="D29" i="32" s="1"/>
  <c r="U247" i="52"/>
  <c r="T247" i="52"/>
  <c r="B27" i="32"/>
  <c r="E26" i="32"/>
  <c r="B24" i="29"/>
  <c r="Y37" i="52" l="1"/>
  <c r="D10" i="32"/>
  <c r="Z37" i="52"/>
  <c r="E10" i="32"/>
  <c r="AA37" i="52"/>
  <c r="F10" i="32"/>
  <c r="X37" i="52"/>
  <c r="C10" i="32"/>
  <c r="F27" i="32"/>
  <c r="E27" i="32"/>
  <c r="D27" i="32"/>
  <c r="C27" i="32"/>
  <c r="B25" i="29"/>
  <c r="B26" i="29" l="1"/>
  <c r="B27" i="29" l="1"/>
  <c r="B28" i="29" s="1"/>
  <c r="B29" i="29" l="1"/>
  <c r="H8" i="52" l="1"/>
  <c r="I8" i="52"/>
  <c r="I9" i="52"/>
  <c r="C11" i="29" s="1"/>
  <c r="H12" i="52"/>
  <c r="D14" i="29" s="1"/>
  <c r="H10" i="52"/>
  <c r="D12" i="29" s="1"/>
  <c r="I12" i="52"/>
  <c r="C14" i="29" s="1"/>
  <c r="H11" i="52"/>
  <c r="D13" i="29" s="1"/>
  <c r="H9" i="52"/>
  <c r="D11" i="29" s="1"/>
  <c r="I10" i="52"/>
  <c r="C12" i="29" s="1"/>
  <c r="I11" i="52"/>
  <c r="C13" i="29" s="1"/>
  <c r="H13" i="52"/>
  <c r="D15" i="29" s="1"/>
  <c r="I14" i="52"/>
  <c r="C16" i="29" s="1"/>
  <c r="H14" i="52"/>
  <c r="D16" i="29" s="1"/>
  <c r="I15" i="52"/>
  <c r="C17" i="29" s="1"/>
  <c r="H15" i="52"/>
  <c r="D17" i="29" s="1"/>
  <c r="I13" i="52"/>
  <c r="C15" i="29" s="1"/>
  <c r="H16" i="52"/>
  <c r="D18" i="29" s="1"/>
  <c r="H17" i="52"/>
  <c r="D19" i="29" s="1"/>
  <c r="I16" i="52"/>
  <c r="C18" i="29" s="1"/>
  <c r="H18" i="52"/>
  <c r="D20" i="29" s="1"/>
  <c r="I17" i="52"/>
  <c r="C19" i="29" s="1"/>
  <c r="I19" i="52"/>
  <c r="C21" i="29" s="1"/>
  <c r="H19" i="52"/>
  <c r="D21" i="29" s="1"/>
  <c r="I18" i="52"/>
  <c r="C20" i="29" s="1"/>
  <c r="I20" i="52"/>
  <c r="C22" i="29" s="1"/>
  <c r="H21" i="52"/>
  <c r="D23" i="29" s="1"/>
  <c r="H20" i="52"/>
  <c r="D22" i="29" s="1"/>
  <c r="I22" i="52"/>
  <c r="C24" i="29" s="1"/>
  <c r="I21" i="52"/>
  <c r="C23" i="29" s="1"/>
  <c r="H23" i="52"/>
  <c r="D25" i="29" s="1"/>
  <c r="I24" i="52"/>
  <c r="C26" i="29" s="1"/>
  <c r="I23" i="52"/>
  <c r="C25" i="29" s="1"/>
  <c r="H22" i="52"/>
  <c r="D24" i="29" s="1"/>
  <c r="I25" i="52"/>
  <c r="C27" i="29" s="1"/>
  <c r="H25" i="52"/>
  <c r="D27" i="29" s="1"/>
  <c r="H24" i="52"/>
  <c r="D26" i="29" s="1"/>
  <c r="H26" i="52"/>
  <c r="D28" i="29" s="1"/>
  <c r="H27" i="52"/>
  <c r="D29" i="29" s="1"/>
  <c r="I26" i="52"/>
  <c r="C28" i="29" s="1"/>
  <c r="I27" i="52"/>
  <c r="C29" i="29" s="1"/>
  <c r="I33" i="52" l="1"/>
  <c r="C10" i="29"/>
  <c r="H33" i="52"/>
  <c r="D10" i="29"/>
  <c r="F26" i="13" l="1"/>
  <c r="H26" i="13" l="1"/>
  <c r="F28" i="13"/>
  <c r="F27" i="13"/>
  <c r="H28" i="13" l="1"/>
  <c r="H27" i="13"/>
  <c r="F25" i="13"/>
  <c r="H25" i="13" l="1"/>
  <c r="F24" i="13"/>
  <c r="H24" i="13" l="1"/>
  <c r="F23" i="13" l="1"/>
  <c r="F22" i="13"/>
  <c r="H23" i="13" l="1"/>
  <c r="H22" i="13"/>
  <c r="F14" i="13" l="1"/>
  <c r="F18" i="13"/>
  <c r="H18" i="13" l="1"/>
  <c r="H14" i="13"/>
  <c r="F21" i="13"/>
  <c r="F15" i="13"/>
  <c r="F16" i="13"/>
  <c r="F13" i="13"/>
  <c r="F12" i="13"/>
  <c r="F20" i="13"/>
  <c r="F19" i="13"/>
  <c r="F17" i="13"/>
  <c r="F37" i="13" l="1"/>
  <c r="F43" i="13"/>
  <c r="H17" i="13"/>
  <c r="H20" i="13"/>
  <c r="H13" i="13"/>
  <c r="H12" i="13"/>
  <c r="H16" i="13"/>
  <c r="H19" i="13"/>
  <c r="H15" i="13"/>
  <c r="H21" i="13"/>
  <c r="F40" i="13"/>
  <c r="H43" i="13" l="1"/>
  <c r="H37" i="13"/>
  <c r="H40" i="13"/>
  <c r="B11" i="36" l="1"/>
  <c r="D11" i="36" l="1"/>
  <c r="C11" i="36"/>
  <c r="F11" i="36"/>
  <c r="E11" i="36"/>
  <c r="B12" i="36"/>
  <c r="D12" i="36" l="1"/>
  <c r="C12" i="36"/>
  <c r="F12" i="36"/>
  <c r="E12" i="36"/>
  <c r="B13" i="36"/>
  <c r="D13" i="36" l="1"/>
  <c r="C13" i="36"/>
  <c r="F13" i="36"/>
  <c r="E13" i="36"/>
  <c r="B14" i="36"/>
  <c r="D14" i="36" l="1"/>
  <c r="C14" i="36"/>
  <c r="F14" i="36"/>
  <c r="E14" i="36"/>
  <c r="B15" i="36"/>
  <c r="D15" i="36" l="1"/>
  <c r="C15" i="36"/>
  <c r="F15" i="36"/>
  <c r="E15" i="36"/>
  <c r="B16" i="36"/>
  <c r="D16" i="36" l="1"/>
  <c r="C16" i="36"/>
  <c r="F16" i="36"/>
  <c r="E16" i="36"/>
  <c r="B17" i="36"/>
  <c r="D17" i="36" l="1"/>
  <c r="C17" i="36"/>
  <c r="F17" i="36"/>
  <c r="E17" i="36"/>
  <c r="B18" i="36"/>
  <c r="D18" i="36" l="1"/>
  <c r="C18" i="36"/>
  <c r="F18" i="36"/>
  <c r="E18" i="36"/>
  <c r="B19" i="36"/>
  <c r="D19" i="36" l="1"/>
  <c r="C19" i="36"/>
  <c r="F19" i="36"/>
  <c r="E19" i="36"/>
  <c r="B20" i="36"/>
  <c r="D20" i="36" l="1"/>
  <c r="C20" i="36"/>
  <c r="F20" i="36"/>
  <c r="E20" i="36"/>
  <c r="B21" i="36"/>
  <c r="D21" i="36" l="1"/>
  <c r="C21" i="36"/>
  <c r="F21" i="36"/>
  <c r="E21" i="36"/>
  <c r="B22" i="36"/>
  <c r="D22" i="36" l="1"/>
  <c r="C22" i="36"/>
  <c r="F22" i="36"/>
  <c r="E22" i="36"/>
  <c r="B23" i="36"/>
  <c r="D23" i="36" l="1"/>
  <c r="C23" i="36"/>
  <c r="F23" i="36"/>
  <c r="E23" i="36"/>
  <c r="B24" i="36"/>
  <c r="D24" i="36" l="1"/>
  <c r="C24" i="36"/>
  <c r="F24" i="36"/>
  <c r="E24" i="36"/>
  <c r="B25" i="36"/>
  <c r="D25" i="36" l="1"/>
  <c r="C25" i="36"/>
  <c r="F25" i="36"/>
  <c r="E25" i="36"/>
  <c r="B26" i="36"/>
  <c r="D26" i="36" l="1"/>
  <c r="C26" i="36"/>
  <c r="F26" i="36"/>
  <c r="E26" i="36"/>
  <c r="B27" i="36"/>
  <c r="D27" i="36" l="1"/>
  <c r="C27" i="36"/>
  <c r="F27" i="36"/>
  <c r="E27" i="36"/>
  <c r="B28" i="36"/>
  <c r="C26" i="13"/>
  <c r="C25" i="13"/>
  <c r="C27" i="13"/>
  <c r="C24" i="13"/>
  <c r="C22" i="13"/>
  <c r="C23" i="13"/>
  <c r="D28" i="36" l="1"/>
  <c r="C28" i="36"/>
  <c r="F28" i="36"/>
  <c r="E28" i="36"/>
  <c r="C28" i="13"/>
  <c r="E28" i="13" s="1"/>
  <c r="B29" i="36"/>
  <c r="E26" i="13"/>
  <c r="E24" i="13"/>
  <c r="E23" i="13"/>
  <c r="E22" i="13"/>
  <c r="E27" i="13"/>
  <c r="E25" i="13"/>
  <c r="D29" i="36" l="1"/>
  <c r="C29" i="36"/>
  <c r="F29" i="36"/>
  <c r="E29" i="36"/>
  <c r="C29" i="13"/>
  <c r="E29" i="13" s="1"/>
  <c r="B30" i="36"/>
  <c r="D35" i="36"/>
  <c r="F36" i="36"/>
  <c r="D36" i="36"/>
  <c r="F35" i="36"/>
  <c r="C30" i="13" l="1"/>
  <c r="E30" i="13" s="1"/>
  <c r="D30" i="36"/>
  <c r="C30" i="36"/>
  <c r="F30" i="36"/>
  <c r="E30" i="36"/>
  <c r="F34" i="36"/>
  <c r="D34" i="36"/>
  <c r="C15" i="13" l="1"/>
  <c r="E15" i="13" s="1"/>
  <c r="C19" i="13"/>
  <c r="E19" i="13" s="1"/>
  <c r="C18" i="13"/>
  <c r="C21" i="13"/>
  <c r="E36" i="36"/>
  <c r="C35" i="36"/>
  <c r="C13" i="13"/>
  <c r="C16" i="13"/>
  <c r="E35" i="36"/>
  <c r="C36" i="36"/>
  <c r="C14" i="13"/>
  <c r="C20" i="13"/>
  <c r="C34" i="36"/>
  <c r="E34" i="36"/>
  <c r="C12" i="13"/>
  <c r="C17" i="13"/>
  <c r="E21" i="13" l="1"/>
  <c r="E18" i="13"/>
  <c r="C43" i="13"/>
  <c r="E14" i="13"/>
  <c r="E13" i="13"/>
  <c r="C40" i="13"/>
  <c r="E17" i="13"/>
  <c r="E12" i="13"/>
  <c r="C37" i="13"/>
  <c r="E20" i="13"/>
  <c r="E16" i="13"/>
  <c r="E37" i="13" l="1"/>
  <c r="E40" i="13"/>
  <c r="E43" i="13"/>
  <c r="B10" i="45" l="1"/>
  <c r="B10" i="44"/>
  <c r="E10" i="44" l="1"/>
  <c r="R10" i="44" s="1"/>
  <c r="F10" i="44"/>
  <c r="U10" i="44" s="1"/>
  <c r="D10" i="44"/>
  <c r="O10" i="44" s="1"/>
  <c r="C10" i="44"/>
  <c r="L10" i="44" s="1"/>
  <c r="B11" i="44"/>
  <c r="B11" i="45"/>
  <c r="B12" i="45" l="1"/>
  <c r="D11" i="44"/>
  <c r="O11" i="44" s="1"/>
  <c r="C11" i="44"/>
  <c r="L11" i="44" s="1"/>
  <c r="E11" i="44"/>
  <c r="R11" i="44" s="1"/>
  <c r="B12" i="44"/>
  <c r="F11" i="44"/>
  <c r="U11" i="44" s="1"/>
  <c r="I12" i="13" l="1"/>
  <c r="B13" i="45"/>
  <c r="D12" i="44"/>
  <c r="C12" i="44"/>
  <c r="L12" i="44" s="1"/>
  <c r="B13" i="44"/>
  <c r="F12" i="44"/>
  <c r="U12" i="44" s="1"/>
  <c r="E12" i="44"/>
  <c r="R12" i="44" s="1"/>
  <c r="D13" i="44" l="1"/>
  <c r="O13" i="44" s="1"/>
  <c r="C13" i="44"/>
  <c r="L13" i="44" s="1"/>
  <c r="E13" i="44"/>
  <c r="R13" i="44" s="1"/>
  <c r="F13" i="44"/>
  <c r="U13" i="44" s="1"/>
  <c r="B14" i="44"/>
  <c r="O12" i="44"/>
  <c r="I13" i="13"/>
  <c r="B14" i="45"/>
  <c r="K12" i="13"/>
  <c r="I14" i="13" l="1"/>
  <c r="K14" i="13" s="1"/>
  <c r="B15" i="45"/>
  <c r="D14" i="44"/>
  <c r="C14" i="44"/>
  <c r="L14" i="44" s="1"/>
  <c r="F14" i="44"/>
  <c r="U14" i="44" s="1"/>
  <c r="E14" i="44"/>
  <c r="R14" i="44" s="1"/>
  <c r="B15" i="44"/>
  <c r="K13" i="13"/>
  <c r="D15" i="44" l="1"/>
  <c r="O15" i="44" s="1"/>
  <c r="C15" i="44"/>
  <c r="L15" i="44" s="1"/>
  <c r="E15" i="44"/>
  <c r="R15" i="44" s="1"/>
  <c r="F15" i="44"/>
  <c r="U15" i="44" s="1"/>
  <c r="B16" i="44"/>
  <c r="O14" i="44"/>
  <c r="I15" i="13"/>
  <c r="B16" i="45"/>
  <c r="I16" i="13" l="1"/>
  <c r="K16" i="13" s="1"/>
  <c r="B17" i="45"/>
  <c r="D16" i="44"/>
  <c r="O16" i="44" s="1"/>
  <c r="C16" i="44"/>
  <c r="L16" i="44" s="1"/>
  <c r="B17" i="44"/>
  <c r="F16" i="44"/>
  <c r="U16" i="44" s="1"/>
  <c r="E16" i="44"/>
  <c r="R16" i="44" s="1"/>
  <c r="K15" i="13"/>
  <c r="D17" i="44" l="1"/>
  <c r="O17" i="44" s="1"/>
  <c r="C17" i="44"/>
  <c r="L17" i="44" s="1"/>
  <c r="B18" i="44"/>
  <c r="E17" i="44"/>
  <c r="R17" i="44" s="1"/>
  <c r="F17" i="44"/>
  <c r="U17" i="44" s="1"/>
  <c r="B18" i="45"/>
  <c r="I18" i="13" l="1"/>
  <c r="K18" i="13" s="1"/>
  <c r="D11" i="45"/>
  <c r="C11" i="45"/>
  <c r="L11" i="45" s="1"/>
  <c r="D18" i="44"/>
  <c r="O18" i="44" s="1"/>
  <c r="C18" i="44"/>
  <c r="L18" i="44" s="1"/>
  <c r="F18" i="44"/>
  <c r="U18" i="44" s="1"/>
  <c r="B19" i="44"/>
  <c r="E18" i="44"/>
  <c r="R18" i="44" s="1"/>
  <c r="C17" i="45"/>
  <c r="L17" i="45" s="1"/>
  <c r="F18" i="45"/>
  <c r="U18" i="45" s="1"/>
  <c r="E12" i="45"/>
  <c r="R12" i="45" s="1"/>
  <c r="F15" i="45"/>
  <c r="U15" i="45" s="1"/>
  <c r="D12" i="45"/>
  <c r="D13" i="45"/>
  <c r="D14" i="45"/>
  <c r="E13" i="45"/>
  <c r="R13" i="45" s="1"/>
  <c r="C14" i="45"/>
  <c r="L14" i="45" s="1"/>
  <c r="D17" i="45"/>
  <c r="O17" i="45" s="1"/>
  <c r="E15" i="45"/>
  <c r="R15" i="45" s="1"/>
  <c r="C16" i="45"/>
  <c r="L16" i="45" s="1"/>
  <c r="F16" i="45"/>
  <c r="U16" i="45" s="1"/>
  <c r="E17" i="45"/>
  <c r="R17" i="45" s="1"/>
  <c r="F11" i="45"/>
  <c r="U11" i="45" s="1"/>
  <c r="E11" i="45"/>
  <c r="R11" i="45" s="1"/>
  <c r="E16" i="45"/>
  <c r="R16" i="45" s="1"/>
  <c r="F13" i="45"/>
  <c r="U13" i="45" s="1"/>
  <c r="F14" i="45"/>
  <c r="U14" i="45" s="1"/>
  <c r="C13" i="45"/>
  <c r="L13" i="45" s="1"/>
  <c r="E14" i="45"/>
  <c r="R14" i="45" s="1"/>
  <c r="F17" i="45"/>
  <c r="U17" i="45" s="1"/>
  <c r="C18" i="45"/>
  <c r="L18" i="45" s="1"/>
  <c r="C15" i="45"/>
  <c r="L15" i="45" s="1"/>
  <c r="C12" i="45"/>
  <c r="L12" i="45" s="1"/>
  <c r="D15" i="45"/>
  <c r="D18" i="45"/>
  <c r="O18" i="45" s="1"/>
  <c r="E18" i="45"/>
  <c r="R18" i="45" s="1"/>
  <c r="B19" i="45"/>
  <c r="F12" i="45"/>
  <c r="U12" i="45" s="1"/>
  <c r="D16" i="45"/>
  <c r="O16" i="45" s="1"/>
  <c r="D19" i="45" l="1"/>
  <c r="O19" i="45" s="1"/>
  <c r="B20" i="45"/>
  <c r="C19" i="45"/>
  <c r="L19" i="45" s="1"/>
  <c r="F19" i="45"/>
  <c r="U19" i="45" s="1"/>
  <c r="E19" i="45"/>
  <c r="R19" i="45" s="1"/>
  <c r="F10" i="45"/>
  <c r="U10" i="45" s="1"/>
  <c r="O13" i="45"/>
  <c r="L14" i="13"/>
  <c r="D19" i="44"/>
  <c r="O19" i="44" s="1"/>
  <c r="C19" i="44"/>
  <c r="L19" i="44" s="1"/>
  <c r="B20" i="44"/>
  <c r="E19" i="44"/>
  <c r="R19" i="44" s="1"/>
  <c r="F19" i="44"/>
  <c r="U19" i="44" s="1"/>
  <c r="E10" i="45"/>
  <c r="R10" i="45" s="1"/>
  <c r="O12" i="45"/>
  <c r="L13" i="13"/>
  <c r="O11" i="45"/>
  <c r="L12" i="13"/>
  <c r="O15" i="45"/>
  <c r="L16" i="13"/>
  <c r="N16" i="13" s="1"/>
  <c r="C10" i="45"/>
  <c r="L10" i="45" s="1"/>
  <c r="O14" i="45"/>
  <c r="L15" i="13"/>
  <c r="N15" i="13" s="1"/>
  <c r="D10" i="45"/>
  <c r="O10" i="45" s="1"/>
  <c r="N14" i="13" l="1"/>
  <c r="N12" i="13"/>
  <c r="D20" i="44"/>
  <c r="O20" i="44" s="1"/>
  <c r="B21" i="44"/>
  <c r="C20" i="44"/>
  <c r="L20" i="44" s="1"/>
  <c r="F20" i="44"/>
  <c r="U20" i="44" s="1"/>
  <c r="E20" i="44"/>
  <c r="R20" i="44" s="1"/>
  <c r="N13" i="13"/>
  <c r="D20" i="45"/>
  <c r="O20" i="45" s="1"/>
  <c r="C20" i="45"/>
  <c r="L20" i="45" s="1"/>
  <c r="E20" i="45"/>
  <c r="R20" i="45" s="1"/>
  <c r="F20" i="45"/>
  <c r="U20" i="45" s="1"/>
  <c r="B21" i="45"/>
  <c r="D21" i="45" l="1"/>
  <c r="O21" i="45" s="1"/>
  <c r="B22" i="45"/>
  <c r="C21" i="45"/>
  <c r="L21" i="45" s="1"/>
  <c r="F21" i="45"/>
  <c r="U21" i="45" s="1"/>
  <c r="E21" i="45"/>
  <c r="R21" i="45" s="1"/>
  <c r="D21" i="44"/>
  <c r="O21" i="44" s="1"/>
  <c r="C21" i="44"/>
  <c r="L21" i="44" s="1"/>
  <c r="E21" i="44"/>
  <c r="R21" i="44" s="1"/>
  <c r="F21" i="44"/>
  <c r="U21" i="44" s="1"/>
  <c r="B22" i="44"/>
  <c r="D22" i="45" l="1"/>
  <c r="O22" i="45" s="1"/>
  <c r="C22" i="45"/>
  <c r="L22" i="45" s="1"/>
  <c r="B23" i="45"/>
  <c r="E22" i="45"/>
  <c r="R22" i="45" s="1"/>
  <c r="F22" i="45"/>
  <c r="U22" i="45" s="1"/>
  <c r="D22" i="44"/>
  <c r="O22" i="44" s="1"/>
  <c r="C22" i="44"/>
  <c r="L22" i="44" s="1"/>
  <c r="B23" i="44"/>
  <c r="F22" i="44"/>
  <c r="U22" i="44" s="1"/>
  <c r="E22" i="44"/>
  <c r="R22" i="44" s="1"/>
  <c r="D23" i="44" l="1"/>
  <c r="O23" i="44" s="1"/>
  <c r="C23" i="44"/>
  <c r="L23" i="44" s="1"/>
  <c r="E23" i="44"/>
  <c r="R23" i="44" s="1"/>
  <c r="F23" i="44"/>
  <c r="U23" i="44" s="1"/>
  <c r="B24" i="44"/>
  <c r="D23" i="45"/>
  <c r="O23" i="45" s="1"/>
  <c r="C23" i="45"/>
  <c r="L23" i="45" s="1"/>
  <c r="F23" i="45"/>
  <c r="U23" i="45" s="1"/>
  <c r="B24" i="45"/>
  <c r="E23" i="45"/>
  <c r="R23" i="45" s="1"/>
  <c r="D24" i="45" l="1"/>
  <c r="O24" i="45" s="1"/>
  <c r="C24" i="45"/>
  <c r="L24" i="45" s="1"/>
  <c r="B25" i="45"/>
  <c r="E24" i="45"/>
  <c r="R24" i="45" s="1"/>
  <c r="F24" i="45"/>
  <c r="U24" i="45" s="1"/>
  <c r="D24" i="44"/>
  <c r="O24" i="44" s="1"/>
  <c r="C24" i="44"/>
  <c r="L24" i="44" s="1"/>
  <c r="F24" i="44"/>
  <c r="U24" i="44" s="1"/>
  <c r="B25" i="44"/>
  <c r="E24" i="44"/>
  <c r="R24" i="44" s="1"/>
  <c r="D25" i="44" l="1"/>
  <c r="O25" i="44" s="1"/>
  <c r="B26" i="44"/>
  <c r="C25" i="44"/>
  <c r="L25" i="44" s="1"/>
  <c r="E25" i="44"/>
  <c r="R25" i="44" s="1"/>
  <c r="F25" i="44"/>
  <c r="U25" i="44" s="1"/>
  <c r="D25" i="45"/>
  <c r="O25" i="45" s="1"/>
  <c r="O41" i="45" s="1"/>
  <c r="C25" i="45"/>
  <c r="L25" i="45" s="1"/>
  <c r="F25" i="45"/>
  <c r="U25" i="45" s="1"/>
  <c r="E25" i="45"/>
  <c r="R25" i="45" s="1"/>
  <c r="B26" i="45"/>
  <c r="D26" i="45" l="1"/>
  <c r="O26" i="45" s="1"/>
  <c r="O35" i="45" s="1"/>
  <c r="P35" i="45" s="1"/>
  <c r="D35" i="45" s="1"/>
  <c r="B27" i="45"/>
  <c r="C26" i="45"/>
  <c r="L26" i="45" s="1"/>
  <c r="L35" i="45" s="1"/>
  <c r="M35" i="45" s="1"/>
  <c r="C35" i="45" s="1"/>
  <c r="E26" i="45"/>
  <c r="R26" i="45" s="1"/>
  <c r="R35" i="45" s="1"/>
  <c r="S35" i="45" s="1"/>
  <c r="E35" i="45" s="1"/>
  <c r="F26" i="45"/>
  <c r="U26" i="45" s="1"/>
  <c r="U35" i="45" s="1"/>
  <c r="V35" i="45" s="1"/>
  <c r="F35" i="45" s="1"/>
  <c r="D26" i="44"/>
  <c r="O26" i="44" s="1"/>
  <c r="O35" i="44" s="1"/>
  <c r="P35" i="44" s="1"/>
  <c r="D35" i="44" s="1"/>
  <c r="C26" i="44"/>
  <c r="L26" i="44" s="1"/>
  <c r="L35" i="44" s="1"/>
  <c r="M35" i="44" s="1"/>
  <c r="C35" i="44" s="1"/>
  <c r="F26" i="44"/>
  <c r="U26" i="44" s="1"/>
  <c r="U35" i="44" s="1"/>
  <c r="V35" i="44" s="1"/>
  <c r="F35" i="44" s="1"/>
  <c r="B27" i="44"/>
  <c r="E26" i="44"/>
  <c r="R26" i="44" s="1"/>
  <c r="R35" i="44" s="1"/>
  <c r="S35" i="44" s="1"/>
  <c r="E35" i="44" s="1"/>
  <c r="U34" i="45"/>
  <c r="V34" i="45" s="1"/>
  <c r="U41" i="45"/>
  <c r="R41" i="44"/>
  <c r="R34" i="44"/>
  <c r="S34" i="44" s="1"/>
  <c r="O34" i="45"/>
  <c r="P34" i="45" s="1"/>
  <c r="L41" i="45"/>
  <c r="L34" i="45"/>
  <c r="M34" i="45" s="1"/>
  <c r="L41" i="44"/>
  <c r="L34" i="44"/>
  <c r="M34" i="44" s="1"/>
  <c r="R41" i="45"/>
  <c r="R34" i="45"/>
  <c r="S34" i="45" s="1"/>
  <c r="U34" i="44"/>
  <c r="V34" i="44" s="1"/>
  <c r="U41" i="44"/>
  <c r="O34" i="44"/>
  <c r="P34" i="44" s="1"/>
  <c r="O41" i="44"/>
  <c r="S19" i="44" l="1"/>
  <c r="S11" i="44"/>
  <c r="S12" i="44"/>
  <c r="S27" i="44"/>
  <c r="S13" i="44"/>
  <c r="S22" i="44"/>
  <c r="S17" i="44"/>
  <c r="S15" i="44"/>
  <c r="S14" i="44"/>
  <c r="E34" i="44"/>
  <c r="S25" i="44"/>
  <c r="S23" i="44"/>
  <c r="S18" i="44"/>
  <c r="S20" i="44"/>
  <c r="S16" i="44"/>
  <c r="S24" i="44"/>
  <c r="S10" i="44"/>
  <c r="S21" i="44"/>
  <c r="S26" i="44"/>
  <c r="D27" i="45"/>
  <c r="O27" i="45" s="1"/>
  <c r="O36" i="45" s="1"/>
  <c r="P36" i="45" s="1"/>
  <c r="D36" i="45" s="1"/>
  <c r="C27" i="45"/>
  <c r="L27" i="45" s="1"/>
  <c r="L36" i="45" s="1"/>
  <c r="M36" i="45" s="1"/>
  <c r="C36" i="45" s="1"/>
  <c r="F27" i="45"/>
  <c r="U27" i="45" s="1"/>
  <c r="U36" i="45" s="1"/>
  <c r="V36" i="45" s="1"/>
  <c r="F36" i="45" s="1"/>
  <c r="E27" i="45"/>
  <c r="R27" i="45" s="1"/>
  <c r="R36" i="45" s="1"/>
  <c r="S36" i="45" s="1"/>
  <c r="E36" i="45" s="1"/>
  <c r="B28" i="45"/>
  <c r="V25" i="44"/>
  <c r="V15" i="44"/>
  <c r="V19" i="44"/>
  <c r="V27" i="44"/>
  <c r="V22" i="44"/>
  <c r="V20" i="44"/>
  <c r="V26" i="44"/>
  <c r="V21" i="44"/>
  <c r="V11" i="44"/>
  <c r="V24" i="44"/>
  <c r="V18" i="44"/>
  <c r="V23" i="44"/>
  <c r="V12" i="44"/>
  <c r="V17" i="44"/>
  <c r="F34" i="44"/>
  <c r="V16" i="44"/>
  <c r="V13" i="44"/>
  <c r="V14" i="44"/>
  <c r="V10" i="44"/>
  <c r="M27" i="45"/>
  <c r="M19" i="45"/>
  <c r="M23" i="45"/>
  <c r="M20" i="45"/>
  <c r="C34" i="45"/>
  <c r="M22" i="45"/>
  <c r="M15" i="45"/>
  <c r="M16" i="45"/>
  <c r="M14" i="45"/>
  <c r="M17" i="45"/>
  <c r="M13" i="45"/>
  <c r="M25" i="45"/>
  <c r="M12" i="45"/>
  <c r="M11" i="45"/>
  <c r="M26" i="45"/>
  <c r="M18" i="45"/>
  <c r="M24" i="45"/>
  <c r="M21" i="45"/>
  <c r="M10" i="45"/>
  <c r="D27" i="44"/>
  <c r="O27" i="44" s="1"/>
  <c r="O36" i="44" s="1"/>
  <c r="P36" i="44" s="1"/>
  <c r="D36" i="44" s="1"/>
  <c r="C27" i="44"/>
  <c r="L27" i="44" s="1"/>
  <c r="L36" i="44" s="1"/>
  <c r="M36" i="44" s="1"/>
  <c r="C36" i="44" s="1"/>
  <c r="E27" i="44"/>
  <c r="R27" i="44" s="1"/>
  <c r="R36" i="44" s="1"/>
  <c r="S36" i="44" s="1"/>
  <c r="E36" i="44" s="1"/>
  <c r="F27" i="44"/>
  <c r="U27" i="44" s="1"/>
  <c r="U36" i="44" s="1"/>
  <c r="V36" i="44" s="1"/>
  <c r="F36" i="44" s="1"/>
  <c r="B28" i="44"/>
  <c r="E34" i="45"/>
  <c r="S12" i="45"/>
  <c r="S18" i="45"/>
  <c r="S22" i="45"/>
  <c r="S16" i="45"/>
  <c r="S25" i="45"/>
  <c r="S11" i="45"/>
  <c r="S27" i="45"/>
  <c r="S23" i="45"/>
  <c r="S15" i="45"/>
  <c r="S24" i="45"/>
  <c r="S21" i="45"/>
  <c r="S10" i="45"/>
  <c r="S19" i="45"/>
  <c r="S14" i="45"/>
  <c r="S26" i="45"/>
  <c r="S20" i="45"/>
  <c r="S17" i="45"/>
  <c r="S13" i="45"/>
  <c r="P14" i="44"/>
  <c r="P27" i="44"/>
  <c r="P21" i="44"/>
  <c r="P24" i="44"/>
  <c r="P26" i="44"/>
  <c r="P10" i="44"/>
  <c r="P23" i="44"/>
  <c r="P17" i="44"/>
  <c r="P12" i="44"/>
  <c r="P22" i="44"/>
  <c r="P20" i="44"/>
  <c r="P15" i="44"/>
  <c r="P13" i="44"/>
  <c r="P19" i="44"/>
  <c r="P18" i="44"/>
  <c r="P16" i="44"/>
  <c r="P25" i="44"/>
  <c r="D34" i="44"/>
  <c r="P11" i="44"/>
  <c r="C34" i="44"/>
  <c r="M23" i="44"/>
  <c r="M10" i="44"/>
  <c r="M19" i="44"/>
  <c r="M22" i="44"/>
  <c r="M18" i="44"/>
  <c r="M11" i="44"/>
  <c r="M14" i="44"/>
  <c r="M26" i="44"/>
  <c r="M25" i="44"/>
  <c r="M21" i="44"/>
  <c r="M15" i="44"/>
  <c r="M17" i="44"/>
  <c r="M13" i="44"/>
  <c r="M27" i="44"/>
  <c r="M20" i="44"/>
  <c r="M24" i="44"/>
  <c r="M16" i="44"/>
  <c r="M12" i="44"/>
  <c r="P27" i="45"/>
  <c r="P16" i="45"/>
  <c r="P17" i="45"/>
  <c r="P12" i="45"/>
  <c r="P20" i="45"/>
  <c r="P11" i="45"/>
  <c r="P23" i="45"/>
  <c r="P13" i="45"/>
  <c r="P14" i="45"/>
  <c r="P21" i="45"/>
  <c r="P24" i="45"/>
  <c r="P26" i="45"/>
  <c r="P19" i="45"/>
  <c r="P15" i="45"/>
  <c r="D34" i="45"/>
  <c r="P25" i="45"/>
  <c r="P10" i="45"/>
  <c r="P22" i="45"/>
  <c r="P18" i="45"/>
  <c r="V22" i="45"/>
  <c r="V18" i="45"/>
  <c r="V11" i="45"/>
  <c r="V23" i="45"/>
  <c r="V12" i="45"/>
  <c r="V10" i="45"/>
  <c r="V17" i="45"/>
  <c r="V20" i="45"/>
  <c r="V26" i="45"/>
  <c r="F34" i="45"/>
  <c r="V16" i="45"/>
  <c r="V13" i="45"/>
  <c r="V24" i="45"/>
  <c r="V14" i="45"/>
  <c r="V19" i="45"/>
  <c r="V15" i="45"/>
  <c r="V27" i="45"/>
  <c r="V25" i="45"/>
  <c r="V21" i="45"/>
  <c r="P41" i="44" l="1"/>
  <c r="P42" i="44" s="1"/>
  <c r="M41" i="45"/>
  <c r="M42" i="45" s="1"/>
  <c r="M41" i="44"/>
  <c r="M42" i="44" s="1"/>
  <c r="S41" i="44"/>
  <c r="S42" i="44" s="1"/>
  <c r="D28" i="44"/>
  <c r="B29" i="44"/>
  <c r="C28" i="44"/>
  <c r="F28" i="44"/>
  <c r="E28" i="44"/>
  <c r="V41" i="44"/>
  <c r="V42" i="44" s="1"/>
  <c r="V41" i="45"/>
  <c r="V42" i="45" s="1"/>
  <c r="P41" i="45"/>
  <c r="P42" i="45" s="1"/>
  <c r="S41" i="45"/>
  <c r="S42" i="45" s="1"/>
  <c r="D28" i="45"/>
  <c r="C28" i="45"/>
  <c r="B29" i="45"/>
  <c r="E28" i="45"/>
  <c r="F28" i="45"/>
  <c r="D29" i="45" l="1"/>
  <c r="C29" i="45"/>
  <c r="F29" i="45"/>
  <c r="E29" i="45"/>
  <c r="B30" i="45"/>
  <c r="D29" i="44"/>
  <c r="B30" i="44"/>
  <c r="C29" i="44"/>
  <c r="F29" i="44"/>
  <c r="E29" i="44"/>
  <c r="D30" i="44" l="1"/>
  <c r="I17" i="13" s="1"/>
  <c r="C30" i="44"/>
  <c r="E30" i="44"/>
  <c r="F30" i="44"/>
  <c r="I28" i="13"/>
  <c r="K28" i="13" s="1"/>
  <c r="I20" i="13"/>
  <c r="K20" i="13" s="1"/>
  <c r="I19" i="13"/>
  <c r="K19" i="13" s="1"/>
  <c r="I22" i="13"/>
  <c r="K22" i="13" s="1"/>
  <c r="I21" i="13"/>
  <c r="K21" i="13" s="1"/>
  <c r="I26" i="13"/>
  <c r="K26" i="13" s="1"/>
  <c r="I27" i="13"/>
  <c r="K27" i="13" s="1"/>
  <c r="I24" i="13"/>
  <c r="K24" i="13" s="1"/>
  <c r="I29" i="13"/>
  <c r="K29" i="13" s="1"/>
  <c r="I23" i="13"/>
  <c r="K23" i="13" s="1"/>
  <c r="I25" i="13"/>
  <c r="K25" i="13" s="1"/>
  <c r="I30" i="13"/>
  <c r="K30" i="13" s="1"/>
  <c r="D30" i="45"/>
  <c r="C30" i="45"/>
  <c r="F30" i="45"/>
  <c r="E30" i="45"/>
  <c r="L22" i="13"/>
  <c r="N22" i="13" s="1"/>
  <c r="L20" i="13"/>
  <c r="N20" i="13" s="1"/>
  <c r="L19" i="13"/>
  <c r="N19" i="13" s="1"/>
  <c r="L25" i="13"/>
  <c r="N25" i="13" s="1"/>
  <c r="L23" i="13"/>
  <c r="N23" i="13" s="1"/>
  <c r="L24" i="13"/>
  <c r="N24" i="13" s="1"/>
  <c r="L27" i="13"/>
  <c r="N27" i="13" s="1"/>
  <c r="L28" i="13"/>
  <c r="N28" i="13" s="1"/>
  <c r="L30" i="13"/>
  <c r="N30" i="13" s="1"/>
  <c r="L26" i="13"/>
  <c r="N26" i="13" s="1"/>
  <c r="L21" i="13"/>
  <c r="N21" i="13" s="1"/>
  <c r="L29" i="13"/>
  <c r="N29" i="13" s="1"/>
  <c r="L17" i="13" l="1"/>
  <c r="L18" i="13"/>
  <c r="N18" i="13" s="1"/>
  <c r="K17" i="13"/>
  <c r="I40" i="13"/>
  <c r="I37" i="13"/>
  <c r="I43" i="13"/>
  <c r="K43" i="13" l="1"/>
  <c r="K37" i="13"/>
  <c r="K40" i="13"/>
  <c r="N17" i="13"/>
  <c r="L40" i="13"/>
  <c r="L43" i="13"/>
  <c r="L37" i="13"/>
  <c r="N43" i="13" l="1"/>
  <c r="N40" i="13"/>
  <c r="N37" i="13"/>
</calcChain>
</file>

<file path=xl/sharedStrings.xml><?xml version="1.0" encoding="utf-8"?>
<sst xmlns="http://schemas.openxmlformats.org/spreadsheetml/2006/main" count="414" uniqueCount="248">
  <si>
    <t>Year</t>
  </si>
  <si>
    <t>Total</t>
  </si>
  <si>
    <t>(a)</t>
  </si>
  <si>
    <t>(b)</t>
  </si>
  <si>
    <t>(c)</t>
  </si>
  <si>
    <t>(d)</t>
  </si>
  <si>
    <t>Table 3</t>
  </si>
  <si>
    <t>Table 4</t>
  </si>
  <si>
    <t>$/MWH</t>
  </si>
  <si>
    <t>$/MMBtu</t>
  </si>
  <si>
    <t>Winter</t>
  </si>
  <si>
    <t>Summer</t>
  </si>
  <si>
    <t>Current</t>
  </si>
  <si>
    <t>Avoided Costs</t>
  </si>
  <si>
    <t>Comparison between Proposed and Current Avoided Costs</t>
  </si>
  <si>
    <t>Fixed</t>
  </si>
  <si>
    <t>Table 1</t>
  </si>
  <si>
    <t>CF</t>
  </si>
  <si>
    <t>Source</t>
  </si>
  <si>
    <t>Natural Gas Price - Delivered to Plant</t>
  </si>
  <si>
    <t>($/MWH)</t>
  </si>
  <si>
    <t>Prices on this tab are formated to be cut and pasted directly into the tariff page</t>
  </si>
  <si>
    <t>Market Price $/MWH</t>
  </si>
  <si>
    <t>HLH</t>
  </si>
  <si>
    <t>LLH</t>
  </si>
  <si>
    <t>Mid-Columbia</t>
  </si>
  <si>
    <t>Palo Verde</t>
  </si>
  <si>
    <t>Electricity Market Prices</t>
  </si>
  <si>
    <t>Month</t>
  </si>
  <si>
    <t>$/MWh</t>
  </si>
  <si>
    <t>Calendar Year</t>
  </si>
  <si>
    <t>Off-Peak Energy Prices (¢/kWh)</t>
  </si>
  <si>
    <t xml:space="preserve">Deliveries During </t>
  </si>
  <si>
    <t>Capacity Contribution</t>
  </si>
  <si>
    <t>Wind</t>
  </si>
  <si>
    <t>Integration Costs</t>
  </si>
  <si>
    <t>Solar</t>
  </si>
  <si>
    <t>Avoided Cost Prices for Wind QF</t>
  </si>
  <si>
    <t>Avoided Cost Prices for Base Load QF</t>
  </si>
  <si>
    <t>Capacity (MW)</t>
  </si>
  <si>
    <t>Resource</t>
  </si>
  <si>
    <t>East</t>
  </si>
  <si>
    <t>Existing Plant Retirements/Conversions</t>
  </si>
  <si>
    <t>Expansion Resources</t>
  </si>
  <si>
    <t>DSM, Class 1 Total</t>
  </si>
  <si>
    <t>DSM, Class 2 Total</t>
  </si>
  <si>
    <t>West</t>
  </si>
  <si>
    <t>DSM, Class 1  Total</t>
  </si>
  <si>
    <t>DSM, Class 2  Total</t>
  </si>
  <si>
    <t>Annual Additions, Long Term Resources</t>
  </si>
  <si>
    <t>Annual Additions, Short Term Resources</t>
  </si>
  <si>
    <t>Total Annual Additions</t>
  </si>
  <si>
    <t>Resource Totals 1/</t>
  </si>
  <si>
    <t>10-year</t>
  </si>
  <si>
    <t>20-year</t>
  </si>
  <si>
    <t>Avoided Cost Prices for Fixed Solar QF</t>
  </si>
  <si>
    <t>Avoided Cost Prices for Tracking Solar QF</t>
  </si>
  <si>
    <t>on-peak Summer</t>
  </si>
  <si>
    <t>on-peak Winter</t>
  </si>
  <si>
    <t>off-peak Summer</t>
  </si>
  <si>
    <t>off-peak Winter</t>
  </si>
  <si>
    <t>Generation Profile_Baseload</t>
  </si>
  <si>
    <t>Generation Profile_Wind*</t>
  </si>
  <si>
    <t>Natural Gas Price Delivered to Plant  ($/MMBtu)</t>
  </si>
  <si>
    <t>Market Prices in $/MWH</t>
  </si>
  <si>
    <t>FORWARD PRICE CURVE SUMMARY</t>
  </si>
  <si>
    <t>Quotes Dated:</t>
  </si>
  <si>
    <t>Sample of source data</t>
  </si>
  <si>
    <t>Date</t>
  </si>
  <si>
    <t>Mid C</t>
  </si>
  <si>
    <t>PV</t>
  </si>
  <si>
    <t>Chk Ttl</t>
  </si>
  <si>
    <t>Check Totals</t>
  </si>
  <si>
    <t>PV HLH/Flat Ratio</t>
  </si>
  <si>
    <t>PV Flat</t>
  </si>
  <si>
    <t>PV LLH/Flat Ratio</t>
  </si>
  <si>
    <t xml:space="preserve"> </t>
  </si>
  <si>
    <t>On Peak Energy Prices (¢/kWh)</t>
  </si>
  <si>
    <t>BASE LOAD</t>
  </si>
  <si>
    <t>WIND</t>
  </si>
  <si>
    <t>SOLAR FIXED</t>
  </si>
  <si>
    <t>SOLAR TRACKING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</si>
  <si>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</si>
  <si>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</si>
  <si>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</si>
  <si>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</si>
  <si>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</si>
  <si>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</si>
  <si>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</si>
  <si>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</si>
  <si>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</si>
  <si>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</si>
  <si>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</si>
  <si>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Total CCCT</t>
  </si>
  <si>
    <t>DSM, Class 2, ID</t>
  </si>
  <si>
    <t>DSM, Class 2, UT</t>
  </si>
  <si>
    <t>DSM, Class 2, WY</t>
  </si>
  <si>
    <t>DSM, Class 1, OR-Curtail</t>
  </si>
  <si>
    <t>DSM, Class 1, OR-Irrigate</t>
  </si>
  <si>
    <t>DSM, Class 2, CA</t>
  </si>
  <si>
    <t>DSM, Class 2, OR</t>
  </si>
  <si>
    <t>DSM, Class 2, WA</t>
  </si>
  <si>
    <t>Generation Profile_Solar Fixed</t>
  </si>
  <si>
    <t>Generation Profile_Solar Tracking</t>
  </si>
  <si>
    <t>Table 6</t>
  </si>
  <si>
    <t>DSM, Class 1, ID-Curtail</t>
  </si>
  <si>
    <t>DSM, Class 1, ID-Irrigate</t>
  </si>
  <si>
    <t>DSM, Class 1, UT-Curtail</t>
  </si>
  <si>
    <t>DSM, Class 1, UT-Irrigate</t>
  </si>
  <si>
    <t>DSM, Class 1, WY-Curtail</t>
  </si>
  <si>
    <t>DSM, Class 1, WY-Irrigate</t>
  </si>
  <si>
    <t>DSM, Class 1, CA-Irrigate</t>
  </si>
  <si>
    <t>DSM, Class 1, WA-Curtail</t>
  </si>
  <si>
    <t>DSM, Class 1, WA-Irrigate</t>
  </si>
  <si>
    <t>IRP - Wyo NE</t>
  </si>
  <si>
    <t>Burnertip Annual Average Price</t>
  </si>
  <si>
    <t>Discount Rate - 2017 IRP</t>
  </si>
  <si>
    <t>15-year (2018-2032) Nominal Levelized</t>
  </si>
  <si>
    <t>15-year (2019-2033) Nominal Levelized</t>
  </si>
  <si>
    <t>15-year (2020-2034) Nominal Levelized</t>
  </si>
  <si>
    <t>Off-Peak Energy Prices (¢/kWh) (1)</t>
  </si>
  <si>
    <t>Craig 1  (Coal Early Retirement/Conversions)</t>
  </si>
  <si>
    <t>Craig 2</t>
  </si>
  <si>
    <t>Wind - Repower Existing resource</t>
  </si>
  <si>
    <t>East Wind-Repower</t>
  </si>
  <si>
    <t>CCCT - DJohns - J 1x1</t>
  </si>
  <si>
    <t>SCCT Frame DJ</t>
  </si>
  <si>
    <t>SCCT Frame UTN</t>
  </si>
  <si>
    <t>Wind, Djohnston</t>
  </si>
  <si>
    <t>Wind, GO</t>
  </si>
  <si>
    <t>Wind, WYAE</t>
  </si>
  <si>
    <t>Total Wind</t>
  </si>
  <si>
    <t>Utility Solar - PV - Utah-S</t>
  </si>
  <si>
    <t>DSM, Class 1, ID-Cool/WH</t>
  </si>
  <si>
    <t>DSM, Class 1, UT-Cool/WH</t>
  </si>
  <si>
    <t>DSM, Class 1, WY-Cool/WH</t>
  </si>
  <si>
    <t>FOT Mona - SMR</t>
  </si>
  <si>
    <t>JimBridger 1  (Coal Early Retirement/Conversions)</t>
  </si>
  <si>
    <t>JimBridger 2  (Coal Early Retirement/Conversions)</t>
  </si>
  <si>
    <t>West Wind-Repower</t>
  </si>
  <si>
    <t>CCCT - WillamValcc - G 1x1</t>
  </si>
  <si>
    <t>Utility Solar - PV - Yakima</t>
  </si>
  <si>
    <t>DSM, Class 1, CA-Cool/WH</t>
  </si>
  <si>
    <t>DSM, Class 1, CA-Curtail</t>
  </si>
  <si>
    <t>DSM, Class 1, OR-Cool/WH</t>
  </si>
  <si>
    <t>DSM, Class 1, WA-Cool/WH</t>
  </si>
  <si>
    <t>Geothermal, Greenfield - West</t>
  </si>
  <si>
    <t>FOT COB - SMR</t>
  </si>
  <si>
    <t>FOT MidColumbia - SMR</t>
  </si>
  <si>
    <t>FOT MidColumbia - SMR - 2</t>
  </si>
  <si>
    <t>FOT NOB - SMR</t>
  </si>
  <si>
    <t>FOT MidColumbia - WTR</t>
  </si>
  <si>
    <t>FOT MidColumbia - WTR2</t>
  </si>
  <si>
    <t>FOT NOB - WTR</t>
  </si>
  <si>
    <t>2017 IRP Preferred Portfolio</t>
  </si>
  <si>
    <t>Excerpt from 2017 IRP Table 8.17</t>
  </si>
  <si>
    <t xml:space="preserve"> The 2017 IRP was prepared using a 13% planning reserve margin.  See 2017 IRP, page 10.</t>
  </si>
  <si>
    <t>Appendix B</t>
  </si>
  <si>
    <t>Annual</t>
  </si>
  <si>
    <t>QF Queue</t>
  </si>
  <si>
    <t>No.</t>
  </si>
  <si>
    <t>QF</t>
  </si>
  <si>
    <t>Partial Displacement</t>
  </si>
  <si>
    <t>Name plate</t>
  </si>
  <si>
    <t>Start Date</t>
  </si>
  <si>
    <t>x</t>
  </si>
  <si>
    <t>Type</t>
  </si>
  <si>
    <t xml:space="preserve">Wind </t>
  </si>
  <si>
    <t>Tracking</t>
  </si>
  <si>
    <t xml:space="preserve">Gas </t>
  </si>
  <si>
    <t xml:space="preserve">Hydro </t>
  </si>
  <si>
    <t>Total Signed MW</t>
  </si>
  <si>
    <t>QF - 245 - WY - Wind</t>
  </si>
  <si>
    <t>QF - 246 - WY - Wind</t>
  </si>
  <si>
    <t>QF - 247 - WY - Wind</t>
  </si>
  <si>
    <t>QF - 249 - OR - Solar</t>
  </si>
  <si>
    <t>QF - 279 - OR - Solar</t>
  </si>
  <si>
    <t>QF - 280 - OR - Solar</t>
  </si>
  <si>
    <t>QF - 281 - OR - Solar</t>
  </si>
  <si>
    <t>QF - 302 - WY - Solar</t>
  </si>
  <si>
    <t>QF - 328 - OR - Solar</t>
  </si>
  <si>
    <t>QF - 336 - UT - Solar</t>
  </si>
  <si>
    <t>QF - 351 - OR - Solar</t>
  </si>
  <si>
    <t>QF - 254 - OR - Solar</t>
  </si>
  <si>
    <t>QF - 372 - WY - Solar</t>
  </si>
  <si>
    <t>QF - 380 - OR - Solar</t>
  </si>
  <si>
    <t>QF - 381 - OR - Solar</t>
  </si>
  <si>
    <t>QF - 382 - UT - Solar</t>
  </si>
  <si>
    <t>QF - 383 - OR - Solar</t>
  </si>
  <si>
    <t>QF - 384 - OR - Solar</t>
  </si>
  <si>
    <t>QF - 385 - OR - Solar</t>
  </si>
  <si>
    <t>QF - 386 - UT - Solar</t>
  </si>
  <si>
    <t>QF - 387 - UT - Solar</t>
  </si>
  <si>
    <t>Total Potential MW</t>
  </si>
  <si>
    <t>Total Partial Displacement</t>
  </si>
  <si>
    <t>Regulation Reserve</t>
  </si>
  <si>
    <t>System Balancing</t>
  </si>
  <si>
    <t>System Balancing Integration Costs</t>
  </si>
  <si>
    <t>Wind Integration (Incremental)</t>
  </si>
  <si>
    <t>Tracking Solar Integration (Incremental)</t>
  </si>
  <si>
    <t>Fixed Solar Integraton Costs (Incremental)</t>
  </si>
  <si>
    <t>* Costs per MWh of wind/solar generation</t>
  </si>
  <si>
    <t>Cumm</t>
  </si>
  <si>
    <t>Incremental Flex Capacity Costs (2016 $/MWh) *</t>
  </si>
  <si>
    <t>2016 Flexible Reserve Study Results from 2017 IRP</t>
  </si>
  <si>
    <t>Pacific NW</t>
  </si>
  <si>
    <t>Period</t>
  </si>
  <si>
    <t>On Peak Winter</t>
  </si>
  <si>
    <t>On Peak Summer</t>
  </si>
  <si>
    <t>Total Hours</t>
  </si>
  <si>
    <t>HLH Hour %</t>
  </si>
  <si>
    <t>Sun/Hol</t>
  </si>
  <si>
    <t>HLH Days</t>
  </si>
  <si>
    <t>Table 5</t>
  </si>
  <si>
    <t>(e)</t>
  </si>
  <si>
    <t>(f)</t>
  </si>
  <si>
    <t>(g)</t>
  </si>
  <si>
    <t>(h)</t>
  </si>
  <si>
    <t>(i)</t>
  </si>
  <si>
    <t>(j)</t>
  </si>
  <si>
    <t>(k)</t>
  </si>
  <si>
    <t>(l)</t>
  </si>
  <si>
    <t>Proposed</t>
  </si>
  <si>
    <t>Total Difference</t>
  </si>
  <si>
    <t>(1): On- and off- peak prices are reduced by integration charges and reflect 0.5% annual degradation rate</t>
  </si>
  <si>
    <t>(1): On- and off- peak prices are reduced by integration charges</t>
  </si>
  <si>
    <t>On-Peak Energy Prices (¢/kWh)</t>
  </si>
  <si>
    <t>Peak Winter</t>
  </si>
  <si>
    <t>Peak Summer</t>
  </si>
  <si>
    <t>Off Peak  Winter</t>
  </si>
  <si>
    <t>Off Peak  Summer</t>
  </si>
  <si>
    <t>$ With degradation</t>
  </si>
  <si>
    <t>0.5 % Degradation</t>
  </si>
  <si>
    <t>Check</t>
  </si>
  <si>
    <t>NPV (2018-2032)</t>
  </si>
  <si>
    <t>Company Official Inflation Forecast Dated March 2017</t>
  </si>
  <si>
    <t>(x) Extrapolated</t>
  </si>
  <si>
    <t>Boswell Springs I Wind</t>
  </si>
  <si>
    <t>Boswell Springs II Wind</t>
  </si>
  <si>
    <t>Boswell Springs III Wind</t>
  </si>
  <si>
    <t>Boswell Springs IV Wind</t>
  </si>
  <si>
    <t>Glen Canyon A Solar QF</t>
  </si>
  <si>
    <t>Glen Canyon B Solar QF</t>
  </si>
  <si>
    <t>Sage I Solar QF</t>
  </si>
  <si>
    <t>Sage II Solar QF</t>
  </si>
  <si>
    <t>BYU-ID QF</t>
  </si>
  <si>
    <t>Beatty Solar (Terminated)</t>
  </si>
  <si>
    <t>QF - 397 - OR -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</si>
</sst>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0.0%"/>
    <numFmt numFmtId="169" formatCode="_(* #,##0.0_);_(* \(#,##0.0\);_(* &quot;-&quot;??_);_(@_)"/>
    <numFmt numFmtId="170" formatCode="&quot;$&quot;###0;[Red]\(&quot;$&quot;###0\)"/>
    <numFmt numFmtId="171" formatCode="_(&quot;$&quot;* #,##0_);_(&quot;$&quot;* \(#,##0\);_(&quot;$&quot;* &quot;-&quot;??_);_(@_)"/>
    <numFmt numFmtId="172" formatCode="&quot;$&quot;#,##0.000_);[Red]\(&quot;$&quot;#,##0.000\)"/>
    <numFmt numFmtId="173" formatCode="_(* #,##0_);[Red]_(* \(#,##0\);_(* &quot;-&quot;_);_(@_)"/>
    <numFmt numFmtId="174" formatCode="0.000"/>
    <numFmt numFmtId="175" formatCode="0.000%"/>
    <numFmt numFmtId="176" formatCode="#,##0.000_);\(#,##0.000\)"/>
    <numFmt numFmtId="177" formatCode="_(* #,##0.000_);[Red]_(* \(#,##0.000\);_(* &quot;-&quot;_);_(@_)"/>
    <numFmt numFmtId="178" formatCode="_(* #,##0.00_);[Red]_(* \(#,##0.00\);_(* &quot;-&quot;_);_(@_)"/>
    <numFmt numFmtId="179" formatCode="_(* #,##0.000_);_(* \(#,##0.000\);_(* &quot;-&quot;??_);_(@_)"/>
    <numFmt numFmtId="180" formatCode="[$-409]mmmm\ d\,\ yyyy;@"/>
    <numFmt numFmtId="181" formatCode="yyyy\ mm\ dd"/>
    <numFmt numFmtId="182" formatCode="yyyy\ mmm\ dd"/>
    <numFmt numFmtId="183" formatCode="#,##0.0_);\(#,##0.0\)"/>
    <numFmt numFmtId="184" formatCode="_(* #,##0.0000_);_(* \(#,##0.0000\);_(* &quot;-&quot;??_);_(@_)"/>
    <numFmt numFmtId="185" formatCode="_(&quot;$&quot;* #,##0.000_);_(&quot;$&quot;* \(#,##0.000\);_(&quot;$&quot;* &quot;-&quot;??_);_(@_)"/>
  </numFmts>
  <fonts count="37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Times New Roman"/>
      <family val="1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1F497D"/>
      <name val="Calibri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8">
    <xf numFmtId="173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5" fillId="0" borderId="0" applyFont="0" applyFill="0" applyBorder="0" applyProtection="0">
      <alignment horizontal="right"/>
    </xf>
    <xf numFmtId="0" fontId="14" fillId="0" borderId="0" applyNumberFormat="0" applyFill="0" applyBorder="0" applyAlignment="0">
      <protection locked="0"/>
    </xf>
    <xf numFmtId="165" fontId="16" fillId="0" borderId="0" applyNumberFormat="0" applyFill="0" applyBorder="0" applyAlignment="0" applyProtection="0"/>
    <xf numFmtId="0" fontId="17" fillId="0" borderId="1" applyNumberFormat="0" applyBorder="0" applyAlignment="0"/>
    <xf numFmtId="0" fontId="6" fillId="0" borderId="0"/>
    <xf numFmtId="173" fontId="6" fillId="0" borderId="0"/>
    <xf numFmtId="0" fontId="4" fillId="0" borderId="0"/>
    <xf numFmtId="173" fontId="4" fillId="0" borderId="0"/>
    <xf numFmtId="12" fontId="13" fillId="2" borderId="2">
      <alignment horizontal="left"/>
    </xf>
    <xf numFmtId="9" fontId="4" fillId="0" borderId="0" applyFont="0" applyFill="0" applyBorder="0" applyAlignment="0" applyProtection="0"/>
    <xf numFmtId="37" fontId="17" fillId="3" borderId="0" applyNumberFormat="0" applyBorder="0" applyAlignment="0" applyProtection="0"/>
    <xf numFmtId="37" fontId="18" fillId="0" borderId="0"/>
    <xf numFmtId="3" fontId="19" fillId="4" borderId="3" applyProtection="0"/>
    <xf numFmtId="173" fontId="4" fillId="0" borderId="0"/>
    <xf numFmtId="173" fontId="6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173" fontId="6" fillId="0" borderId="0"/>
    <xf numFmtId="173" fontId="4" fillId="0" borderId="0"/>
    <xf numFmtId="173" fontId="1" fillId="0" borderId="0"/>
    <xf numFmtId="173" fontId="4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3" fillId="0" borderId="0" applyNumberFormat="0" applyFill="0" applyBorder="0" applyAlignment="0" applyProtection="0"/>
    <xf numFmtId="0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385">
    <xf numFmtId="173" fontId="0" fillId="0" borderId="0" xfId="0"/>
    <xf numFmtId="173" fontId="7" fillId="0" borderId="0" xfId="0" applyFont="1" applyFill="1" applyAlignment="1">
      <alignment horizontal="centerContinuous"/>
    </xf>
    <xf numFmtId="173" fontId="12" fillId="0" borderId="0" xfId="0" applyFont="1" applyFill="1" applyAlignment="1">
      <alignment horizontal="centerContinuous"/>
    </xf>
    <xf numFmtId="173" fontId="8" fillId="0" borderId="0" xfId="0" applyFont="1" applyFill="1" applyAlignment="1">
      <alignment horizontal="centerContinuous"/>
    </xf>
    <xf numFmtId="173" fontId="10" fillId="0" borderId="0" xfId="0" applyFont="1" applyFill="1"/>
    <xf numFmtId="173" fontId="10" fillId="0" borderId="0" xfId="0" applyFont="1" applyFill="1" applyAlignment="1">
      <alignment horizontal="centerContinuous"/>
    </xf>
    <xf numFmtId="173" fontId="11" fillId="0" borderId="0" xfId="0" applyFont="1" applyFill="1"/>
    <xf numFmtId="173" fontId="7" fillId="0" borderId="0" xfId="8" applyFont="1" applyFill="1" applyAlignment="1">
      <alignment horizontal="centerContinuous"/>
    </xf>
    <xf numFmtId="173" fontId="5" fillId="0" borderId="4" xfId="8" applyFont="1" applyFill="1" applyBorder="1" applyAlignment="1">
      <alignment horizontal="center"/>
    </xf>
    <xf numFmtId="173" fontId="9" fillId="0" borderId="0" xfId="8" quotePrefix="1" applyFont="1" applyFill="1" applyBorder="1" applyAlignment="1">
      <alignment horizontal="center"/>
    </xf>
    <xf numFmtId="173" fontId="8" fillId="0" borderId="0" xfId="8" applyFont="1" applyFill="1" applyAlignment="1">
      <alignment horizontal="centerContinuous"/>
    </xf>
    <xf numFmtId="173" fontId="5" fillId="0" borderId="11" xfId="8" applyFont="1" applyFill="1" applyBorder="1" applyAlignment="1">
      <alignment horizontal="centerContinuous"/>
    </xf>
    <xf numFmtId="173" fontId="5" fillId="0" borderId="6" xfId="8" applyFont="1" applyFill="1" applyBorder="1" applyAlignment="1">
      <alignment horizontal="center"/>
    </xf>
    <xf numFmtId="173" fontId="5" fillId="0" borderId="10" xfId="8" applyFont="1" applyFill="1" applyBorder="1" applyAlignment="1">
      <alignment horizontal="center"/>
    </xf>
    <xf numFmtId="173" fontId="20" fillId="0" borderId="0" xfId="8" applyFont="1" applyFill="1" applyAlignment="1">
      <alignment horizontal="left"/>
    </xf>
    <xf numFmtId="173" fontId="7" fillId="0" borderId="0" xfId="10" applyFont="1" applyAlignment="1">
      <alignment horizontal="centerContinuous"/>
    </xf>
    <xf numFmtId="173" fontId="6" fillId="0" borderId="0" xfId="10" applyFont="1"/>
    <xf numFmtId="173" fontId="0" fillId="0" borderId="0" xfId="8" applyFont="1" applyFill="1"/>
    <xf numFmtId="173" fontId="0" fillId="0" borderId="0" xfId="0" applyFont="1" applyFill="1"/>
    <xf numFmtId="168" fontId="0" fillId="0" borderId="0" xfId="12" applyNumberFormat="1" applyFont="1" applyFill="1"/>
    <xf numFmtId="173" fontId="0" fillId="0" borderId="0" xfId="8" applyFont="1" applyFill="1" applyAlignment="1">
      <alignment horizontal="centerContinuous"/>
    </xf>
    <xf numFmtId="173" fontId="0" fillId="0" borderId="10" xfId="8" applyFont="1" applyFill="1" applyBorder="1"/>
    <xf numFmtId="173" fontId="0" fillId="0" borderId="0" xfId="8" quotePrefix="1" applyFont="1" applyFill="1" applyBorder="1" applyAlignment="1">
      <alignment horizontal="center"/>
    </xf>
    <xf numFmtId="0" fontId="0" fillId="0" borderId="0" xfId="8" applyNumberFormat="1" applyFont="1" applyFill="1" applyAlignment="1">
      <alignment horizontal="center"/>
    </xf>
    <xf numFmtId="167" fontId="0" fillId="0" borderId="0" xfId="8" applyNumberFormat="1" applyFont="1" applyFill="1" applyBorder="1" applyAlignment="1">
      <alignment horizontal="center"/>
    </xf>
    <xf numFmtId="173" fontId="0" fillId="0" borderId="0" xfId="8" applyFont="1" applyFill="1" applyAlignment="1">
      <alignment horizontal="right"/>
    </xf>
    <xf numFmtId="173" fontId="0" fillId="0" borderId="0" xfId="8" applyFont="1" applyFill="1" applyBorder="1" applyAlignment="1">
      <alignment horizontal="center"/>
    </xf>
    <xf numFmtId="175" fontId="0" fillId="0" borderId="0" xfId="0" applyNumberFormat="1" applyFont="1" applyFill="1" applyAlignment="1">
      <alignment horizontal="center"/>
    </xf>
    <xf numFmtId="173" fontId="7" fillId="0" borderId="0" xfId="10" applyFont="1" applyFill="1" applyAlignment="1">
      <alignment horizontal="centerContinuous"/>
    </xf>
    <xf numFmtId="173" fontId="22" fillId="0" borderId="0" xfId="0" applyFont="1" applyFill="1"/>
    <xf numFmtId="173" fontId="22" fillId="0" borderId="0" xfId="0" applyFont="1" applyFill="1" applyBorder="1" applyAlignment="1">
      <alignment horizontal="center"/>
    </xf>
    <xf numFmtId="173" fontId="22" fillId="0" borderId="0" xfId="0" applyFont="1" applyFill="1" applyAlignment="1">
      <alignment horizontal="center"/>
    </xf>
    <xf numFmtId="173" fontId="23" fillId="0" borderId="0" xfId="0" applyFont="1" applyFill="1" applyBorder="1" applyAlignment="1">
      <alignment horizontal="centerContinuous"/>
    </xf>
    <xf numFmtId="173" fontId="24" fillId="0" borderId="0" xfId="0" applyFont="1" applyFill="1" applyBorder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174" fontId="22" fillId="0" borderId="0" xfId="0" applyNumberFormat="1" applyFont="1" applyFill="1" applyAlignment="1">
      <alignment horizontal="center"/>
    </xf>
    <xf numFmtId="174" fontId="22" fillId="0" borderId="0" xfId="0" applyNumberFormat="1" applyFont="1" applyFill="1" applyBorder="1" applyAlignment="1">
      <alignment horizontal="center"/>
    </xf>
    <xf numFmtId="8" fontId="22" fillId="0" borderId="0" xfId="0" applyNumberFormat="1" applyFont="1" applyFill="1" applyAlignment="1">
      <alignment horizontal="left"/>
    </xf>
    <xf numFmtId="175" fontId="22" fillId="0" borderId="0" xfId="0" applyNumberFormat="1" applyFont="1" applyFill="1" applyAlignment="1">
      <alignment horizontal="center"/>
    </xf>
    <xf numFmtId="173" fontId="22" fillId="0" borderId="0" xfId="0" applyFont="1" applyFill="1" applyAlignment="1">
      <alignment horizontal="right"/>
    </xf>
    <xf numFmtId="173" fontId="22" fillId="0" borderId="0" xfId="0" applyFont="1" applyFill="1" applyBorder="1" applyAlignment="1">
      <alignment horizontal="right" vertical="center" wrapText="1"/>
    </xf>
    <xf numFmtId="176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/>
    </xf>
    <xf numFmtId="39" fontId="22" fillId="0" borderId="0" xfId="0" applyNumberFormat="1" applyFont="1" applyFill="1" applyBorder="1" applyAlignment="1">
      <alignment horizontal="center"/>
    </xf>
    <xf numFmtId="39" fontId="22" fillId="0" borderId="0" xfId="0" applyNumberFormat="1" applyFont="1" applyFill="1" applyBorder="1" applyAlignment="1">
      <alignment horizontal="center" vertical="center"/>
    </xf>
    <xf numFmtId="173" fontId="6" fillId="0" borderId="0" xfId="10" applyFont="1" applyAlignment="1">
      <alignment horizontal="centerContinuous"/>
    </xf>
    <xf numFmtId="173" fontId="6" fillId="0" borderId="0" xfId="0" applyFont="1" applyFill="1" applyBorder="1"/>
    <xf numFmtId="9" fontId="0" fillId="0" borderId="0" xfId="12" applyFont="1" applyFill="1"/>
    <xf numFmtId="173" fontId="6" fillId="0" borderId="0" xfId="17" applyFont="1" applyFill="1"/>
    <xf numFmtId="8" fontId="6" fillId="0" borderId="0" xfId="17" applyNumberFormat="1" applyFont="1" applyFill="1" applyAlignment="1">
      <alignment horizontal="right"/>
    </xf>
    <xf numFmtId="173" fontId="12" fillId="0" borderId="0" xfId="0" applyFont="1" applyFill="1"/>
    <xf numFmtId="0" fontId="22" fillId="0" borderId="0" xfId="0" applyNumberFormat="1" applyFont="1" applyFill="1" applyAlignment="1">
      <alignment horizontal="left" vertical="top"/>
    </xf>
    <xf numFmtId="173" fontId="25" fillId="0" borderId="0" xfId="0" applyFont="1" applyAlignment="1">
      <alignment horizontal="right" vertical="center"/>
    </xf>
    <xf numFmtId="166" fontId="26" fillId="0" borderId="0" xfId="0" applyNumberFormat="1" applyFont="1" applyAlignment="1">
      <alignment horizontal="left" vertical="center"/>
    </xf>
    <xf numFmtId="173" fontId="10" fillId="5" borderId="11" xfId="0" applyFont="1" applyFill="1" applyBorder="1" applyAlignment="1">
      <alignment horizontal="centerContinuous" vertical="center"/>
    </xf>
    <xf numFmtId="173" fontId="10" fillId="5" borderId="11" xfId="0" applyFont="1" applyFill="1" applyBorder="1" applyAlignment="1">
      <alignment horizontal="centerContinuous"/>
    </xf>
    <xf numFmtId="173" fontId="10" fillId="0" borderId="16" xfId="0" applyFont="1" applyBorder="1" applyAlignment="1"/>
    <xf numFmtId="173" fontId="5" fillId="5" borderId="6" xfId="0" applyFont="1" applyFill="1" applyBorder="1" applyAlignment="1">
      <alignment horizontal="center" vertical="top"/>
    </xf>
    <xf numFmtId="173" fontId="6" fillId="5" borderId="6" xfId="0" applyFont="1" applyFill="1" applyBorder="1" applyAlignment="1">
      <alignment horizontal="center" vertical="top"/>
    </xf>
    <xf numFmtId="173" fontId="6" fillId="5" borderId="20" xfId="0" applyFont="1" applyFill="1" applyBorder="1" applyAlignment="1">
      <alignment horizontal="center" vertical="top"/>
    </xf>
    <xf numFmtId="173" fontId="6" fillId="0" borderId="7" xfId="0" applyFont="1" applyBorder="1" applyAlignment="1"/>
    <xf numFmtId="173" fontId="6" fillId="5" borderId="21" xfId="0" applyFont="1" applyFill="1" applyBorder="1" applyAlignment="1">
      <alignment horizontal="right"/>
    </xf>
    <xf numFmtId="173" fontId="6" fillId="0" borderId="0" xfId="0" applyFont="1" applyAlignment="1"/>
    <xf numFmtId="173" fontId="6" fillId="6" borderId="12" xfId="0" applyFont="1" applyFill="1" applyBorder="1" applyAlignment="1"/>
    <xf numFmtId="173" fontId="6" fillId="6" borderId="7" xfId="0" applyFont="1" applyFill="1" applyBorder="1" applyAlignment="1"/>
    <xf numFmtId="173" fontId="0" fillId="0" borderId="0" xfId="0" applyFill="1"/>
    <xf numFmtId="173" fontId="23" fillId="0" borderId="0" xfId="0" applyFont="1" applyFill="1" applyBorder="1" applyAlignment="1">
      <alignment horizontal="left"/>
    </xf>
    <xf numFmtId="173" fontId="24" fillId="0" borderId="0" xfId="0" applyFont="1" applyFill="1" applyBorder="1" applyAlignment="1">
      <alignment horizontal="left" vertical="top"/>
    </xf>
    <xf numFmtId="173" fontId="22" fillId="0" borderId="0" xfId="0" applyFont="1" applyFill="1" applyBorder="1"/>
    <xf numFmtId="164" fontId="22" fillId="0" borderId="0" xfId="1" applyNumberFormat="1" applyFont="1" applyFill="1" applyBorder="1" applyAlignment="1">
      <alignment horizontal="left" vertical="top"/>
    </xf>
    <xf numFmtId="171" fontId="22" fillId="0" borderId="0" xfId="2" applyNumberFormat="1" applyFont="1" applyFill="1" applyBorder="1" applyAlignment="1">
      <alignment horizontal="left" vertical="top"/>
    </xf>
    <xf numFmtId="179" fontId="22" fillId="0" borderId="0" xfId="1" applyNumberFormat="1" applyFont="1" applyFill="1" applyBorder="1" applyAlignment="1">
      <alignment horizontal="left" vertical="top"/>
    </xf>
    <xf numFmtId="176" fontId="22" fillId="0" borderId="0" xfId="0" applyNumberFormat="1" applyFont="1" applyFill="1" applyBorder="1" applyAlignment="1">
      <alignment horizontal="left" vertical="top"/>
    </xf>
    <xf numFmtId="178" fontId="22" fillId="0" borderId="0" xfId="0" applyNumberFormat="1" applyFont="1" applyFill="1" applyBorder="1"/>
    <xf numFmtId="171" fontId="22" fillId="0" borderId="0" xfId="2" applyNumberFormat="1" applyFont="1" applyFill="1" applyBorder="1"/>
    <xf numFmtId="164" fontId="22" fillId="0" borderId="0" xfId="1" applyNumberFormat="1" applyFont="1" applyFill="1" applyBorder="1"/>
    <xf numFmtId="173" fontId="22" fillId="0" borderId="0" xfId="0" applyFont="1" applyFill="1" applyBorder="1" applyAlignment="1">
      <alignment horizontal="left" vertical="top"/>
    </xf>
    <xf numFmtId="10" fontId="22" fillId="0" borderId="0" xfId="12" applyNumberFormat="1" applyFont="1" applyFill="1" applyBorder="1" applyAlignment="1">
      <alignment horizontal="left" vertical="top"/>
    </xf>
    <xf numFmtId="173" fontId="0" fillId="0" borderId="0" xfId="0" applyBorder="1"/>
    <xf numFmtId="173" fontId="0" fillId="0" borderId="0" xfId="0" applyFill="1" applyBorder="1"/>
    <xf numFmtId="173" fontId="6" fillId="0" borderId="0" xfId="0" applyFont="1" applyFill="1" applyAlignment="1">
      <alignment horizontal="centerContinuous"/>
    </xf>
    <xf numFmtId="173" fontId="6" fillId="0" borderId="0" xfId="0" applyFont="1" applyFill="1"/>
    <xf numFmtId="173" fontId="13" fillId="0" borderId="18" xfId="0" applyFont="1" applyFill="1" applyBorder="1" applyAlignment="1">
      <alignment horizontal="centerContinuous"/>
    </xf>
    <xf numFmtId="173" fontId="13" fillId="0" borderId="14" xfId="0" applyFont="1" applyFill="1" applyBorder="1" applyAlignment="1">
      <alignment horizontal="centerContinuous"/>
    </xf>
    <xf numFmtId="173" fontId="13" fillId="0" borderId="0" xfId="0" applyFont="1" applyFill="1" applyAlignment="1">
      <alignment horizontal="centerContinuous"/>
    </xf>
    <xf numFmtId="0" fontId="13" fillId="0" borderId="0" xfId="20" applyFont="1" applyFill="1" applyAlignment="1">
      <alignment horizontal="centerContinuous"/>
    </xf>
    <xf numFmtId="173" fontId="21" fillId="0" borderId="0" xfId="0" applyFont="1" applyFill="1" applyAlignment="1">
      <alignment horizontal="centerContinuous"/>
    </xf>
    <xf numFmtId="173" fontId="0" fillId="0" borderId="0" xfId="8" quotePrefix="1" applyFont="1" applyFill="1"/>
    <xf numFmtId="173" fontId="4" fillId="0" borderId="0" xfId="0" applyFont="1" applyFill="1" applyBorder="1" applyAlignment="1">
      <alignment horizontal="center"/>
    </xf>
    <xf numFmtId="173" fontId="5" fillId="0" borderId="0" xfId="0" applyFont="1" applyFill="1" applyAlignment="1">
      <alignment horizontal="right"/>
    </xf>
    <xf numFmtId="180" fontId="6" fillId="0" borderId="0" xfId="0" applyNumberFormat="1" applyFont="1" applyFill="1"/>
    <xf numFmtId="173" fontId="6" fillId="0" borderId="0" xfId="0" applyFont="1" applyFill="1" applyAlignment="1">
      <alignment horizontal="left"/>
    </xf>
    <xf numFmtId="0" fontId="21" fillId="0" borderId="0" xfId="20" applyFont="1" applyFill="1" applyBorder="1" applyAlignment="1">
      <alignment horizontal="center"/>
    </xf>
    <xf numFmtId="173" fontId="21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27" fillId="0" borderId="13" xfId="20" applyFont="1" applyFill="1" applyBorder="1" applyAlignment="1">
      <alignment horizontal="center"/>
    </xf>
    <xf numFmtId="173" fontId="21" fillId="0" borderId="11" xfId="0" applyFont="1" applyFill="1" applyBorder="1" applyAlignment="1">
      <alignment horizontal="centerContinuous"/>
    </xf>
    <xf numFmtId="173" fontId="5" fillId="0" borderId="0" xfId="0" applyFont="1" applyFill="1"/>
    <xf numFmtId="0" fontId="21" fillId="0" borderId="15" xfId="20" applyFont="1" applyFill="1" applyBorder="1" applyAlignment="1">
      <alignment horizontal="center"/>
    </xf>
    <xf numFmtId="173" fontId="5" fillId="0" borderId="8" xfId="0" applyFont="1" applyFill="1" applyBorder="1" applyAlignment="1">
      <alignment horizontal="center"/>
    </xf>
    <xf numFmtId="173" fontId="5" fillId="0" borderId="5" xfId="0" applyFont="1" applyFill="1" applyBorder="1" applyAlignment="1">
      <alignment horizontal="center"/>
    </xf>
    <xf numFmtId="173" fontId="5" fillId="0" borderId="17" xfId="0" applyFont="1" applyFill="1" applyBorder="1" applyAlignment="1">
      <alignment horizontal="center"/>
    </xf>
    <xf numFmtId="0" fontId="28" fillId="0" borderId="8" xfId="20" applyFont="1" applyFill="1" applyBorder="1" applyAlignment="1">
      <alignment horizontal="center"/>
    </xf>
    <xf numFmtId="173" fontId="28" fillId="0" borderId="15" xfId="0" applyFont="1" applyFill="1" applyBorder="1" applyAlignment="1">
      <alignment horizontal="center"/>
    </xf>
    <xf numFmtId="173" fontId="28" fillId="0" borderId="11" xfId="0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/>
    </xf>
    <xf numFmtId="174" fontId="6" fillId="0" borderId="0" xfId="2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39" fontId="6" fillId="0" borderId="0" xfId="1" applyNumberFormat="1" applyFont="1" applyFill="1" applyAlignment="1">
      <alignment horizontal="center"/>
    </xf>
    <xf numFmtId="17" fontId="4" fillId="0" borderId="12" xfId="0" applyNumberFormat="1" applyFont="1" applyFill="1" applyBorder="1" applyAlignment="1">
      <alignment horizontal="center"/>
    </xf>
    <xf numFmtId="4" fontId="4" fillId="0" borderId="12" xfId="2" applyNumberFormat="1" applyFont="1" applyFill="1" applyBorder="1" applyAlignment="1">
      <alignment horizontal="center"/>
    </xf>
    <xf numFmtId="4" fontId="4" fillId="0" borderId="6" xfId="2" applyNumberFormat="1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17" fontId="6" fillId="0" borderId="15" xfId="0" applyNumberFormat="1" applyFont="1" applyFill="1" applyBorder="1" applyAlignment="1">
      <alignment horizontal="center"/>
    </xf>
    <xf numFmtId="174" fontId="6" fillId="0" borderId="9" xfId="2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17" fontId="4" fillId="0" borderId="15" xfId="0" applyNumberFormat="1" applyFont="1" applyFill="1" applyBorder="1" applyAlignment="1">
      <alignment horizontal="center"/>
    </xf>
    <xf numFmtId="4" fontId="4" fillId="0" borderId="15" xfId="2" applyNumberFormat="1" applyFont="1" applyFill="1" applyBorder="1" applyAlignment="1">
      <alignment horizontal="center"/>
    </xf>
    <xf numFmtId="4" fontId="4" fillId="0" borderId="10" xfId="2" applyNumberFormat="1" applyFont="1" applyFill="1" applyBorder="1" applyAlignment="1">
      <alignment horizontal="center"/>
    </xf>
    <xf numFmtId="4" fontId="4" fillId="0" borderId="13" xfId="2" applyNumberFormat="1" applyFont="1" applyFill="1" applyBorder="1" applyAlignment="1">
      <alignment horizontal="center"/>
    </xf>
    <xf numFmtId="4" fontId="4" fillId="0" borderId="4" xfId="2" applyNumberFormat="1" applyFont="1" applyFill="1" applyBorder="1" applyAlignment="1">
      <alignment horizontal="center"/>
    </xf>
    <xf numFmtId="43" fontId="6" fillId="0" borderId="0" xfId="1" applyFont="1" applyFill="1"/>
    <xf numFmtId="39" fontId="6" fillId="0" borderId="11" xfId="1" applyNumberFormat="1" applyFont="1" applyFill="1" applyBorder="1" applyAlignment="1">
      <alignment horizontal="center"/>
    </xf>
    <xf numFmtId="173" fontId="6" fillId="0" borderId="11" xfId="0" applyFont="1" applyFill="1" applyBorder="1" applyAlignment="1">
      <alignment horizontal="centerContinuous"/>
    </xf>
    <xf numFmtId="43" fontId="6" fillId="0" borderId="11" xfId="1" applyNumberFormat="1" applyFont="1" applyFill="1" applyBorder="1" applyAlignment="1">
      <alignment horizontal="center"/>
    </xf>
    <xf numFmtId="173" fontId="6" fillId="0" borderId="0" xfId="0" applyFont="1" applyFill="1" applyAlignment="1">
      <alignment horizontal="center"/>
    </xf>
    <xf numFmtId="0" fontId="4" fillId="0" borderId="0" xfId="20" applyFont="1" applyFill="1" applyAlignment="1">
      <alignment horizontal="center"/>
    </xf>
    <xf numFmtId="173" fontId="6" fillId="7" borderId="0" xfId="0" applyFont="1" applyFill="1"/>
    <xf numFmtId="173" fontId="4" fillId="0" borderId="0" xfId="0" applyFont="1" applyFill="1"/>
    <xf numFmtId="173" fontId="4" fillId="0" borderId="0" xfId="0" applyFont="1" applyFill="1" applyAlignment="1">
      <alignment horizontal="center"/>
    </xf>
    <xf numFmtId="0" fontId="6" fillId="0" borderId="0" xfId="20" applyFont="1" applyFill="1" applyAlignment="1">
      <alignment horizontal="center"/>
    </xf>
    <xf numFmtId="173" fontId="4" fillId="0" borderId="11" xfId="0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178" fontId="6" fillId="0" borderId="0" xfId="0" applyNumberFormat="1" applyFont="1" applyFill="1"/>
    <xf numFmtId="0" fontId="6" fillId="0" borderId="0" xfId="0" applyNumberFormat="1" applyFont="1" applyFill="1"/>
    <xf numFmtId="173" fontId="6" fillId="0" borderId="12" xfId="0" applyFont="1" applyFill="1" applyBorder="1" applyAlignment="1">
      <alignment horizontal="center"/>
    </xf>
    <xf numFmtId="173" fontId="6" fillId="0" borderId="15" xfId="0" applyFont="1" applyFill="1" applyBorder="1"/>
    <xf numFmtId="173" fontId="6" fillId="0" borderId="0" xfId="0" quotePrefix="1" applyFont="1" applyFill="1" applyBorder="1" applyAlignment="1">
      <alignment horizontal="center"/>
    </xf>
    <xf numFmtId="173" fontId="6" fillId="0" borderId="12" xfId="0" quotePrefix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178" fontId="6" fillId="0" borderId="0" xfId="0" applyNumberFormat="1" applyFont="1" applyFill="1" applyBorder="1"/>
    <xf numFmtId="10" fontId="6" fillId="0" borderId="0" xfId="0" applyNumberFormat="1" applyFont="1" applyFill="1" applyAlignment="1">
      <alignment horizontal="center"/>
    </xf>
    <xf numFmtId="173" fontId="6" fillId="0" borderId="0" xfId="0" applyFont="1" applyFill="1" applyAlignment="1">
      <alignment horizontal="right"/>
    </xf>
    <xf numFmtId="3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7" applyFont="1"/>
    <xf numFmtId="177" fontId="6" fillId="0" borderId="0" xfId="0" applyNumberFormat="1" applyFont="1" applyFill="1"/>
    <xf numFmtId="164" fontId="10" fillId="0" borderId="11" xfId="21" applyNumberFormat="1" applyFont="1" applyBorder="1" applyAlignment="1">
      <alignment horizontal="center"/>
    </xf>
    <xf numFmtId="164" fontId="10" fillId="0" borderId="10" xfId="21" applyNumberFormat="1" applyFont="1" applyBorder="1" applyAlignment="1">
      <alignment horizontal="center"/>
    </xf>
    <xf numFmtId="173" fontId="6" fillId="0" borderId="24" xfId="0" applyFont="1" applyBorder="1" applyAlignment="1"/>
    <xf numFmtId="173" fontId="5" fillId="0" borderId="25" xfId="0" applyFont="1" applyBorder="1" applyAlignment="1"/>
    <xf numFmtId="164" fontId="10" fillId="0" borderId="19" xfId="21" applyNumberFormat="1" applyFont="1" applyBorder="1" applyAlignment="1">
      <alignment horizontal="center"/>
    </xf>
    <xf numFmtId="173" fontId="6" fillId="0" borderId="15" xfId="0" applyFont="1" applyBorder="1" applyAlignment="1"/>
    <xf numFmtId="169" fontId="10" fillId="0" borderId="10" xfId="21" applyNumberFormat="1" applyFont="1" applyBorder="1" applyAlignment="1">
      <alignment horizontal="center"/>
    </xf>
    <xf numFmtId="169" fontId="10" fillId="0" borderId="11" xfId="21" applyNumberFormat="1" applyFont="1" applyBorder="1" applyAlignment="1">
      <alignment horizontal="center"/>
    </xf>
    <xf numFmtId="169" fontId="10" fillId="0" borderId="19" xfId="21" applyNumberFormat="1" applyFont="1" applyBorder="1" applyAlignment="1">
      <alignment horizontal="center"/>
    </xf>
    <xf numFmtId="164" fontId="10" fillId="0" borderId="6" xfId="21" applyNumberFormat="1" applyFont="1" applyBorder="1" applyAlignment="1">
      <alignment horizontal="center"/>
    </xf>
    <xf numFmtId="173" fontId="6" fillId="5" borderId="26" xfId="0" applyFont="1" applyFill="1" applyBorder="1" applyAlignment="1">
      <alignment horizontal="right"/>
    </xf>
    <xf numFmtId="164" fontId="10" fillId="5" borderId="23" xfId="21" applyNumberFormat="1" applyFont="1" applyFill="1" applyBorder="1" applyAlignment="1">
      <alignment horizontal="center"/>
    </xf>
    <xf numFmtId="164" fontId="10" fillId="5" borderId="22" xfId="21" applyNumberFormat="1" applyFont="1" applyFill="1" applyBorder="1" applyAlignment="1">
      <alignment horizontal="center"/>
    </xf>
    <xf numFmtId="164" fontId="10" fillId="0" borderId="0" xfId="21" applyNumberFormat="1" applyFont="1" applyFill="1" applyBorder="1" applyAlignment="1">
      <alignment horizontal="center"/>
    </xf>
    <xf numFmtId="164" fontId="10" fillId="5" borderId="11" xfId="21" applyNumberFormat="1" applyFont="1" applyFill="1" applyBorder="1" applyAlignment="1">
      <alignment horizontal="center"/>
    </xf>
    <xf numFmtId="9" fontId="0" fillId="0" borderId="0" xfId="12" applyNumberFormat="1" applyFont="1" applyFill="1"/>
    <xf numFmtId="8" fontId="22" fillId="0" borderId="0" xfId="0" applyNumberFormat="1" applyFont="1" applyFill="1"/>
    <xf numFmtId="178" fontId="22" fillId="0" borderId="0" xfId="0" applyNumberFormat="1" applyFont="1" applyFill="1"/>
    <xf numFmtId="8" fontId="22" fillId="0" borderId="0" xfId="0" applyNumberFormat="1" applyFont="1" applyFill="1" applyAlignment="1">
      <alignment horizontal="center"/>
    </xf>
    <xf numFmtId="173" fontId="10" fillId="5" borderId="11" xfId="0" applyFont="1" applyFill="1" applyBorder="1" applyAlignment="1"/>
    <xf numFmtId="1" fontId="10" fillId="5" borderId="11" xfId="0" applyNumberFormat="1" applyFont="1" applyFill="1" applyBorder="1" applyAlignment="1">
      <alignment horizontal="center"/>
    </xf>
    <xf numFmtId="0" fontId="10" fillId="5" borderId="11" xfId="0" applyNumberFormat="1" applyFont="1" applyFill="1" applyBorder="1" applyAlignment="1">
      <alignment horizontal="center"/>
    </xf>
    <xf numFmtId="173" fontId="7" fillId="5" borderId="11" xfId="0" applyFont="1" applyFill="1" applyBorder="1" applyAlignment="1">
      <alignment horizontal="centerContinuous"/>
    </xf>
    <xf numFmtId="173" fontId="5" fillId="5" borderId="28" xfId="0" applyFont="1" applyFill="1" applyBorder="1" applyAlignment="1">
      <alignment horizontal="center" vertical="top"/>
    </xf>
    <xf numFmtId="173" fontId="6" fillId="0" borderId="29" xfId="0" applyFont="1" applyBorder="1" applyAlignment="1"/>
    <xf numFmtId="173" fontId="6" fillId="0" borderId="28" xfId="0" applyFont="1" applyBorder="1" applyAlignment="1"/>
    <xf numFmtId="173" fontId="6" fillId="0" borderId="30" xfId="0" applyFont="1" applyBorder="1" applyAlignment="1"/>
    <xf numFmtId="173" fontId="6" fillId="5" borderId="12" xfId="0" applyFont="1" applyFill="1" applyBorder="1" applyAlignment="1">
      <alignment horizontal="center" vertical="top"/>
    </xf>
    <xf numFmtId="173" fontId="6" fillId="0" borderId="11" xfId="0" applyFont="1" applyBorder="1" applyAlignment="1"/>
    <xf numFmtId="173" fontId="6" fillId="0" borderId="31" xfId="0" applyFont="1" applyBorder="1" applyAlignment="1"/>
    <xf numFmtId="164" fontId="10" fillId="0" borderId="32" xfId="21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73" fontId="5" fillId="0" borderId="0" xfId="0" applyFont="1" applyFill="1" applyBorder="1" applyAlignment="1">
      <alignment horizontal="centerContinuous" wrapText="1"/>
    </xf>
    <xf numFmtId="173" fontId="6" fillId="0" borderId="28" xfId="0" applyFont="1" applyFill="1" applyBorder="1"/>
    <xf numFmtId="173" fontId="5" fillId="8" borderId="33" xfId="0" applyFont="1" applyFill="1" applyBorder="1" applyAlignment="1">
      <alignment horizontal="centerContinuous"/>
    </xf>
    <xf numFmtId="173" fontId="6" fillId="8" borderId="34" xfId="0" applyFont="1" applyFill="1" applyBorder="1" applyAlignment="1">
      <alignment horizontal="centerContinuous"/>
    </xf>
    <xf numFmtId="173" fontId="0" fillId="0" borderId="0" xfId="0" applyAlignment="1">
      <alignment horizontal="right"/>
    </xf>
    <xf numFmtId="168" fontId="29" fillId="0" borderId="0" xfId="12" applyNumberFormat="1" applyFont="1" applyFill="1"/>
    <xf numFmtId="1" fontId="29" fillId="0" borderId="0" xfId="9" applyNumberFormat="1" applyFont="1" applyFill="1" applyAlignment="1" applyProtection="1">
      <alignment horizontal="center"/>
      <protection locked="0"/>
    </xf>
    <xf numFmtId="173" fontId="7" fillId="0" borderId="0" xfId="8" applyFont="1" applyFill="1" applyAlignment="1">
      <alignment horizontal="center"/>
    </xf>
    <xf numFmtId="173" fontId="0" fillId="0" borderId="0" xfId="8" applyFont="1" applyFill="1" applyAlignment="1">
      <alignment horizontal="center"/>
    </xf>
    <xf numFmtId="168" fontId="31" fillId="0" borderId="0" xfId="12" applyNumberFormat="1" applyFont="1" applyFill="1"/>
    <xf numFmtId="173" fontId="0" fillId="0" borderId="0" xfId="8" applyFont="1" applyFill="1" applyAlignment="1">
      <alignment horizontal="centerContinuous" wrapText="1"/>
    </xf>
    <xf numFmtId="9" fontId="6" fillId="0" borderId="0" xfId="12" applyFont="1" applyFill="1"/>
    <xf numFmtId="173" fontId="7" fillId="5" borderId="33" xfId="0" applyFont="1" applyFill="1" applyBorder="1" applyAlignment="1">
      <alignment horizontal="centerContinuous" wrapText="1"/>
    </xf>
    <xf numFmtId="173" fontId="7" fillId="5" borderId="35" xfId="0" applyFont="1" applyFill="1" applyBorder="1" applyAlignment="1">
      <alignment horizontal="centerContinuous" wrapText="1"/>
    </xf>
    <xf numFmtId="173" fontId="5" fillId="6" borderId="33" xfId="0" applyFont="1" applyFill="1" applyBorder="1" applyAlignment="1"/>
    <xf numFmtId="173" fontId="6" fillId="6" borderId="33" xfId="0" applyFont="1" applyFill="1" applyBorder="1" applyAlignment="1"/>
    <xf numFmtId="173" fontId="6" fillId="6" borderId="34" xfId="0" applyFont="1" applyFill="1" applyBorder="1" applyAlignment="1"/>
    <xf numFmtId="173" fontId="6" fillId="6" borderId="35" xfId="0" applyFont="1" applyFill="1" applyBorder="1" applyAlignment="1"/>
    <xf numFmtId="164" fontId="10" fillId="0" borderId="36" xfId="21" applyNumberFormat="1" applyFont="1" applyBorder="1" applyAlignment="1">
      <alignment horizontal="center"/>
    </xf>
    <xf numFmtId="173" fontId="6" fillId="0" borderId="33" xfId="0" applyFont="1" applyBorder="1" applyAlignment="1"/>
    <xf numFmtId="173" fontId="5" fillId="5" borderId="12" xfId="0" applyFont="1" applyFill="1" applyBorder="1" applyAlignment="1">
      <alignment horizontal="center" vertical="top"/>
    </xf>
    <xf numFmtId="173" fontId="6" fillId="5" borderId="6" xfId="0" applyFont="1" applyFill="1" applyBorder="1" applyAlignment="1">
      <alignment horizontal="right" vertical="top"/>
    </xf>
    <xf numFmtId="173" fontId="6" fillId="9" borderId="30" xfId="0" applyFont="1" applyFill="1" applyBorder="1" applyAlignment="1"/>
    <xf numFmtId="164" fontId="10" fillId="9" borderId="10" xfId="21" applyNumberFormat="1" applyFont="1" applyFill="1" applyBorder="1" applyAlignment="1">
      <alignment horizontal="center"/>
    </xf>
    <xf numFmtId="164" fontId="10" fillId="9" borderId="11" xfId="21" applyNumberFormat="1" applyFont="1" applyFill="1" applyBorder="1" applyAlignment="1">
      <alignment horizontal="center"/>
    </xf>
    <xf numFmtId="173" fontId="6" fillId="5" borderId="10" xfId="0" applyFont="1" applyFill="1" applyBorder="1" applyAlignment="1">
      <alignment horizontal="right" vertical="top"/>
    </xf>
    <xf numFmtId="173" fontId="6" fillId="9" borderId="29" xfId="0" applyFont="1" applyFill="1" applyBorder="1" applyAlignment="1"/>
    <xf numFmtId="164" fontId="10" fillId="9" borderId="6" xfId="21" applyNumberFormat="1" applyFont="1" applyFill="1" applyBorder="1" applyAlignment="1">
      <alignment horizontal="center"/>
    </xf>
    <xf numFmtId="173" fontId="6" fillId="5" borderId="33" xfId="0" applyFont="1" applyFill="1" applyBorder="1" applyAlignment="1">
      <alignment horizontal="right"/>
    </xf>
    <xf numFmtId="164" fontId="10" fillId="0" borderId="10" xfId="21" applyNumberFormat="1" applyFont="1" applyFill="1" applyBorder="1" applyAlignment="1">
      <alignment horizontal="center"/>
    </xf>
    <xf numFmtId="164" fontId="10" fillId="0" borderId="11" xfId="21" applyNumberFormat="1" applyFont="1" applyFill="1" applyBorder="1" applyAlignment="1">
      <alignment horizontal="center"/>
    </xf>
    <xf numFmtId="164" fontId="10" fillId="0" borderId="19" xfId="21" applyNumberFormat="1" applyFont="1" applyFill="1" applyBorder="1" applyAlignment="1">
      <alignment horizontal="center"/>
    </xf>
    <xf numFmtId="164" fontId="10" fillId="0" borderId="36" xfId="21" applyNumberFormat="1" applyFont="1" applyFill="1" applyBorder="1" applyAlignment="1">
      <alignment horizontal="center"/>
    </xf>
    <xf numFmtId="169" fontId="10" fillId="0" borderId="10" xfId="21" applyNumberFormat="1" applyFont="1" applyFill="1" applyBorder="1" applyAlignment="1">
      <alignment horizontal="center"/>
    </xf>
    <xf numFmtId="169" fontId="10" fillId="0" borderId="11" xfId="21" applyNumberFormat="1" applyFont="1" applyFill="1" applyBorder="1" applyAlignment="1">
      <alignment horizontal="center"/>
    </xf>
    <xf numFmtId="169" fontId="10" fillId="0" borderId="19" xfId="21" applyNumberFormat="1" applyFont="1" applyFill="1" applyBorder="1" applyAlignment="1">
      <alignment horizontal="center"/>
    </xf>
    <xf numFmtId="173" fontId="29" fillId="0" borderId="0" xfId="26" applyFont="1" applyFill="1"/>
    <xf numFmtId="173" fontId="29" fillId="0" borderId="0" xfId="27" applyFont="1" applyFill="1"/>
    <xf numFmtId="173" fontId="1" fillId="0" borderId="0" xfId="26" applyFill="1"/>
    <xf numFmtId="173" fontId="21" fillId="0" borderId="11" xfId="27" applyFont="1" applyFill="1" applyBorder="1" applyAlignment="1">
      <alignment horizontal="centerContinuous"/>
    </xf>
    <xf numFmtId="173" fontId="29" fillId="0" borderId="34" xfId="26" applyFont="1" applyFill="1" applyBorder="1" applyAlignment="1">
      <alignment horizontal="centerContinuous"/>
    </xf>
    <xf numFmtId="173" fontId="29" fillId="0" borderId="35" xfId="26" applyFont="1" applyFill="1" applyBorder="1" applyAlignment="1">
      <alignment horizontal="centerContinuous"/>
    </xf>
    <xf numFmtId="0" fontId="30" fillId="0" borderId="10" xfId="27" applyNumberFormat="1" applyFont="1" applyFill="1" applyBorder="1" applyAlignment="1">
      <alignment horizontal="centerContinuous" wrapText="1"/>
    </xf>
    <xf numFmtId="173" fontId="30" fillId="0" borderId="6" xfId="27" applyFont="1" applyFill="1" applyBorder="1" applyAlignment="1">
      <alignment horizontal="centerContinuous" wrapText="1"/>
    </xf>
    <xf numFmtId="173" fontId="30" fillId="0" borderId="10" xfId="27" applyFont="1" applyFill="1" applyBorder="1" applyAlignment="1">
      <alignment horizontal="centerContinuous" wrapText="1"/>
    </xf>
    <xf numFmtId="173" fontId="29" fillId="0" borderId="10" xfId="26" applyFont="1" applyFill="1" applyBorder="1" applyAlignment="1">
      <alignment horizontal="center"/>
    </xf>
    <xf numFmtId="0" fontId="29" fillId="0" borderId="27" xfId="27" applyNumberFormat="1" applyFont="1" applyFill="1" applyBorder="1" applyAlignment="1">
      <alignment horizontal="left"/>
    </xf>
    <xf numFmtId="43" fontId="29" fillId="0" borderId="28" xfId="21" applyFont="1" applyFill="1" applyBorder="1"/>
    <xf numFmtId="168" fontId="29" fillId="0" borderId="31" xfId="29" applyNumberFormat="1" applyFont="1" applyFill="1" applyBorder="1"/>
    <xf numFmtId="181" fontId="29" fillId="0" borderId="31" xfId="27" applyNumberFormat="1" applyFont="1" applyFill="1" applyBorder="1"/>
    <xf numFmtId="0" fontId="29" fillId="0" borderId="6" xfId="27" applyNumberFormat="1" applyFont="1" applyFill="1" applyBorder="1" applyAlignment="1">
      <alignment horizontal="center"/>
    </xf>
    <xf numFmtId="173" fontId="29" fillId="0" borderId="6" xfId="26" applyFont="1" applyFill="1" applyBorder="1"/>
    <xf numFmtId="2" fontId="29" fillId="0" borderId="6" xfId="27" applyNumberFormat="1" applyFont="1" applyFill="1" applyBorder="1" applyAlignment="1">
      <alignment horizontal="center"/>
    </xf>
    <xf numFmtId="168" fontId="29" fillId="0" borderId="7" xfId="29" applyNumberFormat="1" applyFont="1" applyFill="1" applyBorder="1" applyAlignment="1">
      <alignment horizontal="center"/>
    </xf>
    <xf numFmtId="168" fontId="29" fillId="0" borderId="6" xfId="30" applyNumberFormat="1" applyFont="1" applyFill="1" applyBorder="1" applyAlignment="1">
      <alignment horizontal="center"/>
    </xf>
    <xf numFmtId="181" fontId="29" fillId="0" borderId="7" xfId="21" applyNumberFormat="1" applyFont="1" applyFill="1" applyBorder="1" applyAlignment="1">
      <alignment horizontal="center"/>
    </xf>
    <xf numFmtId="173" fontId="30" fillId="0" borderId="0" xfId="26" applyFont="1" applyFill="1"/>
    <xf numFmtId="173" fontId="29" fillId="0" borderId="11" xfId="26" applyFont="1" applyFill="1" applyBorder="1"/>
    <xf numFmtId="168" fontId="29" fillId="0" borderId="11" xfId="29" applyNumberFormat="1" applyFont="1" applyFill="1" applyBorder="1"/>
    <xf numFmtId="43" fontId="29" fillId="0" borderId="6" xfId="21" applyFont="1" applyFill="1" applyBorder="1"/>
    <xf numFmtId="168" fontId="29" fillId="0" borderId="6" xfId="31" applyNumberFormat="1" applyFont="1" applyFill="1" applyBorder="1" applyAlignment="1">
      <alignment horizontal="center"/>
    </xf>
    <xf numFmtId="0" fontId="29" fillId="0" borderId="10" xfId="27" applyNumberFormat="1" applyFont="1" applyFill="1" applyBorder="1" applyAlignment="1">
      <alignment horizontal="center"/>
    </xf>
    <xf numFmtId="43" fontId="29" fillId="0" borderId="15" xfId="21" applyFont="1" applyFill="1" applyBorder="1"/>
    <xf numFmtId="2" fontId="29" fillId="0" borderId="10" xfId="27" applyNumberFormat="1" applyFont="1" applyFill="1" applyBorder="1" applyAlignment="1">
      <alignment horizontal="center"/>
    </xf>
    <xf numFmtId="168" fontId="29" fillId="0" borderId="16" xfId="29" applyNumberFormat="1" applyFont="1" applyFill="1" applyBorder="1" applyAlignment="1">
      <alignment horizontal="center"/>
    </xf>
    <xf numFmtId="168" fontId="29" fillId="0" borderId="16" xfId="26" applyNumberFormat="1" applyFont="1" applyFill="1" applyBorder="1" applyAlignment="1">
      <alignment horizontal="center"/>
    </xf>
    <xf numFmtId="181" fontId="29" fillId="0" borderId="16" xfId="21" applyNumberFormat="1" applyFont="1" applyFill="1" applyBorder="1" applyAlignment="1">
      <alignment horizontal="center"/>
    </xf>
    <xf numFmtId="2" fontId="29" fillId="0" borderId="11" xfId="21" applyNumberFormat="1" applyFont="1" applyFill="1" applyBorder="1" applyAlignment="1">
      <alignment horizontal="center"/>
    </xf>
    <xf numFmtId="0" fontId="29" fillId="0" borderId="11" xfId="27" applyNumberFormat="1" applyFont="1" applyFill="1" applyBorder="1" applyAlignment="1">
      <alignment horizontal="center"/>
    </xf>
    <xf numFmtId="168" fontId="29" fillId="0" borderId="35" xfId="26" applyNumberFormat="1" applyFont="1" applyFill="1" applyBorder="1" applyAlignment="1">
      <alignment horizontal="center"/>
    </xf>
    <xf numFmtId="181" fontId="29" fillId="0" borderId="35" xfId="21" applyNumberFormat="1" applyFont="1" applyFill="1" applyBorder="1" applyAlignment="1">
      <alignment horizontal="center"/>
    </xf>
    <xf numFmtId="173" fontId="29" fillId="0" borderId="0" xfId="26" applyFont="1" applyFill="1" applyBorder="1"/>
    <xf numFmtId="0" fontId="29" fillId="0" borderId="0" xfId="21" applyNumberFormat="1" applyFont="1" applyFill="1" applyBorder="1" applyAlignment="1">
      <alignment horizontal="center"/>
    </xf>
    <xf numFmtId="43" fontId="29" fillId="0" borderId="0" xfId="21" applyFont="1" applyFill="1" applyBorder="1"/>
    <xf numFmtId="2" fontId="29" fillId="0" borderId="0" xfId="21" applyNumberFormat="1" applyFont="1" applyFill="1" applyBorder="1" applyAlignment="1">
      <alignment horizontal="center"/>
    </xf>
    <xf numFmtId="0" fontId="29" fillId="0" borderId="0" xfId="27" applyNumberFormat="1" applyFont="1" applyFill="1" applyBorder="1" applyAlignment="1">
      <alignment horizontal="center"/>
    </xf>
    <xf numFmtId="168" fontId="29" fillId="0" borderId="0" xfId="26" applyNumberFormat="1" applyFont="1" applyFill="1" applyAlignment="1">
      <alignment horizontal="center"/>
    </xf>
    <xf numFmtId="181" fontId="29" fillId="0" borderId="0" xfId="21" applyNumberFormat="1" applyFont="1" applyFill="1" applyBorder="1" applyAlignment="1">
      <alignment horizontal="center"/>
    </xf>
    <xf numFmtId="2" fontId="29" fillId="0" borderId="27" xfId="27" applyNumberFormat="1" applyFont="1" applyFill="1" applyBorder="1" applyAlignment="1">
      <alignment horizontal="left"/>
    </xf>
    <xf numFmtId="168" fontId="29" fillId="0" borderId="31" xfId="30" applyNumberFormat="1" applyFont="1" applyFill="1" applyBorder="1" applyAlignment="1">
      <alignment horizontal="center"/>
    </xf>
    <xf numFmtId="173" fontId="32" fillId="0" borderId="0" xfId="26" applyFont="1" applyFill="1"/>
    <xf numFmtId="182" fontId="32" fillId="0" borderId="0" xfId="26" applyNumberFormat="1" applyFont="1" applyFill="1"/>
    <xf numFmtId="43" fontId="29" fillId="0" borderId="10" xfId="21" applyFont="1" applyFill="1" applyBorder="1"/>
    <xf numFmtId="43" fontId="29" fillId="0" borderId="9" xfId="21" applyFont="1" applyFill="1" applyBorder="1"/>
    <xf numFmtId="2" fontId="29" fillId="0" borderId="10" xfId="21" applyNumberFormat="1" applyFont="1" applyFill="1" applyBorder="1" applyAlignment="1">
      <alignment horizontal="center"/>
    </xf>
    <xf numFmtId="168" fontId="29" fillId="0" borderId="10" xfId="29" applyNumberFormat="1" applyFont="1" applyFill="1" applyBorder="1" applyAlignment="1">
      <alignment horizontal="center"/>
    </xf>
    <xf numFmtId="168" fontId="29" fillId="0" borderId="7" xfId="26" applyNumberFormat="1" applyFont="1" applyFill="1" applyBorder="1" applyAlignment="1">
      <alignment horizontal="center"/>
    </xf>
    <xf numFmtId="168" fontId="29" fillId="0" borderId="35" xfId="21" applyNumberFormat="1" applyFont="1" applyFill="1" applyBorder="1" applyAlignment="1">
      <alignment horizontal="center"/>
    </xf>
    <xf numFmtId="2" fontId="30" fillId="0" borderId="0" xfId="21" applyNumberFormat="1" applyFont="1" applyFill="1" applyAlignment="1">
      <alignment horizontal="center"/>
    </xf>
    <xf numFmtId="165" fontId="30" fillId="0" borderId="0" xfId="21" applyNumberFormat="1" applyFont="1" applyFill="1" applyAlignment="1">
      <alignment horizontal="center"/>
    </xf>
    <xf numFmtId="2" fontId="30" fillId="0" borderId="34" xfId="21" applyNumberFormat="1" applyFont="1" applyFill="1" applyBorder="1" applyAlignment="1">
      <alignment horizontal="center"/>
    </xf>
    <xf numFmtId="173" fontId="29" fillId="0" borderId="34" xfId="27" applyFont="1" applyFill="1" applyBorder="1"/>
    <xf numFmtId="168" fontId="29" fillId="0" borderId="34" xfId="27" applyNumberFormat="1" applyFont="1" applyFill="1" applyBorder="1" applyAlignment="1">
      <alignment horizontal="center"/>
    </xf>
    <xf numFmtId="173" fontId="29" fillId="0" borderId="35" xfId="27" applyFont="1" applyFill="1" applyBorder="1"/>
    <xf numFmtId="173" fontId="29" fillId="0" borderId="0" xfId="27" applyFont="1" applyFill="1" applyBorder="1"/>
    <xf numFmtId="2" fontId="30" fillId="0" borderId="32" xfId="21" applyNumberFormat="1" applyFont="1" applyFill="1" applyBorder="1" applyAlignment="1">
      <alignment horizontal="center"/>
    </xf>
    <xf numFmtId="183" fontId="29" fillId="0" borderId="0" xfId="21" applyNumberFormat="1" applyFont="1" applyFill="1" applyBorder="1" applyAlignment="1">
      <alignment horizontal="center"/>
    </xf>
    <xf numFmtId="168" fontId="29" fillId="0" borderId="0" xfId="27" applyNumberFormat="1" applyFont="1" applyFill="1" applyBorder="1" applyAlignment="1">
      <alignment horizontal="center"/>
    </xf>
    <xf numFmtId="173" fontId="1" fillId="0" borderId="0" xfId="26" applyFill="1" applyBorder="1"/>
    <xf numFmtId="173" fontId="30" fillId="0" borderId="0" xfId="17" applyFont="1" applyFill="1" applyAlignment="1">
      <alignment horizontal="centerContinuous"/>
    </xf>
    <xf numFmtId="173" fontId="29" fillId="0" borderId="0" xfId="17" applyFont="1" applyFill="1" applyAlignment="1">
      <alignment horizontal="centerContinuous"/>
    </xf>
    <xf numFmtId="173" fontId="29" fillId="0" borderId="0" xfId="17" applyFont="1" applyFill="1"/>
    <xf numFmtId="173" fontId="29" fillId="0" borderId="0" xfId="17" applyFont="1" applyFill="1" applyBorder="1" applyAlignment="1">
      <alignment horizontal="centerContinuous"/>
    </xf>
    <xf numFmtId="173" fontId="29" fillId="0" borderId="0" xfId="17" applyFont="1" applyFill="1" applyBorder="1"/>
    <xf numFmtId="173" fontId="30" fillId="0" borderId="27" xfId="17" applyFont="1" applyFill="1" applyBorder="1" applyAlignment="1">
      <alignment horizontal="center"/>
    </xf>
    <xf numFmtId="173" fontId="30" fillId="0" borderId="27" xfId="17" applyFont="1" applyFill="1" applyBorder="1" applyAlignment="1">
      <alignment horizontal="center" wrapText="1"/>
    </xf>
    <xf numFmtId="173" fontId="30" fillId="0" borderId="27" xfId="17" applyFont="1" applyFill="1" applyBorder="1" applyAlignment="1">
      <alignment horizontal="centerContinuous" wrapText="1"/>
    </xf>
    <xf numFmtId="173" fontId="30" fillId="0" borderId="10" xfId="17" applyFont="1" applyFill="1" applyBorder="1" applyAlignment="1">
      <alignment horizontal="centerContinuous"/>
    </xf>
    <xf numFmtId="173" fontId="30" fillId="0" borderId="10" xfId="17" quotePrefix="1" applyFont="1" applyFill="1" applyBorder="1" applyAlignment="1">
      <alignment horizontal="center" wrapText="1"/>
    </xf>
    <xf numFmtId="173" fontId="30" fillId="0" borderId="15" xfId="17" applyFont="1" applyFill="1" applyBorder="1" applyAlignment="1">
      <alignment horizontal="center"/>
    </xf>
    <xf numFmtId="173" fontId="30" fillId="0" borderId="9" xfId="17" applyFont="1" applyFill="1" applyBorder="1" applyAlignment="1">
      <alignment horizontal="center"/>
    </xf>
    <xf numFmtId="173" fontId="30" fillId="0" borderId="16" xfId="17" applyFont="1" applyFill="1" applyBorder="1" applyAlignment="1">
      <alignment horizontal="center"/>
    </xf>
    <xf numFmtId="173" fontId="29" fillId="0" borderId="0" xfId="17" quotePrefix="1" applyFont="1" applyFill="1" applyBorder="1" applyAlignment="1">
      <alignment horizontal="center"/>
    </xf>
    <xf numFmtId="1" fontId="29" fillId="0" borderId="0" xfId="17" applyNumberFormat="1" applyFont="1" applyFill="1" applyAlignment="1">
      <alignment horizontal="center"/>
    </xf>
    <xf numFmtId="172" fontId="29" fillId="10" borderId="0" xfId="17" applyNumberFormat="1" applyFont="1" applyFill="1" applyAlignment="1">
      <alignment horizontal="center"/>
    </xf>
    <xf numFmtId="177" fontId="29" fillId="0" borderId="0" xfId="16" applyNumberFormat="1" applyFont="1" applyFill="1"/>
    <xf numFmtId="0" fontId="29" fillId="0" borderId="0" xfId="17" applyNumberFormat="1" applyFont="1" applyFill="1" applyAlignment="1">
      <alignment horizontal="center"/>
    </xf>
    <xf numFmtId="8" fontId="29" fillId="0" borderId="0" xfId="17" applyNumberFormat="1" applyFont="1" applyFill="1" applyAlignment="1">
      <alignment horizontal="center"/>
    </xf>
    <xf numFmtId="173" fontId="34" fillId="0" borderId="0" xfId="16" applyFont="1" applyAlignment="1">
      <alignment vertical="center"/>
    </xf>
    <xf numFmtId="173" fontId="33" fillId="0" borderId="0" xfId="32"/>
    <xf numFmtId="44" fontId="29" fillId="0" borderId="0" xfId="2" applyFont="1" applyFill="1"/>
    <xf numFmtId="0" fontId="29" fillId="0" borderId="0" xfId="17" applyNumberFormat="1" applyFont="1" applyFill="1"/>
    <xf numFmtId="8" fontId="29" fillId="0" borderId="0" xfId="17" applyNumberFormat="1" applyFont="1" applyFill="1" applyAlignment="1">
      <alignment horizontal="right"/>
    </xf>
    <xf numFmtId="173" fontId="5" fillId="0" borderId="0" xfId="17" applyFont="1" applyFill="1"/>
    <xf numFmtId="177" fontId="6" fillId="0" borderId="11" xfId="17" applyNumberFormat="1" applyFont="1" applyFill="1" applyBorder="1"/>
    <xf numFmtId="173" fontId="5" fillId="0" borderId="11" xfId="17" applyFont="1" applyFill="1" applyBorder="1"/>
    <xf numFmtId="173" fontId="5" fillId="0" borderId="11" xfId="0" quotePrefix="1" applyFont="1" applyFill="1" applyBorder="1" applyAlignment="1">
      <alignment horizontal="center"/>
    </xf>
    <xf numFmtId="173" fontId="6" fillId="0" borderId="11" xfId="0" applyFont="1" applyFill="1" applyBorder="1"/>
    <xf numFmtId="173" fontId="5" fillId="0" borderId="11" xfId="0" applyFont="1" applyFill="1" applyBorder="1" applyAlignment="1">
      <alignment horizontal="centerContinuous"/>
    </xf>
    <xf numFmtId="173" fontId="5" fillId="0" borderId="11" xfId="0" applyFont="1" applyFill="1" applyBorder="1" applyAlignment="1">
      <alignment horizontal="center"/>
    </xf>
    <xf numFmtId="0" fontId="4" fillId="0" borderId="0" xfId="33"/>
    <xf numFmtId="17" fontId="35" fillId="0" borderId="0" xfId="33" applyNumberFormat="1" applyFont="1" applyBorder="1"/>
    <xf numFmtId="0" fontId="4" fillId="11" borderId="0" xfId="33" applyFill="1"/>
    <xf numFmtId="173" fontId="4" fillId="0" borderId="0" xfId="34"/>
    <xf numFmtId="9" fontId="0" fillId="0" borderId="0" xfId="30" applyFont="1"/>
    <xf numFmtId="9" fontId="0" fillId="0" borderId="0" xfId="29" applyFont="1"/>
    <xf numFmtId="164" fontId="0" fillId="0" borderId="0" xfId="35" applyNumberFormat="1" applyFont="1"/>
    <xf numFmtId="165" fontId="0" fillId="0" borderId="0" xfId="0" applyNumberFormat="1"/>
    <xf numFmtId="173" fontId="6" fillId="0" borderId="11" xfId="0" applyFont="1" applyFill="1" applyBorder="1" applyAlignment="1">
      <alignment horizontal="center" wrapText="1"/>
    </xf>
    <xf numFmtId="173" fontId="6" fillId="0" borderId="11" xfId="0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Continuous"/>
    </xf>
    <xf numFmtId="17" fontId="6" fillId="0" borderId="11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center"/>
    </xf>
    <xf numFmtId="173" fontId="0" fillId="0" borderId="12" xfId="0" quotePrefix="1" applyFont="1" applyFill="1" applyBorder="1" applyAlignment="1">
      <alignment horizontal="center"/>
    </xf>
    <xf numFmtId="173" fontId="0" fillId="0" borderId="0" xfId="0" applyFont="1" applyFill="1" applyBorder="1"/>
    <xf numFmtId="173" fontId="6" fillId="0" borderId="12" xfId="0" applyFont="1" applyFill="1" applyBorder="1"/>
    <xf numFmtId="173" fontId="0" fillId="0" borderId="12" xfId="0" applyFont="1" applyFill="1" applyBorder="1"/>
    <xf numFmtId="0" fontId="6" fillId="0" borderId="12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8" fontId="6" fillId="0" borderId="9" xfId="0" applyNumberFormat="1" applyFont="1" applyFill="1" applyBorder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73" fontId="6" fillId="0" borderId="0" xfId="0" applyFont="1" applyFill="1" applyBorder="1" applyAlignment="1">
      <alignment horizontal="center"/>
    </xf>
    <xf numFmtId="173" fontId="6" fillId="0" borderId="0" xfId="0" applyFont="1" applyFill="1" applyBorder="1" applyAlignment="1">
      <alignment horizontal="left"/>
    </xf>
    <xf numFmtId="173" fontId="6" fillId="0" borderId="0" xfId="0" applyFont="1" applyFill="1" applyBorder="1" applyAlignment="1">
      <alignment horizontal="right"/>
    </xf>
    <xf numFmtId="173" fontId="6" fillId="0" borderId="33" xfId="0" quotePrefix="1" applyFont="1" applyFill="1" applyBorder="1" applyAlignment="1">
      <alignment horizontal="centerContinuous"/>
    </xf>
    <xf numFmtId="173" fontId="6" fillId="0" borderId="33" xfId="0" applyFont="1" applyFill="1" applyBorder="1"/>
    <xf numFmtId="173" fontId="6" fillId="0" borderId="34" xfId="0" quotePrefix="1" applyFont="1" applyFill="1" applyBorder="1" applyAlignment="1">
      <alignment horizontal="centerContinuous"/>
    </xf>
    <xf numFmtId="173" fontId="6" fillId="0" borderId="34" xfId="0" quotePrefix="1" applyFont="1" applyFill="1" applyBorder="1" applyAlignment="1">
      <alignment horizontal="center"/>
    </xf>
    <xf numFmtId="173" fontId="22" fillId="10" borderId="0" xfId="0" applyFont="1" applyFill="1" applyAlignment="1">
      <alignment horizontal="center"/>
    </xf>
    <xf numFmtId="173" fontId="22" fillId="10" borderId="0" xfId="0" applyFont="1" applyFill="1"/>
    <xf numFmtId="10" fontId="22" fillId="10" borderId="0" xfId="12" applyNumberFormat="1" applyFont="1" applyFill="1" applyAlignment="1">
      <alignment horizontal="center"/>
    </xf>
    <xf numFmtId="9" fontId="22" fillId="10" borderId="0" xfId="12" applyFont="1" applyFill="1"/>
    <xf numFmtId="173" fontId="23" fillId="10" borderId="0" xfId="0" applyFont="1" applyFill="1" applyBorder="1" applyAlignment="1">
      <alignment horizontal="centerContinuous"/>
    </xf>
    <xf numFmtId="173" fontId="22" fillId="10" borderId="9" xfId="0" applyFont="1" applyFill="1" applyBorder="1"/>
    <xf numFmtId="173" fontId="24" fillId="10" borderId="0" xfId="0" applyFont="1" applyFill="1" applyBorder="1" applyAlignment="1">
      <alignment horizontal="center"/>
    </xf>
    <xf numFmtId="173" fontId="24" fillId="10" borderId="0" xfId="0" applyFont="1" applyFill="1" applyBorder="1" applyAlignment="1">
      <alignment horizontal="left" vertical="top"/>
    </xf>
    <xf numFmtId="178" fontId="22" fillId="10" borderId="0" xfId="0" applyNumberFormat="1" applyFont="1" applyFill="1"/>
    <xf numFmtId="177" fontId="22" fillId="10" borderId="0" xfId="0" applyNumberFormat="1" applyFont="1" applyFill="1"/>
    <xf numFmtId="171" fontId="22" fillId="10" borderId="0" xfId="2" applyNumberFormat="1" applyFont="1" applyFill="1"/>
    <xf numFmtId="173" fontId="22" fillId="10" borderId="0" xfId="0" applyFont="1" applyFill="1" applyAlignment="1">
      <alignment horizontal="right"/>
    </xf>
    <xf numFmtId="164" fontId="22" fillId="10" borderId="0" xfId="1" applyNumberFormat="1" applyFont="1" applyFill="1" applyAlignment="1">
      <alignment horizontal="right"/>
    </xf>
    <xf numFmtId="176" fontId="22" fillId="10" borderId="0" xfId="0" applyNumberFormat="1" applyFont="1" applyFill="1" applyBorder="1" applyAlignment="1">
      <alignment horizontal="right"/>
    </xf>
    <xf numFmtId="164" fontId="22" fillId="10" borderId="0" xfId="1" applyNumberFormat="1" applyFont="1" applyFill="1" applyBorder="1" applyAlignment="1">
      <alignment horizontal="right"/>
    </xf>
    <xf numFmtId="179" fontId="22" fillId="10" borderId="0" xfId="1" applyNumberFormat="1" applyFont="1" applyFill="1" applyBorder="1" applyAlignment="1">
      <alignment horizontal="left" vertical="top"/>
    </xf>
    <xf numFmtId="171" fontId="22" fillId="10" borderId="0" xfId="2" applyNumberFormat="1" applyFont="1" applyFill="1" applyBorder="1" applyAlignment="1">
      <alignment horizontal="left" vertical="top"/>
    </xf>
    <xf numFmtId="173" fontId="22" fillId="10" borderId="0" xfId="0" applyFont="1" applyFill="1" applyAlignment="1">
      <alignment horizontal="left" vertical="top"/>
    </xf>
    <xf numFmtId="176" fontId="22" fillId="10" borderId="0" xfId="0" applyNumberFormat="1" applyFont="1" applyFill="1" applyBorder="1" applyAlignment="1">
      <alignment horizontal="left" vertical="top"/>
    </xf>
    <xf numFmtId="184" fontId="22" fillId="10" borderId="0" xfId="1" applyNumberFormat="1" applyFont="1" applyFill="1" applyAlignment="1">
      <alignment horizontal="left" vertical="top"/>
    </xf>
    <xf numFmtId="10" fontId="22" fillId="10" borderId="0" xfId="12" applyNumberFormat="1" applyFont="1" applyFill="1" applyAlignment="1">
      <alignment horizontal="right"/>
    </xf>
    <xf numFmtId="164" fontId="22" fillId="10" borderId="0" xfId="1" applyNumberFormat="1" applyFont="1" applyFill="1" applyBorder="1" applyAlignment="1">
      <alignment horizontal="right" vertical="center"/>
    </xf>
    <xf numFmtId="179" fontId="22" fillId="10" borderId="0" xfId="1" applyNumberFormat="1" applyFont="1" applyFill="1" applyBorder="1" applyAlignment="1">
      <alignment horizontal="left" vertical="center"/>
    </xf>
    <xf numFmtId="179" fontId="22" fillId="10" borderId="0" xfId="1" applyNumberFormat="1" applyFont="1" applyFill="1" applyBorder="1" applyAlignment="1">
      <alignment horizontal="right" vertical="center"/>
    </xf>
    <xf numFmtId="185" fontId="22" fillId="10" borderId="0" xfId="2" applyNumberFormat="1" applyFont="1" applyFill="1"/>
    <xf numFmtId="179" fontId="22" fillId="10" borderId="0" xfId="0" applyNumberFormat="1" applyFont="1" applyFill="1"/>
    <xf numFmtId="173" fontId="0" fillId="0" borderId="0" xfId="0" applyAlignment="1">
      <alignment horizontal="left"/>
    </xf>
    <xf numFmtId="0" fontId="30" fillId="0" borderId="33" xfId="28" applyFont="1" applyFill="1" applyBorder="1" applyAlignment="1">
      <alignment horizontal="center"/>
    </xf>
    <xf numFmtId="0" fontId="30" fillId="0" borderId="34" xfId="28" applyFont="1" applyFill="1" applyBorder="1" applyAlignment="1">
      <alignment horizontal="center"/>
    </xf>
    <xf numFmtId="0" fontId="30" fillId="0" borderId="35" xfId="28" applyFont="1" applyFill="1" applyBorder="1" applyAlignment="1">
      <alignment horizontal="center"/>
    </xf>
    <xf numFmtId="43" fontId="29" fillId="0" borderId="33" xfId="21" applyFont="1" applyFill="1" applyBorder="1" applyAlignment="1">
      <alignment horizontal="left"/>
    </xf>
    <xf numFmtId="43" fontId="29" fillId="0" borderId="35" xfId="21" applyFont="1" applyFill="1" applyBorder="1" applyAlignment="1">
      <alignment horizontal="left"/>
    </xf>
    <xf numFmtId="173" fontId="29" fillId="0" borderId="33" xfId="27" applyFont="1" applyFill="1" applyBorder="1" applyAlignment="1">
      <alignment horizontal="left"/>
    </xf>
    <xf numFmtId="173" fontId="29" fillId="0" borderId="35" xfId="27" applyFont="1" applyFill="1" applyBorder="1" applyAlignment="1">
      <alignment horizontal="left"/>
    </xf>
    <xf numFmtId="173" fontId="0" fillId="0" borderId="0" xfId="8" applyFont="1" applyFill="1" applyAlignment="1">
      <alignment horizontal="left" wrapText="1"/>
    </xf>
    <xf numFmtId="173" fontId="5" fillId="0" borderId="0" xfId="17" applyFont="1" applyFill="1" applyAlignment="1">
      <alignment horizontal="center"/>
    </xf>
    <xf numFmtId="173" fontId="7" fillId="0" borderId="0" xfId="8" applyFont="1" applyFill="1" applyAlignment="1">
      <alignment horizontal="center"/>
    </xf>
  </cellXfs>
  <cellStyles count="38">
    <cellStyle name="_x0013_" xfId="19"/>
    <cellStyle name="Comma" xfId="1" builtinId="3"/>
    <cellStyle name="Comma 10" xfId="35"/>
    <cellStyle name="Comma 2 2" xfId="21"/>
    <cellStyle name="Currency" xfId="2" builtinId="4"/>
    <cellStyle name="Currency 2" xfId="23"/>
    <cellStyle name="Currency No Comma" xfId="3"/>
    <cellStyle name="Hyperlink 2" xfId="32"/>
    <cellStyle name="Hyperlink 3" xfId="37"/>
    <cellStyle name="Input" xfId="4" builtinId="20" customBuiltin="1"/>
    <cellStyle name="MCP" xfId="5"/>
    <cellStyle name="noninput" xfId="6"/>
    <cellStyle name="Normal" xfId="0" builtinId="0" customBuiltin="1"/>
    <cellStyle name="Normal 176" xfId="18"/>
    <cellStyle name="Normal 176 2" xfId="22"/>
    <cellStyle name="Normal 2" xfId="16"/>
    <cellStyle name="Normal 2 2" xfId="25"/>
    <cellStyle name="Normal 3" xfId="26"/>
    <cellStyle name="Normal 3 2" xfId="36"/>
    <cellStyle name="Normal 5" xfId="24"/>
    <cellStyle name="Normal 5 2" xfId="34"/>
    <cellStyle name="Normal_CG27 Official Base Case 03-31-05" xfId="20"/>
    <cellStyle name="Normal_on off peak hours_1" xfId="33"/>
    <cellStyle name="Normal_Or AC 2003 - AC Study - Fuel Indexed Avoided Costs" xfId="7"/>
    <cellStyle name="Normal_OR AC Sch 37 - AC  Study (Gold) _2009 06 19" xfId="8"/>
    <cellStyle name="Normal_Thermal Attributes" xfId="28"/>
    <cellStyle name="Normal_T-INF-10-15-04-TEMPLATE" xfId="9"/>
    <cellStyle name="Normal_UT AC Sch 37 - L&amp;R  Study (Gold) _2009 06 19" xfId="10"/>
    <cellStyle name="Normal_WY AC 2009 - AC Study (Wind Study)_2009 08 11" xfId="17"/>
    <cellStyle name="Normal_xAC_Demand (Avoided Cost)" xfId="27"/>
    <cellStyle name="Password" xfId="11"/>
    <cellStyle name="Percent" xfId="12" builtinId="5"/>
    <cellStyle name="Percent 2" xfId="29"/>
    <cellStyle name="Percent 3" xfId="30"/>
    <cellStyle name="Percent 3 2 2 2" xfId="31"/>
    <cellStyle name="Unprot" xfId="13"/>
    <cellStyle name="Unprot$" xfId="14"/>
    <cellStyle name="Unprotect" xfId="15"/>
  </cellStyles>
  <dxfs count="14"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---%20Avoided%20Cost%20Study%20_2017%2005%2002_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a%20-%20GRID%20AC%20Study%20CONF%20_2017%2005%2002_Therm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6\63%20-%20Riverton%20Solar%20-%20WY%20-%202016%20Aug\Scenario\63%20-%20Riverton%20Solar%20-%202---%20QF%20Pricing%20Detail%20_2016%2008%2017%20(w%20Gateway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ug%20-%20Sch%2038%20Methodology\Testimony\Workpapers\17-035-37%20RMP%20MacNeil%20Wkpr%20-%20QF%20Pricing%20Detail-Thermal%2008-17-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45%20-%20UT%20Compliance%20Filing%202016.Q4%20-%202017%20Feb\Data\45%20-%20UT%202016.Q4%20-%20Demand%20CONF%20_2017%2002%2027%20(1335.23%20MW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4%20-%20AC%20Study%20_2014%2005%2002%20OFPC%201403_LowCO2_Updated%20for%20Reconsideratio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4%20-%202a%20-%20L&amp;R%20%20Study%20_2014%2005%2004%201403%20OFPC%20Low%20CO2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ug%20-%20Sch%2038%20Methodology\Testimony\Workpapers\17-035-37%20RMP%20MacNeil%20Wkpr%20-%20Sch%2037%20AC%20Study%20(Effective%2007-01-17)%2008-17-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ug%20-%20Sch%2038%20Methodology\Testimony\Workpapers\17-035-37%20RMP%20MacNeil%20Wkpr%20-%20QF%20Pricing%20Detail-Solar%20T%2008-17-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ug%20-%20Sch%2038%20Methodology\Testimony\Workpapers\17-035-37%20RMP%20MacNeil%20Wkpr%20-%20QF%20Pricing%20Detail-Solar%20F%2008-17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ug%20-%20Sch%2038%20Methodology\Testimony\Workpapers\17-035-37%20RMP%20MacNeil%20Wkpr%20-%20QF%20Pricing%20Detail-Wind%2008-17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6\56-57%20-%20Glen%20Canyon%20Solar%20-%20UT%20-%202016%20Aug\Scenario\37%20-%20Black%20Mtn%20II%20-%201---%20Price%20Comparison%20_2016%2007%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Data\Source%20Files\2017%20QF%20Pricing%20Request%20Study%20List%20_2017%2004%20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5%2004%2017\UT%20Sch%2037%202015%20-%202a%20-%20L&amp;R%20%20Study%20_2015%2004%2017_CCadj_RofR_aMW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VDOC"/>
    </sheetNames>
    <sheetDataSet>
      <sheetData sheetId="0">
        <row r="8">
          <cell r="I8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42">
          <cell r="I42">
            <v>6.5699999999999995E-2</v>
          </cell>
        </row>
      </sheetData>
      <sheetData sheetId="1" refreshError="1"/>
      <sheetData sheetId="2" refreshError="1"/>
      <sheetData sheetId="3">
        <row r="6">
          <cell r="M6">
            <v>10</v>
          </cell>
        </row>
        <row r="7">
          <cell r="M7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VDOC"/>
      <sheetName val="Recon"/>
      <sheetName val="Side-by-Side"/>
      <sheetName val="Check MWh"/>
      <sheetName val="Check Dollars"/>
      <sheetName val="UT Sch 37 - 1a - GRID AC Study "/>
    </sheetNames>
    <sheetDataSet>
      <sheetData sheetId="0">
        <row r="37">
          <cell r="B37" t="str">
            <v>Y</v>
          </cell>
        </row>
        <row r="45">
          <cell r="G45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0</v>
          </cell>
          <cell r="E35">
            <v>3003617.2747401074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0</v>
          </cell>
          <cell r="E36">
            <v>3035809.2869971618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0</v>
          </cell>
          <cell r="E37">
            <v>3069449.9398057843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0</v>
          </cell>
          <cell r="E38">
            <v>3104604.4219907941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0</v>
          </cell>
          <cell r="E39">
            <v>3141340.85587413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0</v>
          </cell>
          <cell r="E40">
            <v>3179730.4292822154</v>
          </cell>
        </row>
        <row r="41">
          <cell r="A41">
            <v>42675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  <sheetName val="63 - Riverton Solar - 2--- QF P"/>
    </sheetNames>
    <sheetDataSet>
      <sheetData sheetId="0">
        <row r="1">
          <cell r="N1" t="str">
            <v>63 - Riverton Solar - 2--- QF Pricing Detail _2016 08 17 (w Gateway)</v>
          </cell>
        </row>
      </sheetData>
      <sheetData sheetId="1">
        <row r="2">
          <cell r="B2" t="str">
            <v>74.9 MW and 30.6% CF</v>
          </cell>
        </row>
      </sheetData>
      <sheetData sheetId="2">
        <row r="4">
          <cell r="M4">
            <v>6.6600000000000006E-2</v>
          </cell>
          <cell r="N4">
            <v>5.3874620588785227E-3</v>
          </cell>
        </row>
      </sheetData>
      <sheetData sheetId="3">
        <row r="4">
          <cell r="B4">
            <v>0.30612892989739754</v>
          </cell>
        </row>
      </sheetData>
      <sheetData sheetId="4">
        <row r="9">
          <cell r="K9" t="str">
            <v>Yes</v>
          </cell>
          <cell r="L9">
            <v>2015</v>
          </cell>
        </row>
      </sheetData>
      <sheetData sheetId="5">
        <row r="2">
          <cell r="D2" t="str">
            <v>74.9 MW and 30.6% CF</v>
          </cell>
        </row>
      </sheetData>
      <sheetData sheetId="6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Monthly Energy Prices"/>
      <sheetName val="SourceEnergy"/>
      <sheetName val="MWH-Split"/>
      <sheetName val="Monthly Levelized"/>
    </sheetNames>
    <sheetDataSet>
      <sheetData sheetId="0"/>
      <sheetData sheetId="1"/>
      <sheetData sheetId="2">
        <row r="4">
          <cell r="N4">
            <v>5.3167389786501484E-3</v>
          </cell>
        </row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20.036155675670599</v>
          </cell>
          <cell r="T20">
            <v>21.677180002144485</v>
          </cell>
          <cell r="U20">
            <v>18.342748367775595</v>
          </cell>
          <cell r="V20">
            <v>15.834756523311331</v>
          </cell>
        </row>
        <row r="21">
          <cell r="R21">
            <v>2018</v>
          </cell>
          <cell r="S21">
            <v>21.350329006466588</v>
          </cell>
          <cell r="T21">
            <v>22.156082287197282</v>
          </cell>
          <cell r="U21">
            <v>19.01254912654338</v>
          </cell>
          <cell r="V21">
            <v>16.184585287085877</v>
          </cell>
        </row>
        <row r="22">
          <cell r="R22">
            <v>2019</v>
          </cell>
          <cell r="S22">
            <v>19.578084628346364</v>
          </cell>
          <cell r="T22">
            <v>23.490419638418008</v>
          </cell>
          <cell r="U22">
            <v>16.51670779150696</v>
          </cell>
          <cell r="V22">
            <v>15.97866958742159</v>
          </cell>
        </row>
        <row r="23">
          <cell r="R23">
            <v>2020</v>
          </cell>
          <cell r="S23">
            <v>18.565557740773283</v>
          </cell>
          <cell r="T23">
            <v>22.375666284013551</v>
          </cell>
          <cell r="U23">
            <v>15.643443054752591</v>
          </cell>
          <cell r="V23">
            <v>14.161092061445379</v>
          </cell>
        </row>
        <row r="24">
          <cell r="R24">
            <v>2021</v>
          </cell>
          <cell r="S24">
            <v>17.544317645789373</v>
          </cell>
          <cell r="T24">
            <v>21.234428601163611</v>
          </cell>
          <cell r="U24">
            <v>15.200550429846462</v>
          </cell>
          <cell r="V24">
            <v>13.78806380533902</v>
          </cell>
        </row>
        <row r="25">
          <cell r="R25">
            <v>2022</v>
          </cell>
          <cell r="S25">
            <v>20.05135249013366</v>
          </cell>
          <cell r="T25">
            <v>22.318008111853217</v>
          </cell>
          <cell r="U25">
            <v>17.967132178419522</v>
          </cell>
          <cell r="V25">
            <v>15.427919372257179</v>
          </cell>
        </row>
        <row r="26">
          <cell r="R26">
            <v>2023</v>
          </cell>
          <cell r="S26">
            <v>21.278595592267454</v>
          </cell>
          <cell r="T26">
            <v>23.470842090045995</v>
          </cell>
          <cell r="U26">
            <v>19.368470267517136</v>
          </cell>
          <cell r="V26">
            <v>17.709955413244412</v>
          </cell>
        </row>
        <row r="27">
          <cell r="R27">
            <v>2024</v>
          </cell>
          <cell r="S27">
            <v>24.150697544052264</v>
          </cell>
          <cell r="T27">
            <v>25.730363995677013</v>
          </cell>
          <cell r="U27">
            <v>22.029053120535465</v>
          </cell>
          <cell r="V27">
            <v>20.886353700537633</v>
          </cell>
        </row>
        <row r="28">
          <cell r="R28">
            <v>2025</v>
          </cell>
          <cell r="S28">
            <v>25.499859477328116</v>
          </cell>
          <cell r="T28">
            <v>28.317236787861532</v>
          </cell>
          <cell r="U28">
            <v>23.166055368305411</v>
          </cell>
          <cell r="V28">
            <v>22.603847108300599</v>
          </cell>
        </row>
        <row r="29">
          <cell r="R29">
            <v>2026</v>
          </cell>
          <cell r="S29">
            <v>26.406409983921922</v>
          </cell>
          <cell r="T29">
            <v>28.295035411674682</v>
          </cell>
          <cell r="U29">
            <v>24.079910932298855</v>
          </cell>
          <cell r="V29">
            <v>22.753244502271468</v>
          </cell>
        </row>
        <row r="30">
          <cell r="R30">
            <v>2027</v>
          </cell>
          <cell r="S30">
            <v>27.517674958285856</v>
          </cell>
          <cell r="T30">
            <v>28.254737576116575</v>
          </cell>
          <cell r="U30">
            <v>25.274080536144364</v>
          </cell>
          <cell r="V30">
            <v>23.007858442648583</v>
          </cell>
        </row>
        <row r="31">
          <cell r="R31">
            <v>2028</v>
          </cell>
          <cell r="S31">
            <v>31.746269899384028</v>
          </cell>
          <cell r="T31">
            <v>38.930390786304486</v>
          </cell>
          <cell r="U31">
            <v>29.255466911973247</v>
          </cell>
          <cell r="V31">
            <v>32.224658617005971</v>
          </cell>
        </row>
        <row r="32">
          <cell r="R32">
            <v>2029</v>
          </cell>
          <cell r="S32">
            <v>36.758414502676679</v>
          </cell>
          <cell r="T32">
            <v>43.902158367872651</v>
          </cell>
          <cell r="U32">
            <v>34.125264702614807</v>
          </cell>
          <cell r="V32">
            <v>36.497826447370571</v>
          </cell>
        </row>
        <row r="33">
          <cell r="R33">
            <v>2030</v>
          </cell>
          <cell r="S33">
            <v>58.450321701299856</v>
          </cell>
          <cell r="T33">
            <v>59.607273397393044</v>
          </cell>
          <cell r="U33">
            <v>54.845491839304579</v>
          </cell>
          <cell r="V33">
            <v>50.051331097980061</v>
          </cell>
        </row>
        <row r="34">
          <cell r="R34">
            <v>2031</v>
          </cell>
          <cell r="S34">
            <v>61.081139770932445</v>
          </cell>
          <cell r="T34">
            <v>60.779198664992585</v>
          </cell>
          <cell r="U34">
            <v>57.067528789401784</v>
          </cell>
          <cell r="V34">
            <v>51.227009247333484</v>
          </cell>
        </row>
        <row r="35">
          <cell r="R35">
            <v>2032</v>
          </cell>
          <cell r="S35">
            <v>63.412640619970048</v>
          </cell>
          <cell r="T35">
            <v>63.218479392173045</v>
          </cell>
          <cell r="U35">
            <v>59.246903619962254</v>
          </cell>
          <cell r="V35">
            <v>53.666244156452919</v>
          </cell>
        </row>
        <row r="36">
          <cell r="R36">
            <v>2033</v>
          </cell>
          <cell r="S36">
            <v>66.29924437461051</v>
          </cell>
          <cell r="T36">
            <v>66.743520112591185</v>
          </cell>
          <cell r="U36">
            <v>62.408526389645893</v>
          </cell>
          <cell r="V36">
            <v>56.938946982515155</v>
          </cell>
        </row>
        <row r="37">
          <cell r="R37">
            <v>2034</v>
          </cell>
          <cell r="S37">
            <v>68.917452695205824</v>
          </cell>
          <cell r="T37">
            <v>68.578281300055181</v>
          </cell>
          <cell r="U37">
            <v>64.978373229227472</v>
          </cell>
          <cell r="V37">
            <v>58.971834052223478</v>
          </cell>
        </row>
        <row r="38">
          <cell r="R38">
            <v>2035</v>
          </cell>
          <cell r="S38">
            <v>71.33538838888434</v>
          </cell>
          <cell r="T38">
            <v>71.510172884372309</v>
          </cell>
          <cell r="U38">
            <v>67.332946218736865</v>
          </cell>
          <cell r="V38">
            <v>61.256462912540862</v>
          </cell>
        </row>
        <row r="39">
          <cell r="R39">
            <v>2036</v>
          </cell>
          <cell r="S39">
            <v>74.647837396279243</v>
          </cell>
          <cell r="T39">
            <v>75.691745794422602</v>
          </cell>
          <cell r="U39">
            <v>70.722584794911839</v>
          </cell>
          <cell r="V39">
            <v>65.378256881266211</v>
          </cell>
        </row>
        <row r="40">
          <cell r="R40">
            <v>2037</v>
          </cell>
          <cell r="S40">
            <v>76.729225438251135</v>
          </cell>
          <cell r="T40">
            <v>77.497194124764647</v>
          </cell>
          <cell r="U40">
            <v>72.832690542059552</v>
          </cell>
          <cell r="V40">
            <v>66.882956679707291</v>
          </cell>
        </row>
      </sheetData>
      <sheetData sheetId="3"/>
      <sheetData sheetId="4">
        <row r="9">
          <cell r="K9" t="str">
            <v>No</v>
          </cell>
          <cell r="L9">
            <v>2015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WyoWind1"/>
      <sheetName val="WyoWind2"/>
      <sheetName val="WyoWind3"/>
      <sheetName val="WyoWind4"/>
      <sheetName val="WyoWind5"/>
      <sheetName val="0-GRID Potential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 refreshError="1"/>
      <sheetData sheetId="2">
        <row r="3">
          <cell r="W3">
            <v>0.14499999999999999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6">
          <cell r="O46">
            <v>5673.378255432378</v>
          </cell>
          <cell r="P46">
            <v>224.73491729221749</v>
          </cell>
        </row>
        <row r="47">
          <cell r="O47">
            <v>2587.9564935369626</v>
          </cell>
          <cell r="P47">
            <v>946.54831756954536</v>
          </cell>
        </row>
        <row r="48">
          <cell r="O48">
            <v>4214.1564828629798</v>
          </cell>
          <cell r="P48">
            <v>141.41978259103564</v>
          </cell>
        </row>
        <row r="49">
          <cell r="O49">
            <v>5434.9796223408312</v>
          </cell>
          <cell r="P49">
            <v>294.02197290578601</v>
          </cell>
        </row>
        <row r="50">
          <cell r="O50">
            <v>8444.8661848296906</v>
          </cell>
          <cell r="P50">
            <v>940.52190637958643</v>
          </cell>
        </row>
        <row r="51">
          <cell r="O51">
            <v>6451.7370567470771</v>
          </cell>
          <cell r="P51">
            <v>390.10968436333974</v>
          </cell>
        </row>
        <row r="52">
          <cell r="O52">
            <v>5497.5280885022812</v>
          </cell>
          <cell r="P52">
            <v>582.55308169602745</v>
          </cell>
        </row>
        <row r="53">
          <cell r="O53">
            <v>5939.3770909410341</v>
          </cell>
          <cell r="P53">
            <v>0</v>
          </cell>
        </row>
        <row r="54">
          <cell r="O54">
            <v>5522.6919584415537</v>
          </cell>
          <cell r="P54">
            <v>408.18891793321649</v>
          </cell>
        </row>
        <row r="55">
          <cell r="O55">
            <v>4845.8251229443977</v>
          </cell>
          <cell r="P55">
            <v>575.92402938707266</v>
          </cell>
        </row>
        <row r="56">
          <cell r="O56">
            <v>5868.6125563231853</v>
          </cell>
          <cell r="P56">
            <v>433.09808418504662</v>
          </cell>
        </row>
        <row r="57">
          <cell r="O57">
            <v>5541.3399656135107</v>
          </cell>
          <cell r="P57">
            <v>82.963594048434246</v>
          </cell>
        </row>
      </sheetData>
      <sheetData sheetId="20">
        <row r="78">
          <cell r="H78">
            <v>5438</v>
          </cell>
        </row>
        <row r="79">
          <cell r="H79">
            <v>5692</v>
          </cell>
        </row>
        <row r="80">
          <cell r="H80">
            <v>6330</v>
          </cell>
        </row>
        <row r="81">
          <cell r="H81">
            <v>5570</v>
          </cell>
        </row>
        <row r="82">
          <cell r="H82">
            <v>6657</v>
          </cell>
        </row>
        <row r="83">
          <cell r="H83">
            <v>5458</v>
          </cell>
        </row>
        <row r="84">
          <cell r="H84">
            <v>5552</v>
          </cell>
        </row>
        <row r="85">
          <cell r="H85">
            <v>6198</v>
          </cell>
        </row>
        <row r="86">
          <cell r="H86">
            <v>5790</v>
          </cell>
        </row>
        <row r="87">
          <cell r="H87">
            <v>6411</v>
          </cell>
        </row>
        <row r="88">
          <cell r="H88">
            <v>5918</v>
          </cell>
        </row>
        <row r="89">
          <cell r="H89">
            <v>4392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Wind"/>
      <sheetName val="Tariff Page Solar Fixed"/>
      <sheetName val="Tariff Page Solar Tracking"/>
      <sheetName val="OFPC Source"/>
      <sheetName val="Compare-Internal 1"/>
      <sheetName val="High Level Brief 1"/>
      <sheetName val="Compare-Internal 2"/>
      <sheetName val="High Level Brief 2"/>
      <sheetName val="Reconsideration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4">
          <cell r="C24">
            <v>2</v>
          </cell>
        </row>
      </sheetData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D4">
            <v>0.85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1">
          <cell r="M1" t="str">
            <v>UT Sch 37 2014 - 2a - L&amp;R  Study _2014 05 04 1403 OFPC Low CO2.xlsm</v>
          </cell>
        </row>
        <row r="7">
          <cell r="D7" t="str">
            <v>Ut Sch 37 - 05a - Base Case _2014 05 04 (L&amp;R)</v>
          </cell>
        </row>
      </sheetData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>
        <row r="8">
          <cell r="A8" t="str">
            <v>REQUIREMENTS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Contract (HLH)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C15">
            <v>41275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OFPC Source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C40">
            <v>29.487879381066257</v>
          </cell>
        </row>
      </sheetData>
      <sheetData sheetId="7"/>
      <sheetData sheetId="8"/>
      <sheetData sheetId="9"/>
      <sheetData sheetId="10"/>
      <sheetData sheetId="11"/>
      <sheetData sheetId="12">
        <row r="10">
          <cell r="B10">
            <v>2018</v>
          </cell>
          <cell r="C10">
            <v>2.1779999999999999</v>
          </cell>
          <cell r="D10">
            <v>2.2330000000000001</v>
          </cell>
          <cell r="E10">
            <v>1.9430000000000001</v>
          </cell>
          <cell r="F10">
            <v>1.63</v>
          </cell>
        </row>
        <row r="11">
          <cell r="B11">
            <v>2019</v>
          </cell>
          <cell r="C11">
            <v>2.0179999999999998</v>
          </cell>
          <cell r="D11">
            <v>2.4590000000000001</v>
          </cell>
          <cell r="E11">
            <v>1.702</v>
          </cell>
          <cell r="F11">
            <v>1.6819999999999999</v>
          </cell>
        </row>
        <row r="12">
          <cell r="B12">
            <v>2020</v>
          </cell>
          <cell r="C12">
            <v>1.863</v>
          </cell>
          <cell r="D12">
            <v>2.48</v>
          </cell>
          <cell r="E12">
            <v>1.5680000000000001</v>
          </cell>
          <cell r="F12">
            <v>1.5660000000000001</v>
          </cell>
        </row>
        <row r="13">
          <cell r="B13">
            <v>2021</v>
          </cell>
          <cell r="C13">
            <v>1.905</v>
          </cell>
          <cell r="D13">
            <v>2.4119999999999999</v>
          </cell>
          <cell r="E13">
            <v>1.663</v>
          </cell>
          <cell r="F13">
            <v>1.5620000000000001</v>
          </cell>
        </row>
        <row r="14">
          <cell r="B14">
            <v>2022</v>
          </cell>
          <cell r="C14">
            <v>2.0409999999999999</v>
          </cell>
          <cell r="D14">
            <v>2.59</v>
          </cell>
          <cell r="E14">
            <v>1.827</v>
          </cell>
          <cell r="F14">
            <v>1.782</v>
          </cell>
        </row>
        <row r="15">
          <cell r="B15">
            <v>2023</v>
          </cell>
          <cell r="C15">
            <v>2.145</v>
          </cell>
          <cell r="D15">
            <v>2.746</v>
          </cell>
          <cell r="E15">
            <v>1.9450000000000001</v>
          </cell>
          <cell r="F15">
            <v>2.0590000000000002</v>
          </cell>
        </row>
        <row r="16">
          <cell r="B16">
            <v>2024</v>
          </cell>
          <cell r="C16">
            <v>2.4780000000000002</v>
          </cell>
          <cell r="D16">
            <v>2.9820000000000002</v>
          </cell>
          <cell r="E16">
            <v>2.25</v>
          </cell>
          <cell r="F16">
            <v>2.42</v>
          </cell>
        </row>
        <row r="17">
          <cell r="B17">
            <v>2025</v>
          </cell>
          <cell r="C17">
            <v>2.665</v>
          </cell>
          <cell r="D17">
            <v>3.419</v>
          </cell>
          <cell r="E17">
            <v>2.42</v>
          </cell>
          <cell r="F17">
            <v>2.7210000000000001</v>
          </cell>
        </row>
        <row r="18">
          <cell r="B18">
            <v>2026</v>
          </cell>
          <cell r="C18">
            <v>3.1720000000000002</v>
          </cell>
          <cell r="D18">
            <v>3.3340000000000001</v>
          </cell>
          <cell r="E18">
            <v>2.8849999999999998</v>
          </cell>
          <cell r="F18">
            <v>2.6680000000000001</v>
          </cell>
        </row>
        <row r="19">
          <cell r="B19">
            <v>2027</v>
          </cell>
          <cell r="C19">
            <v>2.7610000000000001</v>
          </cell>
          <cell r="D19">
            <v>3.4529999999999998</v>
          </cell>
          <cell r="E19">
            <v>2.5299999999999998</v>
          </cell>
          <cell r="F19">
            <v>2.802</v>
          </cell>
        </row>
        <row r="20">
          <cell r="B20">
            <v>2028</v>
          </cell>
          <cell r="C20">
            <v>3.3679999999999999</v>
          </cell>
          <cell r="D20">
            <v>4.149</v>
          </cell>
          <cell r="E20">
            <v>3.1</v>
          </cell>
          <cell r="F20">
            <v>3.399</v>
          </cell>
        </row>
        <row r="21">
          <cell r="B21">
            <v>2029</v>
          </cell>
          <cell r="C21">
            <v>6.9710000000000001</v>
          </cell>
          <cell r="D21">
            <v>6.9710000000000001</v>
          </cell>
          <cell r="E21">
            <v>3.4420000000000002</v>
          </cell>
          <cell r="F21">
            <v>3.4420000000000002</v>
          </cell>
        </row>
        <row r="22">
          <cell r="B22">
            <v>2030</v>
          </cell>
          <cell r="C22">
            <v>7.3040000000000003</v>
          </cell>
          <cell r="D22">
            <v>7.3040000000000003</v>
          </cell>
          <cell r="E22">
            <v>3.6920000000000002</v>
          </cell>
          <cell r="F22">
            <v>3.6920000000000002</v>
          </cell>
        </row>
        <row r="23">
          <cell r="B23">
            <v>2031</v>
          </cell>
          <cell r="C23">
            <v>7.5540000000000003</v>
          </cell>
          <cell r="D23">
            <v>7.5540000000000003</v>
          </cell>
          <cell r="E23">
            <v>3.8540000000000001</v>
          </cell>
          <cell r="F23">
            <v>3.8540000000000001</v>
          </cell>
        </row>
        <row r="24">
          <cell r="B24">
            <v>2032</v>
          </cell>
          <cell r="C24">
            <v>7.83</v>
          </cell>
          <cell r="D24">
            <v>7.83</v>
          </cell>
          <cell r="E24">
            <v>4.0410000000000004</v>
          </cell>
          <cell r="F24">
            <v>4.0410000000000004</v>
          </cell>
        </row>
        <row r="25">
          <cell r="B25">
            <v>2033</v>
          </cell>
          <cell r="C25">
            <v>8.1780000000000008</v>
          </cell>
          <cell r="D25">
            <v>8.1780000000000008</v>
          </cell>
          <cell r="E25">
            <v>4.298</v>
          </cell>
          <cell r="F25">
            <v>4.298</v>
          </cell>
        </row>
        <row r="26">
          <cell r="B26">
            <v>2034</v>
          </cell>
          <cell r="C26">
            <v>8.4540000000000006</v>
          </cell>
          <cell r="D26">
            <v>8.4540000000000006</v>
          </cell>
          <cell r="E26">
            <v>4.4800000000000004</v>
          </cell>
          <cell r="F26">
            <v>4.4800000000000004</v>
          </cell>
        </row>
        <row r="27">
          <cell r="B27">
            <v>2035</v>
          </cell>
          <cell r="C27">
            <v>8.7379999999999995</v>
          </cell>
          <cell r="D27">
            <v>8.7379999999999995</v>
          </cell>
          <cell r="E27">
            <v>4.6680000000000001</v>
          </cell>
          <cell r="F27">
            <v>4.6680000000000001</v>
          </cell>
        </row>
        <row r="28">
          <cell r="B28">
            <v>2036</v>
          </cell>
          <cell r="C28">
            <v>9.1790000000000003</v>
          </cell>
          <cell r="D28">
            <v>9.1790000000000003</v>
          </cell>
          <cell r="E28">
            <v>5.01</v>
          </cell>
          <cell r="F28">
            <v>5.01</v>
          </cell>
        </row>
        <row r="29">
          <cell r="B29">
            <v>2037</v>
          </cell>
          <cell r="C29">
            <v>9.4559999999999995</v>
          </cell>
          <cell r="D29">
            <v>9.4559999999999995</v>
          </cell>
          <cell r="E29">
            <v>5.1859999999999999</v>
          </cell>
          <cell r="F29">
            <v>5.1859999999999999</v>
          </cell>
        </row>
      </sheetData>
      <sheetData sheetId="13">
        <row r="10">
          <cell r="B10">
            <v>2017</v>
          </cell>
          <cell r="C10">
            <v>2.3650000000000002</v>
          </cell>
          <cell r="D10">
            <v>2.3759999999999999</v>
          </cell>
          <cell r="E10">
            <v>2.14</v>
          </cell>
          <cell r="F10">
            <v>1.71</v>
          </cell>
        </row>
        <row r="11">
          <cell r="B11">
            <v>2018</v>
          </cell>
          <cell r="C11">
            <v>2.1150000000000002</v>
          </cell>
          <cell r="D11">
            <v>2.17</v>
          </cell>
          <cell r="E11">
            <v>1.88</v>
          </cell>
          <cell r="F11">
            <v>1.5669999999999999</v>
          </cell>
        </row>
        <row r="12">
          <cell r="B12">
            <v>2019</v>
          </cell>
          <cell r="C12">
            <v>1.954</v>
          </cell>
          <cell r="D12">
            <v>2.395</v>
          </cell>
          <cell r="E12">
            <v>1.6379999999999999</v>
          </cell>
          <cell r="F12">
            <v>1.617</v>
          </cell>
        </row>
        <row r="13">
          <cell r="B13">
            <v>2020</v>
          </cell>
          <cell r="C13">
            <v>1.798</v>
          </cell>
          <cell r="D13">
            <v>2.4140000000000001</v>
          </cell>
          <cell r="E13">
            <v>1.502</v>
          </cell>
          <cell r="F13">
            <v>1.5009999999999999</v>
          </cell>
        </row>
        <row r="14">
          <cell r="B14">
            <v>2021</v>
          </cell>
          <cell r="C14">
            <v>1.8380000000000001</v>
          </cell>
          <cell r="D14">
            <v>2.3450000000000002</v>
          </cell>
          <cell r="E14">
            <v>1.5960000000000001</v>
          </cell>
          <cell r="F14">
            <v>1.4950000000000001</v>
          </cell>
        </row>
        <row r="15">
          <cell r="B15">
            <v>2022</v>
          </cell>
          <cell r="C15">
            <v>1.972</v>
          </cell>
          <cell r="D15">
            <v>2.5209999999999999</v>
          </cell>
          <cell r="E15">
            <v>1.7589999999999999</v>
          </cell>
          <cell r="F15">
            <v>1.7130000000000001</v>
          </cell>
        </row>
        <row r="16">
          <cell r="B16">
            <v>2023</v>
          </cell>
          <cell r="C16">
            <v>2.0750000000000002</v>
          </cell>
          <cell r="D16">
            <v>2.6760000000000002</v>
          </cell>
          <cell r="E16">
            <v>1.875</v>
          </cell>
          <cell r="F16">
            <v>1.9890000000000001</v>
          </cell>
        </row>
        <row r="17">
          <cell r="B17">
            <v>2024</v>
          </cell>
          <cell r="C17">
            <v>2.4060000000000001</v>
          </cell>
          <cell r="D17">
            <v>2.91</v>
          </cell>
          <cell r="E17">
            <v>2.1779999999999999</v>
          </cell>
          <cell r="F17">
            <v>2.3479999999999999</v>
          </cell>
        </row>
        <row r="18">
          <cell r="B18">
            <v>2025</v>
          </cell>
          <cell r="C18">
            <v>2.5920000000000001</v>
          </cell>
          <cell r="D18">
            <v>3.3460000000000001</v>
          </cell>
          <cell r="E18">
            <v>2.347</v>
          </cell>
          <cell r="F18">
            <v>2.6480000000000001</v>
          </cell>
        </row>
        <row r="19">
          <cell r="B19">
            <v>2026</v>
          </cell>
          <cell r="C19">
            <v>3.097</v>
          </cell>
          <cell r="D19">
            <v>3.2589999999999999</v>
          </cell>
          <cell r="E19">
            <v>2.81</v>
          </cell>
          <cell r="F19">
            <v>2.593</v>
          </cell>
        </row>
        <row r="20">
          <cell r="B20">
            <v>2027</v>
          </cell>
          <cell r="C20">
            <v>2.6840000000000002</v>
          </cell>
          <cell r="D20">
            <v>3.3759999999999999</v>
          </cell>
          <cell r="E20">
            <v>2.4529999999999998</v>
          </cell>
          <cell r="F20">
            <v>2.7250000000000001</v>
          </cell>
        </row>
        <row r="21">
          <cell r="B21">
            <v>2028</v>
          </cell>
          <cell r="C21">
            <v>3.2890000000000001</v>
          </cell>
          <cell r="D21">
            <v>4.0709999999999997</v>
          </cell>
          <cell r="E21">
            <v>3.0209999999999999</v>
          </cell>
          <cell r="F21">
            <v>3.3210000000000002</v>
          </cell>
        </row>
        <row r="22">
          <cell r="B22">
            <v>2029</v>
          </cell>
          <cell r="C22">
            <v>4.6989999999999998</v>
          </cell>
          <cell r="D22">
            <v>4.6989999999999998</v>
          </cell>
          <cell r="E22">
            <v>3.3610000000000002</v>
          </cell>
          <cell r="F22">
            <v>3.3610000000000002</v>
          </cell>
        </row>
        <row r="23">
          <cell r="B23">
            <v>2030</v>
          </cell>
          <cell r="C23">
            <v>4.9790000000000001</v>
          </cell>
          <cell r="D23">
            <v>4.9790000000000001</v>
          </cell>
          <cell r="E23">
            <v>3.61</v>
          </cell>
          <cell r="F23">
            <v>3.61</v>
          </cell>
        </row>
        <row r="24">
          <cell r="B24">
            <v>2031</v>
          </cell>
          <cell r="C24">
            <v>5.1719999999999997</v>
          </cell>
          <cell r="D24">
            <v>5.1719999999999997</v>
          </cell>
          <cell r="E24">
            <v>3.7690000000000001</v>
          </cell>
          <cell r="F24">
            <v>3.7690000000000001</v>
          </cell>
        </row>
        <row r="25">
          <cell r="B25">
            <v>2032</v>
          </cell>
          <cell r="C25">
            <v>5.391</v>
          </cell>
          <cell r="D25">
            <v>5.391</v>
          </cell>
          <cell r="E25">
            <v>3.9540000000000002</v>
          </cell>
          <cell r="F25">
            <v>3.9540000000000002</v>
          </cell>
        </row>
        <row r="26">
          <cell r="B26">
            <v>2033</v>
          </cell>
          <cell r="C26">
            <v>5.681</v>
          </cell>
          <cell r="D26">
            <v>5.681</v>
          </cell>
          <cell r="E26">
            <v>4.21</v>
          </cell>
          <cell r="F26">
            <v>4.21</v>
          </cell>
        </row>
        <row r="27">
          <cell r="B27">
            <v>2034</v>
          </cell>
          <cell r="C27">
            <v>5.8959999999999999</v>
          </cell>
          <cell r="D27">
            <v>5.8959999999999999</v>
          </cell>
          <cell r="E27">
            <v>4.3890000000000002</v>
          </cell>
          <cell r="F27">
            <v>4.3890000000000002</v>
          </cell>
        </row>
        <row r="28">
          <cell r="B28">
            <v>2035</v>
          </cell>
          <cell r="C28">
            <v>6.1180000000000003</v>
          </cell>
          <cell r="D28">
            <v>6.1180000000000003</v>
          </cell>
          <cell r="E28">
            <v>4.5750000000000002</v>
          </cell>
          <cell r="F28">
            <v>4.5750000000000002</v>
          </cell>
        </row>
        <row r="29">
          <cell r="B29">
            <v>2036</v>
          </cell>
          <cell r="C29">
            <v>6.4950000000000001</v>
          </cell>
          <cell r="D29">
            <v>6.4950000000000001</v>
          </cell>
          <cell r="E29">
            <v>4.915</v>
          </cell>
          <cell r="F29">
            <v>4.915</v>
          </cell>
        </row>
      </sheetData>
      <sheetData sheetId="14">
        <row r="10">
          <cell r="B10">
            <v>2017</v>
          </cell>
          <cell r="C10">
            <v>2.3650000000000002</v>
          </cell>
          <cell r="D10">
            <v>2.3759999999999999</v>
          </cell>
          <cell r="E10">
            <v>2.14</v>
          </cell>
          <cell r="F10">
            <v>1.71</v>
          </cell>
        </row>
        <row r="11">
          <cell r="B11">
            <v>2018</v>
          </cell>
          <cell r="C11">
            <v>2.1150000000000002</v>
          </cell>
          <cell r="D11">
            <v>2.17</v>
          </cell>
          <cell r="E11">
            <v>1.88</v>
          </cell>
          <cell r="F11">
            <v>1.5669999999999999</v>
          </cell>
        </row>
        <row r="12">
          <cell r="B12">
            <v>2019</v>
          </cell>
          <cell r="C12">
            <v>1.954</v>
          </cell>
          <cell r="D12">
            <v>2.395</v>
          </cell>
          <cell r="E12">
            <v>1.6379999999999999</v>
          </cell>
          <cell r="F12">
            <v>1.617</v>
          </cell>
        </row>
        <row r="13">
          <cell r="B13">
            <v>2020</v>
          </cell>
          <cell r="C13">
            <v>1.798</v>
          </cell>
          <cell r="D13">
            <v>2.4140000000000001</v>
          </cell>
          <cell r="E13">
            <v>1.502</v>
          </cell>
          <cell r="F13">
            <v>1.5009999999999999</v>
          </cell>
        </row>
        <row r="14">
          <cell r="B14">
            <v>2021</v>
          </cell>
          <cell r="C14">
            <v>1.8380000000000001</v>
          </cell>
          <cell r="D14">
            <v>2.3450000000000002</v>
          </cell>
          <cell r="E14">
            <v>1.5960000000000001</v>
          </cell>
          <cell r="F14">
            <v>1.4950000000000001</v>
          </cell>
        </row>
        <row r="15">
          <cell r="B15">
            <v>2022</v>
          </cell>
          <cell r="C15">
            <v>1.972</v>
          </cell>
          <cell r="D15">
            <v>2.5209999999999999</v>
          </cell>
          <cell r="E15">
            <v>1.7589999999999999</v>
          </cell>
          <cell r="F15">
            <v>1.7130000000000001</v>
          </cell>
        </row>
        <row r="16">
          <cell r="B16">
            <v>2023</v>
          </cell>
          <cell r="C16">
            <v>2.0750000000000002</v>
          </cell>
          <cell r="D16">
            <v>2.6760000000000002</v>
          </cell>
          <cell r="E16">
            <v>1.875</v>
          </cell>
          <cell r="F16">
            <v>1.9890000000000001</v>
          </cell>
        </row>
        <row r="17">
          <cell r="B17">
            <v>2024</v>
          </cell>
          <cell r="C17">
            <v>2.4060000000000001</v>
          </cell>
          <cell r="D17">
            <v>2.91</v>
          </cell>
          <cell r="E17">
            <v>2.1779999999999999</v>
          </cell>
          <cell r="F17">
            <v>2.3479999999999999</v>
          </cell>
        </row>
        <row r="18">
          <cell r="B18">
            <v>2025</v>
          </cell>
          <cell r="C18">
            <v>2.5920000000000001</v>
          </cell>
          <cell r="D18">
            <v>3.3460000000000001</v>
          </cell>
          <cell r="E18">
            <v>2.347</v>
          </cell>
          <cell r="F18">
            <v>2.6480000000000001</v>
          </cell>
        </row>
        <row r="19">
          <cell r="B19">
            <v>2026</v>
          </cell>
          <cell r="C19">
            <v>3.097</v>
          </cell>
          <cell r="D19">
            <v>3.2589999999999999</v>
          </cell>
          <cell r="E19">
            <v>2.81</v>
          </cell>
          <cell r="F19">
            <v>2.593</v>
          </cell>
        </row>
        <row r="20">
          <cell r="B20">
            <v>2027</v>
          </cell>
          <cell r="C20">
            <v>2.6840000000000002</v>
          </cell>
          <cell r="D20">
            <v>3.3759999999999999</v>
          </cell>
          <cell r="E20">
            <v>2.4529999999999998</v>
          </cell>
          <cell r="F20">
            <v>2.7250000000000001</v>
          </cell>
        </row>
        <row r="21">
          <cell r="B21">
            <v>2028</v>
          </cell>
          <cell r="C21">
            <v>3.2890000000000001</v>
          </cell>
          <cell r="D21">
            <v>4.0709999999999997</v>
          </cell>
          <cell r="E21">
            <v>3.0209999999999999</v>
          </cell>
          <cell r="F21">
            <v>3.3210000000000002</v>
          </cell>
        </row>
        <row r="22">
          <cell r="B22">
            <v>2029</v>
          </cell>
          <cell r="C22">
            <v>5.4669999999999996</v>
          </cell>
          <cell r="D22">
            <v>5.4669999999999996</v>
          </cell>
          <cell r="E22">
            <v>3.3610000000000002</v>
          </cell>
          <cell r="F22">
            <v>3.3610000000000002</v>
          </cell>
        </row>
        <row r="23">
          <cell r="B23">
            <v>2030</v>
          </cell>
          <cell r="C23">
            <v>5.7649999999999997</v>
          </cell>
          <cell r="D23">
            <v>5.7649999999999997</v>
          </cell>
          <cell r="E23">
            <v>3.61</v>
          </cell>
          <cell r="F23">
            <v>3.61</v>
          </cell>
        </row>
        <row r="24">
          <cell r="B24">
            <v>2031</v>
          </cell>
          <cell r="C24">
            <v>5.9770000000000003</v>
          </cell>
          <cell r="D24">
            <v>5.9770000000000003</v>
          </cell>
          <cell r="E24">
            <v>3.7690000000000001</v>
          </cell>
          <cell r="F24">
            <v>3.7690000000000001</v>
          </cell>
        </row>
        <row r="25">
          <cell r="B25">
            <v>2032</v>
          </cell>
          <cell r="C25">
            <v>6.2149999999999999</v>
          </cell>
          <cell r="D25">
            <v>6.2149999999999999</v>
          </cell>
          <cell r="E25">
            <v>3.9540000000000002</v>
          </cell>
          <cell r="F25">
            <v>3.9540000000000002</v>
          </cell>
        </row>
        <row r="26">
          <cell r="B26">
            <v>2033</v>
          </cell>
          <cell r="C26">
            <v>6.5250000000000004</v>
          </cell>
          <cell r="D26">
            <v>6.5250000000000004</v>
          </cell>
          <cell r="E26">
            <v>4.21</v>
          </cell>
          <cell r="F26">
            <v>4.21</v>
          </cell>
        </row>
        <row r="27">
          <cell r="B27">
            <v>2034</v>
          </cell>
          <cell r="C27">
            <v>6.7610000000000001</v>
          </cell>
          <cell r="D27">
            <v>6.7610000000000001</v>
          </cell>
          <cell r="E27">
            <v>4.3890000000000002</v>
          </cell>
          <cell r="F27">
            <v>4.3890000000000002</v>
          </cell>
        </row>
        <row r="28">
          <cell r="B28">
            <v>2035</v>
          </cell>
          <cell r="C28">
            <v>7.0039999999999996</v>
          </cell>
          <cell r="D28">
            <v>7.0039999999999996</v>
          </cell>
          <cell r="E28">
            <v>4.5750000000000002</v>
          </cell>
          <cell r="F28">
            <v>4.5750000000000002</v>
          </cell>
        </row>
        <row r="29">
          <cell r="B29">
            <v>2036</v>
          </cell>
          <cell r="C29">
            <v>7.4020000000000001</v>
          </cell>
          <cell r="D29">
            <v>7.4020000000000001</v>
          </cell>
          <cell r="E29">
            <v>4.915</v>
          </cell>
          <cell r="F29">
            <v>4.915</v>
          </cell>
        </row>
      </sheetData>
      <sheetData sheetId="15">
        <row r="10">
          <cell r="B10">
            <v>2018</v>
          </cell>
          <cell r="C10">
            <v>2.1179999999999999</v>
          </cell>
          <cell r="D10">
            <v>2.173</v>
          </cell>
          <cell r="E10">
            <v>1.883</v>
          </cell>
          <cell r="F10">
            <v>1.57</v>
          </cell>
        </row>
        <row r="11">
          <cell r="B11">
            <v>2019</v>
          </cell>
          <cell r="C11">
            <v>1.9570000000000001</v>
          </cell>
          <cell r="D11">
            <v>2.3980000000000001</v>
          </cell>
          <cell r="E11">
            <v>1.641</v>
          </cell>
          <cell r="F11">
            <v>1.621</v>
          </cell>
        </row>
        <row r="12">
          <cell r="B12">
            <v>2020</v>
          </cell>
          <cell r="C12">
            <v>1.8009999999999999</v>
          </cell>
          <cell r="D12">
            <v>2.4169999999999998</v>
          </cell>
          <cell r="E12">
            <v>1.506</v>
          </cell>
          <cell r="F12">
            <v>1.504</v>
          </cell>
        </row>
        <row r="13">
          <cell r="B13">
            <v>2021</v>
          </cell>
          <cell r="C13">
            <v>1.841</v>
          </cell>
          <cell r="D13">
            <v>2.3479999999999999</v>
          </cell>
          <cell r="E13">
            <v>1.599</v>
          </cell>
          <cell r="F13">
            <v>1.498</v>
          </cell>
        </row>
        <row r="14">
          <cell r="B14">
            <v>2022</v>
          </cell>
          <cell r="C14">
            <v>1.976</v>
          </cell>
          <cell r="D14">
            <v>2.5249999999999999</v>
          </cell>
          <cell r="E14">
            <v>1.762</v>
          </cell>
          <cell r="F14">
            <v>1.7170000000000001</v>
          </cell>
        </row>
        <row r="15">
          <cell r="B15">
            <v>2023</v>
          </cell>
          <cell r="C15">
            <v>2.0779999999999998</v>
          </cell>
          <cell r="D15">
            <v>2.6789999999999998</v>
          </cell>
          <cell r="E15">
            <v>1.879</v>
          </cell>
          <cell r="F15">
            <v>1.992</v>
          </cell>
        </row>
        <row r="16">
          <cell r="B16">
            <v>2024</v>
          </cell>
          <cell r="C16">
            <v>2.41</v>
          </cell>
          <cell r="D16">
            <v>2.9140000000000001</v>
          </cell>
          <cell r="E16">
            <v>2.1819999999999999</v>
          </cell>
          <cell r="F16">
            <v>2.3519999999999999</v>
          </cell>
        </row>
        <row r="17">
          <cell r="B17">
            <v>2025</v>
          </cell>
          <cell r="C17">
            <v>2.5950000000000002</v>
          </cell>
          <cell r="D17">
            <v>3.3490000000000002</v>
          </cell>
          <cell r="E17">
            <v>2.35</v>
          </cell>
          <cell r="F17">
            <v>2.6509999999999998</v>
          </cell>
        </row>
        <row r="18">
          <cell r="B18">
            <v>2026</v>
          </cell>
          <cell r="C18">
            <v>3.101</v>
          </cell>
          <cell r="D18">
            <v>3.262</v>
          </cell>
          <cell r="E18">
            <v>2.8130000000000002</v>
          </cell>
          <cell r="F18">
            <v>2.597</v>
          </cell>
        </row>
        <row r="19">
          <cell r="B19">
            <v>2027</v>
          </cell>
          <cell r="C19">
            <v>2.6880000000000002</v>
          </cell>
          <cell r="D19">
            <v>3.38</v>
          </cell>
          <cell r="E19">
            <v>2.4569999999999999</v>
          </cell>
          <cell r="F19">
            <v>2.7290000000000001</v>
          </cell>
        </row>
        <row r="20">
          <cell r="B20">
            <v>2028</v>
          </cell>
          <cell r="C20">
            <v>3.2930000000000001</v>
          </cell>
          <cell r="D20">
            <v>4.0750000000000002</v>
          </cell>
          <cell r="E20">
            <v>3.0249999999999999</v>
          </cell>
          <cell r="F20">
            <v>3.3250000000000002</v>
          </cell>
        </row>
        <row r="21">
          <cell r="B21">
            <v>2029</v>
          </cell>
          <cell r="C21">
            <v>3.923</v>
          </cell>
          <cell r="D21">
            <v>3.923</v>
          </cell>
          <cell r="E21">
            <v>3.3650000000000002</v>
          </cell>
          <cell r="F21">
            <v>3.3650000000000002</v>
          </cell>
        </row>
        <row r="22">
          <cell r="B22">
            <v>2030</v>
          </cell>
          <cell r="C22">
            <v>4.1840000000000002</v>
          </cell>
          <cell r="D22">
            <v>4.1840000000000002</v>
          </cell>
          <cell r="E22">
            <v>3.6139999999999999</v>
          </cell>
          <cell r="F22">
            <v>3.6139999999999999</v>
          </cell>
        </row>
        <row r="23">
          <cell r="B23">
            <v>2031</v>
          </cell>
          <cell r="C23">
            <v>4.3579999999999997</v>
          </cell>
          <cell r="D23">
            <v>4.3579999999999997</v>
          </cell>
          <cell r="E23">
            <v>3.7730000000000001</v>
          </cell>
          <cell r="F23">
            <v>3.7730000000000001</v>
          </cell>
        </row>
        <row r="24">
          <cell r="B24">
            <v>2032</v>
          </cell>
          <cell r="C24">
            <v>4.5570000000000004</v>
          </cell>
          <cell r="D24">
            <v>4.5570000000000004</v>
          </cell>
          <cell r="E24">
            <v>3.9580000000000002</v>
          </cell>
          <cell r="F24">
            <v>3.9580000000000002</v>
          </cell>
        </row>
        <row r="25">
          <cell r="B25">
            <v>2033</v>
          </cell>
          <cell r="C25">
            <v>4.827</v>
          </cell>
          <cell r="D25">
            <v>4.827</v>
          </cell>
          <cell r="E25">
            <v>4.2140000000000004</v>
          </cell>
          <cell r="F25">
            <v>4.2140000000000004</v>
          </cell>
        </row>
        <row r="26">
          <cell r="B26">
            <v>2034</v>
          </cell>
          <cell r="C26">
            <v>5.0209999999999999</v>
          </cell>
          <cell r="D26">
            <v>5.0209999999999999</v>
          </cell>
          <cell r="E26">
            <v>4.3940000000000001</v>
          </cell>
          <cell r="F26">
            <v>4.3940000000000001</v>
          </cell>
        </row>
        <row r="27">
          <cell r="B27">
            <v>2035</v>
          </cell>
          <cell r="C27">
            <v>5.2229999999999999</v>
          </cell>
          <cell r="D27">
            <v>5.2229999999999999</v>
          </cell>
          <cell r="E27">
            <v>4.58</v>
          </cell>
          <cell r="F27">
            <v>4.58</v>
          </cell>
        </row>
        <row r="28">
          <cell r="B28">
            <v>2036</v>
          </cell>
          <cell r="C28">
            <v>5.5780000000000003</v>
          </cell>
          <cell r="D28">
            <v>5.5780000000000003</v>
          </cell>
          <cell r="E28">
            <v>4.9189999999999996</v>
          </cell>
          <cell r="F28">
            <v>4.9189999999999996</v>
          </cell>
        </row>
        <row r="29">
          <cell r="B29">
            <v>2037</v>
          </cell>
          <cell r="C29">
            <v>5.7679999999999998</v>
          </cell>
          <cell r="D29">
            <v>5.7679999999999998</v>
          </cell>
          <cell r="E29">
            <v>5.093</v>
          </cell>
          <cell r="F29">
            <v>5.093</v>
          </cell>
        </row>
      </sheetData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Monthly Energy Prices"/>
      <sheetName val="SourceEnergy"/>
      <sheetName val="MWH-Split"/>
      <sheetName val="Monthly Levelized"/>
    </sheetNames>
    <sheetDataSet>
      <sheetData sheetId="0"/>
      <sheetData sheetId="1"/>
      <sheetData sheetId="2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18.58484173927642</v>
          </cell>
          <cell r="T20">
            <v>22.22849481674951</v>
          </cell>
          <cell r="U20">
            <v>17.001544177789512</v>
          </cell>
          <cell r="V20">
            <v>16.182062708850431</v>
          </cell>
        </row>
        <row r="21">
          <cell r="R21">
            <v>2018</v>
          </cell>
          <cell r="S21">
            <v>18.38173082961611</v>
          </cell>
          <cell r="T21">
            <v>22.719577003637866</v>
          </cell>
          <cell r="U21">
            <v>15.83567911578063</v>
          </cell>
          <cell r="V21">
            <v>16.539564321484981</v>
          </cell>
        </row>
        <row r="22">
          <cell r="R22">
            <v>2019</v>
          </cell>
          <cell r="S22">
            <v>17.128291955954403</v>
          </cell>
          <cell r="T22">
            <v>20.965813158970779</v>
          </cell>
          <cell r="U22">
            <v>13.636216402116107</v>
          </cell>
          <cell r="V22">
            <v>14.021529186092476</v>
          </cell>
        </row>
        <row r="23">
          <cell r="R23">
            <v>2020</v>
          </cell>
          <cell r="S23">
            <v>16.382461671100319</v>
          </cell>
          <cell r="T23">
            <v>19.577992894329896</v>
          </cell>
          <cell r="U23">
            <v>12.992585599318851</v>
          </cell>
          <cell r="V23">
            <v>12.343973103915909</v>
          </cell>
        </row>
        <row r="24">
          <cell r="R24">
            <v>2021</v>
          </cell>
          <cell r="S24">
            <v>15.185251640861383</v>
          </cell>
          <cell r="T24">
            <v>18.105971183535239</v>
          </cell>
          <cell r="U24">
            <v>12.447648164011559</v>
          </cell>
          <cell r="V24">
            <v>11.70734877877779</v>
          </cell>
        </row>
        <row r="25">
          <cell r="R25">
            <v>2022</v>
          </cell>
          <cell r="S25">
            <v>15.956307367552553</v>
          </cell>
          <cell r="T25">
            <v>18.936371169358903</v>
          </cell>
          <cell r="U25">
            <v>13.480200122736829</v>
          </cell>
          <cell r="V25">
            <v>13.007789833222878</v>
          </cell>
        </row>
        <row r="26">
          <cell r="R26">
            <v>2023</v>
          </cell>
          <cell r="S26">
            <v>17.391894247864229</v>
          </cell>
          <cell r="T26">
            <v>20.484919651643573</v>
          </cell>
          <cell r="U26">
            <v>15.485558054822826</v>
          </cell>
          <cell r="V26">
            <v>15.387411597207596</v>
          </cell>
        </row>
        <row r="27">
          <cell r="R27">
            <v>2024</v>
          </cell>
          <cell r="S27">
            <v>17.223193943568312</v>
          </cell>
          <cell r="T27">
            <v>19.819829308773105</v>
          </cell>
          <cell r="U27">
            <v>15.535233639301641</v>
          </cell>
          <cell r="V27">
            <v>15.807508210359089</v>
          </cell>
        </row>
        <row r="28">
          <cell r="R28">
            <v>2025</v>
          </cell>
          <cell r="S28">
            <v>20.801948693845688</v>
          </cell>
          <cell r="T28">
            <v>24.007286285384389</v>
          </cell>
          <cell r="U28">
            <v>18.76516073558804</v>
          </cell>
          <cell r="V28">
            <v>19.01326573710752</v>
          </cell>
        </row>
        <row r="29">
          <cell r="R29">
            <v>2026</v>
          </cell>
          <cell r="S29">
            <v>21.674588972223738</v>
          </cell>
          <cell r="T29">
            <v>25.309496371386995</v>
          </cell>
          <cell r="U29">
            <v>19.443757960550851</v>
          </cell>
          <cell r="V29">
            <v>20.353299870222322</v>
          </cell>
        </row>
        <row r="30">
          <cell r="R30">
            <v>2027</v>
          </cell>
          <cell r="S30">
            <v>21.094639665171439</v>
          </cell>
          <cell r="T30">
            <v>24.420263822643342</v>
          </cell>
          <cell r="U30">
            <v>19.097223779005386</v>
          </cell>
          <cell r="V30">
            <v>19.916010573711127</v>
          </cell>
        </row>
        <row r="31">
          <cell r="R31">
            <v>2028</v>
          </cell>
          <cell r="S31">
            <v>29.317194524675205</v>
          </cell>
          <cell r="T31">
            <v>33.929932687913713</v>
          </cell>
          <cell r="U31">
            <v>26.715724236871782</v>
          </cell>
          <cell r="V31">
            <v>27.879168532680119</v>
          </cell>
        </row>
        <row r="32">
          <cell r="R32">
            <v>2029</v>
          </cell>
          <cell r="S32">
            <v>33.990223305836892</v>
          </cell>
          <cell r="T32">
            <v>38.849379331301989</v>
          </cell>
          <cell r="U32">
            <v>31.01572022683926</v>
          </cell>
          <cell r="V32">
            <v>32.160920595185175</v>
          </cell>
        </row>
        <row r="33">
          <cell r="R33">
            <v>2030</v>
          </cell>
          <cell r="S33">
            <v>37.584131236505058</v>
          </cell>
          <cell r="T33">
            <v>43.303112974040452</v>
          </cell>
          <cell r="U33">
            <v>34.991975157778157</v>
          </cell>
          <cell r="V33">
            <v>35.714212699285397</v>
          </cell>
        </row>
        <row r="34">
          <cell r="R34">
            <v>2031</v>
          </cell>
          <cell r="S34">
            <v>38.870186297674842</v>
          </cell>
          <cell r="T34">
            <v>44.299158802103392</v>
          </cell>
          <cell r="U34">
            <v>36.003649800960908</v>
          </cell>
          <cell r="V34">
            <v>36.911412462192914</v>
          </cell>
        </row>
        <row r="35">
          <cell r="R35">
            <v>2032</v>
          </cell>
          <cell r="S35">
            <v>41.938094379195292</v>
          </cell>
          <cell r="T35">
            <v>47.875763294325381</v>
          </cell>
          <cell r="U35">
            <v>38.643593265807866</v>
          </cell>
          <cell r="V35">
            <v>40.539331989080985</v>
          </cell>
        </row>
        <row r="36">
          <cell r="R36">
            <v>2033</v>
          </cell>
          <cell r="S36">
            <v>78.958734457551174</v>
          </cell>
          <cell r="T36">
            <v>90.946614774102628</v>
          </cell>
          <cell r="U36">
            <v>73.549060477789524</v>
          </cell>
          <cell r="V36">
            <v>77.195785698281554</v>
          </cell>
        </row>
        <row r="37">
          <cell r="R37">
            <v>2034</v>
          </cell>
          <cell r="S37">
            <v>81.97295075017945</v>
          </cell>
          <cell r="T37">
            <v>92.694002803828894</v>
          </cell>
          <cell r="U37">
            <v>76.630379606103759</v>
          </cell>
          <cell r="V37">
            <v>79.345494714996079</v>
          </cell>
        </row>
        <row r="38">
          <cell r="R38">
            <v>2035</v>
          </cell>
          <cell r="S38">
            <v>83.575192988592576</v>
          </cell>
          <cell r="T38">
            <v>96.382203391638171</v>
          </cell>
          <cell r="U38">
            <v>77.909587822947302</v>
          </cell>
          <cell r="V38">
            <v>82.262364227777098</v>
          </cell>
        </row>
        <row r="39">
          <cell r="R39">
            <v>2036</v>
          </cell>
          <cell r="S39">
            <v>85.665377068006023</v>
          </cell>
          <cell r="T39">
            <v>98.800168176629157</v>
          </cell>
          <cell r="U39">
            <v>80.614122157409753</v>
          </cell>
          <cell r="V39">
            <v>84.571979427091321</v>
          </cell>
        </row>
        <row r="40">
          <cell r="R40">
            <v>2037</v>
          </cell>
          <cell r="S40">
            <v>88.636247757458491</v>
          </cell>
          <cell r="T40">
            <v>101.35131703668266</v>
          </cell>
          <cell r="U40">
            <v>83.282445465992254</v>
          </cell>
          <cell r="V40">
            <v>87.358254787045993</v>
          </cell>
        </row>
      </sheetData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Monthly Energy Prices"/>
      <sheetName val="SourceEnergy"/>
      <sheetName val="MWH-Split"/>
      <sheetName val="Monthly Levelized"/>
    </sheetNames>
    <sheetDataSet>
      <sheetData sheetId="0"/>
      <sheetData sheetId="1"/>
      <sheetData sheetId="2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18.667839051610365</v>
          </cell>
          <cell r="T20">
            <v>22.277424848790425</v>
          </cell>
          <cell r="U20">
            <v>17.092467542481153</v>
          </cell>
          <cell r="V20">
            <v>16.298541289090082</v>
          </cell>
        </row>
        <row r="21">
          <cell r="R21">
            <v>2018</v>
          </cell>
          <cell r="S21">
            <v>18.65816873014418</v>
          </cell>
          <cell r="T21">
            <v>22.769588020573941</v>
          </cell>
          <cell r="U21">
            <v>16.446227930456239</v>
          </cell>
          <cell r="V21">
            <v>16.658616200383914</v>
          </cell>
        </row>
        <row r="22">
          <cell r="R22">
            <v>2019</v>
          </cell>
          <cell r="S22">
            <v>17.10979854839989</v>
          </cell>
          <cell r="T22">
            <v>20.633307367413124</v>
          </cell>
          <cell r="U22">
            <v>14.412304801847389</v>
          </cell>
          <cell r="V22">
            <v>14.085953420582905</v>
          </cell>
        </row>
        <row r="23">
          <cell r="R23">
            <v>2020</v>
          </cell>
          <cell r="S23">
            <v>16.343615639997385</v>
          </cell>
          <cell r="T23">
            <v>19.347346554146725</v>
          </cell>
          <cell r="U23">
            <v>13.532574783004486</v>
          </cell>
          <cell r="V23">
            <v>12.34445996969491</v>
          </cell>
        </row>
        <row r="24">
          <cell r="R24">
            <v>2021</v>
          </cell>
          <cell r="S24">
            <v>15.212342907323393</v>
          </cell>
          <cell r="T24">
            <v>17.974837955344146</v>
          </cell>
          <cell r="U24">
            <v>13.017378276152911</v>
          </cell>
          <cell r="V24">
            <v>11.752446288082544</v>
          </cell>
        </row>
        <row r="25">
          <cell r="R25">
            <v>2022</v>
          </cell>
          <cell r="S25">
            <v>15.906155964023565</v>
          </cell>
          <cell r="T25">
            <v>18.716451943429409</v>
          </cell>
          <cell r="U25">
            <v>13.975359632707116</v>
          </cell>
          <cell r="V25">
            <v>12.994717711097598</v>
          </cell>
        </row>
        <row r="26">
          <cell r="R26">
            <v>2023</v>
          </cell>
          <cell r="S26">
            <v>17.318996702028578</v>
          </cell>
          <cell r="T26">
            <v>20.133072358184375</v>
          </cell>
          <cell r="U26">
            <v>15.733136071522784</v>
          </cell>
          <cell r="V26">
            <v>15.243481541076088</v>
          </cell>
        </row>
        <row r="27">
          <cell r="R27">
            <v>2024</v>
          </cell>
          <cell r="S27">
            <v>16.653138973600619</v>
          </cell>
          <cell r="T27">
            <v>18.825684801359312</v>
          </cell>
          <cell r="U27">
            <v>15.202575850081743</v>
          </cell>
          <cell r="V27">
            <v>15.080536421091592</v>
          </cell>
        </row>
        <row r="28">
          <cell r="R28">
            <v>2025</v>
          </cell>
          <cell r="S28">
            <v>20.55188650116089</v>
          </cell>
          <cell r="T28">
            <v>23.290016583605567</v>
          </cell>
          <cell r="U28">
            <v>18.764452269681428</v>
          </cell>
          <cell r="V28">
            <v>18.542377134669156</v>
          </cell>
        </row>
        <row r="29">
          <cell r="R29">
            <v>2026</v>
          </cell>
          <cell r="S29">
            <v>21.563025519872998</v>
          </cell>
          <cell r="T29">
            <v>24.713621524102869</v>
          </cell>
          <cell r="U29">
            <v>19.563108124156404</v>
          </cell>
          <cell r="V29">
            <v>19.990776938537966</v>
          </cell>
        </row>
        <row r="30">
          <cell r="R30">
            <v>2027</v>
          </cell>
          <cell r="S30">
            <v>20.655032238073407</v>
          </cell>
          <cell r="T30">
            <v>23.518819898402331</v>
          </cell>
          <cell r="U30">
            <v>18.891485167799079</v>
          </cell>
          <cell r="V30">
            <v>19.282834736162187</v>
          </cell>
        </row>
        <row r="31">
          <cell r="R31">
            <v>2028</v>
          </cell>
          <cell r="S31">
            <v>28.918385022266058</v>
          </cell>
          <cell r="T31">
            <v>32.916147383040638</v>
          </cell>
          <cell r="U31">
            <v>26.625669521065731</v>
          </cell>
          <cell r="V31">
            <v>27.194365531408728</v>
          </cell>
        </row>
        <row r="32">
          <cell r="R32">
            <v>2029</v>
          </cell>
          <cell r="S32">
            <v>33.718516572173606</v>
          </cell>
          <cell r="T32">
            <v>37.917539706979312</v>
          </cell>
          <cell r="U32">
            <v>31.163954162923588</v>
          </cell>
          <cell r="V32">
            <v>31.588081874374584</v>
          </cell>
        </row>
        <row r="33">
          <cell r="R33">
            <v>2030</v>
          </cell>
          <cell r="S33">
            <v>37.422364444597328</v>
          </cell>
          <cell r="T33">
            <v>42.397823456246059</v>
          </cell>
          <cell r="U33">
            <v>35.25040307700187</v>
          </cell>
          <cell r="V33">
            <v>35.146367373980581</v>
          </cell>
        </row>
        <row r="34">
          <cell r="R34">
            <v>2031</v>
          </cell>
          <cell r="S34">
            <v>38.546528075474662</v>
          </cell>
          <cell r="T34">
            <v>43.255477360293533</v>
          </cell>
          <cell r="U34">
            <v>36.107017293749216</v>
          </cell>
          <cell r="V34">
            <v>36.244850926345066</v>
          </cell>
        </row>
        <row r="35">
          <cell r="R35">
            <v>2032</v>
          </cell>
          <cell r="S35">
            <v>41.447808325576986</v>
          </cell>
          <cell r="T35">
            <v>46.615559549910259</v>
          </cell>
          <cell r="U35">
            <v>38.641334075793523</v>
          </cell>
          <cell r="V35">
            <v>39.764603312758446</v>
          </cell>
        </row>
        <row r="36">
          <cell r="R36">
            <v>2033</v>
          </cell>
          <cell r="S36">
            <v>69.371127211959447</v>
          </cell>
          <cell r="T36">
            <v>78.792009148336149</v>
          </cell>
          <cell r="U36">
            <v>65.282830135316757</v>
          </cell>
          <cell r="V36">
            <v>67.340450070514137</v>
          </cell>
        </row>
        <row r="37">
          <cell r="R37">
            <v>2034</v>
          </cell>
          <cell r="S37">
            <v>72.44729193519025</v>
          </cell>
          <cell r="T37">
            <v>80.944785741951662</v>
          </cell>
          <cell r="U37">
            <v>68.387201008732774</v>
          </cell>
          <cell r="V37">
            <v>69.699325524696548</v>
          </cell>
        </row>
        <row r="38">
          <cell r="R38">
            <v>2035</v>
          </cell>
          <cell r="S38">
            <v>74.148027760748661</v>
          </cell>
          <cell r="T38">
            <v>84.640291099700136</v>
          </cell>
          <cell r="U38">
            <v>69.783159920844398</v>
          </cell>
          <cell r="V38">
            <v>72.652499241612887</v>
          </cell>
        </row>
        <row r="39">
          <cell r="R39">
            <v>2036</v>
          </cell>
          <cell r="S39">
            <v>76.824816676251203</v>
          </cell>
          <cell r="T39">
            <v>87.728542527429283</v>
          </cell>
          <cell r="U39">
            <v>72.865845369151316</v>
          </cell>
          <cell r="V39">
            <v>75.469314415894132</v>
          </cell>
        </row>
        <row r="40">
          <cell r="R40">
            <v>2037</v>
          </cell>
          <cell r="S40">
            <v>79.496684754822411</v>
          </cell>
          <cell r="T40">
            <v>89.994621577908646</v>
          </cell>
          <cell r="U40">
            <v>75.260928249056562</v>
          </cell>
          <cell r="V40">
            <v>77.965222283276063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Monthly Energy Prices"/>
      <sheetName val="SourceEnergy"/>
      <sheetName val="MWH-Split"/>
      <sheetName val="Monthly Levelized"/>
    </sheetNames>
    <sheetDataSet>
      <sheetData sheetId="0"/>
      <sheetData sheetId="1"/>
      <sheetData sheetId="2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18.707424414605622</v>
          </cell>
          <cell r="T20">
            <v>20.045373526713718</v>
          </cell>
          <cell r="U20">
            <v>16.991326532795391</v>
          </cell>
          <cell r="V20">
            <v>14.615131780007742</v>
          </cell>
        </row>
        <row r="21">
          <cell r="R21">
            <v>2018</v>
          </cell>
          <cell r="S21">
            <v>20.462169548316947</v>
          </cell>
          <cell r="T21">
            <v>20.488225188494926</v>
          </cell>
          <cell r="U21">
            <v>18.002927922392107</v>
          </cell>
          <cell r="V21">
            <v>14.938016029947125</v>
          </cell>
        </row>
        <row r="22">
          <cell r="R22">
            <v>2019</v>
          </cell>
          <cell r="S22">
            <v>17.947784115648179</v>
          </cell>
          <cell r="T22">
            <v>22.230846639933663</v>
          </cell>
          <cell r="U22">
            <v>15.077308649449732</v>
          </cell>
          <cell r="V22">
            <v>15.144623348548302</v>
          </cell>
        </row>
        <row r="23">
          <cell r="R23">
            <v>2020</v>
          </cell>
          <cell r="S23">
            <v>18.007275522639983</v>
          </cell>
          <cell r="T23">
            <v>22.114830744229842</v>
          </cell>
          <cell r="U23">
            <v>15.280215724605108</v>
          </cell>
          <cell r="V23">
            <v>13.93136378918531</v>
          </cell>
        </row>
        <row r="24">
          <cell r="R24">
            <v>2021</v>
          </cell>
          <cell r="S24">
            <v>18.283057411229013</v>
          </cell>
          <cell r="T24">
            <v>21.502866482914918</v>
          </cell>
          <cell r="U24">
            <v>15.841684301846726</v>
          </cell>
          <cell r="V24">
            <v>13.885840859175191</v>
          </cell>
        </row>
        <row r="25">
          <cell r="R25">
            <v>2022</v>
          </cell>
          <cell r="S25">
            <v>18.967269141972491</v>
          </cell>
          <cell r="T25">
            <v>22.305627352281796</v>
          </cell>
          <cell r="U25">
            <v>16.918634614891999</v>
          </cell>
          <cell r="V25">
            <v>15.32733052641618</v>
          </cell>
        </row>
        <row r="26">
          <cell r="R26">
            <v>2023</v>
          </cell>
          <cell r="S26">
            <v>20.62663074464146</v>
          </cell>
          <cell r="T26">
            <v>22.581893858117009</v>
          </cell>
          <cell r="U26">
            <v>18.609614337588091</v>
          </cell>
          <cell r="V26">
            <v>16.973888139173361</v>
          </cell>
        </row>
        <row r="27">
          <cell r="R27">
            <v>2024</v>
          </cell>
          <cell r="S27">
            <v>25.305626771874902</v>
          </cell>
          <cell r="T27">
            <v>24.822476396591</v>
          </cell>
          <cell r="U27">
            <v>21.733260803517091</v>
          </cell>
          <cell r="V27">
            <v>20.069393007254831</v>
          </cell>
        </row>
        <row r="28">
          <cell r="R28">
            <v>2025</v>
          </cell>
          <cell r="S28">
            <v>24.508569763653647</v>
          </cell>
          <cell r="T28">
            <v>26.633565307611203</v>
          </cell>
          <cell r="U28">
            <v>21.850379271319721</v>
          </cell>
          <cell r="V28">
            <v>21.154181475708292</v>
          </cell>
        </row>
        <row r="29">
          <cell r="R29">
            <v>2026</v>
          </cell>
          <cell r="S29">
            <v>27.40073930291101</v>
          </cell>
          <cell r="T29">
            <v>27.002263899731091</v>
          </cell>
          <cell r="U29">
            <v>24.792829589843372</v>
          </cell>
          <cell r="V29">
            <v>21.599405949054812</v>
          </cell>
        </row>
        <row r="30">
          <cell r="R30">
            <v>2027</v>
          </cell>
          <cell r="S30">
            <v>26.770514166960091</v>
          </cell>
          <cell r="T30">
            <v>28.622321834906934</v>
          </cell>
          <cell r="U30">
            <v>24.26412985174073</v>
          </cell>
          <cell r="V30">
            <v>23.229018046524377</v>
          </cell>
        </row>
        <row r="31">
          <cell r="R31">
            <v>2028</v>
          </cell>
          <cell r="S31">
            <v>30.815503067530635</v>
          </cell>
          <cell r="T31">
            <v>37.24127048210525</v>
          </cell>
          <cell r="U31">
            <v>28.204324255489738</v>
          </cell>
          <cell r="V31">
            <v>30.703256328526319</v>
          </cell>
        </row>
        <row r="32">
          <cell r="R32">
            <v>2029</v>
          </cell>
          <cell r="S32">
            <v>36.130254656765494</v>
          </cell>
          <cell r="T32">
            <v>42.070874350902749</v>
          </cell>
          <cell r="U32">
            <v>33.069996601505018</v>
          </cell>
          <cell r="V32">
            <v>34.741715338524855</v>
          </cell>
        </row>
        <row r="33">
          <cell r="R33">
            <v>2030</v>
          </cell>
          <cell r="S33">
            <v>40.650230989608843</v>
          </cell>
          <cell r="T33">
            <v>45.996456200279134</v>
          </cell>
          <cell r="U33">
            <v>37.339180117099104</v>
          </cell>
          <cell r="V33">
            <v>38.150271420884991</v>
          </cell>
        </row>
        <row r="34">
          <cell r="R34">
            <v>2031</v>
          </cell>
          <cell r="S34">
            <v>57.511103099719953</v>
          </cell>
          <cell r="T34">
            <v>93.255619668669226</v>
          </cell>
          <cell r="U34">
            <v>57.142518452547137</v>
          </cell>
          <cell r="V34">
            <v>78.419119048596087</v>
          </cell>
        </row>
        <row r="35">
          <cell r="R35">
            <v>2032</v>
          </cell>
          <cell r="S35">
            <v>58.274322945560769</v>
          </cell>
          <cell r="T35">
            <v>95.477492374700859</v>
          </cell>
          <cell r="U35">
            <v>57.792205124431767</v>
          </cell>
          <cell r="V35">
            <v>80.898402204506127</v>
          </cell>
        </row>
        <row r="36">
          <cell r="R36">
            <v>2033</v>
          </cell>
          <cell r="S36">
            <v>64.225382241048422</v>
          </cell>
          <cell r="T36">
            <v>97.262312826182651</v>
          </cell>
          <cell r="U36">
            <v>63.128618153419552</v>
          </cell>
          <cell r="V36">
            <v>82.971786691316666</v>
          </cell>
        </row>
        <row r="37">
          <cell r="R37">
            <v>2034</v>
          </cell>
          <cell r="S37">
            <v>69.369561475054311</v>
          </cell>
          <cell r="T37">
            <v>98.458433040799989</v>
          </cell>
          <cell r="U37">
            <v>67.579230727833078</v>
          </cell>
          <cell r="V37">
            <v>84.631438458240467</v>
          </cell>
        </row>
        <row r="38">
          <cell r="R38">
            <v>2035</v>
          </cell>
          <cell r="S38">
            <v>67.793535427146338</v>
          </cell>
          <cell r="T38">
            <v>101.80479140044186</v>
          </cell>
          <cell r="U38">
            <v>67.391723386157807</v>
          </cell>
          <cell r="V38">
            <v>87.000333813739374</v>
          </cell>
        </row>
        <row r="39">
          <cell r="R39">
            <v>2036</v>
          </cell>
          <cell r="S39">
            <v>65.761519328733669</v>
          </cell>
          <cell r="T39">
            <v>105.73603213090294</v>
          </cell>
          <cell r="U39">
            <v>65.572073432353548</v>
          </cell>
          <cell r="V39">
            <v>91.016754519178136</v>
          </cell>
        </row>
        <row r="40">
          <cell r="R40">
            <v>2037</v>
          </cell>
          <cell r="S40">
            <v>68.423385214474195</v>
          </cell>
          <cell r="T40">
            <v>108.30792484233841</v>
          </cell>
          <cell r="U40">
            <v>66.981596791395944</v>
          </cell>
          <cell r="V40">
            <v>93.240114809155457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Comparison"/>
      <sheetName val="Pricing"/>
      <sheetName val="HLB"/>
      <sheetName val="Monthly"/>
      <sheetName val="Cap&amp;Energy"/>
      <sheetName val="CF Difference"/>
      <sheetName val="CostDifferences"/>
      <sheetName val="DollarBreakdown"/>
      <sheetName val="Summary"/>
    </sheetNames>
    <sheetDataSet>
      <sheetData sheetId="0" refreshError="1"/>
      <sheetData sheetId="1">
        <row r="33">
          <cell r="M33">
            <v>6.6600000000000006E-2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WeeklyReport"/>
      <sheetName val="Degradation"/>
      <sheetName val="Location"/>
      <sheetName val="2017 QF Pricing Request Study L"/>
    </sheetNames>
    <definedNames>
      <definedName name="Active_CF" refersTo="='QF_Names'!$E$4:$E$102"/>
      <definedName name="Active_Deg_Method" refersTo="='QF_Names'!$N$4:$N$102"/>
      <definedName name="Active_Deg_Rate" refersTo="='QF_Names'!$M$4:$M$102"/>
      <definedName name="Active_Delivery_Point" refersTo="='QF_Names'!$C$4:$C$102"/>
      <definedName name="Active_MW" refersTo="='QF_Names'!$D$4:$D$102"/>
      <definedName name="Active_Name_Conf" refersTo="='QF_Names'!$A$4:$A$102"/>
      <definedName name="Active_Online" refersTo="='QF_Names'!$F$4:$F$102"/>
      <definedName name="Active_QF_Name" refersTo="='QF_Names'!$B$4:$B$102"/>
      <definedName name="Active_QF_Queue_Date" refersTo="='QF_Names'!$L$4:$L$102"/>
      <definedName name="Active_Status" refersTo="='QF_Names'!$K$4:$K$102"/>
    </definedNames>
    <sheetDataSet>
      <sheetData sheetId="0"/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Glen Canyon A Solar</v>
          </cell>
          <cell r="B8" t="str">
            <v>QF - 256 - UT - Solar</v>
          </cell>
          <cell r="C8" t="str">
            <v>PP-GC</v>
          </cell>
          <cell r="D8">
            <v>68</v>
          </cell>
          <cell r="E8">
            <v>0.32312986838571045</v>
          </cell>
          <cell r="F8">
            <v>43647</v>
          </cell>
          <cell r="K8" t="str">
            <v>Active</v>
          </cell>
          <cell r="L8">
            <v>42514.577777777777</v>
          </cell>
          <cell r="M8">
            <v>5.0000000000000001E-3</v>
          </cell>
          <cell r="N8" t="str">
            <v>Prior Year</v>
          </cell>
        </row>
        <row r="9">
          <cell r="A9" t="str">
            <v>Sage I Solar</v>
          </cell>
          <cell r="B9" t="str">
            <v>QF - 277 -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42564.390972222223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Sage II Solar</v>
          </cell>
          <cell r="B10" t="str">
            <v>QF - 278 - WY - Solar</v>
          </cell>
          <cell r="C10" t="str">
            <v>Trona</v>
          </cell>
          <cell r="D10">
            <v>20</v>
          </cell>
          <cell r="E10">
            <v>0.28240833333333337</v>
          </cell>
          <cell r="F10">
            <v>43739</v>
          </cell>
          <cell r="K10" t="str">
            <v>Active</v>
          </cell>
          <cell r="L10">
            <v>42564.390972222223</v>
          </cell>
          <cell r="M10">
            <v>6.0000000000000001E-3</v>
          </cell>
          <cell r="N10" t="str">
            <v>First Year</v>
          </cell>
        </row>
        <row r="11">
          <cell r="A11" t="str">
            <v>Sparrow Solar</v>
          </cell>
          <cell r="B11" t="str">
            <v>QF - 279 - OR - Solar</v>
          </cell>
          <cell r="C11" t="str">
            <v>West Main</v>
          </cell>
          <cell r="D11">
            <v>40</v>
          </cell>
          <cell r="E11">
            <v>0.30979452054794521</v>
          </cell>
          <cell r="F11">
            <v>43281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Ochoco Solar</v>
          </cell>
          <cell r="B12" t="str">
            <v>QF - 280 - OR - Solar</v>
          </cell>
          <cell r="C12" t="str">
            <v>Central Oregon</v>
          </cell>
          <cell r="D12">
            <v>40</v>
          </cell>
          <cell r="E12">
            <v>0.2791238584474886</v>
          </cell>
          <cell r="F12">
            <v>43435</v>
          </cell>
          <cell r="K12" t="str">
            <v>Active</v>
          </cell>
          <cell r="L12">
            <v>42580.675000000003</v>
          </cell>
          <cell r="M12">
            <v>5.0000000000000001E-3</v>
          </cell>
          <cell r="N12" t="str">
            <v>Prior Year</v>
          </cell>
        </row>
        <row r="13">
          <cell r="A13" t="str">
            <v>Ringtail Solar</v>
          </cell>
          <cell r="B13" t="str">
            <v>QF - 281 - OR - Solar</v>
          </cell>
          <cell r="C13" t="str">
            <v>West Main</v>
          </cell>
          <cell r="D13">
            <v>40</v>
          </cell>
          <cell r="E13">
            <v>0.24543093607305935</v>
          </cell>
          <cell r="F13">
            <v>43435</v>
          </cell>
          <cell r="K13" t="str">
            <v>Active</v>
          </cell>
          <cell r="L13">
            <v>42580.683333333334</v>
          </cell>
          <cell r="M13">
            <v>5.0000000000000001E-3</v>
          </cell>
          <cell r="N13" t="str">
            <v>Prior Year</v>
          </cell>
        </row>
        <row r="14">
          <cell r="A14" t="str">
            <v>Riverton PV1 Solar</v>
          </cell>
          <cell r="B14" t="str">
            <v>QF - 282 - WY - Solar</v>
          </cell>
          <cell r="C14" t="str">
            <v>Wyoming Northeast</v>
          </cell>
          <cell r="D14">
            <v>74.900000000000006</v>
          </cell>
          <cell r="E14">
            <v>0.30612898628917706</v>
          </cell>
          <cell r="F14">
            <v>43160</v>
          </cell>
          <cell r="K14" t="str">
            <v>Active</v>
          </cell>
          <cell r="L14">
            <v>42585.531944444447</v>
          </cell>
          <cell r="M14">
            <v>5.0000000000000001E-3</v>
          </cell>
          <cell r="N14" t="str">
            <v>Prior Year</v>
          </cell>
        </row>
        <row r="15">
          <cell r="A15" t="str">
            <v>Oregon Potential Solar</v>
          </cell>
          <cell r="B15" t="str">
            <v>QF - 284 - OR - Solar</v>
          </cell>
          <cell r="C15" t="str">
            <v>Central Oregon</v>
          </cell>
          <cell r="D15">
            <v>17.97</v>
          </cell>
          <cell r="E15">
            <v>0.25991088505834109</v>
          </cell>
          <cell r="F15">
            <v>43101</v>
          </cell>
          <cell r="K15" t="str">
            <v>Active</v>
          </cell>
          <cell r="L15">
            <v>42675</v>
          </cell>
          <cell r="M15">
            <v>5.1666666666666666E-3</v>
          </cell>
          <cell r="N15" t="str">
            <v>Prior Year</v>
          </cell>
        </row>
        <row r="16">
          <cell r="A16" t="str">
            <v>Boswell Springs I Wind</v>
          </cell>
          <cell r="B16" t="str">
            <v>QF - 285 - WY - Wind</v>
          </cell>
          <cell r="C16" t="str">
            <v>Wyoming Northeast</v>
          </cell>
          <cell r="D16">
            <v>80</v>
          </cell>
          <cell r="E16">
            <v>0.40697345890410958</v>
          </cell>
          <cell r="F16">
            <v>43465</v>
          </cell>
          <cell r="K16" t="str">
            <v>Active</v>
          </cell>
          <cell r="L16">
            <v>42594</v>
          </cell>
          <cell r="M16">
            <v>0</v>
          </cell>
          <cell r="N16" t="str">
            <v>First Year</v>
          </cell>
        </row>
        <row r="17">
          <cell r="A17" t="str">
            <v>Boswell Springs II Wind</v>
          </cell>
          <cell r="B17" t="str">
            <v>QF - 286 - WY - Wind</v>
          </cell>
          <cell r="C17" t="str">
            <v>Wyoming Northeast</v>
          </cell>
          <cell r="D17">
            <v>80</v>
          </cell>
          <cell r="E17">
            <v>0.40697345890410958</v>
          </cell>
          <cell r="F17">
            <v>43465</v>
          </cell>
          <cell r="K17" t="str">
            <v>Active</v>
          </cell>
          <cell r="L17">
            <v>42594</v>
          </cell>
          <cell r="M17">
            <v>0</v>
          </cell>
          <cell r="N17" t="str">
            <v>First Year</v>
          </cell>
        </row>
        <row r="18">
          <cell r="A18" t="str">
            <v>Boswell Springs III Wind</v>
          </cell>
          <cell r="B18" t="str">
            <v>QF - 287 - WY - Wind</v>
          </cell>
          <cell r="C18" t="str">
            <v>Wyoming Northeast</v>
          </cell>
          <cell r="D18">
            <v>80</v>
          </cell>
          <cell r="E18">
            <v>0.40697345890410958</v>
          </cell>
          <cell r="F18">
            <v>43465</v>
          </cell>
          <cell r="K18" t="str">
            <v>Active</v>
          </cell>
          <cell r="L18">
            <v>42594</v>
          </cell>
          <cell r="M18">
            <v>0</v>
          </cell>
          <cell r="N18" t="str">
            <v>First Year</v>
          </cell>
        </row>
        <row r="19">
          <cell r="A19" t="str">
            <v>Boswell Springs IV Wind</v>
          </cell>
          <cell r="B19" t="str">
            <v>QF - 288 - WY - Wind</v>
          </cell>
          <cell r="C19" t="str">
            <v>Wyoming Northeast</v>
          </cell>
          <cell r="D19">
            <v>80</v>
          </cell>
          <cell r="E19">
            <v>0.40697345890410958</v>
          </cell>
          <cell r="F19">
            <v>43465</v>
          </cell>
          <cell r="K19" t="str">
            <v>Active</v>
          </cell>
          <cell r="L19">
            <v>42594</v>
          </cell>
          <cell r="M19">
            <v>0</v>
          </cell>
          <cell r="N19" t="str">
            <v>First Year</v>
          </cell>
        </row>
        <row r="20">
          <cell r="A20" t="str">
            <v>Fremont Solar</v>
          </cell>
          <cell r="B20" t="str">
            <v>QF - 289 - UT - Solar</v>
          </cell>
          <cell r="C20" t="str">
            <v>Utah South</v>
          </cell>
          <cell r="D20">
            <v>80</v>
          </cell>
          <cell r="E20">
            <v>0.31172945205479452</v>
          </cell>
          <cell r="F20">
            <v>43435</v>
          </cell>
          <cell r="K20" t="str">
            <v>Active</v>
          </cell>
          <cell r="L20">
            <v>42620.643623379598</v>
          </cell>
          <cell r="M20">
            <v>7.4999999999999997E-3</v>
          </cell>
          <cell r="N20" t="str">
            <v>Prior Year</v>
          </cell>
        </row>
        <row r="21">
          <cell r="A21" t="str">
            <v>Milford Solar</v>
          </cell>
          <cell r="B21" t="str">
            <v>QF - 290 - UT - Solar</v>
          </cell>
          <cell r="C21" t="str">
            <v>Utah South</v>
          </cell>
          <cell r="D21">
            <v>80</v>
          </cell>
          <cell r="E21">
            <v>0.31513555936073057</v>
          </cell>
          <cell r="F21">
            <v>43435</v>
          </cell>
          <cell r="K21" t="str">
            <v>Active</v>
          </cell>
          <cell r="L21">
            <v>42620.643623379598</v>
          </cell>
          <cell r="M21">
            <v>7.4999999999999997E-3</v>
          </cell>
          <cell r="N21" t="str">
            <v>Prior Year</v>
          </cell>
        </row>
        <row r="22">
          <cell r="A22" t="str">
            <v>Rush Lake Solar</v>
          </cell>
          <cell r="B22" t="str">
            <v>QF - 291 - UT - Solar</v>
          </cell>
          <cell r="C22" t="str">
            <v>Utah South</v>
          </cell>
          <cell r="D22">
            <v>80</v>
          </cell>
          <cell r="E22">
            <v>0.31859446347031961</v>
          </cell>
          <cell r="F22">
            <v>43435</v>
          </cell>
          <cell r="K22" t="str">
            <v>Active</v>
          </cell>
          <cell r="L22">
            <v>42620.643623379598</v>
          </cell>
          <cell r="M22">
            <v>7.4999999999999997E-3</v>
          </cell>
          <cell r="N22" t="str">
            <v>Prior Year</v>
          </cell>
        </row>
        <row r="23">
          <cell r="A23" t="str">
            <v xml:space="preserve">Tableland Solar </v>
          </cell>
          <cell r="B23" t="str">
            <v>QF - 292 - OR - Solar</v>
          </cell>
          <cell r="C23" t="str">
            <v>West Main</v>
          </cell>
          <cell r="D23">
            <v>40</v>
          </cell>
          <cell r="E23">
            <v>0.28310787671232879</v>
          </cell>
          <cell r="F23">
            <v>43830</v>
          </cell>
          <cell r="K23" t="str">
            <v>Active</v>
          </cell>
          <cell r="L23">
            <v>42634.526388888888</v>
          </cell>
          <cell r="M23">
            <v>5.0000000000000001E-3</v>
          </cell>
          <cell r="N23" t="str">
            <v>First Year</v>
          </cell>
        </row>
        <row r="24">
          <cell r="A24" t="str">
            <v>Ponderosa Solar</v>
          </cell>
          <cell r="B24" t="str">
            <v>QF - 293 - OR - Solar</v>
          </cell>
          <cell r="C24" t="str">
            <v>Central Oregon</v>
          </cell>
          <cell r="D24">
            <v>50</v>
          </cell>
          <cell r="E24">
            <v>0.26696347031963469</v>
          </cell>
          <cell r="F24">
            <v>43830</v>
          </cell>
          <cell r="K24" t="str">
            <v>Active</v>
          </cell>
          <cell r="L24">
            <v>42634.526388888888</v>
          </cell>
          <cell r="M24">
            <v>5.0000000000000001E-3</v>
          </cell>
          <cell r="N24" t="str">
            <v>First Year</v>
          </cell>
        </row>
        <row r="25">
          <cell r="A25" t="str">
            <v>Hornet PV1 Solar</v>
          </cell>
          <cell r="B25" t="str">
            <v>QF - 300 - OR - Solar</v>
          </cell>
          <cell r="C25" t="str">
            <v>West Main</v>
          </cell>
          <cell r="D25">
            <v>15</v>
          </cell>
          <cell r="E25">
            <v>0.29340182648401825</v>
          </cell>
          <cell r="F25">
            <v>43435</v>
          </cell>
          <cell r="K25" t="str">
            <v>Active</v>
          </cell>
          <cell r="L25">
            <v>42649.5</v>
          </cell>
          <cell r="M25">
            <v>5.0000000000000001E-3</v>
          </cell>
          <cell r="N25" t="str">
            <v>Prior Year</v>
          </cell>
        </row>
        <row r="26">
          <cell r="A26" t="str">
            <v>Ft. Klamath PV1 Solar</v>
          </cell>
          <cell r="B26" t="str">
            <v>QF - 301 - OR - Solar</v>
          </cell>
          <cell r="C26" t="str">
            <v>West Main</v>
          </cell>
          <cell r="D26">
            <v>45</v>
          </cell>
          <cell r="E26">
            <v>0.28835109081684424</v>
          </cell>
          <cell r="F26">
            <v>43435</v>
          </cell>
          <cell r="K26" t="str">
            <v>Active</v>
          </cell>
          <cell r="L26">
            <v>42649.5</v>
          </cell>
          <cell r="M26">
            <v>5.0000000000000001E-3</v>
          </cell>
          <cell r="N26" t="str">
            <v>Prior Year</v>
          </cell>
        </row>
        <row r="27">
          <cell r="A27" t="str">
            <v>Sage III Solar</v>
          </cell>
          <cell r="B27" t="str">
            <v>QF - 302 - WY - Solar</v>
          </cell>
          <cell r="C27" t="str">
            <v>Trona</v>
          </cell>
          <cell r="D27">
            <v>16</v>
          </cell>
          <cell r="E27">
            <v>0.29317208904109587</v>
          </cell>
          <cell r="F27">
            <v>43739</v>
          </cell>
          <cell r="K27" t="str">
            <v>Active</v>
          </cell>
          <cell r="L27">
            <v>42650.347916666666</v>
          </cell>
          <cell r="M27">
            <v>6.0000000000000001E-3</v>
          </cell>
          <cell r="N27" t="str">
            <v>First Year</v>
          </cell>
        </row>
        <row r="28">
          <cell r="A28" t="str">
            <v>Dinosolar 1 Solar</v>
          </cell>
          <cell r="B28" t="str">
            <v>QF - 304 - WY - Solar</v>
          </cell>
          <cell r="C28" t="str">
            <v>Wyoming Northeast</v>
          </cell>
          <cell r="D28">
            <v>30</v>
          </cell>
          <cell r="E28">
            <v>0.27404870624048705</v>
          </cell>
          <cell r="F28">
            <v>43646</v>
          </cell>
          <cell r="K28" t="str">
            <v>Active</v>
          </cell>
          <cell r="L28">
            <v>42657.375</v>
          </cell>
          <cell r="M28">
            <v>5.0000000000000001E-3</v>
          </cell>
          <cell r="N28" t="str">
            <v>Prior Year</v>
          </cell>
        </row>
        <row r="29">
          <cell r="A29" t="str">
            <v>Dinosolar 2 Solar</v>
          </cell>
          <cell r="B29" t="str">
            <v>QF - 305 - WY - Solar</v>
          </cell>
          <cell r="C29" t="str">
            <v>Wyoming Northeast</v>
          </cell>
          <cell r="D29">
            <v>80</v>
          </cell>
          <cell r="E29">
            <v>0.27414526255707761</v>
          </cell>
          <cell r="F29">
            <v>43646</v>
          </cell>
          <cell r="K29" t="str">
            <v>Active</v>
          </cell>
          <cell r="L29">
            <v>42657.375</v>
          </cell>
          <cell r="M29">
            <v>5.0000000000000001E-3</v>
          </cell>
          <cell r="N29" t="str">
            <v>Prior Year</v>
          </cell>
        </row>
        <row r="30">
          <cell r="A30" t="str">
            <v>Rock Creek I Wind</v>
          </cell>
          <cell r="B30" t="str">
            <v>QF - 308 - WY - Wind</v>
          </cell>
          <cell r="C30" t="str">
            <v>Wyoming Northeast</v>
          </cell>
          <cell r="D30">
            <v>80</v>
          </cell>
          <cell r="E30">
            <v>0.46554223744292239</v>
          </cell>
          <cell r="F30">
            <v>43831</v>
          </cell>
          <cell r="K30" t="str">
            <v>Active</v>
          </cell>
          <cell r="L30">
            <v>42668.607638888891</v>
          </cell>
          <cell r="M30">
            <v>0</v>
          </cell>
          <cell r="N30" t="str">
            <v>First Year</v>
          </cell>
        </row>
        <row r="31">
          <cell r="A31" t="str">
            <v>Rock Creek II Wind</v>
          </cell>
          <cell r="B31" t="str">
            <v>QF - 309 - WY - Wind</v>
          </cell>
          <cell r="C31" t="str">
            <v>Wyoming Northeast</v>
          </cell>
          <cell r="D31">
            <v>80</v>
          </cell>
          <cell r="E31">
            <v>0.46554223744292239</v>
          </cell>
          <cell r="F31">
            <v>43831</v>
          </cell>
          <cell r="K31" t="str">
            <v>Active</v>
          </cell>
          <cell r="L31">
            <v>42668.607638888891</v>
          </cell>
          <cell r="M31">
            <v>0</v>
          </cell>
          <cell r="N31" t="str">
            <v>First Year</v>
          </cell>
        </row>
        <row r="32">
          <cell r="A32" t="str">
            <v>Rock Creek III Wind</v>
          </cell>
          <cell r="B32" t="str">
            <v>QF - 310 - WY - Wind</v>
          </cell>
          <cell r="C32" t="str">
            <v>Wyoming Northeast</v>
          </cell>
          <cell r="D32">
            <v>80</v>
          </cell>
          <cell r="E32">
            <v>0.46554223744292239</v>
          </cell>
          <cell r="F32">
            <v>43831</v>
          </cell>
          <cell r="K32" t="str">
            <v>Active</v>
          </cell>
          <cell r="L32">
            <v>42668.607638888891</v>
          </cell>
          <cell r="M32">
            <v>0</v>
          </cell>
          <cell r="N32" t="str">
            <v>First Year</v>
          </cell>
        </row>
        <row r="33">
          <cell r="A33" t="str">
            <v>Rock Creek IV Wind</v>
          </cell>
          <cell r="B33" t="str">
            <v>QF - 311 - WY - Wind</v>
          </cell>
          <cell r="C33" t="str">
            <v>Wyoming Northeast</v>
          </cell>
          <cell r="D33">
            <v>40</v>
          </cell>
          <cell r="E33">
            <v>0.46554223744292239</v>
          </cell>
          <cell r="F33">
            <v>43831</v>
          </cell>
          <cell r="K33" t="str">
            <v>Active</v>
          </cell>
          <cell r="L33">
            <v>42668.607638888891</v>
          </cell>
          <cell r="M33">
            <v>0</v>
          </cell>
          <cell r="N33" t="str">
            <v>First Year</v>
          </cell>
        </row>
        <row r="34">
          <cell r="A34" t="str">
            <v>Faraday II Solar</v>
          </cell>
          <cell r="B34" t="str">
            <v>QF - 313 - UT - Solar</v>
          </cell>
          <cell r="C34" t="str">
            <v>Clover</v>
          </cell>
          <cell r="D34">
            <v>80</v>
          </cell>
          <cell r="E34">
            <v>0.2962956621004566</v>
          </cell>
          <cell r="F34">
            <v>43800</v>
          </cell>
          <cell r="K34" t="str">
            <v>Active</v>
          </cell>
          <cell r="L34">
            <v>42676.605555555558</v>
          </cell>
          <cell r="M34">
            <v>5.0000000000000001E-3</v>
          </cell>
          <cell r="N34" t="str">
            <v>Prior Year</v>
          </cell>
        </row>
        <row r="35">
          <cell r="A35" t="str">
            <v>Faraday IV Solar</v>
          </cell>
          <cell r="B35" t="str">
            <v>QF - 315 - UT - Solar</v>
          </cell>
          <cell r="C35" t="str">
            <v>Clover</v>
          </cell>
          <cell r="D35">
            <v>80</v>
          </cell>
          <cell r="E35">
            <v>0.2962956621004566</v>
          </cell>
          <cell r="F35">
            <v>43800</v>
          </cell>
          <cell r="K35" t="str">
            <v>Active</v>
          </cell>
          <cell r="L35">
            <v>42676.605555555558</v>
          </cell>
          <cell r="M35">
            <v>5.0000000000000001E-3</v>
          </cell>
          <cell r="N35" t="str">
            <v>Prior Year</v>
          </cell>
        </row>
        <row r="36">
          <cell r="A36" t="str">
            <v>Faraday VI Solar</v>
          </cell>
          <cell r="B36" t="str">
            <v>QF - 317 - UT - Solar</v>
          </cell>
          <cell r="C36" t="str">
            <v>Clover</v>
          </cell>
          <cell r="D36">
            <v>80</v>
          </cell>
          <cell r="E36">
            <v>0.2962956621004566</v>
          </cell>
          <cell r="F36">
            <v>43800</v>
          </cell>
          <cell r="K36" t="str">
            <v>Active</v>
          </cell>
          <cell r="L36">
            <v>42676.605555555558</v>
          </cell>
          <cell r="M36">
            <v>5.0000000000000001E-3</v>
          </cell>
          <cell r="N36" t="str">
            <v>Prior Year</v>
          </cell>
        </row>
        <row r="37">
          <cell r="A37" t="str">
            <v>Faraday VIII Solar</v>
          </cell>
          <cell r="B37" t="str">
            <v>QF - 319 - UT - Solar</v>
          </cell>
          <cell r="C37" t="str">
            <v>Clover</v>
          </cell>
          <cell r="D37">
            <v>80</v>
          </cell>
          <cell r="E37">
            <v>0.2962956621004566</v>
          </cell>
          <cell r="F37">
            <v>43800</v>
          </cell>
          <cell r="K37" t="str">
            <v>Active</v>
          </cell>
          <cell r="L37">
            <v>42676.605555555558</v>
          </cell>
          <cell r="M37">
            <v>5.0000000000000001E-3</v>
          </cell>
          <cell r="N37" t="str">
            <v>Prior Year</v>
          </cell>
        </row>
        <row r="38">
          <cell r="A38" t="str">
            <v>Faraday X Solar</v>
          </cell>
          <cell r="B38" t="str">
            <v>QF - 321 - UT - Solar</v>
          </cell>
          <cell r="C38" t="str">
            <v>Clover</v>
          </cell>
          <cell r="D38">
            <v>80</v>
          </cell>
          <cell r="E38">
            <v>0.2962956621004566</v>
          </cell>
          <cell r="F38">
            <v>43800</v>
          </cell>
          <cell r="K38" t="str">
            <v>Active</v>
          </cell>
          <cell r="L38">
            <v>42676.605555555558</v>
          </cell>
          <cell r="M38">
            <v>5.0000000000000001E-3</v>
          </cell>
          <cell r="N38" t="str">
            <v>Prior Year</v>
          </cell>
        </row>
        <row r="39">
          <cell r="A39" t="str">
            <v>Faraday XII Solar</v>
          </cell>
          <cell r="B39" t="str">
            <v>QF - 323 - UT - Solar</v>
          </cell>
          <cell r="C39" t="str">
            <v>Clover</v>
          </cell>
          <cell r="D39">
            <v>80</v>
          </cell>
          <cell r="E39">
            <v>0.2962956621004566</v>
          </cell>
          <cell r="F39">
            <v>43800</v>
          </cell>
          <cell r="K39" t="str">
            <v>Active</v>
          </cell>
          <cell r="L39">
            <v>42676.605555555558</v>
          </cell>
          <cell r="M39">
            <v>5.0000000000000001E-3</v>
          </cell>
          <cell r="N39" t="str">
            <v>Prior Year</v>
          </cell>
        </row>
        <row r="40">
          <cell r="A40" t="str">
            <v>Faraday XIV Solar</v>
          </cell>
          <cell r="B40" t="str">
            <v>QF - 325 - UT - Solar</v>
          </cell>
          <cell r="C40" t="str">
            <v>Clover</v>
          </cell>
          <cell r="D40">
            <v>80</v>
          </cell>
          <cell r="E40">
            <v>0.2962956621004566</v>
          </cell>
          <cell r="F40">
            <v>43800</v>
          </cell>
          <cell r="K40" t="str">
            <v>Active</v>
          </cell>
          <cell r="L40">
            <v>42676.605555555558</v>
          </cell>
          <cell r="M40">
            <v>5.0000000000000001E-3</v>
          </cell>
          <cell r="N40" t="str">
            <v>Prior Year</v>
          </cell>
        </row>
        <row r="41">
          <cell r="A41" t="str">
            <v>Glen Canyon B Solar</v>
          </cell>
          <cell r="B41" t="str">
            <v>QF - 326 - UT - Solar</v>
          </cell>
          <cell r="C41" t="str">
            <v>PP-GC</v>
          </cell>
          <cell r="D41">
            <v>21</v>
          </cell>
          <cell r="E41">
            <v>0.3490215264187867</v>
          </cell>
          <cell r="F41">
            <v>43800</v>
          </cell>
          <cell r="K41" t="str">
            <v>Active</v>
          </cell>
          <cell r="L41">
            <v>42684</v>
          </cell>
          <cell r="M41">
            <v>5.0000000000000001E-3</v>
          </cell>
          <cell r="N41" t="str">
            <v>Prior Year</v>
          </cell>
        </row>
        <row r="42">
          <cell r="A42" t="str">
            <v>Hornet PV2 Solar</v>
          </cell>
          <cell r="B42" t="str">
            <v>QF - 327 - OR - Solar</v>
          </cell>
          <cell r="C42" t="str">
            <v>West Main</v>
          </cell>
          <cell r="D42">
            <v>8</v>
          </cell>
          <cell r="E42">
            <v>0.28451753710045663</v>
          </cell>
          <cell r="F42">
            <v>43435</v>
          </cell>
          <cell r="K42" t="str">
            <v>Active</v>
          </cell>
          <cell r="L42">
            <v>42692.344444444447</v>
          </cell>
          <cell r="M42">
            <v>5.0000000000000001E-3</v>
          </cell>
          <cell r="N42" t="str">
            <v>Prior Year</v>
          </cell>
        </row>
        <row r="43">
          <cell r="A43" t="str">
            <v>Hornet PV1-3 Solar</v>
          </cell>
          <cell r="B43" t="str">
            <v>QF - 328 - OR - Solar</v>
          </cell>
          <cell r="C43" t="str">
            <v>West Main</v>
          </cell>
          <cell r="D43">
            <v>46</v>
          </cell>
          <cell r="E43">
            <v>0.28746024171133611</v>
          </cell>
          <cell r="F43">
            <v>43435</v>
          </cell>
          <cell r="K43" t="str">
            <v>Active</v>
          </cell>
          <cell r="L43">
            <v>42692.344444444447</v>
          </cell>
          <cell r="M43">
            <v>5.0000000000000001E-3</v>
          </cell>
          <cell r="N43" t="str">
            <v>Prior Year</v>
          </cell>
        </row>
        <row r="44">
          <cell r="A44" t="str">
            <v>Cove Mtn Solar</v>
          </cell>
          <cell r="B44" t="str">
            <v>QF - 336 - UT - Solar</v>
          </cell>
          <cell r="C44" t="str">
            <v>Utah South</v>
          </cell>
          <cell r="D44">
            <v>58</v>
          </cell>
          <cell r="E44">
            <v>0.33892497244528419</v>
          </cell>
          <cell r="F44">
            <v>43282</v>
          </cell>
          <cell r="K44" t="str">
            <v>Active</v>
          </cell>
          <cell r="L44">
            <v>42703.375</v>
          </cell>
          <cell r="M44">
            <v>5.0000000000000001E-3</v>
          </cell>
          <cell r="N44" t="str">
            <v>Prior Year</v>
          </cell>
        </row>
        <row r="45">
          <cell r="A45" t="str">
            <v>Shoshoni PV1 Solar</v>
          </cell>
          <cell r="B45" t="str">
            <v>QF - 337 - WY - Solar</v>
          </cell>
          <cell r="C45" t="str">
            <v>Wyoming Northeast</v>
          </cell>
          <cell r="D45">
            <v>13.33</v>
          </cell>
          <cell r="E45">
            <v>0.26666769432084048</v>
          </cell>
          <cell r="F45">
            <v>43313</v>
          </cell>
          <cell r="K45" t="str">
            <v>Active</v>
          </cell>
          <cell r="L45">
            <v>42706.356249999997</v>
          </cell>
          <cell r="M45">
            <v>5.0000000000000001E-3</v>
          </cell>
          <cell r="N45" t="str">
            <v>Prior Year</v>
          </cell>
        </row>
        <row r="46">
          <cell r="A46" t="str">
            <v>Elk Mtn Wind</v>
          </cell>
          <cell r="B46" t="str">
            <v>QF - 339 - WY - Wind</v>
          </cell>
          <cell r="C46" t="str">
            <v>Wyoming Northeast</v>
          </cell>
          <cell r="D46">
            <v>75.900000000000006</v>
          </cell>
          <cell r="E46">
            <v>0.46942022969420227</v>
          </cell>
          <cell r="F46">
            <v>43374</v>
          </cell>
          <cell r="K46" t="str">
            <v>Active</v>
          </cell>
          <cell r="L46">
            <v>42713.580555555556</v>
          </cell>
          <cell r="M46">
            <v>0</v>
          </cell>
          <cell r="N46" t="str">
            <v>First Year</v>
          </cell>
        </row>
        <row r="47">
          <cell r="A47" t="str">
            <v>Homestead I Solar</v>
          </cell>
          <cell r="B47" t="str">
            <v>QF - 340 - WY - Solar</v>
          </cell>
          <cell r="C47" t="str">
            <v>Wyoming Northeast</v>
          </cell>
          <cell r="D47">
            <v>80</v>
          </cell>
          <cell r="E47">
            <v>0.27384703196347032</v>
          </cell>
          <cell r="F47">
            <v>43617</v>
          </cell>
          <cell r="K47" t="str">
            <v>Active</v>
          </cell>
          <cell r="L47">
            <v>42719.606944444444</v>
          </cell>
          <cell r="M47">
            <v>7.0000000000000001E-3</v>
          </cell>
          <cell r="N47" t="str">
            <v>Prior Year</v>
          </cell>
        </row>
        <row r="48">
          <cell r="A48" t="str">
            <v>Graphite Solar</v>
          </cell>
          <cell r="B48" t="str">
            <v>QF - 341 - UT - Solar</v>
          </cell>
          <cell r="C48" t="str">
            <v>Utah North</v>
          </cell>
          <cell r="D48">
            <v>80</v>
          </cell>
          <cell r="E48">
            <v>0.301488299086758</v>
          </cell>
          <cell r="F48">
            <v>43405</v>
          </cell>
          <cell r="K48" t="str">
            <v>Active</v>
          </cell>
          <cell r="L48">
            <v>42720.652777777781</v>
          </cell>
          <cell r="M48">
            <v>5.0000000000000001E-3</v>
          </cell>
          <cell r="N48" t="str">
            <v>Prior Year</v>
          </cell>
        </row>
        <row r="49">
          <cell r="A49" t="str">
            <v>Sheep Dip Solar</v>
          </cell>
          <cell r="B49" t="str">
            <v>QF - 342 - UT - Solar</v>
          </cell>
          <cell r="C49" t="str">
            <v>Utah North</v>
          </cell>
          <cell r="D49">
            <v>80</v>
          </cell>
          <cell r="E49">
            <v>0.28941152968036532</v>
          </cell>
          <cell r="F49">
            <v>43435</v>
          </cell>
          <cell r="K49" t="str">
            <v>Active</v>
          </cell>
          <cell r="L49">
            <v>42724.4375</v>
          </cell>
          <cell r="M49">
            <v>5.0000000000000001E-3</v>
          </cell>
          <cell r="N49" t="str">
            <v>Prior Year</v>
          </cell>
        </row>
        <row r="50">
          <cell r="A50" t="str">
            <v>Green River I Solar</v>
          </cell>
          <cell r="B50" t="str">
            <v>QF - 343 - UT - Solar</v>
          </cell>
          <cell r="C50" t="str">
            <v>Utah South</v>
          </cell>
          <cell r="D50">
            <v>80</v>
          </cell>
          <cell r="E50">
            <v>0.31296501569634705</v>
          </cell>
          <cell r="F50">
            <v>43922</v>
          </cell>
          <cell r="K50" t="str">
            <v>Active</v>
          </cell>
          <cell r="L50">
            <v>42725.349305555559</v>
          </cell>
          <cell r="M50">
            <v>5.0000000000000001E-3</v>
          </cell>
          <cell r="N50" t="str">
            <v>Prior Year</v>
          </cell>
        </row>
        <row r="51">
          <cell r="A51" t="str">
            <v>Green River II Solar</v>
          </cell>
          <cell r="B51" t="str">
            <v>QF - 344 - UT - Solar</v>
          </cell>
          <cell r="C51" t="str">
            <v>Utah South</v>
          </cell>
          <cell r="D51">
            <v>80</v>
          </cell>
          <cell r="E51">
            <v>0.31296501569634705</v>
          </cell>
          <cell r="F51">
            <v>43922</v>
          </cell>
          <cell r="K51" t="str">
            <v>Active</v>
          </cell>
          <cell r="L51">
            <v>42725.349305555559</v>
          </cell>
          <cell r="M51">
            <v>5.0000000000000001E-3</v>
          </cell>
          <cell r="N51" t="str">
            <v>Prior Year</v>
          </cell>
        </row>
        <row r="52">
          <cell r="A52" t="str">
            <v>Green River III Solar</v>
          </cell>
          <cell r="B52" t="str">
            <v>QF - 345 - UT - Solar</v>
          </cell>
          <cell r="C52" t="str">
            <v>Utah South</v>
          </cell>
          <cell r="D52">
            <v>80</v>
          </cell>
          <cell r="E52">
            <v>0.31296501569634705</v>
          </cell>
          <cell r="F52">
            <v>43922</v>
          </cell>
          <cell r="K52" t="str">
            <v>Active</v>
          </cell>
          <cell r="L52">
            <v>42725.349305555559</v>
          </cell>
          <cell r="M52">
            <v>5.0000000000000001E-3</v>
          </cell>
          <cell r="N52" t="str">
            <v>Prior Year</v>
          </cell>
        </row>
        <row r="53">
          <cell r="A53" t="str">
            <v>Green River IV Solar</v>
          </cell>
          <cell r="B53" t="str">
            <v>QF - 346 - UT - Solar</v>
          </cell>
          <cell r="C53" t="str">
            <v>Utah South</v>
          </cell>
          <cell r="D53">
            <v>80</v>
          </cell>
          <cell r="E53">
            <v>0.31296501569634705</v>
          </cell>
          <cell r="F53">
            <v>43922</v>
          </cell>
          <cell r="K53" t="str">
            <v>Active</v>
          </cell>
          <cell r="L53">
            <v>42725.349305555559</v>
          </cell>
          <cell r="M53">
            <v>5.0000000000000001E-3</v>
          </cell>
          <cell r="N53" t="str">
            <v>Prior Year</v>
          </cell>
        </row>
        <row r="54">
          <cell r="A54" t="str">
            <v>Green River V Solar</v>
          </cell>
          <cell r="B54" t="str">
            <v>QF - 347 - UT - Solar</v>
          </cell>
          <cell r="C54" t="str">
            <v>Utah South</v>
          </cell>
          <cell r="D54">
            <v>80</v>
          </cell>
          <cell r="E54">
            <v>0.31296501569634705</v>
          </cell>
          <cell r="F54">
            <v>43922</v>
          </cell>
          <cell r="K54" t="str">
            <v>Active</v>
          </cell>
          <cell r="L54">
            <v>42725.349305555559</v>
          </cell>
          <cell r="M54">
            <v>5.0000000000000001E-3</v>
          </cell>
          <cell r="N54" t="str">
            <v>Prior Year</v>
          </cell>
        </row>
        <row r="55">
          <cell r="A55" t="str">
            <v>Homestead II Solar</v>
          </cell>
          <cell r="B55" t="str">
            <v>QF - 348 - WY - Solar</v>
          </cell>
          <cell r="C55" t="str">
            <v>Wyoming Northeast</v>
          </cell>
          <cell r="D55">
            <v>80</v>
          </cell>
          <cell r="E55">
            <v>0.27302226027397258</v>
          </cell>
          <cell r="F55">
            <v>43800</v>
          </cell>
          <cell r="K55" t="str">
            <v>Active</v>
          </cell>
          <cell r="L55">
            <v>42726.347916666666</v>
          </cell>
          <cell r="M55">
            <v>7.0000000000000001E-3</v>
          </cell>
          <cell r="N55" t="str">
            <v>Prior Year</v>
          </cell>
        </row>
        <row r="56">
          <cell r="A56" t="str">
            <v>Homestead III Solar</v>
          </cell>
          <cell r="B56" t="str">
            <v>QF - 349 - WY - Solar</v>
          </cell>
          <cell r="C56" t="str">
            <v>Wyoming Northeast</v>
          </cell>
          <cell r="D56">
            <v>80</v>
          </cell>
          <cell r="E56">
            <v>0.2703581621004566</v>
          </cell>
          <cell r="F56">
            <v>43800</v>
          </cell>
          <cell r="K56" t="str">
            <v>Active</v>
          </cell>
          <cell r="L56">
            <v>42726.347916666666</v>
          </cell>
          <cell r="M56">
            <v>7.0000000000000001E-3</v>
          </cell>
          <cell r="N56" t="str">
            <v>Prior Year</v>
          </cell>
        </row>
        <row r="57">
          <cell r="A57" t="str">
            <v>Glen Canyon C Solar</v>
          </cell>
          <cell r="B57" t="str">
            <v>QF - 350 - UT - Solar</v>
          </cell>
          <cell r="C57" t="str">
            <v>PP-GC</v>
          </cell>
          <cell r="D57">
            <v>59</v>
          </cell>
          <cell r="E57">
            <v>0.34871720455073135</v>
          </cell>
          <cell r="F57">
            <v>43800</v>
          </cell>
          <cell r="K57" t="str">
            <v>Active</v>
          </cell>
          <cell r="L57">
            <v>42726.586111111108</v>
          </cell>
          <cell r="M57">
            <v>5.0000000000000001E-3</v>
          </cell>
          <cell r="N57" t="str">
            <v>Prior Year</v>
          </cell>
        </row>
        <row r="58">
          <cell r="A58" t="str">
            <v>Rimrock Solar</v>
          </cell>
          <cell r="B58" t="str">
            <v>QF - 351 - OR - Solar</v>
          </cell>
          <cell r="C58" t="str">
            <v>Central Oregon</v>
          </cell>
          <cell r="D58">
            <v>55</v>
          </cell>
          <cell r="E58">
            <v>0.28014736405147361</v>
          </cell>
          <cell r="F58">
            <v>43466</v>
          </cell>
          <cell r="K58" t="str">
            <v>Active</v>
          </cell>
          <cell r="L58">
            <v>42738.710416666669</v>
          </cell>
          <cell r="M58">
            <v>5.0000000000000001E-3</v>
          </cell>
          <cell r="N58" t="str">
            <v>First Year</v>
          </cell>
        </row>
        <row r="59">
          <cell r="A59" t="str">
            <v>Ponderosa V29</v>
          </cell>
          <cell r="B59" t="str">
            <v>QF - 352 - OR - Solar</v>
          </cell>
          <cell r="C59" t="str">
            <v>Central Oregon</v>
          </cell>
          <cell r="D59">
            <v>34</v>
          </cell>
          <cell r="E59">
            <v>0.29430844077356971</v>
          </cell>
          <cell r="F59">
            <v>43101</v>
          </cell>
          <cell r="K59" t="str">
            <v>Internal</v>
          </cell>
          <cell r="L59">
            <v>42741</v>
          </cell>
          <cell r="M59">
            <v>2.5000000000000001E-3</v>
          </cell>
          <cell r="N59" t="str">
            <v>Prior Year</v>
          </cell>
        </row>
        <row r="60">
          <cell r="A60" t="str">
            <v>Ponderosa V30</v>
          </cell>
          <cell r="B60" t="str">
            <v>QF - 353 - OR - Solar</v>
          </cell>
          <cell r="C60" t="str">
            <v>Central Oregon</v>
          </cell>
          <cell r="D60">
            <v>34</v>
          </cell>
          <cell r="E60">
            <v>0.29430844077356971</v>
          </cell>
          <cell r="F60">
            <v>43831</v>
          </cell>
          <cell r="K60" t="str">
            <v>Internal</v>
          </cell>
          <cell r="L60">
            <v>42741</v>
          </cell>
          <cell r="M60">
            <v>2.5000000000000001E-3</v>
          </cell>
          <cell r="N60" t="str">
            <v>Prior Year</v>
          </cell>
        </row>
        <row r="61">
          <cell r="A61" t="str">
            <v>Ponderosa V32</v>
          </cell>
          <cell r="B61" t="str">
            <v>QF - 354 - OR - Solar</v>
          </cell>
          <cell r="C61" t="str">
            <v>Central Oregon</v>
          </cell>
          <cell r="D61">
            <v>34</v>
          </cell>
          <cell r="E61">
            <v>0.29809016250335751</v>
          </cell>
          <cell r="F61">
            <v>43101</v>
          </cell>
          <cell r="K61" t="str">
            <v>Internal</v>
          </cell>
          <cell r="L61">
            <v>42741</v>
          </cell>
          <cell r="M61">
            <v>5.0000000000000001E-3</v>
          </cell>
          <cell r="N61" t="str">
            <v>Prior Year</v>
          </cell>
        </row>
        <row r="62">
          <cell r="A62" t="str">
            <v>Ponderosa V33</v>
          </cell>
          <cell r="B62" t="str">
            <v>QF - 355 - OR - Solar</v>
          </cell>
          <cell r="C62" t="str">
            <v>Central Oregon</v>
          </cell>
          <cell r="D62">
            <v>34</v>
          </cell>
          <cell r="E62">
            <v>0.29809016250335751</v>
          </cell>
          <cell r="F62">
            <v>43831</v>
          </cell>
          <cell r="K62" t="str">
            <v>Internal</v>
          </cell>
          <cell r="L62">
            <v>42741</v>
          </cell>
          <cell r="M62">
            <v>5.0000000000000001E-3</v>
          </cell>
          <cell r="N62" t="str">
            <v>Prior Year</v>
          </cell>
        </row>
        <row r="63">
          <cell r="A63" t="str">
            <v>Sigurd Solar</v>
          </cell>
          <cell r="B63" t="str">
            <v>QF - 356 - UT - Solar</v>
          </cell>
          <cell r="C63" t="str">
            <v>Utah South</v>
          </cell>
          <cell r="D63">
            <v>80</v>
          </cell>
          <cell r="E63">
            <v>0.29963184931506848</v>
          </cell>
          <cell r="F63">
            <v>43435</v>
          </cell>
          <cell r="K63" t="str">
            <v>Active</v>
          </cell>
          <cell r="L63">
            <v>42760.725694444445</v>
          </cell>
          <cell r="M63">
            <v>5.0000000000000001E-3</v>
          </cell>
          <cell r="N63" t="str">
            <v>Prior Year</v>
          </cell>
        </row>
        <row r="64">
          <cell r="A64" t="str">
            <v>Clover Creek Solar</v>
          </cell>
          <cell r="B64" t="str">
            <v>QF - 357 - UT - Solar</v>
          </cell>
          <cell r="C64" t="str">
            <v>Clover</v>
          </cell>
          <cell r="D64">
            <v>80</v>
          </cell>
          <cell r="E64">
            <v>0.27895262557077627</v>
          </cell>
          <cell r="F64">
            <v>43922</v>
          </cell>
          <cell r="K64" t="str">
            <v>Active</v>
          </cell>
          <cell r="L64">
            <v>42762.306250000001</v>
          </cell>
          <cell r="M64">
            <v>5.0000000000000001E-3</v>
          </cell>
          <cell r="N64" t="str">
            <v>Prior Year</v>
          </cell>
        </row>
        <row r="65">
          <cell r="A65" t="str">
            <v>Goshen Valley I Solar</v>
          </cell>
          <cell r="B65" t="str">
            <v>QF - 358 - UT - Solar</v>
          </cell>
          <cell r="C65" t="str">
            <v>Clover</v>
          </cell>
          <cell r="D65">
            <v>80</v>
          </cell>
          <cell r="E65">
            <v>0.2965884703196347</v>
          </cell>
          <cell r="F65">
            <v>43800</v>
          </cell>
          <cell r="K65" t="str">
            <v>Active</v>
          </cell>
          <cell r="L65">
            <v>42774.469444444447</v>
          </cell>
          <cell r="M65">
            <v>5.0000000000000001E-3</v>
          </cell>
          <cell r="N65" t="str">
            <v>Prior Year</v>
          </cell>
        </row>
        <row r="66">
          <cell r="A66" t="str">
            <v>Goshen Valley II Solar</v>
          </cell>
          <cell r="B66" t="str">
            <v>QF - 359 - UT - Solar</v>
          </cell>
          <cell r="C66" t="str">
            <v>Clover</v>
          </cell>
          <cell r="D66">
            <v>80</v>
          </cell>
          <cell r="E66">
            <v>0.2965884703196347</v>
          </cell>
          <cell r="F66">
            <v>43800</v>
          </cell>
          <cell r="K66" t="str">
            <v>Active</v>
          </cell>
          <cell r="L66">
            <v>42774.469444444447</v>
          </cell>
          <cell r="M66">
            <v>5.0000000000000001E-3</v>
          </cell>
          <cell r="N66" t="str">
            <v>Prior Year</v>
          </cell>
        </row>
        <row r="67">
          <cell r="A67" t="str">
            <v>Goshen Valley III Solar</v>
          </cell>
          <cell r="B67" t="str">
            <v>QF - 360 - UT - Solar</v>
          </cell>
          <cell r="C67" t="str">
            <v>Clover</v>
          </cell>
          <cell r="D67">
            <v>80</v>
          </cell>
          <cell r="E67">
            <v>0.2965884703196347</v>
          </cell>
          <cell r="F67">
            <v>43800</v>
          </cell>
          <cell r="K67" t="str">
            <v>Active</v>
          </cell>
          <cell r="L67">
            <v>42774.469444444447</v>
          </cell>
          <cell r="M67">
            <v>5.0000000000000001E-3</v>
          </cell>
          <cell r="N67" t="str">
            <v>Prior Year</v>
          </cell>
        </row>
        <row r="68">
          <cell r="A68" t="str">
            <v>Goshen Valley IV Solar</v>
          </cell>
          <cell r="B68" t="str">
            <v>QF - 361 - UT - Solar</v>
          </cell>
          <cell r="C68" t="str">
            <v>Clover</v>
          </cell>
          <cell r="D68">
            <v>80</v>
          </cell>
          <cell r="E68">
            <v>0.2965884703196347</v>
          </cell>
          <cell r="F68">
            <v>43800</v>
          </cell>
          <cell r="K68" t="str">
            <v>Active</v>
          </cell>
          <cell r="L68">
            <v>42774.469444444447</v>
          </cell>
          <cell r="M68">
            <v>5.0000000000000001E-3</v>
          </cell>
          <cell r="N68" t="str">
            <v>Prior Year</v>
          </cell>
        </row>
        <row r="69">
          <cell r="A69" t="str">
            <v>Goshen Valley V Solar</v>
          </cell>
          <cell r="B69" t="str">
            <v>QF - 362 - UT - Solar</v>
          </cell>
          <cell r="C69" t="str">
            <v>Clover</v>
          </cell>
          <cell r="D69">
            <v>80</v>
          </cell>
          <cell r="E69">
            <v>0.2965884703196347</v>
          </cell>
          <cell r="F69">
            <v>43800</v>
          </cell>
          <cell r="K69" t="str">
            <v>Active</v>
          </cell>
          <cell r="L69">
            <v>42774.469444444447</v>
          </cell>
          <cell r="M69">
            <v>5.0000000000000001E-3</v>
          </cell>
          <cell r="N69" t="str">
            <v>Prior Year</v>
          </cell>
        </row>
        <row r="70">
          <cell r="A70" t="str">
            <v>Goshen Valley VI Solar</v>
          </cell>
          <cell r="B70" t="str">
            <v>QF - 363 - UT - Solar</v>
          </cell>
          <cell r="C70" t="str">
            <v>Clover</v>
          </cell>
          <cell r="D70">
            <v>80</v>
          </cell>
          <cell r="E70">
            <v>0.2965884703196347</v>
          </cell>
          <cell r="F70">
            <v>43800</v>
          </cell>
          <cell r="K70" t="str">
            <v>Active</v>
          </cell>
          <cell r="L70">
            <v>42774.469444444447</v>
          </cell>
          <cell r="M70">
            <v>5.0000000000000001E-3</v>
          </cell>
          <cell r="N70" t="str">
            <v>Prior Year</v>
          </cell>
        </row>
        <row r="71">
          <cell r="A71" t="str">
            <v>Goshen Valley VII Solar</v>
          </cell>
          <cell r="B71" t="str">
            <v>QF - 364 - UT - Solar</v>
          </cell>
          <cell r="C71" t="str">
            <v>Clover</v>
          </cell>
          <cell r="D71">
            <v>80</v>
          </cell>
          <cell r="E71">
            <v>0.2965884703196347</v>
          </cell>
          <cell r="F71">
            <v>43800</v>
          </cell>
          <cell r="K71" t="str">
            <v>Active</v>
          </cell>
          <cell r="L71">
            <v>42774.469444444447</v>
          </cell>
          <cell r="M71">
            <v>5.0000000000000001E-3</v>
          </cell>
          <cell r="N71" t="str">
            <v>Prior Year</v>
          </cell>
        </row>
        <row r="72">
          <cell r="A72" t="str">
            <v>Skysol Solar</v>
          </cell>
          <cell r="B72" t="str">
            <v>QF - 254 - OR - Solar</v>
          </cell>
          <cell r="C72" t="str">
            <v>West Main</v>
          </cell>
          <cell r="D72">
            <v>55</v>
          </cell>
          <cell r="E72">
            <v>0.24561402833410492</v>
          </cell>
          <cell r="F72">
            <v>44196</v>
          </cell>
          <cell r="K72" t="str">
            <v>Active</v>
          </cell>
          <cell r="L72">
            <v>42774.688888888886</v>
          </cell>
          <cell r="M72">
            <v>5.0000000000000001E-3</v>
          </cell>
          <cell r="N72" t="str">
            <v>Prior Year</v>
          </cell>
        </row>
        <row r="73">
          <cell r="A73" t="str">
            <v>Echo Divide Wind</v>
          </cell>
          <cell r="B73" t="str">
            <v>QF - 365 - UT - Wind</v>
          </cell>
          <cell r="C73" t="str">
            <v>Utah North</v>
          </cell>
          <cell r="D73">
            <v>80</v>
          </cell>
          <cell r="E73">
            <v>0.31355450913242011</v>
          </cell>
          <cell r="F73">
            <v>43466</v>
          </cell>
          <cell r="K73" t="str">
            <v>Active</v>
          </cell>
          <cell r="L73">
            <v>42779.411111111112</v>
          </cell>
          <cell r="M73">
            <v>0</v>
          </cell>
          <cell r="N73" t="str">
            <v>Prior Year</v>
          </cell>
        </row>
        <row r="74">
          <cell r="A74" t="str">
            <v>2016.Q4 UT Compliance Filing</v>
          </cell>
          <cell r="B74" t="str">
            <v>QF -  - UT - Thermal</v>
          </cell>
          <cell r="C74" t="str">
            <v>Utah North</v>
          </cell>
          <cell r="D74">
            <v>100</v>
          </cell>
          <cell r="E74">
            <v>0.85</v>
          </cell>
          <cell r="F74">
            <v>43101</v>
          </cell>
          <cell r="K74" t="str">
            <v>Active</v>
          </cell>
          <cell r="L74">
            <v>42675</v>
          </cell>
          <cell r="M74">
            <v>0</v>
          </cell>
          <cell r="N74" t="str">
            <v>Prior Year</v>
          </cell>
        </row>
        <row r="75">
          <cell r="A75" t="str">
            <v>Monticello Wind</v>
          </cell>
          <cell r="B75" t="str">
            <v>QF -  - UT - Wind</v>
          </cell>
          <cell r="C75" t="str">
            <v>Utah South</v>
          </cell>
          <cell r="D75">
            <v>79.2</v>
          </cell>
          <cell r="E75">
            <v>0.33818493150684931</v>
          </cell>
          <cell r="F75">
            <v>44196</v>
          </cell>
          <cell r="K75" t="str">
            <v>Active</v>
          </cell>
          <cell r="L75" t="str">
            <v>complete</v>
          </cell>
          <cell r="M75">
            <v>0</v>
          </cell>
          <cell r="N75" t="str">
            <v>Prior Year</v>
          </cell>
        </row>
        <row r="76">
          <cell r="A76" t="str">
            <v>Oneida Spin Res. Valuation</v>
          </cell>
          <cell r="B76" t="str">
            <v>QF -  - UT - 0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K76" t="str">
            <v>Internal</v>
          </cell>
          <cell r="L76">
            <v>0</v>
          </cell>
          <cell r="M76">
            <v>0</v>
          </cell>
          <cell r="N76" t="str">
            <v>Prior Year</v>
          </cell>
        </row>
        <row r="77">
          <cell r="A77" t="str">
            <v>Klamath Falls TOU Irrigation Pilot</v>
          </cell>
          <cell r="B77" t="str">
            <v>QF -  - OR - Hydro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K77" t="str">
            <v>Internal</v>
          </cell>
          <cell r="L77" t="str">
            <v>complete</v>
          </cell>
          <cell r="M77">
            <v>0</v>
          </cell>
          <cell r="N77" t="str">
            <v>Prior Year</v>
          </cell>
        </row>
        <row r="78">
          <cell r="A78" t="str">
            <v>Dinosolar 4 Solar</v>
          </cell>
          <cell r="B78" t="str">
            <v>QF - 372 - WY - Solar</v>
          </cell>
          <cell r="C78" t="str">
            <v>Wyoming Northeast</v>
          </cell>
          <cell r="D78">
            <v>40</v>
          </cell>
          <cell r="E78">
            <v>0.27404965753424659</v>
          </cell>
          <cell r="F78">
            <v>43646</v>
          </cell>
          <cell r="K78" t="str">
            <v>Active</v>
          </cell>
          <cell r="L78">
            <v>42797.583333333336</v>
          </cell>
          <cell r="M78">
            <v>5.0000000000000001E-3</v>
          </cell>
          <cell r="N78" t="str">
            <v>Prior Year</v>
          </cell>
        </row>
        <row r="79">
          <cell r="A79" t="str">
            <v>Prineville Solar</v>
          </cell>
          <cell r="B79" t="str">
            <v>QF - 380 - OR - Solar</v>
          </cell>
          <cell r="C79" t="str">
            <v>Central Oregon</v>
          </cell>
          <cell r="D79">
            <v>50</v>
          </cell>
          <cell r="E79">
            <v>0.25810730593607306</v>
          </cell>
          <cell r="F79">
            <v>43466</v>
          </cell>
          <cell r="K79" t="str">
            <v>Active</v>
          </cell>
          <cell r="L79">
            <v>42802.359722222223</v>
          </cell>
          <cell r="M79">
            <v>5.0000000000000001E-3</v>
          </cell>
          <cell r="N79" t="str">
            <v>Prior Year</v>
          </cell>
        </row>
        <row r="80">
          <cell r="A80" t="str">
            <v>Linkville Solar</v>
          </cell>
          <cell r="B80" t="str">
            <v>QF - 381 - OR - Solar</v>
          </cell>
          <cell r="C80" t="str">
            <v>West Main</v>
          </cell>
          <cell r="D80">
            <v>80</v>
          </cell>
          <cell r="E80">
            <v>0.29331050228310501</v>
          </cell>
          <cell r="F80">
            <v>44197</v>
          </cell>
          <cell r="K80" t="str">
            <v>Active</v>
          </cell>
          <cell r="L80">
            <v>42802.359722222223</v>
          </cell>
          <cell r="M80">
            <v>5.0000000000000001E-3</v>
          </cell>
          <cell r="N80" t="str">
            <v>Prior Year</v>
          </cell>
        </row>
        <row r="81">
          <cell r="A81" t="str">
            <v>Abajo Solar</v>
          </cell>
          <cell r="B81" t="str">
            <v>QF - 382 - UT - Solar</v>
          </cell>
          <cell r="C81" t="str">
            <v>Utah South</v>
          </cell>
          <cell r="D81">
            <v>80</v>
          </cell>
          <cell r="E81">
            <v>0.31495005707762558</v>
          </cell>
          <cell r="F81">
            <v>43983</v>
          </cell>
          <cell r="K81" t="str">
            <v>Active</v>
          </cell>
          <cell r="L81">
            <v>42803.359722222223</v>
          </cell>
          <cell r="M81">
            <v>5.0000000000000001E-3</v>
          </cell>
          <cell r="N81" t="str">
            <v>Prior Year</v>
          </cell>
        </row>
        <row r="82">
          <cell r="A82" t="str">
            <v>Christmas Valley Solar PV3-A</v>
          </cell>
          <cell r="B82" t="str">
            <v>QF - 383 - OR - Solar</v>
          </cell>
          <cell r="C82" t="str">
            <v>Central Oregon</v>
          </cell>
          <cell r="D82">
            <v>80</v>
          </cell>
          <cell r="E82">
            <v>0.28007577197488581</v>
          </cell>
          <cell r="F82">
            <v>43800</v>
          </cell>
          <cell r="K82" t="str">
            <v>Active</v>
          </cell>
          <cell r="L82">
            <v>42807.359722222223</v>
          </cell>
          <cell r="M82">
            <v>5.0000000000000001E-3</v>
          </cell>
          <cell r="N82" t="str">
            <v>Prior Year</v>
          </cell>
        </row>
        <row r="83">
          <cell r="A83" t="str">
            <v>Christmas Valley Solar PV3-B</v>
          </cell>
          <cell r="B83" t="str">
            <v>QF - 384 - OR - Solar</v>
          </cell>
          <cell r="C83" t="str">
            <v>Central Oregon</v>
          </cell>
          <cell r="D83">
            <v>80</v>
          </cell>
          <cell r="E83">
            <v>0.28007577197488581</v>
          </cell>
          <cell r="F83">
            <v>43800</v>
          </cell>
          <cell r="K83" t="str">
            <v>Active</v>
          </cell>
          <cell r="L83">
            <v>42807.359722222223</v>
          </cell>
          <cell r="M83">
            <v>5.0000000000000001E-3</v>
          </cell>
          <cell r="N83" t="str">
            <v>Prior Year</v>
          </cell>
        </row>
        <row r="84">
          <cell r="A84" t="str">
            <v>Christmas Valley Solar PV3-C</v>
          </cell>
          <cell r="B84" t="str">
            <v>QF - 385 - OR - Solar</v>
          </cell>
          <cell r="C84" t="str">
            <v>Central Oregon</v>
          </cell>
          <cell r="D84">
            <v>80</v>
          </cell>
          <cell r="E84">
            <v>0.28007577197488581</v>
          </cell>
          <cell r="F84">
            <v>43800</v>
          </cell>
          <cell r="K84" t="str">
            <v>Active</v>
          </cell>
          <cell r="L84">
            <v>42807.359722222223</v>
          </cell>
          <cell r="M84">
            <v>5.0000000000000001E-3</v>
          </cell>
          <cell r="N84" t="str">
            <v>Prior Year</v>
          </cell>
        </row>
        <row r="85">
          <cell r="A85" t="str">
            <v>Intermountain Solar</v>
          </cell>
          <cell r="B85" t="str">
            <v>QF - 386 - UT - Solar</v>
          </cell>
          <cell r="C85" t="str">
            <v>Clover</v>
          </cell>
          <cell r="D85">
            <v>80</v>
          </cell>
          <cell r="E85">
            <v>0.30816067351598175</v>
          </cell>
          <cell r="F85">
            <v>44012</v>
          </cell>
          <cell r="K85" t="str">
            <v>Active</v>
          </cell>
          <cell r="L85">
            <v>42807.359722222223</v>
          </cell>
          <cell r="M85">
            <v>5.0000000000000001E-3</v>
          </cell>
          <cell r="N85" t="str">
            <v>Prior Year</v>
          </cell>
        </row>
        <row r="86">
          <cell r="A86" t="str">
            <v>Tooele Solar</v>
          </cell>
          <cell r="B86" t="str">
            <v>QF - 387 - UT - Solar</v>
          </cell>
          <cell r="C86" t="str">
            <v>Clover</v>
          </cell>
          <cell r="D86">
            <v>80</v>
          </cell>
          <cell r="E86">
            <v>0.2962956621004566</v>
          </cell>
          <cell r="F86">
            <v>43800</v>
          </cell>
          <cell r="K86" t="str">
            <v>Active</v>
          </cell>
          <cell r="L86">
            <v>42807.359722222223</v>
          </cell>
          <cell r="M86">
            <v>5.0000000000000001E-3</v>
          </cell>
          <cell r="N86" t="str">
            <v>Prior Year</v>
          </cell>
        </row>
        <row r="87">
          <cell r="A87" t="str">
            <v>Graphite Solar w Battery</v>
          </cell>
          <cell r="B87" t="str">
            <v>QF - 388 - UT - Solar</v>
          </cell>
          <cell r="C87" t="str">
            <v>Utah North</v>
          </cell>
          <cell r="D87">
            <v>80</v>
          </cell>
          <cell r="E87">
            <v>0.27972031963470317</v>
          </cell>
          <cell r="F87">
            <v>43770</v>
          </cell>
          <cell r="K87" t="str">
            <v>Active</v>
          </cell>
          <cell r="L87">
            <v>42822</v>
          </cell>
          <cell r="M87">
            <v>5.0000000000000001E-3</v>
          </cell>
          <cell r="N87" t="str">
            <v>Prior Year</v>
          </cell>
        </row>
        <row r="88">
          <cell r="A88" t="str">
            <v>Settler Wind</v>
          </cell>
          <cell r="B88" t="str">
            <v>QF - 389 - WY - Wind</v>
          </cell>
          <cell r="C88" t="str">
            <v>Wyoming Northeast</v>
          </cell>
          <cell r="D88">
            <v>79.400000000000006</v>
          </cell>
          <cell r="E88">
            <v>0.41568470147107878</v>
          </cell>
          <cell r="F88">
            <v>43466</v>
          </cell>
          <cell r="K88" t="str">
            <v>Active</v>
          </cell>
          <cell r="L88">
            <v>42821.595833333333</v>
          </cell>
          <cell r="M88">
            <v>0</v>
          </cell>
          <cell r="N88">
            <v>0</v>
          </cell>
        </row>
        <row r="89">
          <cell r="A89" t="str">
            <v>Caiman Solar</v>
          </cell>
          <cell r="B89" t="str">
            <v>QF - 390 - WY - Solar</v>
          </cell>
          <cell r="C89">
            <v>0</v>
          </cell>
          <cell r="D89">
            <v>20</v>
          </cell>
          <cell r="E89">
            <v>0.26893835616438355</v>
          </cell>
          <cell r="F89">
            <v>43435</v>
          </cell>
          <cell r="K89" t="str">
            <v>Active</v>
          </cell>
          <cell r="L89">
            <v>42825.699305555558</v>
          </cell>
          <cell r="M89">
            <v>0</v>
          </cell>
          <cell r="N89">
            <v>0</v>
          </cell>
        </row>
        <row r="90">
          <cell r="A90" t="str">
            <v>Raptor Solar</v>
          </cell>
          <cell r="B90" t="str">
            <v>QF - 391 - WY - Solar</v>
          </cell>
          <cell r="C90">
            <v>0</v>
          </cell>
          <cell r="D90">
            <v>20</v>
          </cell>
          <cell r="E90">
            <v>0.27686244292237444</v>
          </cell>
          <cell r="F90">
            <v>43435</v>
          </cell>
          <cell r="K90" t="str">
            <v>Active</v>
          </cell>
          <cell r="L90">
            <v>42825.675000000003</v>
          </cell>
          <cell r="M90">
            <v>0</v>
          </cell>
          <cell r="N90">
            <v>0</v>
          </cell>
        </row>
        <row r="91">
          <cell r="A91" t="str">
            <v>Parowan Solar</v>
          </cell>
          <cell r="B91" t="str">
            <v>QF - 392 - UT - Solar</v>
          </cell>
          <cell r="C91">
            <v>0</v>
          </cell>
          <cell r="D91">
            <v>58</v>
          </cell>
          <cell r="E91">
            <v>0.29307786175405448</v>
          </cell>
          <cell r="F91">
            <v>0</v>
          </cell>
          <cell r="K91" t="str">
            <v>Active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Lakeview PV1 Solar</v>
          </cell>
          <cell r="B92" t="str">
            <v>QF - 393 - OR - Solar</v>
          </cell>
          <cell r="C92" t="str">
            <v>West Main</v>
          </cell>
          <cell r="D92">
            <v>50</v>
          </cell>
          <cell r="E92">
            <v>0.28627853881278537</v>
          </cell>
          <cell r="F92">
            <v>43435</v>
          </cell>
          <cell r="K92" t="str">
            <v>Active</v>
          </cell>
          <cell r="L92">
            <v>42837.368055555555</v>
          </cell>
          <cell r="M92">
            <v>5.0000000000000001E-3</v>
          </cell>
          <cell r="N92" t="str">
            <v>Prior Year</v>
          </cell>
        </row>
        <row r="93">
          <cell r="A93" t="str">
            <v xml:space="preserve">West Valley </v>
          </cell>
          <cell r="B93" t="str">
            <v>QF -  - UT - SCCT</v>
          </cell>
          <cell r="C93" t="str">
            <v>Utah North</v>
          </cell>
          <cell r="D93">
            <v>120</v>
          </cell>
          <cell r="E93">
            <v>0.95</v>
          </cell>
          <cell r="F93">
            <v>0</v>
          </cell>
          <cell r="K93" t="str">
            <v>Active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Anticline Wind</v>
          </cell>
          <cell r="B94" t="str">
            <v>QF - 394 - WY - Wind</v>
          </cell>
          <cell r="C94" t="str">
            <v>Wyoming Northeast</v>
          </cell>
          <cell r="D94">
            <v>80</v>
          </cell>
          <cell r="E94">
            <v>0.52088470319634705</v>
          </cell>
          <cell r="F94">
            <v>43830</v>
          </cell>
          <cell r="K94" t="str">
            <v>Active</v>
          </cell>
          <cell r="L94">
            <v>42842.602083333331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D95">
            <v>0</v>
          </cell>
          <cell r="E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D96">
            <v>0</v>
          </cell>
          <cell r="E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D97">
            <v>0</v>
          </cell>
          <cell r="E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D98">
            <v>0</v>
          </cell>
          <cell r="E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Utah 2017.Q1</v>
          </cell>
          <cell r="B99" t="str">
            <v>Avoided Cost Resource</v>
          </cell>
          <cell r="C99" t="str">
            <v>Utah North</v>
          </cell>
          <cell r="D99">
            <v>100</v>
          </cell>
          <cell r="E99">
            <v>0.85</v>
          </cell>
          <cell r="F99">
            <v>43101</v>
          </cell>
          <cell r="K99" t="str">
            <v>Utah 2017.Q1</v>
          </cell>
          <cell r="L99">
            <v>42842.602083333331</v>
          </cell>
          <cell r="M99">
            <v>0</v>
          </cell>
          <cell r="N99" t="str">
            <v>First Year</v>
          </cell>
        </row>
        <row r="100">
          <cell r="A100">
            <v>0</v>
          </cell>
          <cell r="B100">
            <v>0</v>
          </cell>
          <cell r="D100">
            <v>0</v>
          </cell>
          <cell r="E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D101">
            <v>0</v>
          </cell>
          <cell r="E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D102">
            <v>0</v>
          </cell>
          <cell r="E102">
            <v>0</v>
          </cell>
          <cell r="L102">
            <v>0</v>
          </cell>
          <cell r="M102">
            <v>0</v>
          </cell>
          <cell r="N102">
            <v>0</v>
          </cell>
        </row>
      </sheetData>
      <sheetData sheetId="2">
        <row r="5">
          <cell r="D5">
            <v>12.64</v>
          </cell>
        </row>
        <row r="6">
          <cell r="D6">
            <v>12.64</v>
          </cell>
        </row>
        <row r="7">
          <cell r="D7">
            <v>12.64</v>
          </cell>
        </row>
        <row r="8">
          <cell r="D8">
            <v>12.64</v>
          </cell>
        </row>
        <row r="30">
          <cell r="D30">
            <v>12.64</v>
          </cell>
        </row>
        <row r="31">
          <cell r="D31">
            <v>12.64</v>
          </cell>
        </row>
        <row r="32">
          <cell r="D32">
            <v>12.64</v>
          </cell>
        </row>
        <row r="33">
          <cell r="D33">
            <v>25.92</v>
          </cell>
        </row>
        <row r="34">
          <cell r="D34">
            <v>40.58</v>
          </cell>
        </row>
        <row r="35">
          <cell r="D35">
            <v>11.93</v>
          </cell>
        </row>
        <row r="36">
          <cell r="D36">
            <v>11.93</v>
          </cell>
        </row>
        <row r="37">
          <cell r="D37">
            <v>25.92</v>
          </cell>
        </row>
        <row r="38">
          <cell r="D38">
            <v>25.92</v>
          </cell>
        </row>
        <row r="39">
          <cell r="D39">
            <v>25.92</v>
          </cell>
        </row>
        <row r="40">
          <cell r="D40">
            <v>44.69</v>
          </cell>
        </row>
        <row r="41">
          <cell r="D41">
            <v>47.74</v>
          </cell>
        </row>
        <row r="42">
          <cell r="D42">
            <v>47.74</v>
          </cell>
        </row>
        <row r="43">
          <cell r="D43">
            <v>47.74</v>
          </cell>
        </row>
        <row r="44">
          <cell r="D44">
            <v>9.5500000000000007</v>
          </cell>
        </row>
        <row r="45">
          <cell r="D45">
            <v>17.899999999999999</v>
          </cell>
        </row>
        <row r="46">
          <cell r="D46">
            <v>47.74</v>
          </cell>
        </row>
        <row r="47">
          <cell r="D47">
            <v>12.64</v>
          </cell>
        </row>
        <row r="48">
          <cell r="D48">
            <v>12.64</v>
          </cell>
        </row>
        <row r="49">
          <cell r="D49">
            <v>12.64</v>
          </cell>
        </row>
        <row r="50">
          <cell r="D50">
            <v>6.32</v>
          </cell>
        </row>
        <row r="51">
          <cell r="D51">
            <v>11.65</v>
          </cell>
        </row>
        <row r="52">
          <cell r="D52">
            <v>47.74</v>
          </cell>
        </row>
        <row r="53">
          <cell r="D53">
            <v>47.74</v>
          </cell>
        </row>
        <row r="54">
          <cell r="D54">
            <v>47.74</v>
          </cell>
        </row>
        <row r="55">
          <cell r="D55">
            <v>47.74</v>
          </cell>
        </row>
        <row r="56">
          <cell r="D56">
            <v>47.74</v>
          </cell>
        </row>
        <row r="57">
          <cell r="D57">
            <v>47.74</v>
          </cell>
        </row>
        <row r="58">
          <cell r="D58">
            <v>47.74</v>
          </cell>
        </row>
        <row r="59">
          <cell r="D59">
            <v>12.53</v>
          </cell>
        </row>
        <row r="60">
          <cell r="D60">
            <v>5.18</v>
          </cell>
        </row>
        <row r="61">
          <cell r="D61">
            <v>29.81</v>
          </cell>
        </row>
        <row r="62">
          <cell r="D62">
            <v>34.61</v>
          </cell>
        </row>
        <row r="63">
          <cell r="D63">
            <v>7.95</v>
          </cell>
        </row>
        <row r="64">
          <cell r="D64">
            <v>11.99</v>
          </cell>
        </row>
        <row r="65">
          <cell r="D65">
            <v>47.74</v>
          </cell>
        </row>
        <row r="66">
          <cell r="D66">
            <v>47.74</v>
          </cell>
        </row>
        <row r="67">
          <cell r="D67">
            <v>47.74</v>
          </cell>
        </row>
        <row r="68">
          <cell r="D68">
            <v>47.74</v>
          </cell>
        </row>
        <row r="69">
          <cell r="D69">
            <v>3.58</v>
          </cell>
        </row>
        <row r="70">
          <cell r="D70">
            <v>35.64</v>
          </cell>
        </row>
        <row r="71">
          <cell r="D71">
            <v>47.74</v>
          </cell>
        </row>
        <row r="72">
          <cell r="D72">
            <v>47.74</v>
          </cell>
        </row>
        <row r="73">
          <cell r="D73">
            <v>47.74</v>
          </cell>
        </row>
        <row r="74">
          <cell r="D74">
            <v>47.74</v>
          </cell>
        </row>
        <row r="75">
          <cell r="D75">
            <v>47.74</v>
          </cell>
        </row>
        <row r="76">
          <cell r="D76">
            <v>47.74</v>
          </cell>
        </row>
        <row r="77">
          <cell r="D77">
            <v>47.74</v>
          </cell>
        </row>
        <row r="78">
          <cell r="D78">
            <v>47.74</v>
          </cell>
        </row>
        <row r="79">
          <cell r="D79">
            <v>47.74</v>
          </cell>
        </row>
        <row r="80">
          <cell r="D80">
            <v>35.64</v>
          </cell>
        </row>
        <row r="81">
          <cell r="D81">
            <v>12.64</v>
          </cell>
        </row>
        <row r="82">
          <cell r="D82">
            <v>23.87</v>
          </cell>
        </row>
        <row r="83">
          <cell r="D83">
            <v>32.4</v>
          </cell>
        </row>
        <row r="84">
          <cell r="D84">
            <v>51.84</v>
          </cell>
        </row>
        <row r="85">
          <cell r="D85">
            <v>47.74</v>
          </cell>
        </row>
        <row r="86">
          <cell r="D86">
            <v>51.84</v>
          </cell>
        </row>
        <row r="87">
          <cell r="D87">
            <v>51.84</v>
          </cell>
        </row>
        <row r="88">
          <cell r="D88">
            <v>51.84</v>
          </cell>
        </row>
        <row r="89">
          <cell r="D89">
            <v>47.74</v>
          </cell>
        </row>
        <row r="90">
          <cell r="D90">
            <v>47.74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Summary_Resources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/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5">
          <cell r="C15">
            <v>41640</v>
          </cell>
          <cell r="D15">
            <v>41671</v>
          </cell>
          <cell r="E15">
            <v>41699</v>
          </cell>
          <cell r="F15">
            <v>41730</v>
          </cell>
          <cell r="G15">
            <v>41760</v>
          </cell>
          <cell r="H15">
            <v>41791</v>
          </cell>
          <cell r="I15">
            <v>41821</v>
          </cell>
          <cell r="J15">
            <v>41852</v>
          </cell>
          <cell r="K15">
            <v>41883</v>
          </cell>
          <cell r="L15">
            <v>41913</v>
          </cell>
          <cell r="M15">
            <v>41944</v>
          </cell>
          <cell r="N15">
            <v>41974</v>
          </cell>
          <cell r="O15">
            <v>42005</v>
          </cell>
          <cell r="P15">
            <v>42036</v>
          </cell>
          <cell r="Q15">
            <v>42064</v>
          </cell>
          <cell r="R15">
            <v>42095</v>
          </cell>
          <cell r="S15">
            <v>42125</v>
          </cell>
          <cell r="T15">
            <v>42156</v>
          </cell>
          <cell r="U15">
            <v>42186</v>
          </cell>
          <cell r="V15">
            <v>42217</v>
          </cell>
          <cell r="W15">
            <v>42248</v>
          </cell>
          <cell r="X15">
            <v>42278</v>
          </cell>
          <cell r="Y15">
            <v>42309</v>
          </cell>
          <cell r="Z15">
            <v>42339</v>
          </cell>
          <cell r="AA15">
            <v>42370</v>
          </cell>
          <cell r="AB15">
            <v>42401</v>
          </cell>
          <cell r="AC15">
            <v>42430</v>
          </cell>
          <cell r="AD15">
            <v>42461</v>
          </cell>
          <cell r="AE15">
            <v>42491</v>
          </cell>
          <cell r="AF15">
            <v>42522</v>
          </cell>
          <cell r="AG15">
            <v>42552</v>
          </cell>
          <cell r="AH15">
            <v>42583</v>
          </cell>
          <cell r="AI15">
            <v>42614</v>
          </cell>
          <cell r="AJ15">
            <v>42644</v>
          </cell>
          <cell r="AK15">
            <v>42675</v>
          </cell>
          <cell r="AL15">
            <v>42705</v>
          </cell>
          <cell r="AM15">
            <v>42736</v>
          </cell>
          <cell r="AN15">
            <v>42767</v>
          </cell>
          <cell r="AO15">
            <v>42795</v>
          </cell>
          <cell r="AP15">
            <v>42826</v>
          </cell>
          <cell r="AQ15">
            <v>42856</v>
          </cell>
          <cell r="AR15">
            <v>42887</v>
          </cell>
          <cell r="AS15">
            <v>42917</v>
          </cell>
          <cell r="AT15">
            <v>42948</v>
          </cell>
          <cell r="AU15">
            <v>42979</v>
          </cell>
          <cell r="AV15">
            <v>43009</v>
          </cell>
          <cell r="AW15">
            <v>43040</v>
          </cell>
          <cell r="AX15">
            <v>43070</v>
          </cell>
          <cell r="AY15">
            <v>43101</v>
          </cell>
          <cell r="AZ15">
            <v>43132</v>
          </cell>
          <cell r="BA15">
            <v>43160</v>
          </cell>
          <cell r="BB15">
            <v>43191</v>
          </cell>
          <cell r="BC15">
            <v>43221</v>
          </cell>
          <cell r="BD15">
            <v>43252</v>
          </cell>
          <cell r="BE15">
            <v>43282</v>
          </cell>
          <cell r="BF15">
            <v>43313</v>
          </cell>
          <cell r="BG15">
            <v>43344</v>
          </cell>
          <cell r="BH15">
            <v>43374</v>
          </cell>
          <cell r="BI15">
            <v>43405</v>
          </cell>
          <cell r="BJ15">
            <v>43435</v>
          </cell>
          <cell r="BK15">
            <v>43466</v>
          </cell>
          <cell r="BL15">
            <v>43497</v>
          </cell>
          <cell r="BM15">
            <v>43525</v>
          </cell>
          <cell r="BN15">
            <v>43556</v>
          </cell>
          <cell r="BO15">
            <v>43586</v>
          </cell>
          <cell r="BP15">
            <v>43617</v>
          </cell>
          <cell r="BQ15">
            <v>43647</v>
          </cell>
          <cell r="BR15">
            <v>43678</v>
          </cell>
          <cell r="BS15">
            <v>43709</v>
          </cell>
          <cell r="BT15">
            <v>43739</v>
          </cell>
          <cell r="BU15">
            <v>43770</v>
          </cell>
          <cell r="BV15">
            <v>43800</v>
          </cell>
          <cell r="BW15">
            <v>43831</v>
          </cell>
          <cell r="BX15">
            <v>43862</v>
          </cell>
          <cell r="BY15">
            <v>43891</v>
          </cell>
          <cell r="BZ15">
            <v>43922</v>
          </cell>
          <cell r="CA15">
            <v>43952</v>
          </cell>
          <cell r="CB15">
            <v>43983</v>
          </cell>
          <cell r="CC15">
            <v>44013</v>
          </cell>
          <cell r="CD15">
            <v>44044</v>
          </cell>
          <cell r="CE15">
            <v>44075</v>
          </cell>
          <cell r="CF15">
            <v>44105</v>
          </cell>
          <cell r="CG15">
            <v>44136</v>
          </cell>
          <cell r="CH15">
            <v>44166</v>
          </cell>
          <cell r="CI15">
            <v>44197</v>
          </cell>
          <cell r="CJ15">
            <v>44228</v>
          </cell>
          <cell r="CK15">
            <v>44256</v>
          </cell>
          <cell r="CL15">
            <v>44287</v>
          </cell>
          <cell r="CM15">
            <v>44317</v>
          </cell>
          <cell r="CN15">
            <v>44348</v>
          </cell>
          <cell r="CO15">
            <v>44378</v>
          </cell>
          <cell r="CP15">
            <v>44409</v>
          </cell>
          <cell r="CQ15">
            <v>44440</v>
          </cell>
          <cell r="CR15">
            <v>44470</v>
          </cell>
          <cell r="CS15">
            <v>44501</v>
          </cell>
          <cell r="CT15">
            <v>44531</v>
          </cell>
          <cell r="CU15">
            <v>44562</v>
          </cell>
          <cell r="CV15">
            <v>44593</v>
          </cell>
          <cell r="CW15">
            <v>44621</v>
          </cell>
          <cell r="CX15">
            <v>44652</v>
          </cell>
          <cell r="CY15">
            <v>44682</v>
          </cell>
          <cell r="CZ15">
            <v>44713</v>
          </cell>
          <cell r="DA15">
            <v>44743</v>
          </cell>
          <cell r="DB15">
            <v>44774</v>
          </cell>
          <cell r="DC15">
            <v>44805</v>
          </cell>
          <cell r="DD15">
            <v>44835</v>
          </cell>
          <cell r="DE15">
            <v>44866</v>
          </cell>
          <cell r="DF15">
            <v>44896</v>
          </cell>
          <cell r="DG15">
            <v>44927</v>
          </cell>
          <cell r="DH15">
            <v>44958</v>
          </cell>
          <cell r="DI15">
            <v>44986</v>
          </cell>
          <cell r="DJ15">
            <v>45017</v>
          </cell>
          <cell r="DK15">
            <v>45047</v>
          </cell>
          <cell r="DL15">
            <v>45078</v>
          </cell>
          <cell r="DM15">
            <v>45108</v>
          </cell>
          <cell r="DN15">
            <v>45139</v>
          </cell>
          <cell r="DO15">
            <v>45170</v>
          </cell>
          <cell r="DP15">
            <v>45200</v>
          </cell>
          <cell r="DQ15">
            <v>45231</v>
          </cell>
          <cell r="DR15">
            <v>45261</v>
          </cell>
          <cell r="DS15">
            <v>45292</v>
          </cell>
          <cell r="DT15">
            <v>45323</v>
          </cell>
          <cell r="DU15">
            <v>45352</v>
          </cell>
          <cell r="DV15">
            <v>45383</v>
          </cell>
          <cell r="DW15">
            <v>45413</v>
          </cell>
          <cell r="DX15">
            <v>45444</v>
          </cell>
          <cell r="DY15">
            <v>45474</v>
          </cell>
          <cell r="DZ15">
            <v>45505</v>
          </cell>
          <cell r="EA15">
            <v>45536</v>
          </cell>
          <cell r="EB15">
            <v>45566</v>
          </cell>
          <cell r="EC15">
            <v>45597</v>
          </cell>
          <cell r="ED15">
            <v>45627</v>
          </cell>
        </row>
        <row r="16">
          <cell r="C16">
            <v>416</v>
          </cell>
          <cell r="D16">
            <v>384</v>
          </cell>
          <cell r="E16">
            <v>416</v>
          </cell>
          <cell r="F16">
            <v>416</v>
          </cell>
          <cell r="G16">
            <v>416</v>
          </cell>
          <cell r="H16">
            <v>400</v>
          </cell>
          <cell r="I16">
            <v>416</v>
          </cell>
          <cell r="J16">
            <v>416</v>
          </cell>
          <cell r="K16">
            <v>400</v>
          </cell>
          <cell r="L16">
            <v>432</v>
          </cell>
          <cell r="M16">
            <v>384</v>
          </cell>
          <cell r="N16">
            <v>416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400</v>
          </cell>
          <cell r="T16">
            <v>416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  <cell r="AA16">
            <v>400</v>
          </cell>
          <cell r="AB16">
            <v>400</v>
          </cell>
          <cell r="AC16">
            <v>432</v>
          </cell>
          <cell r="AD16">
            <v>416</v>
          </cell>
          <cell r="AE16">
            <v>400</v>
          </cell>
          <cell r="AF16">
            <v>416</v>
          </cell>
          <cell r="AG16">
            <v>400</v>
          </cell>
          <cell r="AH16">
            <v>432</v>
          </cell>
          <cell r="AI16">
            <v>400</v>
          </cell>
          <cell r="AJ16">
            <v>416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432</v>
          </cell>
          <cell r="AP16">
            <v>400</v>
          </cell>
          <cell r="AQ16">
            <v>416</v>
          </cell>
          <cell r="AR16">
            <v>416</v>
          </cell>
          <cell r="AS16">
            <v>400</v>
          </cell>
          <cell r="AT16">
            <v>432</v>
          </cell>
          <cell r="AU16">
            <v>400</v>
          </cell>
          <cell r="AV16">
            <v>416</v>
          </cell>
          <cell r="AW16">
            <v>400</v>
          </cell>
          <cell r="AX16">
            <v>400</v>
          </cell>
          <cell r="AY16">
            <v>416</v>
          </cell>
          <cell r="AZ16">
            <v>384</v>
          </cell>
          <cell r="BA16">
            <v>432</v>
          </cell>
          <cell r="BB16">
            <v>400</v>
          </cell>
          <cell r="BC16">
            <v>416</v>
          </cell>
          <cell r="BD16">
            <v>416</v>
          </cell>
          <cell r="BE16">
            <v>400</v>
          </cell>
          <cell r="BF16">
            <v>432</v>
          </cell>
          <cell r="BG16">
            <v>384</v>
          </cell>
          <cell r="BH16">
            <v>432</v>
          </cell>
          <cell r="BI16">
            <v>400</v>
          </cell>
          <cell r="BJ16">
            <v>400</v>
          </cell>
          <cell r="BK16">
            <v>416</v>
          </cell>
          <cell r="BL16">
            <v>384</v>
          </cell>
          <cell r="BM16">
            <v>416</v>
          </cell>
          <cell r="BN16">
            <v>416</v>
          </cell>
          <cell r="BO16">
            <v>416</v>
          </cell>
          <cell r="BP16">
            <v>400</v>
          </cell>
          <cell r="BQ16">
            <v>416</v>
          </cell>
          <cell r="BR16">
            <v>432</v>
          </cell>
          <cell r="BS16">
            <v>384</v>
          </cell>
          <cell r="BT16">
            <v>432</v>
          </cell>
          <cell r="BU16">
            <v>400</v>
          </cell>
          <cell r="BV16">
            <v>400</v>
          </cell>
          <cell r="BW16">
            <v>416</v>
          </cell>
          <cell r="BX16">
            <v>400</v>
          </cell>
          <cell r="BY16">
            <v>416</v>
          </cell>
          <cell r="BZ16">
            <v>416</v>
          </cell>
          <cell r="CA16">
            <v>400</v>
          </cell>
          <cell r="CB16">
            <v>416</v>
          </cell>
          <cell r="CC16">
            <v>416</v>
          </cell>
          <cell r="CD16">
            <v>416</v>
          </cell>
          <cell r="CE16">
            <v>400</v>
          </cell>
          <cell r="CF16">
            <v>432</v>
          </cell>
          <cell r="CG16">
            <v>384</v>
          </cell>
          <cell r="CH16">
            <v>416</v>
          </cell>
          <cell r="CI16">
            <v>400</v>
          </cell>
          <cell r="CJ16">
            <v>384</v>
          </cell>
          <cell r="CK16">
            <v>432</v>
          </cell>
          <cell r="CL16">
            <v>416</v>
          </cell>
          <cell r="CM16">
            <v>400</v>
          </cell>
          <cell r="CN16">
            <v>416</v>
          </cell>
          <cell r="CO16">
            <v>416</v>
          </cell>
          <cell r="CP16">
            <v>416</v>
          </cell>
          <cell r="CQ16">
            <v>400</v>
          </cell>
          <cell r="CR16">
            <v>416</v>
          </cell>
          <cell r="CS16">
            <v>400</v>
          </cell>
          <cell r="CT16">
            <v>416</v>
          </cell>
          <cell r="CU16">
            <v>400</v>
          </cell>
          <cell r="CV16">
            <v>384</v>
          </cell>
          <cell r="CW16">
            <v>432</v>
          </cell>
          <cell r="CX16">
            <v>416</v>
          </cell>
          <cell r="CY16">
            <v>400</v>
          </cell>
          <cell r="CZ16">
            <v>416</v>
          </cell>
          <cell r="DA16">
            <v>400</v>
          </cell>
          <cell r="DB16">
            <v>432</v>
          </cell>
          <cell r="DC16">
            <v>400</v>
          </cell>
          <cell r="DD16">
            <v>416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400</v>
          </cell>
          <cell r="DK16">
            <v>416</v>
          </cell>
          <cell r="DL16">
            <v>416</v>
          </cell>
          <cell r="DM16">
            <v>400</v>
          </cell>
          <cell r="DN16">
            <v>432</v>
          </cell>
          <cell r="DO16">
            <v>400</v>
          </cell>
          <cell r="DP16">
            <v>416</v>
          </cell>
          <cell r="DQ16">
            <v>400</v>
          </cell>
          <cell r="DR16">
            <v>400</v>
          </cell>
          <cell r="DS16">
            <v>416</v>
          </cell>
          <cell r="DT16">
            <v>400</v>
          </cell>
          <cell r="DU16">
            <v>416</v>
          </cell>
          <cell r="DV16">
            <v>416</v>
          </cell>
          <cell r="DW16">
            <v>416</v>
          </cell>
          <cell r="DX16">
            <v>400</v>
          </cell>
          <cell r="DY16">
            <v>416</v>
          </cell>
          <cell r="DZ16">
            <v>432</v>
          </cell>
          <cell r="EA16">
            <v>384</v>
          </cell>
          <cell r="EB16">
            <v>432</v>
          </cell>
          <cell r="EC16">
            <v>400</v>
          </cell>
          <cell r="ED16">
            <v>400</v>
          </cell>
        </row>
        <row r="17">
          <cell r="C17">
            <v>328</v>
          </cell>
          <cell r="D17">
            <v>288</v>
          </cell>
          <cell r="E17">
            <v>328</v>
          </cell>
          <cell r="F17">
            <v>304</v>
          </cell>
          <cell r="G17">
            <v>328</v>
          </cell>
          <cell r="H17">
            <v>320</v>
          </cell>
          <cell r="I17">
            <v>328</v>
          </cell>
          <cell r="J17">
            <v>328</v>
          </cell>
          <cell r="K17">
            <v>320</v>
          </cell>
          <cell r="L17">
            <v>312</v>
          </cell>
          <cell r="M17">
            <v>336</v>
          </cell>
          <cell r="N17">
            <v>328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344</v>
          </cell>
          <cell r="T17">
            <v>304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  <cell r="AA17">
            <v>344</v>
          </cell>
          <cell r="AB17">
            <v>296</v>
          </cell>
          <cell r="AC17">
            <v>312</v>
          </cell>
          <cell r="AD17">
            <v>304</v>
          </cell>
          <cell r="AE17">
            <v>344</v>
          </cell>
          <cell r="AF17">
            <v>304</v>
          </cell>
          <cell r="AG17">
            <v>344</v>
          </cell>
          <cell r="AH17">
            <v>312</v>
          </cell>
          <cell r="AI17">
            <v>320</v>
          </cell>
          <cell r="AJ17">
            <v>328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312</v>
          </cell>
          <cell r="AP17">
            <v>320</v>
          </cell>
          <cell r="AQ17">
            <v>328</v>
          </cell>
          <cell r="AR17">
            <v>304</v>
          </cell>
          <cell r="AS17">
            <v>344</v>
          </cell>
          <cell r="AT17">
            <v>312</v>
          </cell>
          <cell r="AU17">
            <v>320</v>
          </cell>
          <cell r="AV17">
            <v>328</v>
          </cell>
          <cell r="AW17">
            <v>320</v>
          </cell>
          <cell r="AX17">
            <v>344</v>
          </cell>
          <cell r="AY17">
            <v>328</v>
          </cell>
          <cell r="AZ17">
            <v>288</v>
          </cell>
          <cell r="BA17">
            <v>312</v>
          </cell>
          <cell r="BB17">
            <v>320</v>
          </cell>
          <cell r="BC17">
            <v>328</v>
          </cell>
          <cell r="BD17">
            <v>304</v>
          </cell>
          <cell r="BE17">
            <v>344</v>
          </cell>
          <cell r="BF17">
            <v>312</v>
          </cell>
          <cell r="BG17">
            <v>336</v>
          </cell>
          <cell r="BH17">
            <v>312</v>
          </cell>
          <cell r="BI17">
            <v>320</v>
          </cell>
          <cell r="BJ17">
            <v>344</v>
          </cell>
          <cell r="BK17">
            <v>328</v>
          </cell>
          <cell r="BL17">
            <v>288</v>
          </cell>
          <cell r="BM17">
            <v>328</v>
          </cell>
          <cell r="BN17">
            <v>304</v>
          </cell>
          <cell r="BO17">
            <v>328</v>
          </cell>
          <cell r="BP17">
            <v>320</v>
          </cell>
          <cell r="BQ17">
            <v>328</v>
          </cell>
          <cell r="BR17">
            <v>312</v>
          </cell>
          <cell r="BS17">
            <v>336</v>
          </cell>
          <cell r="BT17">
            <v>312</v>
          </cell>
          <cell r="BU17">
            <v>320</v>
          </cell>
          <cell r="BV17">
            <v>344</v>
          </cell>
          <cell r="BW17">
            <v>328</v>
          </cell>
          <cell r="BX17">
            <v>296</v>
          </cell>
          <cell r="BY17">
            <v>328</v>
          </cell>
          <cell r="BZ17">
            <v>304</v>
          </cell>
          <cell r="CA17">
            <v>344</v>
          </cell>
          <cell r="CB17">
            <v>304</v>
          </cell>
          <cell r="CC17">
            <v>328</v>
          </cell>
          <cell r="CD17">
            <v>328</v>
          </cell>
          <cell r="CE17">
            <v>320</v>
          </cell>
          <cell r="CF17">
            <v>312</v>
          </cell>
          <cell r="CG17">
            <v>336</v>
          </cell>
          <cell r="CH17">
            <v>328</v>
          </cell>
          <cell r="CI17">
            <v>344</v>
          </cell>
          <cell r="CJ17">
            <v>288</v>
          </cell>
          <cell r="CK17">
            <v>312</v>
          </cell>
          <cell r="CL17">
            <v>304</v>
          </cell>
          <cell r="CM17">
            <v>344</v>
          </cell>
          <cell r="CN17">
            <v>304</v>
          </cell>
          <cell r="CO17">
            <v>328</v>
          </cell>
          <cell r="CP17">
            <v>328</v>
          </cell>
          <cell r="CQ17">
            <v>320</v>
          </cell>
          <cell r="CR17">
            <v>328</v>
          </cell>
          <cell r="CS17">
            <v>320</v>
          </cell>
          <cell r="CT17">
            <v>328</v>
          </cell>
          <cell r="CU17">
            <v>344</v>
          </cell>
          <cell r="CV17">
            <v>288</v>
          </cell>
          <cell r="CW17">
            <v>312</v>
          </cell>
          <cell r="CX17">
            <v>304</v>
          </cell>
          <cell r="CY17">
            <v>344</v>
          </cell>
          <cell r="CZ17">
            <v>304</v>
          </cell>
          <cell r="DA17">
            <v>344</v>
          </cell>
          <cell r="DB17">
            <v>312</v>
          </cell>
          <cell r="DC17">
            <v>320</v>
          </cell>
          <cell r="DD17">
            <v>328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320</v>
          </cell>
          <cell r="DK17">
            <v>328</v>
          </cell>
          <cell r="DL17">
            <v>304</v>
          </cell>
          <cell r="DM17">
            <v>344</v>
          </cell>
          <cell r="DN17">
            <v>312</v>
          </cell>
          <cell r="DO17">
            <v>320</v>
          </cell>
          <cell r="DP17">
            <v>328</v>
          </cell>
          <cell r="DQ17">
            <v>320</v>
          </cell>
          <cell r="DR17">
            <v>344</v>
          </cell>
          <cell r="DS17">
            <v>328</v>
          </cell>
          <cell r="DT17">
            <v>296</v>
          </cell>
          <cell r="DU17">
            <v>328</v>
          </cell>
          <cell r="DV17">
            <v>304</v>
          </cell>
          <cell r="DW17">
            <v>328</v>
          </cell>
          <cell r="DX17">
            <v>320</v>
          </cell>
          <cell r="DY17">
            <v>328</v>
          </cell>
          <cell r="DZ17">
            <v>312</v>
          </cell>
          <cell r="EA17">
            <v>336</v>
          </cell>
          <cell r="EB17">
            <v>312</v>
          </cell>
          <cell r="EC17">
            <v>320</v>
          </cell>
          <cell r="ED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696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672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696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672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696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328</v>
          </cell>
          <cell r="D19">
            <v>288</v>
          </cell>
          <cell r="E19">
            <v>327</v>
          </cell>
          <cell r="F19">
            <v>304</v>
          </cell>
          <cell r="G19">
            <v>328</v>
          </cell>
          <cell r="H19">
            <v>320</v>
          </cell>
          <cell r="I19">
            <v>328</v>
          </cell>
          <cell r="J19">
            <v>328</v>
          </cell>
          <cell r="K19">
            <v>320</v>
          </cell>
          <cell r="L19">
            <v>312</v>
          </cell>
          <cell r="M19">
            <v>337</v>
          </cell>
          <cell r="N19">
            <v>328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344</v>
          </cell>
          <cell r="T19">
            <v>304</v>
          </cell>
          <cell r="U19">
            <v>328</v>
          </cell>
          <cell r="V19">
            <v>328</v>
          </cell>
          <cell r="W19">
            <v>320</v>
          </cell>
          <cell r="X19">
            <v>312</v>
          </cell>
          <cell r="Y19">
            <v>337</v>
          </cell>
          <cell r="Z19">
            <v>328</v>
          </cell>
          <cell r="AA19">
            <v>344</v>
          </cell>
          <cell r="AB19">
            <v>296</v>
          </cell>
          <cell r="AC19">
            <v>311</v>
          </cell>
          <cell r="AD19">
            <v>304</v>
          </cell>
          <cell r="AE19">
            <v>344</v>
          </cell>
          <cell r="AF19">
            <v>304</v>
          </cell>
          <cell r="AG19">
            <v>344</v>
          </cell>
          <cell r="AH19">
            <v>312</v>
          </cell>
          <cell r="AI19">
            <v>320</v>
          </cell>
          <cell r="AJ19">
            <v>328</v>
          </cell>
          <cell r="AK19">
            <v>321</v>
          </cell>
          <cell r="AL19">
            <v>328</v>
          </cell>
          <cell r="AM19">
            <v>344</v>
          </cell>
          <cell r="AN19">
            <v>288</v>
          </cell>
          <cell r="AO19">
            <v>311</v>
          </cell>
          <cell r="AP19">
            <v>320</v>
          </cell>
          <cell r="AQ19">
            <v>328</v>
          </cell>
          <cell r="AR19">
            <v>304</v>
          </cell>
          <cell r="AS19">
            <v>344</v>
          </cell>
          <cell r="AT19">
            <v>312</v>
          </cell>
          <cell r="AU19">
            <v>320</v>
          </cell>
          <cell r="AV19">
            <v>328</v>
          </cell>
          <cell r="AW19">
            <v>321</v>
          </cell>
          <cell r="AX19">
            <v>344</v>
          </cell>
          <cell r="AY19">
            <v>328</v>
          </cell>
          <cell r="AZ19">
            <v>288</v>
          </cell>
          <cell r="BA19">
            <v>311</v>
          </cell>
          <cell r="BB19">
            <v>320</v>
          </cell>
          <cell r="BC19">
            <v>328</v>
          </cell>
          <cell r="BD19">
            <v>304</v>
          </cell>
          <cell r="BE19">
            <v>344</v>
          </cell>
          <cell r="BF19">
            <v>312</v>
          </cell>
          <cell r="BG19">
            <v>336</v>
          </cell>
          <cell r="BH19">
            <v>312</v>
          </cell>
          <cell r="BI19">
            <v>321</v>
          </cell>
          <cell r="BJ19">
            <v>344</v>
          </cell>
          <cell r="BK19">
            <v>328</v>
          </cell>
          <cell r="BL19">
            <v>288</v>
          </cell>
          <cell r="BM19">
            <v>327</v>
          </cell>
          <cell r="BN19">
            <v>304</v>
          </cell>
          <cell r="BO19">
            <v>328</v>
          </cell>
          <cell r="BP19">
            <v>320</v>
          </cell>
          <cell r="BQ19">
            <v>328</v>
          </cell>
          <cell r="BR19">
            <v>312</v>
          </cell>
          <cell r="BS19">
            <v>336</v>
          </cell>
          <cell r="BT19">
            <v>312</v>
          </cell>
          <cell r="BU19">
            <v>321</v>
          </cell>
          <cell r="BV19">
            <v>344</v>
          </cell>
          <cell r="BW19">
            <v>328</v>
          </cell>
          <cell r="BX19">
            <v>296</v>
          </cell>
          <cell r="BY19">
            <v>327</v>
          </cell>
          <cell r="BZ19">
            <v>304</v>
          </cell>
          <cell r="CA19">
            <v>344</v>
          </cell>
          <cell r="CB19">
            <v>304</v>
          </cell>
          <cell r="CC19">
            <v>328</v>
          </cell>
          <cell r="CD19">
            <v>328</v>
          </cell>
          <cell r="CE19">
            <v>320</v>
          </cell>
          <cell r="CF19">
            <v>312</v>
          </cell>
          <cell r="CG19">
            <v>337</v>
          </cell>
          <cell r="CH19">
            <v>328</v>
          </cell>
          <cell r="CI19">
            <v>344</v>
          </cell>
          <cell r="CJ19">
            <v>288</v>
          </cell>
          <cell r="CK19">
            <v>311</v>
          </cell>
          <cell r="CL19">
            <v>304</v>
          </cell>
          <cell r="CM19">
            <v>344</v>
          </cell>
          <cell r="CN19">
            <v>304</v>
          </cell>
          <cell r="CO19">
            <v>328</v>
          </cell>
          <cell r="CP19">
            <v>328</v>
          </cell>
          <cell r="CQ19">
            <v>320</v>
          </cell>
          <cell r="CR19">
            <v>328</v>
          </cell>
          <cell r="CS19">
            <v>321</v>
          </cell>
          <cell r="CT19">
            <v>328</v>
          </cell>
          <cell r="CU19">
            <v>344</v>
          </cell>
          <cell r="CV19">
            <v>288</v>
          </cell>
          <cell r="CW19">
            <v>311</v>
          </cell>
          <cell r="CX19">
            <v>304</v>
          </cell>
          <cell r="CY19">
            <v>344</v>
          </cell>
          <cell r="CZ19">
            <v>304</v>
          </cell>
          <cell r="DA19">
            <v>344</v>
          </cell>
          <cell r="DB19">
            <v>312</v>
          </cell>
          <cell r="DC19">
            <v>320</v>
          </cell>
          <cell r="DD19">
            <v>328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320</v>
          </cell>
          <cell r="DK19">
            <v>328</v>
          </cell>
          <cell r="DL19">
            <v>304</v>
          </cell>
          <cell r="DM19">
            <v>344</v>
          </cell>
          <cell r="DN19">
            <v>312</v>
          </cell>
          <cell r="DO19">
            <v>320</v>
          </cell>
          <cell r="DP19">
            <v>328</v>
          </cell>
          <cell r="DQ19">
            <v>321</v>
          </cell>
          <cell r="DR19">
            <v>344</v>
          </cell>
          <cell r="DS19">
            <v>328</v>
          </cell>
          <cell r="DT19">
            <v>296</v>
          </cell>
          <cell r="DU19">
            <v>327</v>
          </cell>
          <cell r="DV19">
            <v>304</v>
          </cell>
          <cell r="DW19">
            <v>328</v>
          </cell>
          <cell r="DX19">
            <v>320</v>
          </cell>
          <cell r="DY19">
            <v>328</v>
          </cell>
          <cell r="DZ19">
            <v>312</v>
          </cell>
          <cell r="EA19">
            <v>336</v>
          </cell>
          <cell r="EB19">
            <v>312</v>
          </cell>
          <cell r="EC19">
            <v>321</v>
          </cell>
          <cell r="ED19">
            <v>344</v>
          </cell>
        </row>
        <row r="20">
          <cell r="C20">
            <v>744</v>
          </cell>
          <cell r="D20">
            <v>672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696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672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696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672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696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87"/>
  <sheetViews>
    <sheetView tabSelected="1" zoomScale="60" zoomScaleNormal="60" zoomScaleSheetLayoutView="50" workbookViewId="0">
      <selection activeCell="C103" sqref="C103"/>
    </sheetView>
  </sheetViews>
  <sheetFormatPr defaultRowHeight="12.75" x14ac:dyDescent="0.2"/>
  <cols>
    <col min="2" max="2" width="51.5" customWidth="1"/>
    <col min="3" max="3" width="9.33203125" customWidth="1"/>
    <col min="4" max="4" width="11" customWidth="1"/>
    <col min="5" max="5" width="10.5" customWidth="1"/>
    <col min="6" max="6" width="10.33203125" customWidth="1"/>
    <col min="7" max="7" width="10.83203125" customWidth="1"/>
    <col min="8" max="8" width="11" customWidth="1"/>
    <col min="9" max="10" width="11.33203125" customWidth="1"/>
    <col min="11" max="14" width="10.5" customWidth="1"/>
    <col min="15" max="16" width="11" customWidth="1"/>
    <col min="17" max="17" width="10.5" customWidth="1"/>
    <col min="18" max="18" width="12.83203125" customWidth="1"/>
    <col min="19" max="19" width="11.6640625" customWidth="1"/>
    <col min="20" max="20" width="11" customWidth="1"/>
    <col min="21" max="21" width="11.6640625" customWidth="1"/>
    <col min="22" max="22" width="11.1640625" customWidth="1"/>
    <col min="23" max="23" width="13" customWidth="1"/>
    <col min="24" max="24" width="13.6640625" customWidth="1"/>
    <col min="25" max="25" width="8.6640625" customWidth="1"/>
  </cols>
  <sheetData>
    <row r="1" spans="1:24" s="16" customFormat="1" ht="15.75" x14ac:dyDescent="0.25">
      <c r="B1" s="15" t="s">
        <v>16</v>
      </c>
      <c r="C1" s="15"/>
      <c r="D1" s="15"/>
      <c r="E1" s="15"/>
      <c r="F1" s="15"/>
      <c r="G1" s="15"/>
      <c r="H1" s="15"/>
      <c r="I1" s="15"/>
      <c r="J1" s="15"/>
      <c r="K1" s="15"/>
      <c r="L1" s="46"/>
      <c r="M1" s="46"/>
      <c r="N1" s="46"/>
      <c r="O1" s="46"/>
      <c r="P1" s="46"/>
      <c r="Q1" s="46"/>
      <c r="R1" s="46"/>
    </row>
    <row r="2" spans="1:24" s="16" customFormat="1" ht="15.75" x14ac:dyDescent="0.25">
      <c r="B2" s="28" t="s">
        <v>154</v>
      </c>
      <c r="C2" s="15"/>
      <c r="D2" s="15"/>
      <c r="E2" s="15"/>
      <c r="F2" s="15"/>
      <c r="G2" s="15"/>
      <c r="H2" s="15"/>
      <c r="I2" s="15"/>
      <c r="J2" s="15"/>
      <c r="K2" s="15"/>
      <c r="L2" s="46"/>
      <c r="M2" s="46"/>
      <c r="N2" s="46"/>
      <c r="O2" s="46"/>
      <c r="P2" s="46"/>
      <c r="Q2" s="46"/>
      <c r="R2" s="46"/>
    </row>
    <row r="3" spans="1:24" s="16" customFormat="1" ht="15.75" x14ac:dyDescent="0.25">
      <c r="B3" s="28" t="s">
        <v>155</v>
      </c>
      <c r="C3" s="15"/>
      <c r="D3" s="15"/>
      <c r="E3" s="15"/>
      <c r="F3" s="15"/>
      <c r="G3" s="15"/>
      <c r="H3" s="15"/>
      <c r="I3" s="15"/>
      <c r="J3" s="15"/>
      <c r="K3" s="15"/>
      <c r="L3" s="46"/>
      <c r="M3" s="46"/>
      <c r="N3" s="46"/>
      <c r="O3" s="46"/>
      <c r="P3" s="46"/>
      <c r="Q3" s="46"/>
      <c r="R3" s="46"/>
    </row>
    <row r="7" spans="1:24" ht="18.75" x14ac:dyDescent="0.25">
      <c r="A7" s="53"/>
      <c r="B7" s="54"/>
      <c r="C7" s="55" t="s">
        <v>39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199" t="s">
        <v>52</v>
      </c>
      <c r="X7" s="200"/>
    </row>
    <row r="8" spans="1:24" ht="15.75" x14ac:dyDescent="0.25">
      <c r="A8" s="57"/>
      <c r="B8" s="174" t="s">
        <v>40</v>
      </c>
      <c r="C8" s="175">
        <v>2017</v>
      </c>
      <c r="D8" s="176">
        <v>2018</v>
      </c>
      <c r="E8" s="176">
        <v>2019</v>
      </c>
      <c r="F8" s="176">
        <v>2020</v>
      </c>
      <c r="G8" s="176">
        <v>2021</v>
      </c>
      <c r="H8" s="176">
        <v>2022</v>
      </c>
      <c r="I8" s="176">
        <v>2023</v>
      </c>
      <c r="J8" s="176">
        <v>2024</v>
      </c>
      <c r="K8" s="176">
        <v>2025</v>
      </c>
      <c r="L8" s="176">
        <v>2026</v>
      </c>
      <c r="M8" s="176">
        <v>2027</v>
      </c>
      <c r="N8" s="176">
        <v>2028</v>
      </c>
      <c r="O8" s="176">
        <v>2029</v>
      </c>
      <c r="P8" s="176">
        <v>2030</v>
      </c>
      <c r="Q8" s="176">
        <v>2031</v>
      </c>
      <c r="R8" s="176">
        <v>2032</v>
      </c>
      <c r="S8" s="176">
        <v>2033</v>
      </c>
      <c r="T8" s="176">
        <v>2034</v>
      </c>
      <c r="U8" s="176">
        <v>2035</v>
      </c>
      <c r="V8" s="176">
        <v>2036</v>
      </c>
      <c r="W8" s="177" t="s">
        <v>53</v>
      </c>
      <c r="X8" s="177" t="s">
        <v>54</v>
      </c>
    </row>
    <row r="9" spans="1:24" hidden="1" x14ac:dyDescent="0.2">
      <c r="A9" s="178" t="s">
        <v>41</v>
      </c>
      <c r="B9" s="201" t="s">
        <v>42</v>
      </c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  <c r="W9" s="202"/>
      <c r="X9" s="204"/>
    </row>
    <row r="10" spans="1:24" ht="15.75" hidden="1" x14ac:dyDescent="0.25">
      <c r="A10" s="58"/>
      <c r="B10" s="179" t="s">
        <v>121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-82.3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-82.3</v>
      </c>
      <c r="X10" s="155">
        <v>-82.3</v>
      </c>
    </row>
    <row r="11" spans="1:24" ht="15.75" hidden="1" x14ac:dyDescent="0.25">
      <c r="A11" s="58"/>
      <c r="B11" s="179" t="s">
        <v>122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-81.540000000000006</v>
      </c>
      <c r="V11" s="155">
        <v>0</v>
      </c>
      <c r="W11" s="155">
        <v>0</v>
      </c>
      <c r="X11" s="155">
        <v>-81.540000000000006</v>
      </c>
    </row>
    <row r="12" spans="1:24" ht="15.75" hidden="1" x14ac:dyDescent="0.25">
      <c r="A12" s="58"/>
      <c r="B12" s="179" t="s">
        <v>82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-45.1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-45.1</v>
      </c>
    </row>
    <row r="13" spans="1:24" ht="15.75" hidden="1" x14ac:dyDescent="0.25">
      <c r="A13" s="58"/>
      <c r="B13" s="179" t="s">
        <v>83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-32.68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-32.68</v>
      </c>
    </row>
    <row r="14" spans="1:24" ht="15.75" hidden="1" x14ac:dyDescent="0.25">
      <c r="A14" s="58"/>
      <c r="B14" s="179" t="s">
        <v>123</v>
      </c>
      <c r="C14" s="156">
        <v>0</v>
      </c>
      <c r="D14" s="156">
        <v>0</v>
      </c>
      <c r="E14" s="156">
        <v>-482.5</v>
      </c>
      <c r="F14" s="156">
        <v>-111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5">
        <v>-593.5</v>
      </c>
      <c r="X14" s="155">
        <v>-593.5</v>
      </c>
    </row>
    <row r="15" spans="1:24" ht="15.75" hidden="1" x14ac:dyDescent="0.25">
      <c r="A15" s="58"/>
      <c r="B15" s="179" t="s">
        <v>124</v>
      </c>
      <c r="C15" s="156">
        <v>0</v>
      </c>
      <c r="D15" s="156">
        <v>0</v>
      </c>
      <c r="E15" s="156">
        <v>483</v>
      </c>
      <c r="F15" s="156">
        <v>111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5">
        <v>594</v>
      </c>
      <c r="X15" s="155">
        <v>594</v>
      </c>
    </row>
    <row r="16" spans="1:24" ht="15.75" hidden="1" x14ac:dyDescent="0.25">
      <c r="A16" s="58"/>
      <c r="B16" s="179" t="s">
        <v>84</v>
      </c>
      <c r="C16" s="155">
        <v>0</v>
      </c>
      <c r="D16" s="155">
        <v>0</v>
      </c>
      <c r="E16" s="155">
        <v>0</v>
      </c>
      <c r="F16" s="155">
        <v>0</v>
      </c>
      <c r="G16" s="155">
        <v>-387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-387</v>
      </c>
      <c r="X16" s="155">
        <v>-387</v>
      </c>
    </row>
    <row r="17" spans="1:24" ht="15.75" hidden="1" x14ac:dyDescent="0.25">
      <c r="A17" s="58"/>
      <c r="B17" s="179" t="s">
        <v>85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-106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-106</v>
      </c>
    </row>
    <row r="18" spans="1:24" ht="15.75" hidden="1" x14ac:dyDescent="0.25">
      <c r="A18" s="58"/>
      <c r="B18" s="179" t="s">
        <v>86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-106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-106</v>
      </c>
    </row>
    <row r="19" spans="1:24" ht="15.75" hidden="1" x14ac:dyDescent="0.25">
      <c r="A19" s="58"/>
      <c r="B19" s="179" t="s">
        <v>87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-220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-220</v>
      </c>
    </row>
    <row r="20" spans="1:24" ht="15.75" hidden="1" x14ac:dyDescent="0.25">
      <c r="A20" s="58"/>
      <c r="B20" s="179" t="s">
        <v>88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-330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-330</v>
      </c>
    </row>
    <row r="21" spans="1:24" ht="15.75" hidden="1" x14ac:dyDescent="0.25">
      <c r="A21" s="58"/>
      <c r="B21" s="179" t="s">
        <v>89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-156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-156</v>
      </c>
    </row>
    <row r="22" spans="1:24" ht="15.75" hidden="1" x14ac:dyDescent="0.25">
      <c r="A22" s="58"/>
      <c r="B22" s="179" t="s">
        <v>90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-201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-201</v>
      </c>
    </row>
    <row r="23" spans="1:24" ht="15.75" hidden="1" x14ac:dyDescent="0.25">
      <c r="A23" s="58"/>
      <c r="B23" s="179" t="s">
        <v>91</v>
      </c>
      <c r="C23" s="155">
        <v>0</v>
      </c>
      <c r="D23" s="155">
        <v>0</v>
      </c>
      <c r="E23" s="155">
        <v>-280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-280</v>
      </c>
      <c r="X23" s="155">
        <v>-280</v>
      </c>
    </row>
    <row r="24" spans="1:24" ht="15.75" hidden="1" x14ac:dyDescent="0.25">
      <c r="A24" s="58"/>
      <c r="B24" s="179" t="s">
        <v>92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-357.5</v>
      </c>
      <c r="T24" s="156">
        <v>0</v>
      </c>
      <c r="U24" s="156">
        <v>0</v>
      </c>
      <c r="V24" s="156">
        <v>0</v>
      </c>
      <c r="W24" s="155">
        <v>0</v>
      </c>
      <c r="X24" s="155">
        <v>-357.5</v>
      </c>
    </row>
    <row r="25" spans="1:24" x14ac:dyDescent="0.2">
      <c r="A25" s="58" t="s">
        <v>41</v>
      </c>
      <c r="B25" s="201" t="s">
        <v>43</v>
      </c>
      <c r="C25" s="202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4"/>
      <c r="W25" s="64"/>
      <c r="X25" s="65"/>
    </row>
    <row r="26" spans="1:24" ht="16.5" thickBot="1" x14ac:dyDescent="0.3">
      <c r="A26" s="59"/>
      <c r="B26" s="157" t="s">
        <v>125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476.577</v>
      </c>
      <c r="T26" s="156">
        <v>0</v>
      </c>
      <c r="U26" s="156">
        <v>0</v>
      </c>
      <c r="V26" s="156">
        <v>0</v>
      </c>
      <c r="W26" s="155">
        <v>0</v>
      </c>
      <c r="X26" s="155">
        <v>476.577</v>
      </c>
    </row>
    <row r="27" spans="1:24" ht="16.5" thickBot="1" x14ac:dyDescent="0.3">
      <c r="A27" s="59"/>
      <c r="B27" s="158" t="s">
        <v>93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476.577</v>
      </c>
      <c r="T27" s="159">
        <v>0</v>
      </c>
      <c r="U27" s="159">
        <v>0</v>
      </c>
      <c r="V27" s="159">
        <v>0</v>
      </c>
      <c r="W27" s="159">
        <v>0</v>
      </c>
      <c r="X27" s="159">
        <v>476.577</v>
      </c>
    </row>
    <row r="28" spans="1:24" ht="15.75" x14ac:dyDescent="0.25">
      <c r="A28" s="59"/>
      <c r="B28" s="157" t="s">
        <v>126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216">
        <v>0</v>
      </c>
      <c r="R28" s="216">
        <v>0</v>
      </c>
      <c r="S28" s="216">
        <v>199.92400000000001</v>
      </c>
      <c r="T28" s="216">
        <v>0</v>
      </c>
      <c r="U28" s="216">
        <v>0</v>
      </c>
      <c r="V28" s="216">
        <v>0</v>
      </c>
      <c r="W28" s="217">
        <v>0</v>
      </c>
      <c r="X28" s="155">
        <v>199.92400000000001</v>
      </c>
    </row>
    <row r="29" spans="1:24" ht="15.75" x14ac:dyDescent="0.25">
      <c r="A29" s="59"/>
      <c r="B29" s="157" t="s">
        <v>127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199.92400000000001</v>
      </c>
      <c r="P29" s="156">
        <v>0</v>
      </c>
      <c r="Q29" s="216">
        <v>0</v>
      </c>
      <c r="R29" s="216">
        <v>0</v>
      </c>
      <c r="S29" s="216">
        <v>0</v>
      </c>
      <c r="T29" s="216">
        <v>0</v>
      </c>
      <c r="U29" s="216">
        <v>0</v>
      </c>
      <c r="V29" s="216">
        <v>0</v>
      </c>
      <c r="W29" s="217">
        <v>0</v>
      </c>
      <c r="X29" s="155">
        <v>199.92400000000001</v>
      </c>
    </row>
    <row r="30" spans="1:24" ht="15.75" x14ac:dyDescent="0.25">
      <c r="A30" s="59"/>
      <c r="B30" s="157" t="s">
        <v>128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216">
        <v>85.498999999999995</v>
      </c>
      <c r="R30" s="216">
        <v>0</v>
      </c>
      <c r="S30" s="216">
        <v>0</v>
      </c>
      <c r="T30" s="216">
        <v>0</v>
      </c>
      <c r="U30" s="216">
        <v>0</v>
      </c>
      <c r="V30" s="216">
        <v>0</v>
      </c>
      <c r="W30" s="217">
        <v>0</v>
      </c>
      <c r="X30" s="155">
        <v>85.498999999999995</v>
      </c>
    </row>
    <row r="31" spans="1:24" ht="15.75" x14ac:dyDescent="0.25">
      <c r="A31" s="59"/>
      <c r="B31" s="157" t="s">
        <v>129</v>
      </c>
      <c r="C31" s="156">
        <v>0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216">
        <v>0</v>
      </c>
      <c r="R31" s="216">
        <v>0</v>
      </c>
      <c r="S31" s="216">
        <v>0</v>
      </c>
      <c r="T31" s="216">
        <v>0</v>
      </c>
      <c r="U31" s="216">
        <v>0</v>
      </c>
      <c r="V31" s="216">
        <v>773.98800000000006</v>
      </c>
      <c r="W31" s="217">
        <v>0</v>
      </c>
      <c r="X31" s="155">
        <v>773.98800000000006</v>
      </c>
    </row>
    <row r="32" spans="1:24" ht="16.5" thickBot="1" x14ac:dyDescent="0.3">
      <c r="A32" s="59"/>
      <c r="B32" s="157" t="s">
        <v>130</v>
      </c>
      <c r="C32" s="156">
        <v>0</v>
      </c>
      <c r="D32" s="156">
        <v>0</v>
      </c>
      <c r="E32" s="156">
        <v>0</v>
      </c>
      <c r="F32" s="156">
        <v>0</v>
      </c>
      <c r="G32" s="156">
        <v>1100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216">
        <v>0</v>
      </c>
      <c r="R32" s="216">
        <v>0</v>
      </c>
      <c r="S32" s="216">
        <v>0</v>
      </c>
      <c r="T32" s="216">
        <v>0</v>
      </c>
      <c r="U32" s="216">
        <v>0</v>
      </c>
      <c r="V32" s="216">
        <v>0</v>
      </c>
      <c r="W32" s="217">
        <v>1100</v>
      </c>
      <c r="X32" s="155">
        <v>1100</v>
      </c>
    </row>
    <row r="33" spans="1:24" ht="16.5" thickBot="1" x14ac:dyDescent="0.3">
      <c r="A33" s="59"/>
      <c r="B33" s="158" t="s">
        <v>131</v>
      </c>
      <c r="C33" s="159">
        <v>0</v>
      </c>
      <c r="D33" s="159">
        <v>0</v>
      </c>
      <c r="E33" s="159">
        <v>0</v>
      </c>
      <c r="F33" s="159">
        <v>0</v>
      </c>
      <c r="G33" s="159">
        <v>1100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218">
        <v>85.498999999999995</v>
      </c>
      <c r="R33" s="218">
        <v>0</v>
      </c>
      <c r="S33" s="218">
        <v>0</v>
      </c>
      <c r="T33" s="218">
        <v>0</v>
      </c>
      <c r="U33" s="218">
        <v>0</v>
      </c>
      <c r="V33" s="218">
        <v>773.98800000000006</v>
      </c>
      <c r="W33" s="218">
        <v>1100</v>
      </c>
      <c r="X33" s="159">
        <v>1959.4870000000001</v>
      </c>
    </row>
    <row r="34" spans="1:24" ht="16.5" thickBot="1" x14ac:dyDescent="0.3">
      <c r="A34" s="59"/>
      <c r="B34" s="160" t="s">
        <v>132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19">
        <v>79.44</v>
      </c>
      <c r="R34" s="219">
        <v>166.625</v>
      </c>
      <c r="S34" s="219">
        <v>209.99100000000001</v>
      </c>
      <c r="T34" s="219">
        <v>40.779000000000003</v>
      </c>
      <c r="U34" s="219">
        <v>290.57600000000002</v>
      </c>
      <c r="V34" s="219">
        <v>12.589</v>
      </c>
      <c r="W34" s="216">
        <v>0</v>
      </c>
      <c r="X34" s="156">
        <v>800.00000000000011</v>
      </c>
    </row>
    <row r="35" spans="1:24" ht="15.75" hidden="1" x14ac:dyDescent="0.25">
      <c r="A35" s="59"/>
      <c r="B35" s="160" t="s">
        <v>133</v>
      </c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3.35</v>
      </c>
      <c r="P35" s="161">
        <v>0</v>
      </c>
      <c r="Q35" s="220">
        <v>0</v>
      </c>
      <c r="R35" s="220">
        <v>0</v>
      </c>
      <c r="S35" s="220">
        <v>0</v>
      </c>
      <c r="T35" s="220">
        <v>0</v>
      </c>
      <c r="U35" s="220">
        <v>0</v>
      </c>
      <c r="V35" s="220">
        <v>1.34</v>
      </c>
      <c r="W35" s="221">
        <v>0</v>
      </c>
      <c r="X35" s="162">
        <v>4.6900000000000004</v>
      </c>
    </row>
    <row r="36" spans="1:24" ht="15.75" hidden="1" x14ac:dyDescent="0.25">
      <c r="A36" s="59"/>
      <c r="B36" s="160" t="s">
        <v>105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1.93</v>
      </c>
      <c r="P36" s="161">
        <v>0</v>
      </c>
      <c r="Q36" s="220">
        <v>0</v>
      </c>
      <c r="R36" s="220">
        <v>0</v>
      </c>
      <c r="S36" s="220">
        <v>0</v>
      </c>
      <c r="T36" s="220">
        <v>0</v>
      </c>
      <c r="U36" s="220">
        <v>0</v>
      </c>
      <c r="V36" s="220">
        <v>0</v>
      </c>
      <c r="W36" s="221">
        <v>0</v>
      </c>
      <c r="X36" s="162">
        <v>1.93</v>
      </c>
    </row>
    <row r="37" spans="1:24" ht="15.75" hidden="1" x14ac:dyDescent="0.25">
      <c r="A37" s="59"/>
      <c r="B37" s="160" t="s">
        <v>106</v>
      </c>
      <c r="C37" s="161">
        <v>0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10.93</v>
      </c>
      <c r="O37" s="161">
        <v>3.94</v>
      </c>
      <c r="P37" s="161">
        <v>0</v>
      </c>
      <c r="Q37" s="220">
        <v>0</v>
      </c>
      <c r="R37" s="220">
        <v>3.36</v>
      </c>
      <c r="S37" s="220">
        <v>0</v>
      </c>
      <c r="T37" s="220">
        <v>0</v>
      </c>
      <c r="U37" s="220">
        <v>3.05</v>
      </c>
      <c r="V37" s="220">
        <v>0</v>
      </c>
      <c r="W37" s="221">
        <v>0</v>
      </c>
      <c r="X37" s="162">
        <v>21.28</v>
      </c>
    </row>
    <row r="38" spans="1:24" ht="15.75" hidden="1" x14ac:dyDescent="0.25">
      <c r="A38" s="59"/>
      <c r="B38" s="160" t="s">
        <v>134</v>
      </c>
      <c r="C38" s="162">
        <v>0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68.37</v>
      </c>
      <c r="O38" s="162">
        <v>0</v>
      </c>
      <c r="P38" s="162">
        <v>0</v>
      </c>
      <c r="Q38" s="221">
        <v>0</v>
      </c>
      <c r="R38" s="221">
        <v>0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162">
        <v>68.37</v>
      </c>
    </row>
    <row r="39" spans="1:24" ht="15.75" hidden="1" x14ac:dyDescent="0.25">
      <c r="A39" s="59"/>
      <c r="B39" s="160" t="s">
        <v>107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34.75</v>
      </c>
      <c r="O39" s="161">
        <v>40.54</v>
      </c>
      <c r="P39" s="161">
        <v>4.75</v>
      </c>
      <c r="Q39" s="220">
        <v>0</v>
      </c>
      <c r="R39" s="220">
        <v>0</v>
      </c>
      <c r="S39" s="220">
        <v>0</v>
      </c>
      <c r="T39" s="220">
        <v>3.67</v>
      </c>
      <c r="U39" s="220">
        <v>0</v>
      </c>
      <c r="V39" s="220">
        <v>2.2200000000000002</v>
      </c>
      <c r="W39" s="221">
        <v>0</v>
      </c>
      <c r="X39" s="162">
        <v>85.929999999999993</v>
      </c>
    </row>
    <row r="40" spans="1:24" ht="15.75" hidden="1" x14ac:dyDescent="0.25">
      <c r="A40" s="59"/>
      <c r="B40" s="160" t="s">
        <v>108</v>
      </c>
      <c r="C40" s="161">
        <v>0</v>
      </c>
      <c r="D40" s="161">
        <v>0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3.05</v>
      </c>
      <c r="O40" s="161">
        <v>0</v>
      </c>
      <c r="P40" s="161">
        <v>0</v>
      </c>
      <c r="Q40" s="220">
        <v>0</v>
      </c>
      <c r="R40" s="220">
        <v>0</v>
      </c>
      <c r="S40" s="220">
        <v>0</v>
      </c>
      <c r="T40" s="220">
        <v>0</v>
      </c>
      <c r="U40" s="220">
        <v>0</v>
      </c>
      <c r="V40" s="220">
        <v>3.25</v>
      </c>
      <c r="W40" s="221">
        <v>0</v>
      </c>
      <c r="X40" s="162">
        <v>6.3</v>
      </c>
    </row>
    <row r="41" spans="1:24" ht="15.75" hidden="1" x14ac:dyDescent="0.25">
      <c r="A41" s="59"/>
      <c r="B41" s="160" t="s">
        <v>135</v>
      </c>
      <c r="C41" s="161">
        <v>0</v>
      </c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4.78</v>
      </c>
      <c r="O41" s="161">
        <v>0</v>
      </c>
      <c r="P41" s="161">
        <v>0</v>
      </c>
      <c r="Q41" s="220">
        <v>0</v>
      </c>
      <c r="R41" s="220">
        <v>0</v>
      </c>
      <c r="S41" s="220">
        <v>0</v>
      </c>
      <c r="T41" s="220">
        <v>0</v>
      </c>
      <c r="U41" s="220">
        <v>0</v>
      </c>
      <c r="V41" s="220">
        <v>2.87</v>
      </c>
      <c r="W41" s="221">
        <v>0</v>
      </c>
      <c r="X41" s="162">
        <v>7.65</v>
      </c>
    </row>
    <row r="42" spans="1:24" ht="15.75" hidden="1" x14ac:dyDescent="0.25">
      <c r="A42" s="59"/>
      <c r="B42" s="160" t="s">
        <v>109</v>
      </c>
      <c r="C42" s="161">
        <v>0</v>
      </c>
      <c r="D42" s="161">
        <v>0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40.71</v>
      </c>
      <c r="P42" s="161">
        <v>0</v>
      </c>
      <c r="Q42" s="220">
        <v>0</v>
      </c>
      <c r="R42" s="220">
        <v>0</v>
      </c>
      <c r="S42" s="220">
        <v>3.11</v>
      </c>
      <c r="T42" s="220">
        <v>0</v>
      </c>
      <c r="U42" s="220">
        <v>0</v>
      </c>
      <c r="V42" s="220">
        <v>1.95</v>
      </c>
      <c r="W42" s="221">
        <v>0</v>
      </c>
      <c r="X42" s="162">
        <v>45.77</v>
      </c>
    </row>
    <row r="43" spans="1:24" ht="16.5" hidden="1" thickBot="1" x14ac:dyDescent="0.3">
      <c r="A43" s="59"/>
      <c r="B43" s="160" t="s">
        <v>110</v>
      </c>
      <c r="C43" s="161">
        <v>0</v>
      </c>
      <c r="D43" s="161">
        <v>0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1.88</v>
      </c>
      <c r="O43" s="161">
        <v>0</v>
      </c>
      <c r="P43" s="161">
        <v>0</v>
      </c>
      <c r="Q43" s="220">
        <v>0</v>
      </c>
      <c r="R43" s="220">
        <v>0</v>
      </c>
      <c r="S43" s="220">
        <v>0</v>
      </c>
      <c r="T43" s="220">
        <v>0</v>
      </c>
      <c r="U43" s="220">
        <v>0</v>
      </c>
      <c r="V43" s="220">
        <v>0</v>
      </c>
      <c r="W43" s="221">
        <v>0</v>
      </c>
      <c r="X43" s="162">
        <v>1.88</v>
      </c>
    </row>
    <row r="44" spans="1:24" ht="16.5" thickBot="1" x14ac:dyDescent="0.3">
      <c r="A44" s="59"/>
      <c r="B44" s="158" t="s">
        <v>44</v>
      </c>
      <c r="C44" s="163">
        <v>0</v>
      </c>
      <c r="D44" s="163">
        <v>0</v>
      </c>
      <c r="E44" s="163">
        <v>0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163">
        <v>0</v>
      </c>
      <c r="L44" s="163">
        <v>0</v>
      </c>
      <c r="M44" s="163">
        <v>0</v>
      </c>
      <c r="N44" s="163">
        <v>123.76</v>
      </c>
      <c r="O44" s="163">
        <v>90.47</v>
      </c>
      <c r="P44" s="163">
        <v>4.75</v>
      </c>
      <c r="Q44" s="222">
        <v>0</v>
      </c>
      <c r="R44" s="222">
        <v>3.36</v>
      </c>
      <c r="S44" s="222">
        <v>3.11</v>
      </c>
      <c r="T44" s="222">
        <v>3.67</v>
      </c>
      <c r="U44" s="222">
        <v>3.05</v>
      </c>
      <c r="V44" s="222">
        <v>11.629999999999999</v>
      </c>
      <c r="W44" s="222">
        <v>0</v>
      </c>
      <c r="X44" s="163">
        <v>243.80000000000004</v>
      </c>
    </row>
    <row r="45" spans="1:24" ht="15.75" hidden="1" x14ac:dyDescent="0.25">
      <c r="A45" s="59"/>
      <c r="B45" s="206" t="s">
        <v>94</v>
      </c>
      <c r="C45" s="156">
        <v>4.57</v>
      </c>
      <c r="D45" s="156">
        <v>6.5</v>
      </c>
      <c r="E45" s="156">
        <v>6.5299999999999994</v>
      </c>
      <c r="F45" s="156">
        <v>5.59</v>
      </c>
      <c r="G45" s="156">
        <v>5.7900000000000009</v>
      </c>
      <c r="H45" s="156">
        <v>5.42</v>
      </c>
      <c r="I45" s="156">
        <v>5.24</v>
      </c>
      <c r="J45" s="156">
        <v>5.5400000000000009</v>
      </c>
      <c r="K45" s="156">
        <v>5.33</v>
      </c>
      <c r="L45" s="156">
        <v>5.58</v>
      </c>
      <c r="M45" s="156">
        <v>5.25</v>
      </c>
      <c r="N45" s="156">
        <v>4.93</v>
      </c>
      <c r="O45" s="156">
        <v>4.76</v>
      </c>
      <c r="P45" s="156">
        <v>4.57</v>
      </c>
      <c r="Q45" s="156">
        <v>4.43</v>
      </c>
      <c r="R45" s="156">
        <v>3.7300000000000004</v>
      </c>
      <c r="S45" s="156">
        <v>3.48</v>
      </c>
      <c r="T45" s="156">
        <v>2.86</v>
      </c>
      <c r="U45" s="156">
        <v>2.56</v>
      </c>
      <c r="V45" s="156">
        <v>2.64</v>
      </c>
      <c r="W45" s="156">
        <v>56.09</v>
      </c>
      <c r="X45" s="156">
        <v>95.30000000000004</v>
      </c>
    </row>
    <row r="46" spans="1:24" ht="15.75" hidden="1" x14ac:dyDescent="0.25">
      <c r="A46" s="59"/>
      <c r="B46" s="206" t="s">
        <v>95</v>
      </c>
      <c r="C46" s="156">
        <v>84.4</v>
      </c>
      <c r="D46" s="156">
        <v>57.6</v>
      </c>
      <c r="E46" s="156">
        <v>61.5</v>
      </c>
      <c r="F46" s="156">
        <v>59.4</v>
      </c>
      <c r="G46" s="156">
        <v>61.5</v>
      </c>
      <c r="H46" s="156">
        <v>58.400000000000006</v>
      </c>
      <c r="I46" s="156">
        <v>65.8</v>
      </c>
      <c r="J46" s="156">
        <v>65.7</v>
      </c>
      <c r="K46" s="156">
        <v>62.6</v>
      </c>
      <c r="L46" s="156">
        <v>64.700000000000017</v>
      </c>
      <c r="M46" s="156">
        <v>64.600000000000009</v>
      </c>
      <c r="N46" s="156">
        <v>60.70000000000001</v>
      </c>
      <c r="O46" s="156">
        <v>56.800000000000011</v>
      </c>
      <c r="P46" s="156">
        <v>56.999999999999993</v>
      </c>
      <c r="Q46" s="156">
        <v>59.000000000000007</v>
      </c>
      <c r="R46" s="156">
        <v>49.300000000000011</v>
      </c>
      <c r="S46" s="156">
        <v>43.900000000000006</v>
      </c>
      <c r="T46" s="156">
        <v>37.000000000000007</v>
      </c>
      <c r="U46" s="156">
        <v>34.200000000000003</v>
      </c>
      <c r="V46" s="156">
        <v>34.800000000000004</v>
      </c>
      <c r="W46" s="156">
        <v>641.6</v>
      </c>
      <c r="X46" s="156">
        <v>1138.9000000000001</v>
      </c>
    </row>
    <row r="47" spans="1:24" ht="16.5" hidden="1" thickBot="1" x14ac:dyDescent="0.3">
      <c r="A47" s="59"/>
      <c r="B47" s="206" t="s">
        <v>96</v>
      </c>
      <c r="C47" s="156">
        <v>7.5449999999999999</v>
      </c>
      <c r="D47" s="156">
        <v>10.210000000000001</v>
      </c>
      <c r="E47" s="156">
        <v>10.809999999999999</v>
      </c>
      <c r="F47" s="156">
        <v>10.28</v>
      </c>
      <c r="G47" s="156">
        <v>13.26</v>
      </c>
      <c r="H47" s="156">
        <v>13.489999999999998</v>
      </c>
      <c r="I47" s="156">
        <v>13.71</v>
      </c>
      <c r="J47" s="156">
        <v>13.75</v>
      </c>
      <c r="K47" s="156">
        <v>14.48</v>
      </c>
      <c r="L47" s="156">
        <v>13.88</v>
      </c>
      <c r="M47" s="156">
        <v>12.49</v>
      </c>
      <c r="N47" s="156">
        <v>11.32</v>
      </c>
      <c r="O47" s="156">
        <v>11.48</v>
      </c>
      <c r="P47" s="156">
        <v>11.030000000000001</v>
      </c>
      <c r="Q47" s="156">
        <v>10.64</v>
      </c>
      <c r="R47" s="156">
        <v>8.92</v>
      </c>
      <c r="S47" s="156">
        <v>7.62</v>
      </c>
      <c r="T47" s="156">
        <v>6.8900000000000006</v>
      </c>
      <c r="U47" s="156">
        <v>6.96</v>
      </c>
      <c r="V47" s="156">
        <v>6.98</v>
      </c>
      <c r="W47" s="164">
        <v>121.41500000000001</v>
      </c>
      <c r="X47" s="164">
        <v>215.745</v>
      </c>
    </row>
    <row r="48" spans="1:24" ht="16.5" thickBot="1" x14ac:dyDescent="0.3">
      <c r="A48" s="59"/>
      <c r="B48" s="158" t="s">
        <v>45</v>
      </c>
      <c r="C48" s="159">
        <v>96.515000000000001</v>
      </c>
      <c r="D48" s="159">
        <v>74.31</v>
      </c>
      <c r="E48" s="159">
        <v>78.84</v>
      </c>
      <c r="F48" s="159">
        <v>75.27</v>
      </c>
      <c r="G48" s="159">
        <v>80.550000000000011</v>
      </c>
      <c r="H48" s="159">
        <v>77.31</v>
      </c>
      <c r="I48" s="159">
        <v>84.75</v>
      </c>
      <c r="J48" s="159">
        <v>84.990000000000009</v>
      </c>
      <c r="K48" s="159">
        <v>82.410000000000011</v>
      </c>
      <c r="L48" s="159">
        <v>84.160000000000011</v>
      </c>
      <c r="M48" s="159">
        <v>82.34</v>
      </c>
      <c r="N48" s="159">
        <v>76.950000000000017</v>
      </c>
      <c r="O48" s="159">
        <v>73.040000000000006</v>
      </c>
      <c r="P48" s="159">
        <v>72.599999999999994</v>
      </c>
      <c r="Q48" s="159">
        <v>74.070000000000007</v>
      </c>
      <c r="R48" s="159">
        <v>61.950000000000017</v>
      </c>
      <c r="S48" s="159">
        <v>55</v>
      </c>
      <c r="T48" s="159">
        <v>46.750000000000007</v>
      </c>
      <c r="U48" s="159">
        <v>43.720000000000006</v>
      </c>
      <c r="V48" s="159">
        <v>44.42</v>
      </c>
      <c r="W48" s="159">
        <v>819.10500000000002</v>
      </c>
      <c r="X48" s="159">
        <v>1449.9450000000002</v>
      </c>
    </row>
    <row r="49" spans="1:24" ht="15.75" x14ac:dyDescent="0.25">
      <c r="A49" s="59"/>
      <c r="B49" s="180" t="s">
        <v>136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27.126000000000001</v>
      </c>
      <c r="M49" s="156">
        <v>27.126000000000001</v>
      </c>
      <c r="N49" s="156">
        <v>300</v>
      </c>
      <c r="O49" s="156">
        <v>300</v>
      </c>
      <c r="P49" s="156">
        <v>290.67500000000001</v>
      </c>
      <c r="Q49" s="156">
        <v>300</v>
      </c>
      <c r="R49" s="156">
        <v>300</v>
      </c>
      <c r="S49" s="156">
        <v>300</v>
      </c>
      <c r="T49" s="156">
        <v>300</v>
      </c>
      <c r="U49" s="156">
        <v>300</v>
      </c>
      <c r="V49" s="156">
        <v>300</v>
      </c>
      <c r="W49" s="155">
        <v>2.7126000000000001</v>
      </c>
      <c r="X49" s="155">
        <v>137.24634999999998</v>
      </c>
    </row>
    <row r="50" spans="1:24" hidden="1" x14ac:dyDescent="0.2">
      <c r="A50" s="178" t="s">
        <v>46</v>
      </c>
      <c r="B50" s="201" t="s">
        <v>42</v>
      </c>
      <c r="C50" s="202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4"/>
      <c r="W50" s="202"/>
      <c r="X50" s="65"/>
    </row>
    <row r="51" spans="1:24" ht="15.75" hidden="1" x14ac:dyDescent="0.25">
      <c r="A51" s="58"/>
      <c r="B51" s="179" t="s">
        <v>137</v>
      </c>
      <c r="C51" s="155">
        <v>0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-354</v>
      </c>
      <c r="P51" s="155">
        <v>0</v>
      </c>
      <c r="Q51" s="155">
        <v>0</v>
      </c>
      <c r="R51" s="155">
        <v>0</v>
      </c>
      <c r="S51" s="155">
        <v>0</v>
      </c>
      <c r="T51" s="155">
        <v>0</v>
      </c>
      <c r="U51" s="155">
        <v>0</v>
      </c>
      <c r="V51" s="155">
        <v>0</v>
      </c>
      <c r="W51" s="155">
        <v>0</v>
      </c>
      <c r="X51" s="155">
        <v>-354</v>
      </c>
    </row>
    <row r="52" spans="1:24" ht="15.75" hidden="1" x14ac:dyDescent="0.25">
      <c r="A52" s="58"/>
      <c r="B52" s="179" t="s">
        <v>138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-359.3</v>
      </c>
      <c r="T52" s="155">
        <v>0</v>
      </c>
      <c r="U52" s="155">
        <v>0</v>
      </c>
      <c r="V52" s="155">
        <v>0</v>
      </c>
      <c r="W52" s="155">
        <v>0</v>
      </c>
      <c r="X52" s="155">
        <v>-359.3</v>
      </c>
    </row>
    <row r="53" spans="1:24" ht="15.75" hidden="1" x14ac:dyDescent="0.25">
      <c r="A53" s="58"/>
      <c r="B53" s="179" t="s">
        <v>123</v>
      </c>
      <c r="C53" s="155">
        <v>0</v>
      </c>
      <c r="D53" s="155">
        <v>0</v>
      </c>
      <c r="E53" s="156">
        <v>-311.5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v>0</v>
      </c>
      <c r="Q53" s="155">
        <v>0</v>
      </c>
      <c r="R53" s="155">
        <v>0</v>
      </c>
      <c r="S53" s="155">
        <v>0</v>
      </c>
      <c r="T53" s="155">
        <v>0</v>
      </c>
      <c r="U53" s="155">
        <v>0</v>
      </c>
      <c r="V53" s="155">
        <v>0</v>
      </c>
      <c r="W53" s="155">
        <v>-311.5</v>
      </c>
      <c r="X53" s="155">
        <v>-311.5</v>
      </c>
    </row>
    <row r="54" spans="1:24" ht="15.75" hidden="1" x14ac:dyDescent="0.25">
      <c r="A54" s="58"/>
      <c r="B54" s="179" t="s">
        <v>139</v>
      </c>
      <c r="C54" s="156">
        <v>0</v>
      </c>
      <c r="D54" s="156">
        <v>0</v>
      </c>
      <c r="E54" s="156">
        <v>334.5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5">
        <v>334.5</v>
      </c>
      <c r="X54" s="155">
        <v>334.5</v>
      </c>
    </row>
    <row r="55" spans="1:24" x14ac:dyDescent="0.2">
      <c r="A55" s="207" t="s">
        <v>46</v>
      </c>
      <c r="B55" s="201" t="s">
        <v>43</v>
      </c>
      <c r="C55" s="202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4"/>
      <c r="W55" s="64"/>
      <c r="X55" s="65"/>
    </row>
    <row r="56" spans="1:24" ht="16.5" thickBot="1" x14ac:dyDescent="0.3">
      <c r="A56" s="182"/>
      <c r="B56" s="183" t="s">
        <v>140</v>
      </c>
      <c r="C56" s="156">
        <v>0</v>
      </c>
      <c r="D56" s="156">
        <v>0</v>
      </c>
      <c r="E56" s="156">
        <v>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436.35700000000003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5">
        <v>0</v>
      </c>
      <c r="X56" s="155">
        <v>436.35700000000003</v>
      </c>
    </row>
    <row r="57" spans="1:24" ht="16.5" thickBot="1" x14ac:dyDescent="0.3">
      <c r="A57" s="59"/>
      <c r="B57" s="158" t="s">
        <v>93</v>
      </c>
      <c r="C57" s="159">
        <v>0</v>
      </c>
      <c r="D57" s="159">
        <v>0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</v>
      </c>
      <c r="L57" s="159">
        <v>0</v>
      </c>
      <c r="M57" s="159">
        <v>0</v>
      </c>
      <c r="N57" s="159">
        <v>0</v>
      </c>
      <c r="O57" s="159">
        <v>0</v>
      </c>
      <c r="P57" s="159">
        <v>436.35700000000003</v>
      </c>
      <c r="Q57" s="159">
        <v>0</v>
      </c>
      <c r="R57" s="159">
        <v>0</v>
      </c>
      <c r="S57" s="159">
        <v>0</v>
      </c>
      <c r="T57" s="159">
        <v>0</v>
      </c>
      <c r="U57" s="159">
        <v>0</v>
      </c>
      <c r="V57" s="159">
        <v>0</v>
      </c>
      <c r="W57" s="159">
        <v>0</v>
      </c>
      <c r="X57" s="159">
        <v>436.35700000000003</v>
      </c>
    </row>
    <row r="58" spans="1:24" ht="16.5" thickBot="1" x14ac:dyDescent="0.3">
      <c r="A58" s="60"/>
      <c r="B58" s="181" t="s">
        <v>141</v>
      </c>
      <c r="C58" s="156">
        <v>0</v>
      </c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11.44</v>
      </c>
      <c r="O58" s="156">
        <v>96.875</v>
      </c>
      <c r="P58" s="156">
        <v>0</v>
      </c>
      <c r="Q58" s="156">
        <v>38.485999999999997</v>
      </c>
      <c r="R58" s="156">
        <v>70.004999999999995</v>
      </c>
      <c r="S58" s="156">
        <v>15.853999999999999</v>
      </c>
      <c r="T58" s="156">
        <v>7.5119999999999996</v>
      </c>
      <c r="U58" s="156">
        <v>0</v>
      </c>
      <c r="V58" s="156">
        <v>0</v>
      </c>
      <c r="W58" s="155">
        <v>0</v>
      </c>
      <c r="X58" s="155">
        <v>240.17199999999997</v>
      </c>
    </row>
    <row r="59" spans="1:24" ht="15.75" hidden="1" x14ac:dyDescent="0.25">
      <c r="A59" s="60"/>
      <c r="B59" s="181" t="s">
        <v>142</v>
      </c>
      <c r="C59" s="161">
        <v>0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2.41</v>
      </c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2">
        <v>0</v>
      </c>
      <c r="X59" s="162">
        <v>2.41</v>
      </c>
    </row>
    <row r="60" spans="1:24" ht="15.75" hidden="1" x14ac:dyDescent="0.25">
      <c r="A60" s="60"/>
      <c r="B60" s="181" t="s">
        <v>143</v>
      </c>
      <c r="C60" s="161">
        <v>0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1.21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2">
        <v>0</v>
      </c>
      <c r="X60" s="162">
        <v>1.21</v>
      </c>
    </row>
    <row r="61" spans="1:24" ht="15.75" hidden="1" x14ac:dyDescent="0.25">
      <c r="A61" s="59"/>
      <c r="B61" s="206" t="s">
        <v>111</v>
      </c>
      <c r="C61" s="161">
        <v>0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3.69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2">
        <v>0</v>
      </c>
      <c r="X61" s="162">
        <v>3.69</v>
      </c>
    </row>
    <row r="62" spans="1:24" ht="15.75" hidden="1" x14ac:dyDescent="0.25">
      <c r="A62" s="59"/>
      <c r="B62" s="206" t="s">
        <v>144</v>
      </c>
      <c r="C62" s="161">
        <v>0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36.06</v>
      </c>
      <c r="P62" s="161">
        <v>0</v>
      </c>
      <c r="Q62" s="161">
        <v>3.34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2">
        <v>0</v>
      </c>
      <c r="X62" s="162">
        <v>39.400000000000006</v>
      </c>
    </row>
    <row r="63" spans="1:24" ht="15.75" hidden="1" x14ac:dyDescent="0.25">
      <c r="A63" s="59"/>
      <c r="B63" s="206" t="s">
        <v>97</v>
      </c>
      <c r="C63" s="161">
        <v>0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>
        <v>0</v>
      </c>
      <c r="N63" s="161">
        <v>35.04</v>
      </c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2">
        <v>0</v>
      </c>
      <c r="X63" s="162">
        <v>35.04</v>
      </c>
    </row>
    <row r="64" spans="1:24" ht="15.75" hidden="1" x14ac:dyDescent="0.25">
      <c r="A64" s="59"/>
      <c r="B64" s="206" t="s">
        <v>98</v>
      </c>
      <c r="C64" s="161">
        <v>0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>
        <v>0</v>
      </c>
      <c r="N64" s="161">
        <v>12.829999999999998</v>
      </c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2">
        <v>0</v>
      </c>
      <c r="X64" s="162">
        <v>12.829999999999998</v>
      </c>
    </row>
    <row r="65" spans="1:24" ht="15.75" hidden="1" x14ac:dyDescent="0.25">
      <c r="A65" s="59"/>
      <c r="B65" s="206" t="s">
        <v>145</v>
      </c>
      <c r="C65" s="161">
        <v>0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>
        <v>0</v>
      </c>
      <c r="N65" s="161">
        <v>0</v>
      </c>
      <c r="O65" s="161">
        <v>13.009999999999998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2">
        <v>0</v>
      </c>
      <c r="X65" s="162">
        <v>13.009999999999998</v>
      </c>
    </row>
    <row r="66" spans="1:24" ht="15.75" hidden="1" x14ac:dyDescent="0.25">
      <c r="A66" s="59"/>
      <c r="B66" s="206" t="s">
        <v>112</v>
      </c>
      <c r="C66" s="161">
        <v>0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>
        <v>0</v>
      </c>
      <c r="N66" s="161">
        <v>9.06</v>
      </c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2">
        <v>0</v>
      </c>
      <c r="X66" s="162">
        <v>9.06</v>
      </c>
    </row>
    <row r="67" spans="1:24" ht="16.5" hidden="1" thickBot="1" x14ac:dyDescent="0.3">
      <c r="A67" s="59"/>
      <c r="B67" s="206" t="s">
        <v>113</v>
      </c>
      <c r="C67" s="161">
        <v>0</v>
      </c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>
        <v>0</v>
      </c>
      <c r="N67" s="161">
        <v>4.8099999999999996</v>
      </c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2">
        <v>0</v>
      </c>
      <c r="X67" s="162">
        <v>4.8099999999999996</v>
      </c>
    </row>
    <row r="68" spans="1:24" ht="16.5" thickBot="1" x14ac:dyDescent="0.3">
      <c r="A68" s="59"/>
      <c r="B68" s="158" t="s">
        <v>47</v>
      </c>
      <c r="C68" s="163">
        <v>0</v>
      </c>
      <c r="D68" s="163">
        <v>0</v>
      </c>
      <c r="E68" s="163">
        <v>0</v>
      </c>
      <c r="F68" s="163">
        <v>0</v>
      </c>
      <c r="G68" s="163">
        <v>0</v>
      </c>
      <c r="H68" s="163">
        <v>0</v>
      </c>
      <c r="I68" s="163">
        <v>0</v>
      </c>
      <c r="J68" s="163">
        <v>0</v>
      </c>
      <c r="K68" s="163">
        <v>0</v>
      </c>
      <c r="L68" s="163">
        <v>0</v>
      </c>
      <c r="M68" s="163">
        <v>0</v>
      </c>
      <c r="N68" s="163">
        <v>69.05</v>
      </c>
      <c r="O68" s="163">
        <v>49.07</v>
      </c>
      <c r="P68" s="163">
        <v>0</v>
      </c>
      <c r="Q68" s="163">
        <v>3.34</v>
      </c>
      <c r="R68" s="163">
        <v>0</v>
      </c>
      <c r="S68" s="163">
        <v>0</v>
      </c>
      <c r="T68" s="163">
        <v>0</v>
      </c>
      <c r="U68" s="163">
        <v>0</v>
      </c>
      <c r="V68" s="163">
        <v>0</v>
      </c>
      <c r="W68" s="163">
        <v>0</v>
      </c>
      <c r="X68" s="163">
        <v>121.46000000000001</v>
      </c>
    </row>
    <row r="69" spans="1:24" ht="15.75" hidden="1" x14ac:dyDescent="0.25">
      <c r="A69" s="60"/>
      <c r="B69" s="206" t="s">
        <v>99</v>
      </c>
      <c r="C69" s="156">
        <v>1.52</v>
      </c>
      <c r="D69" s="156">
        <v>1.74</v>
      </c>
      <c r="E69" s="156">
        <v>1.25</v>
      </c>
      <c r="F69" s="156">
        <v>1.28</v>
      </c>
      <c r="G69" s="156">
        <v>1.2800000000000002</v>
      </c>
      <c r="H69" s="156">
        <v>1.26</v>
      </c>
      <c r="I69" s="156">
        <v>1.2</v>
      </c>
      <c r="J69" s="156">
        <v>1.1299999999999999</v>
      </c>
      <c r="K69" s="156">
        <v>1.0900000000000001</v>
      </c>
      <c r="L69" s="156">
        <v>0.99</v>
      </c>
      <c r="M69" s="156">
        <v>1.25</v>
      </c>
      <c r="N69" s="156">
        <v>1.0999999999999999</v>
      </c>
      <c r="O69" s="156">
        <v>0.98</v>
      </c>
      <c r="P69" s="156">
        <v>1.07</v>
      </c>
      <c r="Q69" s="156">
        <v>0.98</v>
      </c>
      <c r="R69" s="156">
        <v>0.79</v>
      </c>
      <c r="S69" s="156">
        <v>0.7</v>
      </c>
      <c r="T69" s="156">
        <v>0.56999999999999995</v>
      </c>
      <c r="U69" s="156">
        <v>0.31</v>
      </c>
      <c r="V69" s="156">
        <v>0.25</v>
      </c>
      <c r="W69" s="156">
        <v>12.74</v>
      </c>
      <c r="X69" s="156">
        <v>20.74</v>
      </c>
    </row>
    <row r="70" spans="1:24" ht="15.75" hidden="1" x14ac:dyDescent="0.25">
      <c r="A70" s="59"/>
      <c r="B70" s="206" t="s">
        <v>100</v>
      </c>
      <c r="C70" s="156">
        <v>45.756999999999998</v>
      </c>
      <c r="D70" s="156">
        <v>43.5</v>
      </c>
      <c r="E70" s="156">
        <v>42.4</v>
      </c>
      <c r="F70" s="156">
        <v>36.800000000000004</v>
      </c>
      <c r="G70" s="156">
        <v>31.200000000000003</v>
      </c>
      <c r="H70" s="156">
        <v>26.2</v>
      </c>
      <c r="I70" s="156">
        <v>23.1</v>
      </c>
      <c r="J70" s="156">
        <v>22.500000000000004</v>
      </c>
      <c r="K70" s="156">
        <v>19.700000000000003</v>
      </c>
      <c r="L70" s="156">
        <v>18.5</v>
      </c>
      <c r="M70" s="156">
        <v>18.3</v>
      </c>
      <c r="N70" s="156">
        <v>17.100000000000001</v>
      </c>
      <c r="O70" s="156">
        <v>16.5</v>
      </c>
      <c r="P70" s="156">
        <v>16.400000000000002</v>
      </c>
      <c r="Q70" s="156">
        <v>16.100000000000001</v>
      </c>
      <c r="R70" s="156">
        <v>16.600000000000001</v>
      </c>
      <c r="S70" s="156">
        <v>15.4</v>
      </c>
      <c r="T70" s="156">
        <v>15.3</v>
      </c>
      <c r="U70" s="156">
        <v>16.3</v>
      </c>
      <c r="V70" s="156">
        <v>16.2</v>
      </c>
      <c r="W70" s="156">
        <v>309.65700000000004</v>
      </c>
      <c r="X70" s="156">
        <v>473.85700000000008</v>
      </c>
    </row>
    <row r="71" spans="1:24" ht="16.5" hidden="1" thickBot="1" x14ac:dyDescent="0.3">
      <c r="A71" s="59"/>
      <c r="B71" s="206" t="s">
        <v>101</v>
      </c>
      <c r="C71" s="156">
        <v>9.98</v>
      </c>
      <c r="D71" s="156">
        <v>8.16</v>
      </c>
      <c r="E71" s="156">
        <v>8.7000000000000011</v>
      </c>
      <c r="F71" s="156">
        <v>8.23</v>
      </c>
      <c r="G71" s="156">
        <v>9.7200000000000006</v>
      </c>
      <c r="H71" s="156">
        <v>9.2900000000000009</v>
      </c>
      <c r="I71" s="156">
        <v>8.8100000000000023</v>
      </c>
      <c r="J71" s="156">
        <v>9.0300000000000011</v>
      </c>
      <c r="K71" s="156">
        <v>8.3800000000000008</v>
      </c>
      <c r="L71" s="156">
        <v>7.5699999999999994</v>
      </c>
      <c r="M71" s="156">
        <v>7.18</v>
      </c>
      <c r="N71" s="156">
        <v>6.5500000000000007</v>
      </c>
      <c r="O71" s="156">
        <v>5.8100000000000005</v>
      </c>
      <c r="P71" s="156">
        <v>5.2700000000000014</v>
      </c>
      <c r="Q71" s="156">
        <v>5.0500000000000016</v>
      </c>
      <c r="R71" s="156">
        <v>4.0200000000000005</v>
      </c>
      <c r="S71" s="156">
        <v>3.4499999999999997</v>
      </c>
      <c r="T71" s="156">
        <v>2.7100000000000004</v>
      </c>
      <c r="U71" s="156">
        <v>2.3999999999999995</v>
      </c>
      <c r="V71" s="156">
        <v>1.85</v>
      </c>
      <c r="W71" s="164">
        <v>87.87</v>
      </c>
      <c r="X71" s="164">
        <v>132.16</v>
      </c>
    </row>
    <row r="72" spans="1:24" ht="16.5" thickBot="1" x14ac:dyDescent="0.3">
      <c r="A72" s="59"/>
      <c r="B72" s="158" t="s">
        <v>48</v>
      </c>
      <c r="C72" s="159">
        <v>57.257000000000005</v>
      </c>
      <c r="D72" s="159">
        <v>53.400000000000006</v>
      </c>
      <c r="E72" s="159">
        <v>52.35</v>
      </c>
      <c r="F72" s="159">
        <v>46.31</v>
      </c>
      <c r="G72" s="159">
        <v>42.2</v>
      </c>
      <c r="H72" s="159">
        <v>36.75</v>
      </c>
      <c r="I72" s="159">
        <v>33.11</v>
      </c>
      <c r="J72" s="159">
        <v>32.660000000000004</v>
      </c>
      <c r="K72" s="159">
        <v>29.17</v>
      </c>
      <c r="L72" s="159">
        <v>27.06</v>
      </c>
      <c r="M72" s="159">
        <v>26.73</v>
      </c>
      <c r="N72" s="159">
        <v>24.750000000000004</v>
      </c>
      <c r="O72" s="159">
        <v>23.29</v>
      </c>
      <c r="P72" s="159">
        <v>22.740000000000002</v>
      </c>
      <c r="Q72" s="159">
        <v>22.130000000000003</v>
      </c>
      <c r="R72" s="159">
        <v>21.41</v>
      </c>
      <c r="S72" s="159">
        <v>19.55</v>
      </c>
      <c r="T72" s="159">
        <v>18.580000000000002</v>
      </c>
      <c r="U72" s="159">
        <v>19.009999999999998</v>
      </c>
      <c r="V72" s="159">
        <v>18.3</v>
      </c>
      <c r="W72" s="159">
        <v>410.26700000000005</v>
      </c>
      <c r="X72" s="159">
        <v>626.75700000000006</v>
      </c>
    </row>
    <row r="73" spans="1:24" ht="15.75" x14ac:dyDescent="0.25">
      <c r="A73" s="60"/>
      <c r="B73" s="181" t="s">
        <v>146</v>
      </c>
      <c r="C73" s="156">
        <v>0</v>
      </c>
      <c r="D73" s="156">
        <v>0</v>
      </c>
      <c r="E73" s="156">
        <v>0</v>
      </c>
      <c r="F73" s="156">
        <v>0</v>
      </c>
      <c r="G73" s="156">
        <v>0</v>
      </c>
      <c r="H73" s="156">
        <v>0</v>
      </c>
      <c r="I73" s="156">
        <v>0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6">
        <v>30</v>
      </c>
      <c r="P73" s="156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5">
        <v>0</v>
      </c>
      <c r="X73" s="155">
        <v>30</v>
      </c>
    </row>
    <row r="74" spans="1:24" ht="15.75" x14ac:dyDescent="0.25">
      <c r="A74" s="60"/>
      <c r="B74" s="181" t="s">
        <v>147</v>
      </c>
      <c r="C74" s="156">
        <v>0</v>
      </c>
      <c r="D74" s="156">
        <v>0</v>
      </c>
      <c r="E74" s="156">
        <v>2.8730000000000002</v>
      </c>
      <c r="F74" s="156">
        <v>0</v>
      </c>
      <c r="G74" s="156">
        <v>0</v>
      </c>
      <c r="H74" s="156">
        <v>40.639000000000003</v>
      </c>
      <c r="I74" s="156">
        <v>0</v>
      </c>
      <c r="J74" s="156">
        <v>9.8089999999999993</v>
      </c>
      <c r="K74" s="156">
        <v>167.12899999999999</v>
      </c>
      <c r="L74" s="156">
        <v>76.040000000000006</v>
      </c>
      <c r="M74" s="156">
        <v>137.44200000000001</v>
      </c>
      <c r="N74" s="156">
        <v>400</v>
      </c>
      <c r="O74" s="156">
        <v>400</v>
      </c>
      <c r="P74" s="156">
        <v>400</v>
      </c>
      <c r="Q74" s="156">
        <v>400</v>
      </c>
      <c r="R74" s="156">
        <v>400</v>
      </c>
      <c r="S74" s="156">
        <v>400</v>
      </c>
      <c r="T74" s="156">
        <v>400</v>
      </c>
      <c r="U74" s="156">
        <v>400</v>
      </c>
      <c r="V74" s="156">
        <v>363.60700000000003</v>
      </c>
      <c r="W74" s="155">
        <v>29.649000000000001</v>
      </c>
      <c r="X74" s="155">
        <v>199.87694999999999</v>
      </c>
    </row>
    <row r="75" spans="1:24" ht="15.75" x14ac:dyDescent="0.25">
      <c r="A75" s="60"/>
      <c r="B75" s="181" t="s">
        <v>148</v>
      </c>
      <c r="C75" s="156">
        <v>400</v>
      </c>
      <c r="D75" s="156">
        <v>400</v>
      </c>
      <c r="E75" s="156">
        <v>400</v>
      </c>
      <c r="F75" s="156">
        <v>400</v>
      </c>
      <c r="G75" s="156">
        <v>400</v>
      </c>
      <c r="H75" s="156">
        <v>400</v>
      </c>
      <c r="I75" s="156">
        <v>400</v>
      </c>
      <c r="J75" s="156">
        <v>400</v>
      </c>
      <c r="K75" s="156">
        <v>400</v>
      </c>
      <c r="L75" s="156">
        <v>400</v>
      </c>
      <c r="M75" s="156">
        <v>400</v>
      </c>
      <c r="N75" s="156">
        <v>400</v>
      </c>
      <c r="O75" s="156">
        <v>400</v>
      </c>
      <c r="P75" s="156">
        <v>400</v>
      </c>
      <c r="Q75" s="156">
        <v>400</v>
      </c>
      <c r="R75" s="156">
        <v>400</v>
      </c>
      <c r="S75" s="156">
        <v>400</v>
      </c>
      <c r="T75" s="156">
        <v>400</v>
      </c>
      <c r="U75" s="156">
        <v>400</v>
      </c>
      <c r="V75" s="156">
        <v>400</v>
      </c>
      <c r="W75" s="155">
        <v>400</v>
      </c>
      <c r="X75" s="155">
        <v>400</v>
      </c>
    </row>
    <row r="76" spans="1:24" ht="15.75" x14ac:dyDescent="0.25">
      <c r="A76" s="60"/>
      <c r="B76" s="181" t="s">
        <v>149</v>
      </c>
      <c r="C76" s="156">
        <v>0</v>
      </c>
      <c r="D76" s="156">
        <v>21.074999999999999</v>
      </c>
      <c r="E76" s="156">
        <v>375</v>
      </c>
      <c r="F76" s="156">
        <v>307.39</v>
      </c>
      <c r="G76" s="156">
        <v>299.14100000000002</v>
      </c>
      <c r="H76" s="156">
        <v>375</v>
      </c>
      <c r="I76" s="156">
        <v>344.20600000000002</v>
      </c>
      <c r="J76" s="156">
        <v>375</v>
      </c>
      <c r="K76" s="156">
        <v>375</v>
      </c>
      <c r="L76" s="156">
        <v>375</v>
      </c>
      <c r="M76" s="156">
        <v>375</v>
      </c>
      <c r="N76" s="156">
        <v>375</v>
      </c>
      <c r="O76" s="156">
        <v>375</v>
      </c>
      <c r="P76" s="156">
        <v>375</v>
      </c>
      <c r="Q76" s="156">
        <v>375</v>
      </c>
      <c r="R76" s="156">
        <v>375</v>
      </c>
      <c r="S76" s="156">
        <v>375</v>
      </c>
      <c r="T76" s="156">
        <v>375</v>
      </c>
      <c r="U76" s="156">
        <v>375</v>
      </c>
      <c r="V76" s="156">
        <v>375</v>
      </c>
      <c r="W76" s="155">
        <v>284.68119999999999</v>
      </c>
      <c r="X76" s="155">
        <v>329.84059999999999</v>
      </c>
    </row>
    <row r="77" spans="1:24" ht="15.75" x14ac:dyDescent="0.25">
      <c r="A77" s="60"/>
      <c r="B77" s="181" t="s">
        <v>150</v>
      </c>
      <c r="C77" s="156">
        <v>100</v>
      </c>
      <c r="D77" s="156">
        <v>100</v>
      </c>
      <c r="E77" s="156">
        <v>100</v>
      </c>
      <c r="F77" s="156">
        <v>100</v>
      </c>
      <c r="G77" s="156">
        <v>100</v>
      </c>
      <c r="H77" s="156">
        <v>100</v>
      </c>
      <c r="I77" s="156">
        <v>100</v>
      </c>
      <c r="J77" s="156">
        <v>100</v>
      </c>
      <c r="K77" s="156">
        <v>100</v>
      </c>
      <c r="L77" s="156">
        <v>100</v>
      </c>
      <c r="M77" s="156">
        <v>100</v>
      </c>
      <c r="N77" s="156">
        <v>100</v>
      </c>
      <c r="O77" s="156">
        <v>100</v>
      </c>
      <c r="P77" s="156">
        <v>100</v>
      </c>
      <c r="Q77" s="156">
        <v>100</v>
      </c>
      <c r="R77" s="156">
        <v>100</v>
      </c>
      <c r="S77" s="156">
        <v>100</v>
      </c>
      <c r="T77" s="156">
        <v>100</v>
      </c>
      <c r="U77" s="156">
        <v>100</v>
      </c>
      <c r="V77" s="156">
        <v>100</v>
      </c>
      <c r="W77" s="155">
        <v>100</v>
      </c>
      <c r="X77" s="155">
        <v>100</v>
      </c>
    </row>
    <row r="78" spans="1:24" ht="15.75" x14ac:dyDescent="0.25">
      <c r="A78" s="208"/>
      <c r="B78" s="209" t="s">
        <v>151</v>
      </c>
      <c r="C78" s="210">
        <v>281.012</v>
      </c>
      <c r="D78" s="210">
        <v>332.17</v>
      </c>
      <c r="E78" s="210">
        <v>272.65499999999997</v>
      </c>
      <c r="F78" s="210">
        <v>307.34800000000001</v>
      </c>
      <c r="G78" s="210">
        <v>0</v>
      </c>
      <c r="H78" s="210">
        <v>307.57900000000001</v>
      </c>
      <c r="I78" s="210">
        <v>0</v>
      </c>
      <c r="J78" s="210">
        <v>287.03100000000001</v>
      </c>
      <c r="K78" s="210">
        <v>294.80599999999998</v>
      </c>
      <c r="L78" s="210">
        <v>0</v>
      </c>
      <c r="M78" s="210">
        <v>0</v>
      </c>
      <c r="N78" s="210">
        <v>0</v>
      </c>
      <c r="O78" s="210">
        <v>400</v>
      </c>
      <c r="P78" s="210">
        <v>40.570999999999998</v>
      </c>
      <c r="Q78" s="210">
        <v>390.202</v>
      </c>
      <c r="R78" s="210">
        <v>350.65800000000002</v>
      </c>
      <c r="S78" s="210">
        <v>0</v>
      </c>
      <c r="T78" s="210">
        <v>377.03399999999999</v>
      </c>
      <c r="U78" s="210">
        <v>4.4119999999999999</v>
      </c>
      <c r="V78" s="210">
        <v>291.37799999999999</v>
      </c>
      <c r="W78" s="211">
        <v>208.26009999999997</v>
      </c>
      <c r="X78" s="211">
        <v>196.84279999999998</v>
      </c>
    </row>
    <row r="79" spans="1:24" ht="15.75" x14ac:dyDescent="0.25">
      <c r="A79" s="208"/>
      <c r="B79" s="209" t="s">
        <v>152</v>
      </c>
      <c r="C79" s="210">
        <v>0</v>
      </c>
      <c r="D79" s="210">
        <v>0</v>
      </c>
      <c r="E79" s="210">
        <v>0</v>
      </c>
      <c r="F79" s="210">
        <v>0</v>
      </c>
      <c r="G79" s="210">
        <v>319.30799999999999</v>
      </c>
      <c r="H79" s="210">
        <v>0</v>
      </c>
      <c r="I79" s="210">
        <v>305.923</v>
      </c>
      <c r="J79" s="210">
        <v>0</v>
      </c>
      <c r="K79" s="210">
        <v>0</v>
      </c>
      <c r="L79" s="210">
        <v>297.07</v>
      </c>
      <c r="M79" s="210">
        <v>288.548</v>
      </c>
      <c r="N79" s="210">
        <v>312.488</v>
      </c>
      <c r="O79" s="210">
        <v>50.639000000000003</v>
      </c>
      <c r="P79" s="210">
        <v>375</v>
      </c>
      <c r="Q79" s="210">
        <v>0</v>
      </c>
      <c r="R79" s="210">
        <v>0</v>
      </c>
      <c r="S79" s="210">
        <v>336.584</v>
      </c>
      <c r="T79" s="210">
        <v>0</v>
      </c>
      <c r="U79" s="210">
        <v>375</v>
      </c>
      <c r="V79" s="210">
        <v>375</v>
      </c>
      <c r="W79" s="211">
        <v>92.230099999999993</v>
      </c>
      <c r="X79" s="211">
        <v>151.77799999999999</v>
      </c>
    </row>
    <row r="80" spans="1:24" ht="16.5" thickBot="1" x14ac:dyDescent="0.3">
      <c r="A80" s="212"/>
      <c r="B80" s="213" t="s">
        <v>153</v>
      </c>
      <c r="C80" s="214">
        <v>0</v>
      </c>
      <c r="D80" s="214">
        <v>0</v>
      </c>
      <c r="E80" s="214">
        <v>0</v>
      </c>
      <c r="F80" s="214">
        <v>0</v>
      </c>
      <c r="G80" s="214">
        <v>0</v>
      </c>
      <c r="H80" s="214">
        <v>0</v>
      </c>
      <c r="I80" s="214">
        <v>0</v>
      </c>
      <c r="J80" s="214">
        <v>0</v>
      </c>
      <c r="K80" s="214">
        <v>52.73</v>
      </c>
      <c r="L80" s="214">
        <v>54.026000000000003</v>
      </c>
      <c r="M80" s="214">
        <v>8.2089999999999996</v>
      </c>
      <c r="N80" s="214">
        <v>100</v>
      </c>
      <c r="O80" s="214">
        <v>100</v>
      </c>
      <c r="P80" s="214">
        <v>100</v>
      </c>
      <c r="Q80" s="214">
        <v>100</v>
      </c>
      <c r="R80" s="214">
        <v>100</v>
      </c>
      <c r="S80" s="214">
        <v>100</v>
      </c>
      <c r="T80" s="214">
        <v>100</v>
      </c>
      <c r="U80" s="214">
        <v>100</v>
      </c>
      <c r="V80" s="214">
        <v>100</v>
      </c>
      <c r="W80" s="211">
        <v>10.675599999999999</v>
      </c>
      <c r="X80" s="211">
        <v>50.748249999999999</v>
      </c>
    </row>
    <row r="81" spans="1:24" ht="17.25" thickTop="1" thickBot="1" x14ac:dyDescent="0.3">
      <c r="A81" s="184"/>
      <c r="B81" s="165" t="s">
        <v>42</v>
      </c>
      <c r="C81" s="166">
        <v>0</v>
      </c>
      <c r="D81" s="166">
        <v>0</v>
      </c>
      <c r="E81" s="166">
        <v>-256.5</v>
      </c>
      <c r="F81" s="166">
        <v>0</v>
      </c>
      <c r="G81" s="166">
        <v>-387</v>
      </c>
      <c r="H81" s="166">
        <v>0</v>
      </c>
      <c r="I81" s="166">
        <v>0</v>
      </c>
      <c r="J81" s="166">
        <v>0</v>
      </c>
      <c r="K81" s="166">
        <v>0</v>
      </c>
      <c r="L81" s="166">
        <v>-82.3</v>
      </c>
      <c r="M81" s="166">
        <v>0</v>
      </c>
      <c r="N81" s="166">
        <v>-762</v>
      </c>
      <c r="O81" s="166">
        <v>-354</v>
      </c>
      <c r="P81" s="166">
        <v>-357</v>
      </c>
      <c r="Q81" s="166">
        <v>-77.78</v>
      </c>
      <c r="R81" s="166">
        <v>0</v>
      </c>
      <c r="S81" s="166">
        <v>-716.8</v>
      </c>
      <c r="T81" s="166">
        <v>0</v>
      </c>
      <c r="U81" s="166">
        <v>-81.540000000000006</v>
      </c>
      <c r="V81" s="166">
        <v>0</v>
      </c>
      <c r="W81" s="185"/>
      <c r="X81" s="185"/>
    </row>
    <row r="82" spans="1:24" ht="16.5" thickTop="1" x14ac:dyDescent="0.25">
      <c r="A82" s="61"/>
      <c r="B82" s="62" t="s">
        <v>49</v>
      </c>
      <c r="C82" s="167">
        <v>153.77200000000005</v>
      </c>
      <c r="D82" s="167">
        <v>127.71000000000004</v>
      </c>
      <c r="E82" s="167">
        <v>131.18999999999983</v>
      </c>
      <c r="F82" s="167">
        <v>121.57999999999993</v>
      </c>
      <c r="G82" s="167">
        <v>1222.75</v>
      </c>
      <c r="H82" s="167">
        <v>114.05999999999995</v>
      </c>
      <c r="I82" s="167">
        <v>117.86000000000013</v>
      </c>
      <c r="J82" s="167">
        <v>117.64999999999986</v>
      </c>
      <c r="K82" s="167">
        <v>111.57999999999993</v>
      </c>
      <c r="L82" s="167">
        <v>111.22000000000003</v>
      </c>
      <c r="M82" s="167">
        <v>109.07000000000016</v>
      </c>
      <c r="N82" s="167">
        <v>305.95000000000005</v>
      </c>
      <c r="O82" s="167">
        <v>562.66900000000032</v>
      </c>
      <c r="P82" s="167">
        <v>536.44700000000057</v>
      </c>
      <c r="Q82" s="167">
        <v>302.96500000000015</v>
      </c>
      <c r="R82" s="167">
        <v>323.35000000000036</v>
      </c>
      <c r="S82" s="167">
        <v>980.00600000000009</v>
      </c>
      <c r="T82" s="167">
        <v>117.29099999999971</v>
      </c>
      <c r="U82" s="167">
        <v>356.35599999999931</v>
      </c>
      <c r="V82" s="167">
        <v>860.92700000000059</v>
      </c>
      <c r="W82" s="168"/>
      <c r="X82" s="168"/>
    </row>
    <row r="83" spans="1:24" ht="15.75" x14ac:dyDescent="0.25">
      <c r="A83" s="63"/>
      <c r="B83" s="215" t="s">
        <v>50</v>
      </c>
      <c r="C83" s="169">
        <v>781.01199999999994</v>
      </c>
      <c r="D83" s="169">
        <v>853.24500000000012</v>
      </c>
      <c r="E83" s="169">
        <v>1150.528</v>
      </c>
      <c r="F83" s="169">
        <v>1114.7380000000001</v>
      </c>
      <c r="G83" s="169">
        <v>1118.4490000000001</v>
      </c>
      <c r="H83" s="169">
        <v>1223.2180000000001</v>
      </c>
      <c r="I83" s="169">
        <v>1150.1289999999999</v>
      </c>
      <c r="J83" s="169">
        <v>1171.8399999999999</v>
      </c>
      <c r="K83" s="169">
        <v>1389.665</v>
      </c>
      <c r="L83" s="169">
        <v>1329.2619999999999</v>
      </c>
      <c r="M83" s="169">
        <v>1336.325</v>
      </c>
      <c r="N83" s="169">
        <v>1987.4880000000001</v>
      </c>
      <c r="O83" s="169">
        <v>2125.6390000000001</v>
      </c>
      <c r="P83" s="169">
        <v>2081.2460000000001</v>
      </c>
      <c r="Q83" s="169">
        <v>2065.2020000000002</v>
      </c>
      <c r="R83" s="169">
        <v>2025.6579999999999</v>
      </c>
      <c r="S83" s="169">
        <v>2011.5840000000001</v>
      </c>
      <c r="T83" s="169">
        <v>2052.0340000000001</v>
      </c>
      <c r="U83" s="169">
        <v>2054.4120000000003</v>
      </c>
      <c r="V83" s="169">
        <v>2304.9849999999997</v>
      </c>
      <c r="W83" s="168"/>
      <c r="X83" s="168"/>
    </row>
    <row r="84" spans="1:24" ht="15.75" x14ac:dyDescent="0.25">
      <c r="A84" s="63"/>
      <c r="B84" s="215" t="s">
        <v>51</v>
      </c>
      <c r="C84" s="169">
        <v>934.78399999999999</v>
      </c>
      <c r="D84" s="169">
        <v>980.95500000000015</v>
      </c>
      <c r="E84" s="169">
        <v>1281.7179999999998</v>
      </c>
      <c r="F84" s="169">
        <v>1236.318</v>
      </c>
      <c r="G84" s="169">
        <v>2341.1990000000001</v>
      </c>
      <c r="H84" s="169">
        <v>1337.278</v>
      </c>
      <c r="I84" s="169">
        <v>1267.989</v>
      </c>
      <c r="J84" s="169">
        <v>1289.4899999999998</v>
      </c>
      <c r="K84" s="169">
        <v>1501.2449999999999</v>
      </c>
      <c r="L84" s="169">
        <v>1440.482</v>
      </c>
      <c r="M84" s="169">
        <v>1445.3950000000002</v>
      </c>
      <c r="N84" s="169">
        <v>2293.4380000000001</v>
      </c>
      <c r="O84" s="169">
        <v>2688.3080000000004</v>
      </c>
      <c r="P84" s="169">
        <v>2617.6930000000007</v>
      </c>
      <c r="Q84" s="169">
        <v>2368.1670000000004</v>
      </c>
      <c r="R84" s="169">
        <v>2349.0080000000003</v>
      </c>
      <c r="S84" s="169">
        <v>2991.59</v>
      </c>
      <c r="T84" s="169">
        <v>2169.3249999999998</v>
      </c>
      <c r="U84" s="169">
        <v>2410.7679999999996</v>
      </c>
      <c r="V84" s="169">
        <v>3165.9120000000003</v>
      </c>
      <c r="W84" s="168"/>
      <c r="X84" s="168"/>
    </row>
    <row r="87" spans="1:24" x14ac:dyDescent="0.2">
      <c r="B87" t="s">
        <v>156</v>
      </c>
    </row>
  </sheetData>
  <conditionalFormatting sqref="A7:B7">
    <cfRule type="expression" dxfId="13" priority="2" stopIfTrue="1">
      <formula>ROUND($G$325,0)&lt;&gt;0</formula>
    </cfRule>
  </conditionalFormatting>
  <conditionalFormatting sqref="B24">
    <cfRule type="containsText" dxfId="12" priority="1" operator="containsText" text="Early">
      <formula>NOT(ISERROR(SEARCH("Early",B24)))</formula>
    </cfRule>
  </conditionalFormatting>
  <printOptions horizontalCentered="1"/>
  <pageMargins left="0.25" right="0.25" top="0.75" bottom="0.75" header="0.3" footer="0.3"/>
  <pageSetup scale="48" fitToHeight="0" orientation="landscape" r:id="rId1"/>
  <headerFooter alignWithMargins="0">
    <oddFooter>&amp;L&amp;8NPC Group - &amp;F   ( &amp;A )&amp;C &amp;R 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V43"/>
  <sheetViews>
    <sheetView showGridLines="0" zoomScale="90" zoomScaleNormal="90" workbookViewId="0">
      <selection activeCell="A40" sqref="A40:XFD40"/>
    </sheetView>
  </sheetViews>
  <sheetFormatPr defaultRowHeight="12" x14ac:dyDescent="0.2"/>
  <cols>
    <col min="1" max="1" width="2.83203125" style="29" customWidth="1"/>
    <col min="2" max="2" width="23" style="29" customWidth="1"/>
    <col min="3" max="6" width="18.83203125" style="29" customWidth="1"/>
    <col min="7" max="7" width="4.6640625" style="29" customWidth="1"/>
    <col min="8" max="8" width="5.83203125" style="69" customWidth="1"/>
    <col min="9" max="9" width="11.6640625" style="349" customWidth="1"/>
    <col min="10" max="10" width="3.5" style="349" customWidth="1"/>
    <col min="11" max="11" width="17.1640625" style="349" customWidth="1"/>
    <col min="12" max="12" width="12.5" style="349" customWidth="1"/>
    <col min="13" max="13" width="11" style="349" customWidth="1"/>
    <col min="14" max="14" width="3.83203125" style="349" customWidth="1"/>
    <col min="15" max="16" width="12.5" style="349" customWidth="1"/>
    <col min="17" max="17" width="3.83203125" style="349" customWidth="1"/>
    <col min="18" max="19" width="12.5" style="349" customWidth="1"/>
    <col min="20" max="20" width="3.33203125" style="349" customWidth="1"/>
    <col min="21" max="22" width="12.5" style="349" customWidth="1"/>
    <col min="23" max="16384" width="9.33203125" style="29"/>
  </cols>
  <sheetData>
    <row r="1" spans="1:22" x14ac:dyDescent="0.2">
      <c r="A1" s="2"/>
      <c r="B1" s="2"/>
      <c r="C1" s="2"/>
      <c r="D1" s="2"/>
      <c r="E1" s="2"/>
      <c r="F1" s="2"/>
      <c r="G1" s="31"/>
      <c r="I1" s="348"/>
      <c r="J1" s="348"/>
    </row>
    <row r="2" spans="1:22" x14ac:dyDescent="0.2">
      <c r="A2" s="2"/>
      <c r="B2" s="2" t="s">
        <v>21</v>
      </c>
      <c r="C2" s="2"/>
      <c r="D2" s="2"/>
      <c r="E2" s="2"/>
      <c r="F2" s="2"/>
      <c r="G2" s="31"/>
      <c r="I2" s="348"/>
      <c r="J2" s="348"/>
    </row>
    <row r="3" spans="1:22" x14ac:dyDescent="0.2">
      <c r="G3" s="31"/>
      <c r="I3" s="348"/>
      <c r="J3" s="348"/>
    </row>
    <row r="4" spans="1:22" x14ac:dyDescent="0.2">
      <c r="A4" s="30"/>
      <c r="B4" s="51" t="s">
        <v>56</v>
      </c>
      <c r="C4" s="30"/>
      <c r="D4" s="30"/>
      <c r="E4" s="30"/>
      <c r="F4" s="30"/>
      <c r="G4" s="31"/>
      <c r="I4" s="350"/>
      <c r="J4" s="350"/>
      <c r="L4" s="351"/>
      <c r="O4" s="351"/>
      <c r="R4" s="351"/>
      <c r="U4" s="351"/>
    </row>
    <row r="5" spans="1:22" x14ac:dyDescent="0.2">
      <c r="A5" s="30"/>
      <c r="B5" s="30"/>
    </row>
    <row r="6" spans="1:22" x14ac:dyDescent="0.2">
      <c r="A6" s="30"/>
      <c r="B6" s="31" t="s">
        <v>32</v>
      </c>
      <c r="C6" s="32" t="s">
        <v>226</v>
      </c>
      <c r="D6" s="32"/>
      <c r="E6" s="32" t="s">
        <v>120</v>
      </c>
      <c r="F6" s="32"/>
      <c r="J6" s="352"/>
      <c r="L6" s="349" t="s">
        <v>227</v>
      </c>
      <c r="O6" s="349" t="s">
        <v>228</v>
      </c>
      <c r="R6" s="349" t="s">
        <v>229</v>
      </c>
      <c r="U6" s="349" t="s">
        <v>230</v>
      </c>
    </row>
    <row r="7" spans="1:22" ht="14.25" x14ac:dyDescent="0.35">
      <c r="A7" s="30"/>
      <c r="B7" s="31" t="s">
        <v>30</v>
      </c>
      <c r="C7" s="33" t="s">
        <v>10</v>
      </c>
      <c r="D7" s="33" t="s">
        <v>11</v>
      </c>
      <c r="E7" s="33" t="s">
        <v>10</v>
      </c>
      <c r="F7" s="33" t="s">
        <v>11</v>
      </c>
      <c r="H7" s="68"/>
      <c r="I7" s="353" t="s">
        <v>232</v>
      </c>
      <c r="J7" s="354"/>
      <c r="K7" s="355"/>
      <c r="L7" s="355" t="s">
        <v>231</v>
      </c>
      <c r="M7" s="355"/>
      <c r="O7" s="355" t="s">
        <v>231</v>
      </c>
      <c r="R7" s="355" t="s">
        <v>231</v>
      </c>
      <c r="U7" s="355" t="s">
        <v>231</v>
      </c>
    </row>
    <row r="8" spans="1:22" x14ac:dyDescent="0.2">
      <c r="A8" s="34"/>
      <c r="B8" s="35"/>
      <c r="C8" s="36"/>
      <c r="D8" s="36"/>
      <c r="E8" s="36"/>
      <c r="F8" s="36"/>
      <c r="H8" s="75"/>
      <c r="I8" s="356"/>
      <c r="J8" s="357"/>
      <c r="L8" s="358"/>
      <c r="O8" s="358"/>
      <c r="R8" s="358"/>
      <c r="U8" s="358"/>
    </row>
    <row r="9" spans="1:22" hidden="1" x14ac:dyDescent="0.2">
      <c r="A9" s="34"/>
      <c r="B9" s="35"/>
      <c r="C9" s="36"/>
      <c r="D9" s="36"/>
      <c r="E9" s="36"/>
      <c r="F9" s="36"/>
      <c r="H9" s="75"/>
      <c r="I9" s="356"/>
      <c r="J9" s="357"/>
      <c r="L9" s="358"/>
      <c r="O9" s="358"/>
      <c r="R9" s="358"/>
      <c r="U9" s="358"/>
    </row>
    <row r="10" spans="1:22" x14ac:dyDescent="0.2">
      <c r="A10" s="34"/>
      <c r="B10" s="186">
        <f>[18]SourceEnergy!$R$20</f>
        <v>2017</v>
      </c>
      <c r="C10" s="37">
        <f>INDEX([18]SourceEnergy!$S$20:$T$40,MATCH($B10,[18]SourceEnergy!$R$20:$R$40,0),MATCH(C$7,[18]SourceEnergy!$S$12:$T$12,0))/10</f>
        <v>1.8584841739276421</v>
      </c>
      <c r="D10" s="37">
        <f>INDEX([18]SourceEnergy!$S$20:$T$40,MATCH($B10,[18]SourceEnergy!$R$20:$R$40,0),MATCH(D$7,[18]SourceEnergy!$S$12:$T$12,0))/10</f>
        <v>2.2228494816749511</v>
      </c>
      <c r="E10" s="37">
        <f>INDEX([18]SourceEnergy!$U$20:$V$40,MATCH($B10,[18]SourceEnergy!$R$20:$R$40,0),MATCH(E$7,[18]SourceEnergy!$U$12:$V$12,0))/10</f>
        <v>1.7001544177789512</v>
      </c>
      <c r="F10" s="37">
        <f>INDEX([18]SourceEnergy!$U$20:$V$40,MATCH($B10,[18]SourceEnergy!$R$20:$R$40,0),MATCH(F$7,[18]SourceEnergy!$U$12:$V$12,0))/10</f>
        <v>1.6182062708850431</v>
      </c>
      <c r="H10" s="75"/>
      <c r="I10" s="356">
        <v>1</v>
      </c>
      <c r="J10" s="357"/>
      <c r="L10" s="372">
        <f>C10*1*$I10</f>
        <v>1.8584841739276421</v>
      </c>
      <c r="M10" s="373">
        <f t="shared" ref="M10" si="0">M$34*$I10</f>
        <v>2.1956734899720547</v>
      </c>
      <c r="O10" s="372">
        <f>D10*1*$I10</f>
        <v>2.2228494816749511</v>
      </c>
      <c r="P10" s="373">
        <f t="shared" ref="P10" si="1">P$34*$I10</f>
        <v>2.5748283788591424</v>
      </c>
      <c r="R10" s="372">
        <f>E10*1*$I10</f>
        <v>1.7001544177789512</v>
      </c>
      <c r="S10" s="373">
        <f t="shared" ref="S10" si="2">S$34*$I10</f>
        <v>1.9351487328232424</v>
      </c>
      <c r="U10" s="372">
        <f>F10*1*$I10</f>
        <v>1.6182062708850431</v>
      </c>
      <c r="V10" s="373">
        <f t="shared" ref="V10" si="3">V$34*$I10</f>
        <v>1.9692180372039929</v>
      </c>
    </row>
    <row r="11" spans="1:22" x14ac:dyDescent="0.2">
      <c r="A11" s="34"/>
      <c r="B11" s="186">
        <f>B10+1</f>
        <v>2018</v>
      </c>
      <c r="C11" s="37">
        <f>INDEX([18]SourceEnergy!$S$20:$T$40,MATCH($B11,[18]SourceEnergy!$R$20:$R$40,0),MATCH(C$7,[18]SourceEnergy!$S$12:$T$12,0))/10</f>
        <v>1.838173082961611</v>
      </c>
      <c r="D11" s="37">
        <f>INDEX([18]SourceEnergy!$S$20:$T$40,MATCH($B11,[18]SourceEnergy!$R$20:$R$40,0),MATCH(D$7,[18]SourceEnergy!$S$12:$T$12,0))/10</f>
        <v>2.2719577003637865</v>
      </c>
      <c r="E11" s="37">
        <f>INDEX([18]SourceEnergy!$U$20:$V$40,MATCH($B11,[18]SourceEnergy!$R$20:$R$40,0),MATCH(E$7,[18]SourceEnergy!$U$12:$V$12,0))/10</f>
        <v>1.583567911578063</v>
      </c>
      <c r="F11" s="37">
        <f>INDEX([18]SourceEnergy!$U$20:$V$40,MATCH($B11,[18]SourceEnergy!$R$20:$R$40,0),MATCH(F$7,[18]SourceEnergy!$U$12:$V$12,0))/10</f>
        <v>1.6539564321484981</v>
      </c>
      <c r="H11" s="75"/>
      <c r="I11" s="357">
        <f>I10-0.005</f>
        <v>0.995</v>
      </c>
      <c r="J11" s="357"/>
      <c r="L11" s="372">
        <f t="shared" ref="L11:L27" si="4">C11*1*$I11</f>
        <v>1.8289822175468029</v>
      </c>
      <c r="M11" s="373">
        <f>M$34*$I11</f>
        <v>2.1846951225221942</v>
      </c>
      <c r="O11" s="372">
        <f t="shared" ref="O11:O27" si="5">D11*1*$I11</f>
        <v>2.2605979118619675</v>
      </c>
      <c r="P11" s="373">
        <f>P$34*$I11</f>
        <v>2.5619542369648465</v>
      </c>
      <c r="R11" s="372">
        <f t="shared" ref="R11:R27" si="6">E11*1*$I11</f>
        <v>1.5756500720201727</v>
      </c>
      <c r="S11" s="373">
        <f>S$34*$I11</f>
        <v>1.9254729891591262</v>
      </c>
      <c r="U11" s="372">
        <f t="shared" ref="U11:U27" si="7">F11*1*$I11</f>
        <v>1.6456866499877556</v>
      </c>
      <c r="V11" s="373">
        <f>V$34*$I11</f>
        <v>1.9593719470179729</v>
      </c>
    </row>
    <row r="12" spans="1:22" x14ac:dyDescent="0.2">
      <c r="A12" s="34"/>
      <c r="B12" s="186">
        <f t="shared" ref="B12:B27" si="8">B11+1</f>
        <v>2019</v>
      </c>
      <c r="C12" s="37">
        <f>INDEX([18]SourceEnergy!$S$20:$T$40,MATCH($B12,[18]SourceEnergy!$R$20:$R$40,0),MATCH(C$7,[18]SourceEnergy!$S$12:$T$12,0))/10</f>
        <v>1.7128291955954402</v>
      </c>
      <c r="D12" s="37">
        <f>INDEX([18]SourceEnergy!$S$20:$T$40,MATCH($B12,[18]SourceEnergy!$R$20:$R$40,0),MATCH(D$7,[18]SourceEnergy!$S$12:$T$12,0))/10</f>
        <v>2.0965813158970779</v>
      </c>
      <c r="E12" s="37">
        <f>INDEX([18]SourceEnergy!$U$20:$V$40,MATCH($B12,[18]SourceEnergy!$R$20:$R$40,0),MATCH(E$7,[18]SourceEnergy!$U$12:$V$12,0))/10</f>
        <v>1.3636216402116106</v>
      </c>
      <c r="F12" s="37">
        <f>INDEX([18]SourceEnergy!$U$20:$V$40,MATCH($B12,[18]SourceEnergy!$R$20:$R$40,0),MATCH(F$7,[18]SourceEnergy!$U$12:$V$12,0))/10</f>
        <v>1.4021529186092476</v>
      </c>
      <c r="H12" s="75"/>
      <c r="I12" s="357">
        <f t="shared" ref="I12:I27" si="9">I11-0.005</f>
        <v>0.99</v>
      </c>
      <c r="J12" s="357"/>
      <c r="L12" s="372">
        <f t="shared" si="4"/>
        <v>1.6957009036394859</v>
      </c>
      <c r="M12" s="373">
        <f t="shared" ref="M12:M27" si="10">M$34*$I12</f>
        <v>2.1737167550723342</v>
      </c>
      <c r="O12" s="372">
        <f t="shared" si="5"/>
        <v>2.0756155027381071</v>
      </c>
      <c r="P12" s="373">
        <f t="shared" ref="P12:P27" si="11">P$34*$I12</f>
        <v>2.549080095070551</v>
      </c>
      <c r="R12" s="372">
        <f t="shared" si="6"/>
        <v>1.3499854238094944</v>
      </c>
      <c r="S12" s="373">
        <f t="shared" ref="S12:S27" si="12">S$34*$I12</f>
        <v>1.9157972454950101</v>
      </c>
      <c r="U12" s="372">
        <f t="shared" si="7"/>
        <v>1.3881313894231551</v>
      </c>
      <c r="V12" s="373">
        <f t="shared" ref="V12:V27" si="13">V$34*$I12</f>
        <v>1.9495258568319529</v>
      </c>
    </row>
    <row r="13" spans="1:22" x14ac:dyDescent="0.2">
      <c r="A13" s="34"/>
      <c r="B13" s="186">
        <f t="shared" si="8"/>
        <v>2020</v>
      </c>
      <c r="C13" s="37">
        <f>INDEX([18]SourceEnergy!$S$20:$T$40,MATCH($B13,[18]SourceEnergy!$R$20:$R$40,0),MATCH(C$7,[18]SourceEnergy!$S$12:$T$12,0))/10</f>
        <v>1.6382461671100319</v>
      </c>
      <c r="D13" s="37">
        <f>INDEX([18]SourceEnergy!$S$20:$T$40,MATCH($B13,[18]SourceEnergy!$R$20:$R$40,0),MATCH(D$7,[18]SourceEnergy!$S$12:$T$12,0))/10</f>
        <v>1.9577992894329896</v>
      </c>
      <c r="E13" s="37">
        <f>INDEX([18]SourceEnergy!$U$20:$V$40,MATCH($B13,[18]SourceEnergy!$R$20:$R$40,0),MATCH(E$7,[18]SourceEnergy!$U$12:$V$12,0))/10</f>
        <v>1.2992585599318851</v>
      </c>
      <c r="F13" s="37">
        <f>INDEX([18]SourceEnergy!$U$20:$V$40,MATCH($B13,[18]SourceEnergy!$R$20:$R$40,0),MATCH(F$7,[18]SourceEnergy!$U$12:$V$12,0))/10</f>
        <v>1.2343973103915908</v>
      </c>
      <c r="H13" s="75"/>
      <c r="I13" s="357">
        <f t="shared" si="9"/>
        <v>0.98499999999999999</v>
      </c>
      <c r="J13" s="357"/>
      <c r="L13" s="372">
        <f t="shared" si="4"/>
        <v>1.6136724746033815</v>
      </c>
      <c r="M13" s="373">
        <f t="shared" si="10"/>
        <v>2.1627383876224737</v>
      </c>
      <c r="O13" s="372">
        <f t="shared" si="5"/>
        <v>1.9284323000914947</v>
      </c>
      <c r="P13" s="373">
        <f t="shared" si="11"/>
        <v>2.5362059531762551</v>
      </c>
      <c r="R13" s="372">
        <f t="shared" si="6"/>
        <v>1.2797696815329067</v>
      </c>
      <c r="S13" s="373">
        <f t="shared" si="12"/>
        <v>1.9061215018308937</v>
      </c>
      <c r="U13" s="372">
        <f t="shared" si="7"/>
        <v>1.2158813507357169</v>
      </c>
      <c r="V13" s="373">
        <f t="shared" si="13"/>
        <v>1.9396797666459329</v>
      </c>
    </row>
    <row r="14" spans="1:22" x14ac:dyDescent="0.2">
      <c r="A14" s="34"/>
      <c r="B14" s="186">
        <f t="shared" si="8"/>
        <v>2021</v>
      </c>
      <c r="C14" s="37">
        <f>INDEX([18]SourceEnergy!$S$20:$T$40,MATCH($B14,[18]SourceEnergy!$R$20:$R$40,0),MATCH(C$7,[18]SourceEnergy!$S$12:$T$12,0))/10</f>
        <v>1.5185251640861384</v>
      </c>
      <c r="D14" s="37">
        <f>INDEX([18]SourceEnergy!$S$20:$T$40,MATCH($B14,[18]SourceEnergy!$R$20:$R$40,0),MATCH(D$7,[18]SourceEnergy!$S$12:$T$12,0))/10</f>
        <v>1.8105971183535239</v>
      </c>
      <c r="E14" s="37">
        <f>INDEX([18]SourceEnergy!$U$20:$V$40,MATCH($B14,[18]SourceEnergy!$R$20:$R$40,0),MATCH(E$7,[18]SourceEnergy!$U$12:$V$12,0))/10</f>
        <v>1.244764816401156</v>
      </c>
      <c r="F14" s="37">
        <f>INDEX([18]SourceEnergy!$U$20:$V$40,MATCH($B14,[18]SourceEnergy!$R$20:$R$40,0),MATCH(F$7,[18]SourceEnergy!$U$12:$V$12,0))/10</f>
        <v>1.1707348778777791</v>
      </c>
      <c r="H14" s="75"/>
      <c r="I14" s="357">
        <f t="shared" si="9"/>
        <v>0.98</v>
      </c>
      <c r="J14" s="357"/>
      <c r="L14" s="372">
        <f t="shared" si="4"/>
        <v>1.4881546608044156</v>
      </c>
      <c r="M14" s="373">
        <f t="shared" si="10"/>
        <v>2.1517600201726137</v>
      </c>
      <c r="O14" s="372">
        <f t="shared" si="5"/>
        <v>1.7743851759864533</v>
      </c>
      <c r="P14" s="373">
        <f t="shared" si="11"/>
        <v>2.5233318112819596</v>
      </c>
      <c r="R14" s="372">
        <f t="shared" si="6"/>
        <v>1.2198695200731329</v>
      </c>
      <c r="S14" s="373">
        <f t="shared" si="12"/>
        <v>1.8964457581667775</v>
      </c>
      <c r="U14" s="372">
        <f t="shared" si="7"/>
        <v>1.1473201803202235</v>
      </c>
      <c r="V14" s="373">
        <f t="shared" si="13"/>
        <v>1.9298336764599131</v>
      </c>
    </row>
    <row r="15" spans="1:22" x14ac:dyDescent="0.2">
      <c r="A15" s="34"/>
      <c r="B15" s="186">
        <f t="shared" si="8"/>
        <v>2022</v>
      </c>
      <c r="C15" s="37">
        <f>INDEX([18]SourceEnergy!$S$20:$T$40,MATCH($B15,[18]SourceEnergy!$R$20:$R$40,0),MATCH(C$7,[18]SourceEnergy!$S$12:$T$12,0))/10</f>
        <v>1.5956307367552554</v>
      </c>
      <c r="D15" s="37">
        <f>INDEX([18]SourceEnergy!$S$20:$T$40,MATCH($B15,[18]SourceEnergy!$R$20:$R$40,0),MATCH(D$7,[18]SourceEnergy!$S$12:$T$12,0))/10</f>
        <v>1.8936371169358903</v>
      </c>
      <c r="E15" s="37">
        <f>INDEX([18]SourceEnergy!$U$20:$V$40,MATCH($B15,[18]SourceEnergy!$R$20:$R$40,0),MATCH(E$7,[18]SourceEnergy!$U$12:$V$12,0))/10</f>
        <v>1.348020012273683</v>
      </c>
      <c r="F15" s="37">
        <f>INDEX([18]SourceEnergy!$U$20:$V$40,MATCH($B15,[18]SourceEnergy!$R$20:$R$40,0),MATCH(F$7,[18]SourceEnergy!$U$12:$V$12,0))/10</f>
        <v>1.3007789833222878</v>
      </c>
      <c r="H15" s="75"/>
      <c r="I15" s="357">
        <f t="shared" si="9"/>
        <v>0.97499999999999998</v>
      </c>
      <c r="J15" s="357"/>
      <c r="L15" s="372">
        <f t="shared" si="4"/>
        <v>1.555739968336374</v>
      </c>
      <c r="M15" s="373">
        <f t="shared" si="10"/>
        <v>2.1407816527227532</v>
      </c>
      <c r="O15" s="372">
        <f t="shared" si="5"/>
        <v>1.8462961890124929</v>
      </c>
      <c r="P15" s="373">
        <f t="shared" si="11"/>
        <v>2.5104576693876637</v>
      </c>
      <c r="R15" s="372">
        <f t="shared" si="6"/>
        <v>1.3143195119668409</v>
      </c>
      <c r="S15" s="373">
        <f t="shared" si="12"/>
        <v>1.8867700145026614</v>
      </c>
      <c r="U15" s="372">
        <f t="shared" si="7"/>
        <v>1.2682595087392305</v>
      </c>
      <c r="V15" s="373">
        <f t="shared" si="13"/>
        <v>1.9199875862738931</v>
      </c>
    </row>
    <row r="16" spans="1:22" x14ac:dyDescent="0.2">
      <c r="A16" s="34"/>
      <c r="B16" s="186">
        <f t="shared" si="8"/>
        <v>2023</v>
      </c>
      <c r="C16" s="37">
        <f>INDEX([18]SourceEnergy!$S$20:$T$40,MATCH($B16,[18]SourceEnergy!$R$20:$R$40,0),MATCH(C$7,[18]SourceEnergy!$S$12:$T$12,0))/10</f>
        <v>1.739189424786423</v>
      </c>
      <c r="D16" s="37">
        <f>INDEX([18]SourceEnergy!$S$20:$T$40,MATCH($B16,[18]SourceEnergy!$R$20:$R$40,0),MATCH(D$7,[18]SourceEnergy!$S$12:$T$12,0))/10</f>
        <v>2.0484919651643572</v>
      </c>
      <c r="E16" s="37">
        <f>INDEX([18]SourceEnergy!$U$20:$V$40,MATCH($B16,[18]SourceEnergy!$R$20:$R$40,0),MATCH(E$7,[18]SourceEnergy!$U$12:$V$12,0))/10</f>
        <v>1.5485558054822826</v>
      </c>
      <c r="F16" s="37">
        <f>INDEX([18]SourceEnergy!$U$20:$V$40,MATCH($B16,[18]SourceEnergy!$R$20:$R$40,0),MATCH(F$7,[18]SourceEnergy!$U$12:$V$12,0))/10</f>
        <v>1.5387411597207596</v>
      </c>
      <c r="H16" s="75"/>
      <c r="I16" s="357">
        <f t="shared" si="9"/>
        <v>0.97</v>
      </c>
      <c r="J16" s="357"/>
      <c r="L16" s="372">
        <f t="shared" si="4"/>
        <v>1.6870137420428304</v>
      </c>
      <c r="M16" s="373">
        <f t="shared" si="10"/>
        <v>2.1298032852728932</v>
      </c>
      <c r="O16" s="372">
        <f t="shared" si="5"/>
        <v>1.9870372062094264</v>
      </c>
      <c r="P16" s="373">
        <f t="shared" si="11"/>
        <v>2.4975835274933682</v>
      </c>
      <c r="R16" s="372">
        <f t="shared" si="6"/>
        <v>1.502099131317814</v>
      </c>
      <c r="S16" s="373">
        <f t="shared" si="12"/>
        <v>1.8770942708385452</v>
      </c>
      <c r="U16" s="372">
        <f t="shared" si="7"/>
        <v>1.4925789249291368</v>
      </c>
      <c r="V16" s="373">
        <f t="shared" si="13"/>
        <v>1.9101414960878731</v>
      </c>
    </row>
    <row r="17" spans="1:22" x14ac:dyDescent="0.2">
      <c r="A17" s="34"/>
      <c r="B17" s="186">
        <f t="shared" si="8"/>
        <v>2024</v>
      </c>
      <c r="C17" s="37">
        <f>INDEX([18]SourceEnergy!$S$20:$T$40,MATCH($B17,[18]SourceEnergy!$R$20:$R$40,0),MATCH(C$7,[18]SourceEnergy!$S$12:$T$12,0))/10</f>
        <v>1.7223193943568311</v>
      </c>
      <c r="D17" s="37">
        <f>INDEX([18]SourceEnergy!$S$20:$T$40,MATCH($B17,[18]SourceEnergy!$R$20:$R$40,0),MATCH(D$7,[18]SourceEnergy!$S$12:$T$12,0))/10</f>
        <v>1.9819829308773105</v>
      </c>
      <c r="E17" s="37">
        <f>INDEX([18]SourceEnergy!$U$20:$V$40,MATCH($B17,[18]SourceEnergy!$R$20:$R$40,0),MATCH(E$7,[18]SourceEnergy!$U$12:$V$12,0))/10</f>
        <v>1.553523363930164</v>
      </c>
      <c r="F17" s="37">
        <f>INDEX([18]SourceEnergy!$U$20:$V$40,MATCH($B17,[18]SourceEnergy!$R$20:$R$40,0),MATCH(F$7,[18]SourceEnergy!$U$12:$V$12,0))/10</f>
        <v>1.5807508210359089</v>
      </c>
      <c r="H17" s="75"/>
      <c r="I17" s="357">
        <f t="shared" si="9"/>
        <v>0.96499999999999997</v>
      </c>
      <c r="J17" s="357"/>
      <c r="L17" s="372">
        <f t="shared" si="4"/>
        <v>1.6620382155543421</v>
      </c>
      <c r="M17" s="373">
        <f t="shared" si="10"/>
        <v>2.1188249178230327</v>
      </c>
      <c r="O17" s="372">
        <f t="shared" si="5"/>
        <v>1.9126135282966046</v>
      </c>
      <c r="P17" s="373">
        <f t="shared" si="11"/>
        <v>2.4847093855990723</v>
      </c>
      <c r="R17" s="372">
        <f t="shared" si="6"/>
        <v>1.4991500461926082</v>
      </c>
      <c r="S17" s="373">
        <f t="shared" si="12"/>
        <v>1.8674185271744288</v>
      </c>
      <c r="U17" s="372">
        <f t="shared" si="7"/>
        <v>1.525424542299652</v>
      </c>
      <c r="V17" s="373">
        <f t="shared" si="13"/>
        <v>1.9002954059018531</v>
      </c>
    </row>
    <row r="18" spans="1:22" x14ac:dyDescent="0.2">
      <c r="A18" s="34"/>
      <c r="B18" s="186">
        <f t="shared" si="8"/>
        <v>2025</v>
      </c>
      <c r="C18" s="37">
        <f>INDEX([18]SourceEnergy!$S$20:$T$40,MATCH($B18,[18]SourceEnergy!$R$20:$R$40,0),MATCH(C$7,[18]SourceEnergy!$S$12:$T$12,0))/10</f>
        <v>2.0801948693845689</v>
      </c>
      <c r="D18" s="37">
        <f>INDEX([18]SourceEnergy!$S$20:$T$40,MATCH($B18,[18]SourceEnergy!$R$20:$R$40,0),MATCH(D$7,[18]SourceEnergy!$S$12:$T$12,0))/10</f>
        <v>2.400728628538439</v>
      </c>
      <c r="E18" s="37">
        <f>INDEX([18]SourceEnergy!$U$20:$V$40,MATCH($B18,[18]SourceEnergy!$R$20:$R$40,0),MATCH(E$7,[18]SourceEnergy!$U$12:$V$12,0))/10</f>
        <v>1.876516073558804</v>
      </c>
      <c r="F18" s="37">
        <f>INDEX([18]SourceEnergy!$U$20:$V$40,MATCH($B18,[18]SourceEnergy!$R$20:$R$40,0),MATCH(F$7,[18]SourceEnergy!$U$12:$V$12,0))/10</f>
        <v>1.9013265737107521</v>
      </c>
      <c r="H18" s="75"/>
      <c r="I18" s="357">
        <f t="shared" si="9"/>
        <v>0.96</v>
      </c>
      <c r="J18" s="357"/>
      <c r="L18" s="372">
        <f t="shared" si="4"/>
        <v>1.996987074609186</v>
      </c>
      <c r="M18" s="373">
        <f t="shared" si="10"/>
        <v>2.1078465503731723</v>
      </c>
      <c r="O18" s="372">
        <f t="shared" si="5"/>
        <v>2.3046994833969014</v>
      </c>
      <c r="P18" s="373">
        <f t="shared" si="11"/>
        <v>2.4718352437047768</v>
      </c>
      <c r="R18" s="372">
        <f t="shared" si="6"/>
        <v>1.8014554306164519</v>
      </c>
      <c r="S18" s="373">
        <f t="shared" si="12"/>
        <v>1.8577427835103126</v>
      </c>
      <c r="U18" s="372">
        <f t="shared" si="7"/>
        <v>1.8252735107623219</v>
      </c>
      <c r="V18" s="373">
        <f t="shared" si="13"/>
        <v>1.8904493157158331</v>
      </c>
    </row>
    <row r="19" spans="1:22" x14ac:dyDescent="0.2">
      <c r="A19" s="34"/>
      <c r="B19" s="186">
        <f t="shared" si="8"/>
        <v>2026</v>
      </c>
      <c r="C19" s="37">
        <f>INDEX([18]SourceEnergy!$S$20:$T$40,MATCH($B19,[18]SourceEnergy!$R$20:$R$40,0),MATCH(C$7,[18]SourceEnergy!$S$12:$T$12,0))/10</f>
        <v>2.1674588972223736</v>
      </c>
      <c r="D19" s="37">
        <f>INDEX([18]SourceEnergy!$S$20:$T$40,MATCH($B19,[18]SourceEnergy!$R$20:$R$40,0),MATCH(D$7,[18]SourceEnergy!$S$12:$T$12,0))/10</f>
        <v>2.5309496371386997</v>
      </c>
      <c r="E19" s="37">
        <f>INDEX([18]SourceEnergy!$U$20:$V$40,MATCH($B19,[18]SourceEnergy!$R$20:$R$40,0),MATCH(E$7,[18]SourceEnergy!$U$12:$V$12,0))/10</f>
        <v>1.9443757960550851</v>
      </c>
      <c r="F19" s="37">
        <f>INDEX([18]SourceEnergy!$U$20:$V$40,MATCH($B19,[18]SourceEnergy!$R$20:$R$40,0),MATCH(F$7,[18]SourceEnergy!$U$12:$V$12,0))/10</f>
        <v>2.0353299870222323</v>
      </c>
      <c r="H19" s="75"/>
      <c r="I19" s="357">
        <f t="shared" si="9"/>
        <v>0.95499999999999996</v>
      </c>
      <c r="J19" s="357"/>
      <c r="L19" s="372">
        <f t="shared" si="4"/>
        <v>2.0699232468473667</v>
      </c>
      <c r="M19" s="373">
        <f t="shared" si="10"/>
        <v>2.0968681829233122</v>
      </c>
      <c r="O19" s="372">
        <f t="shared" si="5"/>
        <v>2.4170569034674583</v>
      </c>
      <c r="P19" s="373">
        <f t="shared" si="11"/>
        <v>2.4589611018104809</v>
      </c>
      <c r="R19" s="372">
        <f t="shared" si="6"/>
        <v>1.8568788852326061</v>
      </c>
      <c r="S19" s="373">
        <f t="shared" si="12"/>
        <v>1.8480670398461965</v>
      </c>
      <c r="U19" s="372">
        <f t="shared" si="7"/>
        <v>1.9437401376062318</v>
      </c>
      <c r="V19" s="373">
        <f t="shared" si="13"/>
        <v>1.8806032255298131</v>
      </c>
    </row>
    <row r="20" spans="1:22" x14ac:dyDescent="0.2">
      <c r="A20" s="34"/>
      <c r="B20" s="186">
        <f t="shared" si="8"/>
        <v>2027</v>
      </c>
      <c r="C20" s="37">
        <f>INDEX([18]SourceEnergy!$S$20:$T$40,MATCH($B20,[18]SourceEnergy!$R$20:$R$40,0),MATCH(C$7,[18]SourceEnergy!$S$12:$T$12,0))/10</f>
        <v>2.109463966517144</v>
      </c>
      <c r="D20" s="37">
        <f>INDEX([18]SourceEnergy!$S$20:$T$40,MATCH($B20,[18]SourceEnergy!$R$20:$R$40,0),MATCH(D$7,[18]SourceEnergy!$S$12:$T$12,0))/10</f>
        <v>2.4420263822643342</v>
      </c>
      <c r="E20" s="37">
        <f>INDEX([18]SourceEnergy!$U$20:$V$40,MATCH($B20,[18]SourceEnergy!$R$20:$R$40,0),MATCH(E$7,[18]SourceEnergy!$U$12:$V$12,0))/10</f>
        <v>1.9097223779005386</v>
      </c>
      <c r="F20" s="37">
        <f>INDEX([18]SourceEnergy!$U$20:$V$40,MATCH($B20,[18]SourceEnergy!$R$20:$R$40,0),MATCH(F$7,[18]SourceEnergy!$U$12:$V$12,0))/10</f>
        <v>1.9916010573711127</v>
      </c>
      <c r="H20" s="75"/>
      <c r="I20" s="357">
        <f t="shared" si="9"/>
        <v>0.95</v>
      </c>
      <c r="J20" s="357"/>
      <c r="L20" s="372">
        <f t="shared" si="4"/>
        <v>2.0039907681912865</v>
      </c>
      <c r="M20" s="373">
        <f t="shared" si="10"/>
        <v>2.0858898154734518</v>
      </c>
      <c r="O20" s="372">
        <f t="shared" si="5"/>
        <v>2.3199250631511172</v>
      </c>
      <c r="P20" s="373">
        <f t="shared" si="11"/>
        <v>2.446086959916185</v>
      </c>
      <c r="R20" s="372">
        <f t="shared" si="6"/>
        <v>1.8142362590055114</v>
      </c>
      <c r="S20" s="373">
        <f t="shared" si="12"/>
        <v>1.8383912961820803</v>
      </c>
      <c r="U20" s="372">
        <f t="shared" si="7"/>
        <v>1.8920210045025569</v>
      </c>
      <c r="V20" s="373">
        <f t="shared" si="13"/>
        <v>1.8707571353437933</v>
      </c>
    </row>
    <row r="21" spans="1:22" x14ac:dyDescent="0.2">
      <c r="A21" s="34"/>
      <c r="B21" s="186">
        <f t="shared" si="8"/>
        <v>2028</v>
      </c>
      <c r="C21" s="37">
        <f>INDEX([18]SourceEnergy!$S$20:$T$40,MATCH($B21,[18]SourceEnergy!$R$20:$R$40,0),MATCH(C$7,[18]SourceEnergy!$S$12:$T$12,0))/10</f>
        <v>2.9317194524675205</v>
      </c>
      <c r="D21" s="37">
        <f>INDEX([18]SourceEnergy!$S$20:$T$40,MATCH($B21,[18]SourceEnergy!$R$20:$R$40,0),MATCH(D$7,[18]SourceEnergy!$S$12:$T$12,0))/10</f>
        <v>3.3929932687913711</v>
      </c>
      <c r="E21" s="37">
        <f>INDEX([18]SourceEnergy!$U$20:$V$40,MATCH($B21,[18]SourceEnergy!$R$20:$R$40,0),MATCH(E$7,[18]SourceEnergy!$U$12:$V$12,0))/10</f>
        <v>2.6715724236871781</v>
      </c>
      <c r="F21" s="37">
        <f>INDEX([18]SourceEnergy!$U$20:$V$40,MATCH($B21,[18]SourceEnergy!$R$20:$R$40,0),MATCH(F$7,[18]SourceEnergy!$U$12:$V$12,0))/10</f>
        <v>2.7879168532680119</v>
      </c>
      <c r="H21" s="75"/>
      <c r="I21" s="357">
        <f t="shared" si="9"/>
        <v>0.94499999999999995</v>
      </c>
      <c r="J21" s="357"/>
      <c r="L21" s="372">
        <f t="shared" si="4"/>
        <v>2.7704748825818069</v>
      </c>
      <c r="M21" s="373">
        <f t="shared" si="10"/>
        <v>2.0749114480235917</v>
      </c>
      <c r="O21" s="372">
        <f t="shared" si="5"/>
        <v>3.2063786390078457</v>
      </c>
      <c r="P21" s="373">
        <f t="shared" si="11"/>
        <v>2.4332128180218895</v>
      </c>
      <c r="R21" s="372">
        <f t="shared" si="6"/>
        <v>2.5246359403843832</v>
      </c>
      <c r="S21" s="373">
        <f t="shared" si="12"/>
        <v>1.8287155525179639</v>
      </c>
      <c r="U21" s="372">
        <f t="shared" si="7"/>
        <v>2.6345814263382712</v>
      </c>
      <c r="V21" s="373">
        <f t="shared" si="13"/>
        <v>1.8609110451577733</v>
      </c>
    </row>
    <row r="22" spans="1:22" x14ac:dyDescent="0.2">
      <c r="A22" s="34"/>
      <c r="B22" s="186">
        <f t="shared" si="8"/>
        <v>2029</v>
      </c>
      <c r="C22" s="37">
        <f>INDEX([18]SourceEnergy!$S$20:$T$40,MATCH($B22,[18]SourceEnergy!$R$20:$R$40,0),MATCH(C$7,[18]SourceEnergy!$S$12:$T$12,0))/10</f>
        <v>3.3990223305836893</v>
      </c>
      <c r="D22" s="37">
        <f>INDEX([18]SourceEnergy!$S$20:$T$40,MATCH($B22,[18]SourceEnergy!$R$20:$R$40,0),MATCH(D$7,[18]SourceEnergy!$S$12:$T$12,0))/10</f>
        <v>3.8849379331301988</v>
      </c>
      <c r="E22" s="37">
        <f>INDEX([18]SourceEnergy!$U$20:$V$40,MATCH($B22,[18]SourceEnergy!$R$20:$R$40,0),MATCH(E$7,[18]SourceEnergy!$U$12:$V$12,0))/10</f>
        <v>3.1015720226839258</v>
      </c>
      <c r="F22" s="37">
        <f>INDEX([18]SourceEnergy!$U$20:$V$40,MATCH($B22,[18]SourceEnergy!$R$20:$R$40,0),MATCH(F$7,[18]SourceEnergy!$U$12:$V$12,0))/10</f>
        <v>3.2160920595185174</v>
      </c>
      <c r="H22" s="75"/>
      <c r="I22" s="357">
        <f t="shared" si="9"/>
        <v>0.94</v>
      </c>
      <c r="J22" s="357"/>
      <c r="L22" s="372">
        <f t="shared" si="4"/>
        <v>3.1950809907486679</v>
      </c>
      <c r="M22" s="373">
        <f t="shared" si="10"/>
        <v>2.0639330805737313</v>
      </c>
      <c r="O22" s="372">
        <f t="shared" si="5"/>
        <v>3.6518416571423864</v>
      </c>
      <c r="P22" s="373">
        <f t="shared" si="11"/>
        <v>2.4203386761275936</v>
      </c>
      <c r="R22" s="372">
        <f t="shared" si="6"/>
        <v>2.9154777013228901</v>
      </c>
      <c r="S22" s="373">
        <f t="shared" si="12"/>
        <v>1.8190398088538478</v>
      </c>
      <c r="U22" s="372">
        <f t="shared" si="7"/>
        <v>3.023126535947406</v>
      </c>
      <c r="V22" s="373">
        <f t="shared" si="13"/>
        <v>1.8510649549717533</v>
      </c>
    </row>
    <row r="23" spans="1:22" x14ac:dyDescent="0.2">
      <c r="A23" s="34"/>
      <c r="B23" s="186">
        <f t="shared" si="8"/>
        <v>2030</v>
      </c>
      <c r="C23" s="37">
        <f>INDEX([18]SourceEnergy!$S$20:$T$40,MATCH($B23,[18]SourceEnergy!$R$20:$R$40,0),MATCH(C$7,[18]SourceEnergy!$S$12:$T$12,0))/10</f>
        <v>3.7584131236505058</v>
      </c>
      <c r="D23" s="37">
        <f>INDEX([18]SourceEnergy!$S$20:$T$40,MATCH($B23,[18]SourceEnergy!$R$20:$R$40,0),MATCH(D$7,[18]SourceEnergy!$S$12:$T$12,0))/10</f>
        <v>4.3303112974040454</v>
      </c>
      <c r="E23" s="37">
        <f>INDEX([18]SourceEnergy!$U$20:$V$40,MATCH($B23,[18]SourceEnergy!$R$20:$R$40,0),MATCH(E$7,[18]SourceEnergy!$U$12:$V$12,0))/10</f>
        <v>3.4991975157778157</v>
      </c>
      <c r="F23" s="37">
        <f>INDEX([18]SourceEnergy!$U$20:$V$40,MATCH($B23,[18]SourceEnergy!$R$20:$R$40,0),MATCH(F$7,[18]SourceEnergy!$U$12:$V$12,0))/10</f>
        <v>3.5714212699285399</v>
      </c>
      <c r="H23" s="75"/>
      <c r="I23" s="357">
        <f t="shared" si="9"/>
        <v>0.93499999999999994</v>
      </c>
      <c r="J23" s="357"/>
      <c r="L23" s="372">
        <f t="shared" si="4"/>
        <v>3.514116270613223</v>
      </c>
      <c r="M23" s="373">
        <f t="shared" si="10"/>
        <v>2.0529547131238708</v>
      </c>
      <c r="O23" s="372">
        <f t="shared" si="5"/>
        <v>4.048841063072782</v>
      </c>
      <c r="P23" s="373">
        <f t="shared" si="11"/>
        <v>2.4074645342332981</v>
      </c>
      <c r="R23" s="372">
        <f t="shared" si="6"/>
        <v>3.2717496772522576</v>
      </c>
      <c r="S23" s="373">
        <f t="shared" si="12"/>
        <v>1.8093640651897316</v>
      </c>
      <c r="U23" s="372">
        <f t="shared" si="7"/>
        <v>3.3392788873831845</v>
      </c>
      <c r="V23" s="373">
        <f t="shared" si="13"/>
        <v>1.8412188647857333</v>
      </c>
    </row>
    <row r="24" spans="1:22" x14ac:dyDescent="0.2">
      <c r="A24" s="34"/>
      <c r="B24" s="186">
        <f t="shared" si="8"/>
        <v>2031</v>
      </c>
      <c r="C24" s="37">
        <f>INDEX([18]SourceEnergy!$S$20:$T$40,MATCH($B24,[18]SourceEnergy!$R$20:$R$40,0),MATCH(C$7,[18]SourceEnergy!$S$12:$T$12,0))/10</f>
        <v>3.8870186297674842</v>
      </c>
      <c r="D24" s="37">
        <f>INDEX([18]SourceEnergy!$S$20:$T$40,MATCH($B24,[18]SourceEnergy!$R$20:$R$40,0),MATCH(D$7,[18]SourceEnergy!$S$12:$T$12,0))/10</f>
        <v>4.4299158802103396</v>
      </c>
      <c r="E24" s="37">
        <f>INDEX([18]SourceEnergy!$U$20:$V$40,MATCH($B24,[18]SourceEnergy!$R$20:$R$40,0),MATCH(E$7,[18]SourceEnergy!$U$12:$V$12,0))/10</f>
        <v>3.6003649800960909</v>
      </c>
      <c r="F24" s="37">
        <f>INDEX([18]SourceEnergy!$U$20:$V$40,MATCH($B24,[18]SourceEnergy!$R$20:$R$40,0),MATCH(F$7,[18]SourceEnergy!$U$12:$V$12,0))/10</f>
        <v>3.6911412462192912</v>
      </c>
      <c r="H24" s="75"/>
      <c r="I24" s="357">
        <f t="shared" si="9"/>
        <v>0.92999999999999994</v>
      </c>
      <c r="J24" s="357"/>
      <c r="L24" s="372">
        <f t="shared" si="4"/>
        <v>3.6149273256837602</v>
      </c>
      <c r="M24" s="373">
        <f t="shared" si="10"/>
        <v>2.0419763456740108</v>
      </c>
      <c r="O24" s="372">
        <f t="shared" si="5"/>
        <v>4.1198217685956156</v>
      </c>
      <c r="P24" s="373">
        <f t="shared" si="11"/>
        <v>2.3945903923390022</v>
      </c>
      <c r="R24" s="372">
        <f t="shared" si="6"/>
        <v>3.3483394314893644</v>
      </c>
      <c r="S24" s="373">
        <f t="shared" si="12"/>
        <v>1.7996883215256154</v>
      </c>
      <c r="U24" s="372">
        <f t="shared" si="7"/>
        <v>3.4327613589839405</v>
      </c>
      <c r="V24" s="373">
        <f t="shared" si="13"/>
        <v>1.8313727745997133</v>
      </c>
    </row>
    <row r="25" spans="1:22" x14ac:dyDescent="0.2">
      <c r="A25" s="34"/>
      <c r="B25" s="186">
        <f t="shared" si="8"/>
        <v>2032</v>
      </c>
      <c r="C25" s="37">
        <f>INDEX([18]SourceEnergy!$S$20:$T$40,MATCH($B25,[18]SourceEnergy!$R$20:$R$40,0),MATCH(C$7,[18]SourceEnergy!$S$12:$T$12,0))/10</f>
        <v>4.193809437919529</v>
      </c>
      <c r="D25" s="37">
        <f>INDEX([18]SourceEnergy!$S$20:$T$40,MATCH($B25,[18]SourceEnergy!$R$20:$R$40,0),MATCH(D$7,[18]SourceEnergy!$S$12:$T$12,0))/10</f>
        <v>4.7875763294325377</v>
      </c>
      <c r="E25" s="37">
        <f>INDEX([18]SourceEnergy!$U$20:$V$40,MATCH($B25,[18]SourceEnergy!$R$20:$R$40,0),MATCH(E$7,[18]SourceEnergy!$U$12:$V$12,0))/10</f>
        <v>3.8643593265807867</v>
      </c>
      <c r="F25" s="37">
        <f>INDEX([18]SourceEnergy!$U$20:$V$40,MATCH($B25,[18]SourceEnergy!$R$20:$R$40,0),MATCH(F$7,[18]SourceEnergy!$U$12:$V$12,0))/10</f>
        <v>4.0539331989080987</v>
      </c>
      <c r="H25" s="75"/>
      <c r="I25" s="357">
        <f t="shared" si="9"/>
        <v>0.92499999999999993</v>
      </c>
      <c r="J25" s="357"/>
      <c r="L25" s="372">
        <f t="shared" si="4"/>
        <v>3.879273730075564</v>
      </c>
      <c r="M25" s="373">
        <f t="shared" si="10"/>
        <v>2.0309979782241503</v>
      </c>
      <c r="O25" s="372">
        <f t="shared" si="5"/>
        <v>4.4285081047250969</v>
      </c>
      <c r="P25" s="373">
        <f t="shared" si="11"/>
        <v>2.3817162504447067</v>
      </c>
      <c r="R25" s="372">
        <f t="shared" si="6"/>
        <v>3.5745323770872273</v>
      </c>
      <c r="S25" s="373">
        <f t="shared" si="12"/>
        <v>1.790012577861499</v>
      </c>
      <c r="U25" s="372">
        <f t="shared" si="7"/>
        <v>3.749888208989991</v>
      </c>
      <c r="V25" s="373">
        <f t="shared" si="13"/>
        <v>1.8215266844136933</v>
      </c>
    </row>
    <row r="26" spans="1:22" x14ac:dyDescent="0.2">
      <c r="A26" s="34"/>
      <c r="B26" s="186">
        <f t="shared" si="8"/>
        <v>2033</v>
      </c>
      <c r="C26" s="37">
        <f>INDEX([18]SourceEnergy!$S$20:$T$40,MATCH($B26,[18]SourceEnergy!$R$20:$R$40,0),MATCH(C$7,[18]SourceEnergy!$S$12:$T$12,0))/10</f>
        <v>7.8958734457551172</v>
      </c>
      <c r="D26" s="37">
        <f>INDEX([18]SourceEnergy!$S$20:$T$40,MATCH($B26,[18]SourceEnergy!$R$20:$R$40,0),MATCH(D$7,[18]SourceEnergy!$S$12:$T$12,0))/10</f>
        <v>9.0946614774102628</v>
      </c>
      <c r="E26" s="37">
        <f>INDEX([18]SourceEnergy!$U$20:$V$40,MATCH($B26,[18]SourceEnergy!$R$20:$R$40,0),MATCH(E$7,[18]SourceEnergy!$U$12:$V$12,0))/10</f>
        <v>7.3549060477789521</v>
      </c>
      <c r="F26" s="37">
        <f>INDEX([18]SourceEnergy!$U$20:$V$40,MATCH($B26,[18]SourceEnergy!$R$20:$R$40,0),MATCH(F$7,[18]SourceEnergy!$U$12:$V$12,0))/10</f>
        <v>7.7195785698281556</v>
      </c>
      <c r="H26" s="75"/>
      <c r="I26" s="357">
        <f t="shared" si="9"/>
        <v>0.91999999999999993</v>
      </c>
      <c r="J26" s="357"/>
      <c r="L26" s="372">
        <f t="shared" si="4"/>
        <v>7.2642035700947076</v>
      </c>
      <c r="M26" s="373">
        <f t="shared" si="10"/>
        <v>2.0200196107742903</v>
      </c>
      <c r="O26" s="372">
        <f t="shared" si="5"/>
        <v>8.3670885592174411</v>
      </c>
      <c r="P26" s="373">
        <f t="shared" si="11"/>
        <v>2.3688421085504108</v>
      </c>
      <c r="R26" s="372">
        <f t="shared" si="6"/>
        <v>6.7665135639566349</v>
      </c>
      <c r="S26" s="373">
        <f t="shared" si="12"/>
        <v>1.7803368341973829</v>
      </c>
      <c r="U26" s="372">
        <f t="shared" si="7"/>
        <v>7.1020122842419022</v>
      </c>
      <c r="V26" s="373">
        <f t="shared" si="13"/>
        <v>1.8116805942276732</v>
      </c>
    </row>
    <row r="27" spans="1:22" x14ac:dyDescent="0.2">
      <c r="A27" s="34"/>
      <c r="B27" s="186">
        <f t="shared" si="8"/>
        <v>2034</v>
      </c>
      <c r="C27" s="37">
        <f>INDEX([18]SourceEnergy!$S$20:$T$40,MATCH($B27,[18]SourceEnergy!$R$20:$R$40,0),MATCH(C$7,[18]SourceEnergy!$S$12:$T$12,0))/10</f>
        <v>8.1972950750179443</v>
      </c>
      <c r="D27" s="37">
        <f>INDEX([18]SourceEnergy!$S$20:$T$40,MATCH($B27,[18]SourceEnergy!$R$20:$R$40,0),MATCH(D$7,[18]SourceEnergy!$S$12:$T$12,0))/10</f>
        <v>9.2694002803828894</v>
      </c>
      <c r="E27" s="37">
        <f>INDEX([18]SourceEnergy!$U$20:$V$40,MATCH($B27,[18]SourceEnergy!$R$20:$R$40,0),MATCH(E$7,[18]SourceEnergy!$U$12:$V$12,0))/10</f>
        <v>7.6630379606103762</v>
      </c>
      <c r="F27" s="37">
        <f>INDEX([18]SourceEnergy!$U$20:$V$40,MATCH($B27,[18]SourceEnergy!$R$20:$R$40,0),MATCH(F$7,[18]SourceEnergy!$U$12:$V$12,0))/10</f>
        <v>7.9345494714996079</v>
      </c>
      <c r="H27" s="75"/>
      <c r="I27" s="357">
        <f t="shared" si="9"/>
        <v>0.91499999999999992</v>
      </c>
      <c r="J27" s="357"/>
      <c r="L27" s="372">
        <f t="shared" si="4"/>
        <v>7.5005249936414184</v>
      </c>
      <c r="M27" s="373">
        <f t="shared" si="10"/>
        <v>2.0090412433244298</v>
      </c>
      <c r="O27" s="372">
        <f t="shared" si="5"/>
        <v>8.4815012565503434</v>
      </c>
      <c r="P27" s="373">
        <f t="shared" si="11"/>
        <v>2.3559679666561153</v>
      </c>
      <c r="R27" s="372">
        <f t="shared" si="6"/>
        <v>7.011679733958494</v>
      </c>
      <c r="S27" s="373">
        <f t="shared" si="12"/>
        <v>1.7706610905332667</v>
      </c>
      <c r="U27" s="372">
        <f t="shared" si="7"/>
        <v>7.2601127664221403</v>
      </c>
      <c r="V27" s="373">
        <f t="shared" si="13"/>
        <v>1.8018345040416535</v>
      </c>
    </row>
    <row r="28" spans="1:22" x14ac:dyDescent="0.2">
      <c r="A28" s="34"/>
      <c r="B28" s="186">
        <f t="shared" ref="B28:B30" si="14">B27+1</f>
        <v>2035</v>
      </c>
      <c r="C28" s="37">
        <f>INDEX([18]SourceEnergy!$S$20:$T$40,MATCH($B28,[18]SourceEnergy!$R$20:$R$40,0),MATCH(C$7,[18]SourceEnergy!$S$12:$T$12,0))/10</f>
        <v>8.3575192988592573</v>
      </c>
      <c r="D28" s="37">
        <f>INDEX([18]SourceEnergy!$S$20:$T$40,MATCH($B28,[18]SourceEnergy!$R$20:$R$40,0),MATCH(D$7,[18]SourceEnergy!$S$12:$T$12,0))/10</f>
        <v>9.6382203391638175</v>
      </c>
      <c r="E28" s="37">
        <f>INDEX([18]SourceEnergy!$U$20:$V$40,MATCH($B28,[18]SourceEnergy!$R$20:$R$40,0),MATCH(E$7,[18]SourceEnergy!$U$12:$V$12,0))/10</f>
        <v>7.7909587822947302</v>
      </c>
      <c r="F28" s="37">
        <f>INDEX([18]SourceEnergy!$U$20:$V$40,MATCH($B28,[18]SourceEnergy!$R$20:$R$40,0),MATCH(F$7,[18]SourceEnergy!$U$12:$V$12,0))/10</f>
        <v>8.2262364227777098</v>
      </c>
      <c r="H28" s="75"/>
      <c r="I28" s="357"/>
      <c r="J28" s="357"/>
      <c r="L28" s="358"/>
      <c r="O28" s="358"/>
      <c r="R28" s="358"/>
      <c r="U28" s="358"/>
    </row>
    <row r="29" spans="1:22" x14ac:dyDescent="0.2">
      <c r="A29" s="34"/>
      <c r="B29" s="186">
        <f t="shared" si="14"/>
        <v>2036</v>
      </c>
      <c r="C29" s="37">
        <f>INDEX([18]SourceEnergy!$S$20:$T$40,MATCH($B29,[18]SourceEnergy!$R$20:$R$40,0),MATCH(C$7,[18]SourceEnergy!$S$12:$T$12,0))/10</f>
        <v>8.5665377068006023</v>
      </c>
      <c r="D29" s="37">
        <f>INDEX([18]SourceEnergy!$S$20:$T$40,MATCH($B29,[18]SourceEnergy!$R$20:$R$40,0),MATCH(D$7,[18]SourceEnergy!$S$12:$T$12,0))/10</f>
        <v>9.8800168176629164</v>
      </c>
      <c r="E29" s="37">
        <f>INDEX([18]SourceEnergy!$U$20:$V$40,MATCH($B29,[18]SourceEnergy!$R$20:$R$40,0),MATCH(E$7,[18]SourceEnergy!$U$12:$V$12,0))/10</f>
        <v>8.061412215740976</v>
      </c>
      <c r="F29" s="37">
        <f>INDEX([18]SourceEnergy!$U$20:$V$40,MATCH($B29,[18]SourceEnergy!$R$20:$R$40,0),MATCH(F$7,[18]SourceEnergy!$U$12:$V$12,0))/10</f>
        <v>8.4571979427091328</v>
      </c>
      <c r="H29" s="75"/>
      <c r="I29" s="357"/>
      <c r="J29" s="357"/>
      <c r="L29" s="358"/>
      <c r="O29" s="358"/>
      <c r="R29" s="358"/>
      <c r="U29" s="358"/>
    </row>
    <row r="30" spans="1:22" x14ac:dyDescent="0.2">
      <c r="A30" s="34"/>
      <c r="B30" s="186">
        <f t="shared" si="14"/>
        <v>2037</v>
      </c>
      <c r="C30" s="37">
        <f>INDEX([18]SourceEnergy!$S$20:$T$40,MATCH($B30,[18]SourceEnergy!$R$20:$R$40,0),MATCH(C$7,[18]SourceEnergy!$S$12:$T$12,0))/10</f>
        <v>8.8636247757458495</v>
      </c>
      <c r="D30" s="37">
        <f>INDEX([18]SourceEnergy!$S$20:$T$40,MATCH($B30,[18]SourceEnergy!$R$20:$R$40,0),MATCH(D$7,[18]SourceEnergy!$S$12:$T$12,0))/10</f>
        <v>10.135131703668266</v>
      </c>
      <c r="E30" s="37">
        <f>INDEX([18]SourceEnergy!$U$20:$V$40,MATCH($B30,[18]SourceEnergy!$R$20:$R$40,0),MATCH(E$7,[18]SourceEnergy!$U$12:$V$12,0))/10</f>
        <v>8.3282445465992261</v>
      </c>
      <c r="F30" s="37">
        <f>INDEX([18]SourceEnergy!$U$20:$V$40,MATCH($B30,[18]SourceEnergy!$R$20:$R$40,0),MATCH(F$7,[18]SourceEnergy!$U$12:$V$12,0))/10</f>
        <v>8.7358254787045997</v>
      </c>
      <c r="H30" s="75"/>
      <c r="I30" s="357"/>
      <c r="J30" s="357"/>
      <c r="L30" s="358"/>
      <c r="O30" s="358"/>
      <c r="R30" s="358"/>
      <c r="U30" s="358"/>
    </row>
    <row r="31" spans="1:22" x14ac:dyDescent="0.2">
      <c r="A31" s="34"/>
      <c r="B31" s="35"/>
      <c r="C31" s="37"/>
      <c r="D31" s="37"/>
      <c r="E31" s="37"/>
      <c r="F31" s="37"/>
      <c r="H31" s="75"/>
      <c r="I31" s="357"/>
      <c r="J31" s="357"/>
      <c r="L31" s="358"/>
      <c r="O31" s="358"/>
      <c r="R31" s="358"/>
      <c r="U31" s="358"/>
    </row>
    <row r="32" spans="1:22" x14ac:dyDescent="0.2">
      <c r="A32" s="34"/>
      <c r="C32" s="32" t="s">
        <v>226</v>
      </c>
      <c r="D32" s="32"/>
      <c r="E32" s="67" t="s">
        <v>31</v>
      </c>
      <c r="F32" s="67"/>
      <c r="I32" s="357"/>
      <c r="J32" s="357"/>
      <c r="L32" s="358"/>
      <c r="O32" s="358"/>
      <c r="R32" s="358"/>
      <c r="U32" s="358"/>
    </row>
    <row r="33" spans="1:22" ht="14.25" x14ac:dyDescent="0.35">
      <c r="A33" s="34"/>
      <c r="B33" s="40"/>
      <c r="C33" s="33" t="s">
        <v>10</v>
      </c>
      <c r="D33" s="33" t="s">
        <v>11</v>
      </c>
      <c r="E33" s="33" t="s">
        <v>10</v>
      </c>
      <c r="F33" s="33" t="s">
        <v>11</v>
      </c>
      <c r="I33" s="357"/>
      <c r="J33" s="357"/>
      <c r="K33" s="369"/>
      <c r="L33" s="369"/>
      <c r="M33" s="369"/>
      <c r="O33" s="358"/>
      <c r="R33" s="358"/>
      <c r="U33" s="358"/>
    </row>
    <row r="34" spans="1:22" ht="33.75" customHeight="1" x14ac:dyDescent="0.2">
      <c r="B34" s="41" t="s">
        <v>117</v>
      </c>
      <c r="C34" s="42">
        <f>M34</f>
        <v>2.1956734899720547</v>
      </c>
      <c r="D34" s="42">
        <f>P34</f>
        <v>2.5748283788591424</v>
      </c>
      <c r="E34" s="42">
        <f>S34</f>
        <v>1.9351487328232424</v>
      </c>
      <c r="F34" s="42">
        <f>V34</f>
        <v>1.9692180372039929</v>
      </c>
      <c r="I34" s="371">
        <f>-PMT('Table 3 Comparison'!$P$37,COUNT(I11:I25),NPV('Table 3 Comparison'!$P$37,I11:I25))</f>
        <v>0.96585031765977203</v>
      </c>
      <c r="J34" s="361"/>
      <c r="K34" s="369"/>
      <c r="L34" s="371">
        <f>-PMT('Table 3 Comparison'!$P$37,COUNT(L11:L25),NPV('Table 3 Comparison'!$P$37,L11:L25))</f>
        <v>2.1206919377666491</v>
      </c>
      <c r="M34" s="370">
        <f>L34/$I34</f>
        <v>2.1956734899720547</v>
      </c>
      <c r="N34" s="364"/>
      <c r="O34" s="371">
        <f>-PMT('Table 3 Comparison'!$P$37,COUNT(O11:O25),NPV('Table 3 Comparison'!$P$37,O11:O25))</f>
        <v>2.4868988076404985</v>
      </c>
      <c r="P34" s="370">
        <f>O34/$I34</f>
        <v>2.5748283788591424</v>
      </c>
      <c r="Q34" s="364"/>
      <c r="R34" s="371">
        <f>-PMT('Table 3 Comparison'!$P$37,COUNT(R11:R25),NPV('Table 3 Comparison'!$P$37,R11:R25))</f>
        <v>1.8690640183162339</v>
      </c>
      <c r="S34" s="370">
        <f>R34/$I34</f>
        <v>1.9351487328232424</v>
      </c>
      <c r="T34" s="364"/>
      <c r="U34" s="371">
        <f>-PMT('Table 3 Comparison'!$P$37,COUNT(U11:U25),NPV('Table 3 Comparison'!$P$37,U11:U25))</f>
        <v>1.9019698667748293</v>
      </c>
      <c r="V34" s="370">
        <f>U34/$I34</f>
        <v>1.9692180372039929</v>
      </c>
    </row>
    <row r="35" spans="1:22" ht="24" hidden="1" x14ac:dyDescent="0.2">
      <c r="A35" s="40"/>
      <c r="B35" s="41" t="s">
        <v>118</v>
      </c>
      <c r="C35" s="42">
        <f t="shared" ref="C35:C36" si="15">M35</f>
        <v>2.4597133125211665</v>
      </c>
      <c r="D35" s="42">
        <f t="shared" ref="D35:D36" si="16">P35</f>
        <v>2.8651040857903234</v>
      </c>
      <c r="E35" s="42">
        <f t="shared" ref="E35:E36" si="17">S35</f>
        <v>2.1874890510372009</v>
      </c>
      <c r="F35" s="42">
        <f t="shared" ref="F35:F36" si="18">V35</f>
        <v>2.2305605126425472</v>
      </c>
      <c r="I35" s="371">
        <f>-PMT('Table 3 Comparison'!$P$37,COUNT(I12:I26),NPV('Table 3 Comparison'!$P$37,I12:I26))</f>
        <v>0.96085031765977214</v>
      </c>
      <c r="J35" s="359"/>
      <c r="K35" s="360"/>
      <c r="L35" s="371">
        <f>-PMT('Table 3 Comparison'!$P$37,COUNT(L12:L26),NPV('Table 3 Comparison'!$P$37,L12:L26))</f>
        <v>2.3634163176879333</v>
      </c>
      <c r="M35" s="370">
        <f>L35/$I35</f>
        <v>2.4597133125211665</v>
      </c>
      <c r="N35" s="360"/>
      <c r="O35" s="371">
        <f>-PMT('Table 3 Comparison'!$P$37,COUNT(O12:O26),NPV('Table 3 Comparison'!$P$37,O12:O26))</f>
        <v>2.7529361709599431</v>
      </c>
      <c r="P35" s="370">
        <f>O35/$I35</f>
        <v>2.8651040857903234</v>
      </c>
      <c r="Q35" s="360"/>
      <c r="R35" s="371">
        <f>-PMT('Table 3 Comparison'!$P$37,COUNT(R12:R26),NPV('Table 3 Comparison'!$P$37,R12:R26))</f>
        <v>2.101849549566368</v>
      </c>
      <c r="S35" s="370">
        <f>R35/$I35</f>
        <v>2.1874890510372009</v>
      </c>
      <c r="T35" s="360"/>
      <c r="U35" s="371">
        <f>-PMT('Table 3 Comparison'!$P$37,COUNT(U12:U26),NPV('Table 3 Comparison'!$P$37,U12:U26))</f>
        <v>2.1432347771319358</v>
      </c>
      <c r="V35" s="370">
        <f>U35/$I35</f>
        <v>2.2305605126425472</v>
      </c>
    </row>
    <row r="36" spans="1:22" ht="24" hidden="1" x14ac:dyDescent="0.2">
      <c r="B36" s="41" t="s">
        <v>119</v>
      </c>
      <c r="C36" s="42">
        <f t="shared" si="15"/>
        <v>2.7682646062998835</v>
      </c>
      <c r="D36" s="42">
        <f t="shared" si="16"/>
        <v>3.2023006741244395</v>
      </c>
      <c r="E36" s="42">
        <f t="shared" si="17"/>
        <v>2.494241213834639</v>
      </c>
      <c r="F36" s="42">
        <f t="shared" si="18"/>
        <v>2.5468095690333512</v>
      </c>
      <c r="I36" s="371">
        <f>-PMT('Table 3 Comparison'!$P$37,COUNT(I13:I27),NPV('Table 3 Comparison'!$P$37,I13:I27))</f>
        <v>0.95585031765977191</v>
      </c>
      <c r="J36" s="359"/>
      <c r="K36" s="360"/>
      <c r="L36" s="371">
        <f>-PMT('Table 3 Comparison'!$P$37,COUNT(L13:L27),NPV('Table 3 Comparison'!$P$37,L13:L27))</f>
        <v>2.6460466032980472</v>
      </c>
      <c r="M36" s="370">
        <f>L36/$I36</f>
        <v>2.7682646062998835</v>
      </c>
      <c r="N36" s="360"/>
      <c r="O36" s="371">
        <f>-PMT('Table 3 Comparison'!$P$37,COUNT(O13:O27),NPV('Table 3 Comparison'!$P$37,O13:O27))</f>
        <v>3.0609201166039472</v>
      </c>
      <c r="P36" s="370">
        <f>O36/$I36</f>
        <v>3.2023006741244395</v>
      </c>
      <c r="Q36" s="360"/>
      <c r="R36" s="371">
        <f>-PMT('Table 3 Comparison'!$P$37,COUNT(R13:R27),NPV('Table 3 Comparison'!$P$37,R13:R27))</f>
        <v>2.3841212565639349</v>
      </c>
      <c r="S36" s="370">
        <f>R36/$I36</f>
        <v>2.494241213834639</v>
      </c>
      <c r="T36" s="360"/>
      <c r="U36" s="371">
        <f>-PMT('Table 3 Comparison'!$P$37,COUNT(U13:U27),NPV('Table 3 Comparison'!$P$37,U13:U27))</f>
        <v>2.4343687355794756</v>
      </c>
      <c r="V36" s="370">
        <f>U36/$I36</f>
        <v>2.5468095690333512</v>
      </c>
    </row>
    <row r="37" spans="1:22" hidden="1" x14ac:dyDescent="0.2">
      <c r="B37" s="41"/>
      <c r="C37" s="42"/>
      <c r="D37" s="42"/>
      <c r="E37" s="42"/>
      <c r="F37" s="42"/>
      <c r="I37" s="361"/>
      <c r="J37" s="361"/>
      <c r="K37" s="362"/>
      <c r="L37" s="362"/>
      <c r="M37" s="363"/>
      <c r="N37" s="364"/>
      <c r="O37" s="362"/>
      <c r="P37" s="363"/>
      <c r="Q37" s="364"/>
      <c r="R37" s="362"/>
      <c r="S37" s="363"/>
      <c r="T37" s="364"/>
      <c r="U37" s="362"/>
      <c r="V37" s="363"/>
    </row>
    <row r="38" spans="1:22" ht="33" hidden="1" customHeight="1" x14ac:dyDescent="0.2">
      <c r="A38" s="44"/>
      <c r="B38" s="18"/>
      <c r="C38" s="18"/>
      <c r="D38" s="18"/>
      <c r="E38" s="18"/>
      <c r="F38" s="45"/>
      <c r="H38" s="75"/>
      <c r="K38" s="365"/>
      <c r="L38" s="366"/>
      <c r="M38" s="367"/>
      <c r="O38" s="366"/>
      <c r="P38" s="367"/>
      <c r="R38" s="366"/>
      <c r="S38" s="367"/>
      <c r="U38" s="366"/>
      <c r="V38" s="367"/>
    </row>
    <row r="39" spans="1:22" ht="12.75" hidden="1" x14ac:dyDescent="0.2">
      <c r="A39" s="44"/>
      <c r="B39" s="66"/>
      <c r="C39" s="66"/>
      <c r="D39" s="48"/>
      <c r="E39" s="48"/>
      <c r="F39" s="45"/>
      <c r="L39" s="368"/>
      <c r="O39" s="368"/>
      <c r="R39" s="368"/>
      <c r="U39" s="368"/>
    </row>
    <row r="40" spans="1:22" ht="12.75" hidden="1" x14ac:dyDescent="0.2">
      <c r="A40" s="34"/>
      <c r="B40" s="66"/>
      <c r="C40" s="66"/>
      <c r="D40" s="48"/>
      <c r="E40" s="48"/>
      <c r="F40" s="34"/>
      <c r="H40" s="71"/>
    </row>
    <row r="41" spans="1:22" ht="12.75" x14ac:dyDescent="0.2">
      <c r="A41" s="43"/>
      <c r="B41" s="66" t="s">
        <v>224</v>
      </c>
      <c r="C41" s="66"/>
      <c r="D41" s="48"/>
      <c r="E41" s="48"/>
      <c r="H41" s="77"/>
      <c r="K41" s="349" t="s">
        <v>234</v>
      </c>
      <c r="L41" s="356">
        <f>NPV('Table 3 Comparison'!$P$37,L11:L25)</f>
        <v>19.850802860004009</v>
      </c>
      <c r="M41" s="356">
        <f>NPV('Table 3 Comparison'!$P$37,M11:M25)</f>
        <v>19.850802860004009</v>
      </c>
      <c r="O41" s="356">
        <f>NPV('Table 3 Comparison'!$P$37,O11:O25)</f>
        <v>23.278693658466992</v>
      </c>
      <c r="P41" s="356">
        <f>NPV('Table 3 Comparison'!$P$37,P11:P25)</f>
        <v>23.278693658466985</v>
      </c>
      <c r="R41" s="356">
        <f>NPV('Table 3 Comparison'!$P$37,R11:R25)</f>
        <v>17.495431891628694</v>
      </c>
      <c r="S41" s="356">
        <f>NPV('Table 3 Comparison'!$P$37,S11:S25)</f>
        <v>17.495431891628694</v>
      </c>
      <c r="U41" s="356">
        <f>NPV('Table 3 Comparison'!$P$37,U11:U25)</f>
        <v>17.803448109854454</v>
      </c>
      <c r="V41" s="356">
        <f>NPV('Table 3 Comparison'!$P$37,V11:V25)</f>
        <v>17.803448109854447</v>
      </c>
    </row>
    <row r="42" spans="1:22" x14ac:dyDescent="0.2">
      <c r="A42" s="44"/>
      <c r="B42" s="52"/>
      <c r="K42" s="349" t="s">
        <v>233</v>
      </c>
      <c r="M42" s="349">
        <f>M41-L41</f>
        <v>0</v>
      </c>
      <c r="P42" s="349">
        <f>P41-O41</f>
        <v>0</v>
      </c>
      <c r="S42" s="349">
        <f>S41-R41</f>
        <v>0</v>
      </c>
      <c r="V42" s="349">
        <f>V41-U41</f>
        <v>0</v>
      </c>
    </row>
    <row r="43" spans="1:22" x14ac:dyDescent="0.2">
      <c r="B43" s="52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N44"/>
  <sheetViews>
    <sheetView showGridLines="0" zoomScale="80" zoomScaleNormal="80" workbookViewId="0">
      <selection activeCell="I4" sqref="I4"/>
    </sheetView>
  </sheetViews>
  <sheetFormatPr defaultRowHeight="12" x14ac:dyDescent="0.2"/>
  <cols>
    <col min="1" max="1" width="2.83203125" style="29" customWidth="1"/>
    <col min="2" max="2" width="22.1640625" style="29" customWidth="1"/>
    <col min="3" max="6" width="18.83203125" style="29" customWidth="1"/>
    <col min="7" max="7" width="4.6640625" style="29" customWidth="1"/>
    <col min="8" max="16384" width="9.33203125" style="29"/>
  </cols>
  <sheetData>
    <row r="1" spans="1:7" x14ac:dyDescent="0.2">
      <c r="A1" s="2"/>
      <c r="B1" s="2"/>
      <c r="C1" s="2"/>
      <c r="D1" s="2"/>
      <c r="E1" s="2"/>
      <c r="F1" s="2"/>
      <c r="G1" s="31"/>
    </row>
    <row r="2" spans="1:7" x14ac:dyDescent="0.2">
      <c r="A2" s="2"/>
      <c r="B2" s="2" t="s">
        <v>21</v>
      </c>
      <c r="C2" s="2"/>
      <c r="D2" s="2"/>
      <c r="E2" s="2"/>
      <c r="F2" s="2"/>
      <c r="G2" s="31"/>
    </row>
    <row r="3" spans="1:7" x14ac:dyDescent="0.2">
      <c r="G3" s="31"/>
    </row>
    <row r="4" spans="1:7" x14ac:dyDescent="0.2">
      <c r="A4" s="30"/>
      <c r="B4" s="51" t="s">
        <v>37</v>
      </c>
      <c r="C4" s="30"/>
      <c r="D4" s="30"/>
      <c r="E4" s="30"/>
      <c r="F4" s="30"/>
      <c r="G4" s="31"/>
    </row>
    <row r="5" spans="1:7" x14ac:dyDescent="0.2">
      <c r="A5" s="30"/>
      <c r="B5" s="30"/>
    </row>
    <row r="6" spans="1:7" x14ac:dyDescent="0.2">
      <c r="A6" s="30"/>
      <c r="B6" s="31" t="s">
        <v>32</v>
      </c>
      <c r="C6" s="32" t="s">
        <v>226</v>
      </c>
      <c r="D6" s="32"/>
      <c r="E6" s="32" t="s">
        <v>120</v>
      </c>
      <c r="F6" s="32"/>
    </row>
    <row r="7" spans="1:7" ht="14.25" x14ac:dyDescent="0.35">
      <c r="A7" s="30"/>
      <c r="B7" s="31" t="s">
        <v>30</v>
      </c>
      <c r="C7" s="33" t="s">
        <v>10</v>
      </c>
      <c r="D7" s="33" t="s">
        <v>11</v>
      </c>
      <c r="E7" s="33" t="s">
        <v>10</v>
      </c>
      <c r="F7" s="33" t="s">
        <v>11</v>
      </c>
    </row>
    <row r="8" spans="1:7" hidden="1" x14ac:dyDescent="0.2">
      <c r="A8" s="34"/>
      <c r="B8" s="35"/>
      <c r="C8" s="36"/>
      <c r="D8" s="36"/>
      <c r="E8" s="36"/>
      <c r="F8" s="36"/>
    </row>
    <row r="9" spans="1:7" hidden="1" x14ac:dyDescent="0.2">
      <c r="A9" s="34"/>
      <c r="B9" s="35"/>
      <c r="C9" s="36"/>
      <c r="D9" s="36"/>
      <c r="E9" s="36"/>
      <c r="F9" s="36"/>
    </row>
    <row r="10" spans="1:7" x14ac:dyDescent="0.2">
      <c r="A10" s="34"/>
      <c r="B10" s="186">
        <f>[20]SourceEnergy!$R$20</f>
        <v>2017</v>
      </c>
      <c r="C10" s="37">
        <f>INDEX([20]SourceEnergy!$S$20:$T$40,MATCH($B10,[20]SourceEnergy!$R$20:$R$40,0),MATCH(C$7,[20]SourceEnergy!$S$12:$T$12,0))/10</f>
        <v>1.8707424414605622</v>
      </c>
      <c r="D10" s="37">
        <f>INDEX([20]SourceEnergy!$S$20:$T$40,MATCH($B10,[20]SourceEnergy!$R$20:$R$40,0),MATCH(D$7,[20]SourceEnergy!$S$12:$T$12,0))/10</f>
        <v>2.0045373526713717</v>
      </c>
      <c r="E10" s="37">
        <f>INDEX([20]SourceEnergy!$U$20:$V$40,MATCH($B10,[20]SourceEnergy!$R$20:$R$40,0),MATCH(E$7,[20]SourceEnergy!$U$12:$V$12,0))/10</f>
        <v>1.699132653279539</v>
      </c>
      <c r="F10" s="37">
        <f>INDEX([20]SourceEnergy!$U$20:$V$40,MATCH($B10,[20]SourceEnergy!$R$20:$R$40,0),MATCH(F$7,[20]SourceEnergy!$U$12:$V$12,0))/10</f>
        <v>1.4615131780007742</v>
      </c>
    </row>
    <row r="11" spans="1:7" x14ac:dyDescent="0.2">
      <c r="A11" s="34"/>
      <c r="B11" s="186">
        <f>B10+1</f>
        <v>2018</v>
      </c>
      <c r="C11" s="37">
        <f>INDEX([20]SourceEnergy!$S$20:$T$40,MATCH($B11,[20]SourceEnergy!$R$20:$R$40,0),MATCH(C$7,[20]SourceEnergy!$S$12:$T$12,0))/10</f>
        <v>2.0462169548316949</v>
      </c>
      <c r="D11" s="37">
        <f>INDEX([20]SourceEnergy!$S$20:$T$40,MATCH($B11,[20]SourceEnergy!$R$20:$R$40,0),MATCH(D$7,[20]SourceEnergy!$S$12:$T$12,0))/10</f>
        <v>2.0488225188494926</v>
      </c>
      <c r="E11" s="37">
        <f>INDEX([20]SourceEnergy!$U$20:$V$40,MATCH($B11,[20]SourceEnergy!$R$20:$R$40,0),MATCH(E$7,[20]SourceEnergy!$U$12:$V$12,0))/10</f>
        <v>1.8002927922392107</v>
      </c>
      <c r="F11" s="37">
        <f>INDEX([20]SourceEnergy!$U$20:$V$40,MATCH($B11,[20]SourceEnergy!$R$20:$R$40,0),MATCH(F$7,[20]SourceEnergy!$U$12:$V$12,0))/10</f>
        <v>1.4938016029947125</v>
      </c>
    </row>
    <row r="12" spans="1:7" x14ac:dyDescent="0.2">
      <c r="A12" s="34"/>
      <c r="B12" s="186">
        <f t="shared" ref="B12:B30" si="0">B11+1</f>
        <v>2019</v>
      </c>
      <c r="C12" s="37">
        <f>INDEX([20]SourceEnergy!$S$20:$T$40,MATCH($B12,[20]SourceEnergy!$R$20:$R$40,0),MATCH(C$7,[20]SourceEnergy!$S$12:$T$12,0))/10</f>
        <v>1.794778411564818</v>
      </c>
      <c r="D12" s="37">
        <f>INDEX([20]SourceEnergy!$S$20:$T$40,MATCH($B12,[20]SourceEnergy!$R$20:$R$40,0),MATCH(D$7,[20]SourceEnergy!$S$12:$T$12,0))/10</f>
        <v>2.2230846639933661</v>
      </c>
      <c r="E12" s="37">
        <f>INDEX([20]SourceEnergy!$U$20:$V$40,MATCH($B12,[20]SourceEnergy!$R$20:$R$40,0),MATCH(E$7,[20]SourceEnergy!$U$12:$V$12,0))/10</f>
        <v>1.5077308649449732</v>
      </c>
      <c r="F12" s="37">
        <f>INDEX([20]SourceEnergy!$U$20:$V$40,MATCH($B12,[20]SourceEnergy!$R$20:$R$40,0),MATCH(F$7,[20]SourceEnergy!$U$12:$V$12,0))/10</f>
        <v>1.5144623348548303</v>
      </c>
    </row>
    <row r="13" spans="1:7" x14ac:dyDescent="0.2">
      <c r="A13" s="34"/>
      <c r="B13" s="186">
        <f t="shared" si="0"/>
        <v>2020</v>
      </c>
      <c r="C13" s="37">
        <f>INDEX([20]SourceEnergy!$S$20:$T$40,MATCH($B13,[20]SourceEnergy!$R$20:$R$40,0),MATCH(C$7,[20]SourceEnergy!$S$12:$T$12,0))/10</f>
        <v>1.8007275522639983</v>
      </c>
      <c r="D13" s="37">
        <f>INDEX([20]SourceEnergy!$S$20:$T$40,MATCH($B13,[20]SourceEnergy!$R$20:$R$40,0),MATCH(D$7,[20]SourceEnergy!$S$12:$T$12,0))/10</f>
        <v>2.2114830744229841</v>
      </c>
      <c r="E13" s="37">
        <f>INDEX([20]SourceEnergy!$U$20:$V$40,MATCH($B13,[20]SourceEnergy!$R$20:$R$40,0),MATCH(E$7,[20]SourceEnergy!$U$12:$V$12,0))/10</f>
        <v>1.5280215724605108</v>
      </c>
      <c r="F13" s="37">
        <f>INDEX([20]SourceEnergy!$U$20:$V$40,MATCH($B13,[20]SourceEnergy!$R$20:$R$40,0),MATCH(F$7,[20]SourceEnergy!$U$12:$V$12,0))/10</f>
        <v>1.3931363789185309</v>
      </c>
    </row>
    <row r="14" spans="1:7" x14ac:dyDescent="0.2">
      <c r="A14" s="34"/>
      <c r="B14" s="186">
        <f t="shared" si="0"/>
        <v>2021</v>
      </c>
      <c r="C14" s="37">
        <f>INDEX([20]SourceEnergy!$S$20:$T$40,MATCH($B14,[20]SourceEnergy!$R$20:$R$40,0),MATCH(C$7,[20]SourceEnergy!$S$12:$T$12,0))/10</f>
        <v>1.8283057411229013</v>
      </c>
      <c r="D14" s="37">
        <f>INDEX([20]SourceEnergy!$S$20:$T$40,MATCH($B14,[20]SourceEnergy!$R$20:$R$40,0),MATCH(D$7,[20]SourceEnergy!$S$12:$T$12,0))/10</f>
        <v>2.150286648291492</v>
      </c>
      <c r="E14" s="37">
        <f>INDEX([20]SourceEnergy!$U$20:$V$40,MATCH($B14,[20]SourceEnergy!$R$20:$R$40,0),MATCH(E$7,[20]SourceEnergy!$U$12:$V$12,0))/10</f>
        <v>1.5841684301846726</v>
      </c>
      <c r="F14" s="37">
        <f>INDEX([20]SourceEnergy!$U$20:$V$40,MATCH($B14,[20]SourceEnergy!$R$20:$R$40,0),MATCH(F$7,[20]SourceEnergy!$U$12:$V$12,0))/10</f>
        <v>1.3885840859175191</v>
      </c>
    </row>
    <row r="15" spans="1:7" x14ac:dyDescent="0.2">
      <c r="A15" s="34"/>
      <c r="B15" s="186">
        <f t="shared" si="0"/>
        <v>2022</v>
      </c>
      <c r="C15" s="37">
        <f>INDEX([20]SourceEnergy!$S$20:$T$40,MATCH($B15,[20]SourceEnergy!$R$20:$R$40,0),MATCH(C$7,[20]SourceEnergy!$S$12:$T$12,0))/10</f>
        <v>1.8967269141972491</v>
      </c>
      <c r="D15" s="37">
        <f>INDEX([20]SourceEnergy!$S$20:$T$40,MATCH($B15,[20]SourceEnergy!$R$20:$R$40,0),MATCH(D$7,[20]SourceEnergy!$S$12:$T$12,0))/10</f>
        <v>2.2305627352281796</v>
      </c>
      <c r="E15" s="37">
        <f>INDEX([20]SourceEnergy!$U$20:$V$40,MATCH($B15,[20]SourceEnergy!$R$20:$R$40,0),MATCH(E$7,[20]SourceEnergy!$U$12:$V$12,0))/10</f>
        <v>1.6918634614891999</v>
      </c>
      <c r="F15" s="37">
        <f>INDEX([20]SourceEnergy!$U$20:$V$40,MATCH($B15,[20]SourceEnergy!$R$20:$R$40,0),MATCH(F$7,[20]SourceEnergy!$U$12:$V$12,0))/10</f>
        <v>1.5327330526416181</v>
      </c>
    </row>
    <row r="16" spans="1:7" x14ac:dyDescent="0.2">
      <c r="A16" s="34"/>
      <c r="B16" s="186">
        <f t="shared" si="0"/>
        <v>2023</v>
      </c>
      <c r="C16" s="37">
        <f>INDEX([20]SourceEnergy!$S$20:$T$40,MATCH($B16,[20]SourceEnergy!$R$20:$R$40,0),MATCH(C$7,[20]SourceEnergy!$S$12:$T$12,0))/10</f>
        <v>2.0626630744641461</v>
      </c>
      <c r="D16" s="37">
        <f>INDEX([20]SourceEnergy!$S$20:$T$40,MATCH($B16,[20]SourceEnergy!$R$20:$R$40,0),MATCH(D$7,[20]SourceEnergy!$S$12:$T$12,0))/10</f>
        <v>2.258189385811701</v>
      </c>
      <c r="E16" s="37">
        <f>INDEX([20]SourceEnergy!$U$20:$V$40,MATCH($B16,[20]SourceEnergy!$R$20:$R$40,0),MATCH(E$7,[20]SourceEnergy!$U$12:$V$12,0))/10</f>
        <v>1.8609614337588092</v>
      </c>
      <c r="F16" s="37">
        <f>INDEX([20]SourceEnergy!$U$20:$V$40,MATCH($B16,[20]SourceEnergy!$R$20:$R$40,0),MATCH(F$7,[20]SourceEnergy!$U$12:$V$12,0))/10</f>
        <v>1.6973888139173361</v>
      </c>
    </row>
    <row r="17" spans="1:14" x14ac:dyDescent="0.2">
      <c r="A17" s="34"/>
      <c r="B17" s="186">
        <f t="shared" si="0"/>
        <v>2024</v>
      </c>
      <c r="C17" s="37">
        <f>INDEX([20]SourceEnergy!$S$20:$T$40,MATCH($B17,[20]SourceEnergy!$R$20:$R$40,0),MATCH(C$7,[20]SourceEnergy!$S$12:$T$12,0))/10</f>
        <v>2.5305626771874903</v>
      </c>
      <c r="D17" s="37">
        <f>INDEX([20]SourceEnergy!$S$20:$T$40,MATCH($B17,[20]SourceEnergy!$R$20:$R$40,0),MATCH(D$7,[20]SourceEnergy!$S$12:$T$12,0))/10</f>
        <v>2.4822476396591</v>
      </c>
      <c r="E17" s="37">
        <f>INDEX([20]SourceEnergy!$U$20:$V$40,MATCH($B17,[20]SourceEnergy!$R$20:$R$40,0),MATCH(E$7,[20]SourceEnergy!$U$12:$V$12,0))/10</f>
        <v>2.1733260803517092</v>
      </c>
      <c r="F17" s="37">
        <f>INDEX([20]SourceEnergy!$U$20:$V$40,MATCH($B17,[20]SourceEnergy!$R$20:$R$40,0),MATCH(F$7,[20]SourceEnergy!$U$12:$V$12,0))/10</f>
        <v>2.0069393007254832</v>
      </c>
    </row>
    <row r="18" spans="1:14" x14ac:dyDescent="0.2">
      <c r="A18" s="34"/>
      <c r="B18" s="186">
        <f t="shared" si="0"/>
        <v>2025</v>
      </c>
      <c r="C18" s="37">
        <f>INDEX([20]SourceEnergy!$S$20:$T$40,MATCH($B18,[20]SourceEnergy!$R$20:$R$40,0),MATCH(C$7,[20]SourceEnergy!$S$12:$T$12,0))/10</f>
        <v>2.4508569763653645</v>
      </c>
      <c r="D18" s="37">
        <f>INDEX([20]SourceEnergy!$S$20:$T$40,MATCH($B18,[20]SourceEnergy!$R$20:$R$40,0),MATCH(D$7,[20]SourceEnergy!$S$12:$T$12,0))/10</f>
        <v>2.6633565307611202</v>
      </c>
      <c r="E18" s="37">
        <f>INDEX([20]SourceEnergy!$U$20:$V$40,MATCH($B18,[20]SourceEnergy!$R$20:$R$40,0),MATCH(E$7,[20]SourceEnergy!$U$12:$V$12,0))/10</f>
        <v>2.185037927131972</v>
      </c>
      <c r="F18" s="37">
        <f>INDEX([20]SourceEnergy!$U$20:$V$40,MATCH($B18,[20]SourceEnergy!$R$20:$R$40,0),MATCH(F$7,[20]SourceEnergy!$U$12:$V$12,0))/10</f>
        <v>2.1154181475708294</v>
      </c>
    </row>
    <row r="19" spans="1:14" x14ac:dyDescent="0.2">
      <c r="A19" s="34"/>
      <c r="B19" s="186">
        <f t="shared" si="0"/>
        <v>2026</v>
      </c>
      <c r="C19" s="37">
        <f>INDEX([20]SourceEnergy!$S$20:$T$40,MATCH($B19,[20]SourceEnergy!$R$20:$R$40,0),MATCH(C$7,[20]SourceEnergy!$S$12:$T$12,0))/10</f>
        <v>2.7400739302911008</v>
      </c>
      <c r="D19" s="37">
        <f>INDEX([20]SourceEnergy!$S$20:$T$40,MATCH($B19,[20]SourceEnergy!$R$20:$R$40,0),MATCH(D$7,[20]SourceEnergy!$S$12:$T$12,0))/10</f>
        <v>2.7002263899731092</v>
      </c>
      <c r="E19" s="37">
        <f>INDEX([20]SourceEnergy!$U$20:$V$40,MATCH($B19,[20]SourceEnergy!$R$20:$R$40,0),MATCH(E$7,[20]SourceEnergy!$U$12:$V$12,0))/10</f>
        <v>2.4792829589843373</v>
      </c>
      <c r="F19" s="37">
        <f>INDEX([20]SourceEnergy!$U$20:$V$40,MATCH($B19,[20]SourceEnergy!$R$20:$R$40,0),MATCH(F$7,[20]SourceEnergy!$U$12:$V$12,0))/10</f>
        <v>2.1599405949054811</v>
      </c>
    </row>
    <row r="20" spans="1:14" x14ac:dyDescent="0.2">
      <c r="A20" s="34"/>
      <c r="B20" s="186">
        <f t="shared" si="0"/>
        <v>2027</v>
      </c>
      <c r="C20" s="37">
        <f>INDEX([20]SourceEnergy!$S$20:$T$40,MATCH($B20,[20]SourceEnergy!$R$20:$R$40,0),MATCH(C$7,[20]SourceEnergy!$S$12:$T$12,0))/10</f>
        <v>2.6770514166960089</v>
      </c>
      <c r="D20" s="37">
        <f>INDEX([20]SourceEnergy!$S$20:$T$40,MATCH($B20,[20]SourceEnergy!$R$20:$R$40,0),MATCH(D$7,[20]SourceEnergy!$S$12:$T$12,0))/10</f>
        <v>2.8622321834906934</v>
      </c>
      <c r="E20" s="37">
        <f>INDEX([20]SourceEnergy!$U$20:$V$40,MATCH($B20,[20]SourceEnergy!$R$20:$R$40,0),MATCH(E$7,[20]SourceEnergy!$U$12:$V$12,0))/10</f>
        <v>2.426412985174073</v>
      </c>
      <c r="F20" s="37">
        <f>INDEX([20]SourceEnergy!$U$20:$V$40,MATCH($B20,[20]SourceEnergy!$R$20:$R$40,0),MATCH(F$7,[20]SourceEnergy!$U$12:$V$12,0))/10</f>
        <v>2.3229018046524379</v>
      </c>
      <c r="H20" s="38"/>
    </row>
    <row r="21" spans="1:14" x14ac:dyDescent="0.2">
      <c r="A21" s="34"/>
      <c r="B21" s="186">
        <f t="shared" si="0"/>
        <v>2028</v>
      </c>
      <c r="C21" s="37">
        <f>INDEX([20]SourceEnergy!$S$20:$T$40,MATCH($B21,[20]SourceEnergy!$R$20:$R$40,0),MATCH(C$7,[20]SourceEnergy!$S$12:$T$12,0))/10</f>
        <v>3.0815503067530634</v>
      </c>
      <c r="D21" s="37">
        <f>INDEX([20]SourceEnergy!$S$20:$T$40,MATCH($B21,[20]SourceEnergy!$R$20:$R$40,0),MATCH(D$7,[20]SourceEnergy!$S$12:$T$12,0))/10</f>
        <v>3.7241270482105251</v>
      </c>
      <c r="E21" s="37">
        <f>INDEX([20]SourceEnergy!$U$20:$V$40,MATCH($B21,[20]SourceEnergy!$R$20:$R$40,0),MATCH(E$7,[20]SourceEnergy!$U$12:$V$12,0))/10</f>
        <v>2.8204324255489737</v>
      </c>
      <c r="F21" s="37">
        <f>INDEX([20]SourceEnergy!$U$20:$V$40,MATCH($B21,[20]SourceEnergy!$R$20:$R$40,0),MATCH(F$7,[20]SourceEnergy!$U$12:$V$12,0))/10</f>
        <v>3.070325632852632</v>
      </c>
    </row>
    <row r="22" spans="1:14" x14ac:dyDescent="0.2">
      <c r="A22" s="34"/>
      <c r="B22" s="186">
        <f t="shared" si="0"/>
        <v>2029</v>
      </c>
      <c r="C22" s="37">
        <f>INDEX([20]SourceEnergy!$S$20:$T$40,MATCH($B22,[20]SourceEnergy!$R$20:$R$40,0),MATCH(C$7,[20]SourceEnergy!$S$12:$T$12,0))/10</f>
        <v>3.6130254656765493</v>
      </c>
      <c r="D22" s="37">
        <f>INDEX([20]SourceEnergy!$S$20:$T$40,MATCH($B22,[20]SourceEnergy!$R$20:$R$40,0),MATCH(D$7,[20]SourceEnergy!$S$12:$T$12,0))/10</f>
        <v>4.2070874350902745</v>
      </c>
      <c r="E22" s="37">
        <f>INDEX([20]SourceEnergy!$U$20:$V$40,MATCH($B22,[20]SourceEnergy!$R$20:$R$40,0),MATCH(E$7,[20]SourceEnergy!$U$12:$V$12,0))/10</f>
        <v>3.3069996601505016</v>
      </c>
      <c r="F22" s="37">
        <f>INDEX([20]SourceEnergy!$U$20:$V$40,MATCH($B22,[20]SourceEnergy!$R$20:$R$40,0),MATCH(F$7,[20]SourceEnergy!$U$12:$V$12,0))/10</f>
        <v>3.4741715338524854</v>
      </c>
    </row>
    <row r="23" spans="1:14" x14ac:dyDescent="0.2">
      <c r="A23" s="34"/>
      <c r="B23" s="186">
        <f t="shared" si="0"/>
        <v>2030</v>
      </c>
      <c r="C23" s="37">
        <f>INDEX([20]SourceEnergy!$S$20:$T$40,MATCH($B23,[20]SourceEnergy!$R$20:$R$40,0),MATCH(C$7,[20]SourceEnergy!$S$12:$T$12,0))/10</f>
        <v>4.065023098960884</v>
      </c>
      <c r="D23" s="37">
        <f>INDEX([20]SourceEnergy!$S$20:$T$40,MATCH($B23,[20]SourceEnergy!$R$20:$R$40,0),MATCH(D$7,[20]SourceEnergy!$S$12:$T$12,0))/10</f>
        <v>4.5996456200279132</v>
      </c>
      <c r="E23" s="37">
        <f>INDEX([20]SourceEnergy!$U$20:$V$40,MATCH($B23,[20]SourceEnergy!$R$20:$R$40,0),MATCH(E$7,[20]SourceEnergy!$U$12:$V$12,0))/10</f>
        <v>3.7339180117099104</v>
      </c>
      <c r="F23" s="37">
        <f>INDEX([20]SourceEnergy!$U$20:$V$40,MATCH($B23,[20]SourceEnergy!$R$20:$R$40,0),MATCH(F$7,[20]SourceEnergy!$U$12:$V$12,0))/10</f>
        <v>3.8150271420884989</v>
      </c>
    </row>
    <row r="24" spans="1:14" x14ac:dyDescent="0.2">
      <c r="A24" s="34"/>
      <c r="B24" s="186">
        <f t="shared" si="0"/>
        <v>2031</v>
      </c>
      <c r="C24" s="37">
        <f>INDEX([20]SourceEnergy!$S$20:$T$40,MATCH($B24,[20]SourceEnergy!$R$20:$R$40,0),MATCH(C$7,[20]SourceEnergy!$S$12:$T$12,0))/10</f>
        <v>5.7511103099719953</v>
      </c>
      <c r="D24" s="37">
        <f>INDEX([20]SourceEnergy!$S$20:$T$40,MATCH($B24,[20]SourceEnergy!$R$20:$R$40,0),MATCH(D$7,[20]SourceEnergy!$S$12:$T$12,0))/10</f>
        <v>9.325561966866923</v>
      </c>
      <c r="E24" s="37">
        <f>INDEX([20]SourceEnergy!$U$20:$V$40,MATCH($B24,[20]SourceEnergy!$R$20:$R$40,0),MATCH(E$7,[20]SourceEnergy!$U$12:$V$12,0))/10</f>
        <v>5.7142518452547133</v>
      </c>
      <c r="F24" s="37">
        <f>INDEX([20]SourceEnergy!$U$20:$V$40,MATCH($B24,[20]SourceEnergy!$R$20:$R$40,0),MATCH(F$7,[20]SourceEnergy!$U$12:$V$12,0))/10</f>
        <v>7.8419119048596091</v>
      </c>
    </row>
    <row r="25" spans="1:14" x14ac:dyDescent="0.2">
      <c r="A25" s="34"/>
      <c r="B25" s="186">
        <f t="shared" si="0"/>
        <v>2032</v>
      </c>
      <c r="C25" s="37">
        <f>INDEX([20]SourceEnergy!$S$20:$T$40,MATCH($B25,[20]SourceEnergy!$R$20:$R$40,0),MATCH(C$7,[20]SourceEnergy!$S$12:$T$12,0))/10</f>
        <v>5.8274322945560773</v>
      </c>
      <c r="D25" s="37">
        <f>INDEX([20]SourceEnergy!$S$20:$T$40,MATCH($B25,[20]SourceEnergy!$R$20:$R$40,0),MATCH(D$7,[20]SourceEnergy!$S$12:$T$12,0))/10</f>
        <v>9.5477492374700859</v>
      </c>
      <c r="E25" s="37">
        <f>INDEX([20]SourceEnergy!$U$20:$V$40,MATCH($B25,[20]SourceEnergy!$R$20:$R$40,0),MATCH(E$7,[20]SourceEnergy!$U$12:$V$12,0))/10</f>
        <v>5.7792205124431764</v>
      </c>
      <c r="F25" s="37">
        <f>INDEX([20]SourceEnergy!$U$20:$V$40,MATCH($B25,[20]SourceEnergy!$R$20:$R$40,0),MATCH(F$7,[20]SourceEnergy!$U$12:$V$12,0))/10</f>
        <v>8.089840220450613</v>
      </c>
    </row>
    <row r="26" spans="1:14" x14ac:dyDescent="0.2">
      <c r="A26" s="34"/>
      <c r="B26" s="186">
        <f t="shared" si="0"/>
        <v>2033</v>
      </c>
      <c r="C26" s="37">
        <f>INDEX([20]SourceEnergy!$S$20:$T$40,MATCH($B26,[20]SourceEnergy!$R$20:$R$40,0),MATCH(C$7,[20]SourceEnergy!$S$12:$T$12,0))/10</f>
        <v>6.4225382241048425</v>
      </c>
      <c r="D26" s="37">
        <f>INDEX([20]SourceEnergy!$S$20:$T$40,MATCH($B26,[20]SourceEnergy!$R$20:$R$40,0),MATCH(D$7,[20]SourceEnergy!$S$12:$T$12,0))/10</f>
        <v>9.7262312826182651</v>
      </c>
      <c r="E26" s="37">
        <f>INDEX([20]SourceEnergy!$U$20:$V$40,MATCH($B26,[20]SourceEnergy!$R$20:$R$40,0),MATCH(E$7,[20]SourceEnergy!$U$12:$V$12,0))/10</f>
        <v>6.3128618153419556</v>
      </c>
      <c r="F26" s="37">
        <f>INDEX([20]SourceEnergy!$U$20:$V$40,MATCH($B26,[20]SourceEnergy!$R$20:$R$40,0),MATCH(F$7,[20]SourceEnergy!$U$12:$V$12,0))/10</f>
        <v>8.2971786691316662</v>
      </c>
    </row>
    <row r="27" spans="1:14" x14ac:dyDescent="0.2">
      <c r="A27" s="34"/>
      <c r="B27" s="186">
        <f t="shared" si="0"/>
        <v>2034</v>
      </c>
      <c r="C27" s="37">
        <f>INDEX([20]SourceEnergy!$S$20:$T$40,MATCH($B27,[20]SourceEnergy!$R$20:$R$40,0),MATCH(C$7,[20]SourceEnergy!$S$12:$T$12,0))/10</f>
        <v>6.9369561475054313</v>
      </c>
      <c r="D27" s="37">
        <f>INDEX([20]SourceEnergy!$S$20:$T$40,MATCH($B27,[20]SourceEnergy!$R$20:$R$40,0),MATCH(D$7,[20]SourceEnergy!$S$12:$T$12,0))/10</f>
        <v>9.8458433040799989</v>
      </c>
      <c r="E27" s="37">
        <f>INDEX([20]SourceEnergy!$U$20:$V$40,MATCH($B27,[20]SourceEnergy!$R$20:$R$40,0),MATCH(E$7,[20]SourceEnergy!$U$12:$V$12,0))/10</f>
        <v>6.7579230727833082</v>
      </c>
      <c r="F27" s="37">
        <f>INDEX([20]SourceEnergy!$U$20:$V$40,MATCH($B27,[20]SourceEnergy!$R$20:$R$40,0),MATCH(F$7,[20]SourceEnergy!$U$12:$V$12,0))/10</f>
        <v>8.463143845824046</v>
      </c>
    </row>
    <row r="28" spans="1:14" x14ac:dyDescent="0.2">
      <c r="A28" s="34"/>
      <c r="B28" s="186">
        <f t="shared" si="0"/>
        <v>2035</v>
      </c>
      <c r="C28" s="37">
        <f>INDEX([20]SourceEnergy!$S$20:$T$40,MATCH($B28,[20]SourceEnergy!$R$20:$R$40,0),MATCH(C$7,[20]SourceEnergy!$S$12:$T$12,0))/10</f>
        <v>6.7793535427146336</v>
      </c>
      <c r="D28" s="37">
        <f>INDEX([20]SourceEnergy!$S$20:$T$40,MATCH($B28,[20]SourceEnergy!$R$20:$R$40,0),MATCH(D$7,[20]SourceEnergy!$S$12:$T$12,0))/10</f>
        <v>10.180479140044186</v>
      </c>
      <c r="E28" s="37">
        <f>INDEX([20]SourceEnergy!$U$20:$V$40,MATCH($B28,[20]SourceEnergy!$R$20:$R$40,0),MATCH(E$7,[20]SourceEnergy!$U$12:$V$12,0))/10</f>
        <v>6.7391723386157807</v>
      </c>
      <c r="F28" s="37">
        <f>INDEX([20]SourceEnergy!$U$20:$V$40,MATCH($B28,[20]SourceEnergy!$R$20:$R$40,0),MATCH(F$7,[20]SourceEnergy!$U$12:$V$12,0))/10</f>
        <v>8.7000333813739381</v>
      </c>
    </row>
    <row r="29" spans="1:14" x14ac:dyDescent="0.2">
      <c r="A29" s="34"/>
      <c r="B29" s="186">
        <f t="shared" si="0"/>
        <v>2036</v>
      </c>
      <c r="C29" s="37">
        <f>INDEX([20]SourceEnergy!$S$20:$T$40,MATCH($B29,[20]SourceEnergy!$R$20:$R$40,0),MATCH(C$7,[20]SourceEnergy!$S$12:$T$12,0))/10</f>
        <v>6.5761519328733673</v>
      </c>
      <c r="D29" s="37">
        <f>INDEX([20]SourceEnergy!$S$20:$T$40,MATCH($B29,[20]SourceEnergy!$R$20:$R$40,0),MATCH(D$7,[20]SourceEnergy!$S$12:$T$12,0))/10</f>
        <v>10.573603213090294</v>
      </c>
      <c r="E29" s="37">
        <f>INDEX([20]SourceEnergy!$U$20:$V$40,MATCH($B29,[20]SourceEnergy!$R$20:$R$40,0),MATCH(E$7,[20]SourceEnergy!$U$12:$V$12,0))/10</f>
        <v>6.5572073432353548</v>
      </c>
      <c r="F29" s="37">
        <f>INDEX([20]SourceEnergy!$U$20:$V$40,MATCH($B29,[20]SourceEnergy!$R$20:$R$40,0),MATCH(F$7,[20]SourceEnergy!$U$12:$V$12,0))/10</f>
        <v>9.1016754519178136</v>
      </c>
    </row>
    <row r="30" spans="1:14" x14ac:dyDescent="0.2">
      <c r="A30" s="34"/>
      <c r="B30" s="186">
        <f t="shared" si="0"/>
        <v>2037</v>
      </c>
      <c r="C30" s="37">
        <f>INDEX([20]SourceEnergy!$S$20:$T$40,MATCH($B30,[20]SourceEnergy!$R$20:$R$40,0),MATCH(C$7,[20]SourceEnergy!$S$12:$T$12,0))/10</f>
        <v>6.8423385214474193</v>
      </c>
      <c r="D30" s="37">
        <f>INDEX([20]SourceEnergy!$S$20:$T$40,MATCH($B30,[20]SourceEnergy!$R$20:$R$40,0),MATCH(D$7,[20]SourceEnergy!$S$12:$T$12,0))/10</f>
        <v>10.830792484233841</v>
      </c>
      <c r="E30" s="37">
        <f>INDEX([20]SourceEnergy!$U$20:$V$40,MATCH($B30,[20]SourceEnergy!$R$20:$R$40,0),MATCH(E$7,[20]SourceEnergy!$U$12:$V$12,0))/10</f>
        <v>6.6981596791395948</v>
      </c>
      <c r="F30" s="37">
        <f>INDEX([20]SourceEnergy!$U$20:$V$40,MATCH($B30,[20]SourceEnergy!$R$20:$R$40,0),MATCH(F$7,[20]SourceEnergy!$U$12:$V$12,0))/10</f>
        <v>9.3240114809155461</v>
      </c>
      <c r="H30" s="39"/>
    </row>
    <row r="31" spans="1:14" x14ac:dyDescent="0.2">
      <c r="A31" s="34"/>
      <c r="B31" s="35"/>
      <c r="C31" s="37"/>
      <c r="D31" s="36"/>
      <c r="E31" s="37"/>
      <c r="F31" s="37"/>
    </row>
    <row r="32" spans="1:14" x14ac:dyDescent="0.2">
      <c r="A32" s="34"/>
      <c r="C32" s="32" t="s">
        <v>77</v>
      </c>
      <c r="D32" s="32"/>
      <c r="E32" s="67" t="s">
        <v>31</v>
      </c>
      <c r="F32" s="67"/>
      <c r="H32" s="69"/>
      <c r="I32" s="69"/>
      <c r="J32" s="69"/>
      <c r="K32" s="69"/>
      <c r="L32" s="69"/>
      <c r="M32" s="69"/>
      <c r="N32" s="69"/>
    </row>
    <row r="33" spans="1:14" ht="14.25" x14ac:dyDescent="0.35">
      <c r="A33" s="34"/>
      <c r="B33" s="40"/>
      <c r="C33" s="33" t="s">
        <v>10</v>
      </c>
      <c r="D33" s="33" t="s">
        <v>11</v>
      </c>
      <c r="E33" s="33" t="s">
        <v>10</v>
      </c>
      <c r="F33" s="33" t="s">
        <v>11</v>
      </c>
      <c r="H33" s="69"/>
      <c r="I33" s="69"/>
      <c r="J33" s="69"/>
      <c r="K33" s="69"/>
      <c r="L33" s="69"/>
      <c r="M33" s="69"/>
      <c r="N33" s="69"/>
    </row>
    <row r="34" spans="1:14" ht="33.75" customHeight="1" x14ac:dyDescent="0.2">
      <c r="B34" s="41" t="s">
        <v>117</v>
      </c>
      <c r="C34" s="42">
        <f>-PMT('Table 3 Comparison'!$P$37,COUNT(C11:C25),NPV('Table 3 Comparison'!$P$37,C11:C25))</f>
        <v>2.6541930382878007</v>
      </c>
      <c r="D34" s="42">
        <f>-PMT('Table 3 Comparison'!$P$37,COUNT(D11:D25),NPV('Table 3 Comparison'!$P$37,D11:D25))</f>
        <v>3.2146229665412021</v>
      </c>
      <c r="E34" s="42">
        <f>-PMT('Table 3 Comparison'!$P$37,COUNT(E11:E25),NPV('Table 3 Comparison'!$P$37,E11:E25))</f>
        <v>2.4080629242718179</v>
      </c>
      <c r="F34" s="42">
        <f>-PMT('Table 3 Comparison'!$P$37,COUNT(F11:F25),NPV('Table 3 Comparison'!$P$37,F11:F25))</f>
        <v>2.4982918267501959</v>
      </c>
      <c r="H34" s="69"/>
      <c r="I34" s="69"/>
      <c r="J34" s="69"/>
      <c r="K34" s="69"/>
      <c r="L34" s="69"/>
      <c r="M34" s="69"/>
      <c r="N34" s="69"/>
    </row>
    <row r="35" spans="1:14" ht="24" hidden="1" x14ac:dyDescent="0.2">
      <c r="A35" s="40"/>
      <c r="B35" s="41" t="s">
        <v>118</v>
      </c>
      <c r="C35" s="42">
        <f>-PMT('Table 3 Comparison'!$P$37,COUNT(C12:C26),NPV('Table 3 Comparison'!$P$37,C12:C26))</f>
        <v>2.8741419219150934</v>
      </c>
      <c r="D35" s="42">
        <f>-PMT('Table 3 Comparison'!$P$37,COUNT(D12:D26),NPV('Table 3 Comparison'!$P$37,D12:D26))</f>
        <v>3.6069997395183595</v>
      </c>
      <c r="E35" s="42">
        <f>-PMT('Table 3 Comparison'!$P$37,COUNT(E12:E26),NPV('Table 3 Comparison'!$P$37,E12:E26))</f>
        <v>2.6336023574997429</v>
      </c>
      <c r="F35" s="42">
        <f>-PMT('Table 3 Comparison'!$P$37,COUNT(F12:F26),NPV('Table 3 Comparison'!$P$37,F12:F26))</f>
        <v>2.8441202439675628</v>
      </c>
      <c r="H35" s="69"/>
      <c r="I35" s="69"/>
      <c r="J35" s="69"/>
      <c r="K35" s="69"/>
      <c r="L35" s="69"/>
      <c r="M35" s="69"/>
      <c r="N35" s="69"/>
    </row>
    <row r="36" spans="1:14" ht="24" hidden="1" x14ac:dyDescent="0.2">
      <c r="B36" s="41" t="s">
        <v>119</v>
      </c>
      <c r="C36" s="42">
        <f>-PMT('Table 3 Comparison'!$P$37,COUNT(C13:C27),NPV('Table 3 Comparison'!$P$37,C13:C27))</f>
        <v>3.156561819163072</v>
      </c>
      <c r="D36" s="42">
        <f>-PMT('Table 3 Comparison'!$P$37,COUNT(D13:D27),NPV('Table 3 Comparison'!$P$37,D13:D27))</f>
        <v>4.0114587995261388</v>
      </c>
      <c r="E36" s="42">
        <f>-PMT('Table 3 Comparison'!$P$37,COUNT(E13:E27),NPV('Table 3 Comparison'!$P$37,E13:E27))</f>
        <v>2.9235206312832247</v>
      </c>
      <c r="F36" s="42">
        <f>-PMT('Table 3 Comparison'!$P$37,COUNT(F13:F27),NPV('Table 3 Comparison'!$P$37,F13:F27))</f>
        <v>3.2172887744150116</v>
      </c>
      <c r="H36" s="69"/>
      <c r="I36" s="69"/>
      <c r="J36" s="69"/>
      <c r="K36" s="69"/>
      <c r="L36" s="69"/>
      <c r="M36" s="69"/>
      <c r="N36" s="69"/>
    </row>
    <row r="37" spans="1:14" hidden="1" x14ac:dyDescent="0.2">
      <c r="B37" s="41"/>
      <c r="C37" s="42"/>
      <c r="D37" s="42"/>
      <c r="E37" s="42"/>
      <c r="F37" s="42"/>
      <c r="H37" s="69"/>
      <c r="I37" s="69"/>
      <c r="J37" s="69"/>
      <c r="K37" s="69"/>
      <c r="L37" s="69"/>
      <c r="M37" s="69"/>
      <c r="N37" s="69"/>
    </row>
    <row r="38" spans="1:14" ht="7.5" hidden="1" customHeight="1" x14ac:dyDescent="0.2">
      <c r="A38" s="44"/>
      <c r="B38" s="18"/>
      <c r="C38" s="18"/>
      <c r="D38" s="18"/>
      <c r="E38" s="18"/>
      <c r="F38" s="45"/>
      <c r="H38" s="75"/>
      <c r="I38" s="75"/>
      <c r="J38" s="76"/>
      <c r="K38" s="76"/>
      <c r="L38" s="75"/>
      <c r="M38" s="69"/>
      <c r="N38" s="69"/>
    </row>
    <row r="39" spans="1:14" ht="12.75" hidden="1" x14ac:dyDescent="0.2">
      <c r="A39" s="44"/>
      <c r="B39" s="66"/>
      <c r="C39" s="66"/>
      <c r="D39" s="48"/>
      <c r="E39" s="48"/>
      <c r="F39" s="45"/>
      <c r="H39" s="69"/>
      <c r="I39" s="69"/>
      <c r="J39" s="69"/>
      <c r="K39" s="69"/>
      <c r="L39" s="69"/>
      <c r="M39" s="69"/>
      <c r="N39" s="69"/>
    </row>
    <row r="40" spans="1:14" ht="12.75" x14ac:dyDescent="0.2">
      <c r="A40" s="34"/>
      <c r="B40" s="66"/>
      <c r="C40" s="66"/>
      <c r="D40" s="48"/>
      <c r="E40" s="48"/>
      <c r="F40" s="34"/>
      <c r="H40" s="71"/>
      <c r="I40" s="71"/>
      <c r="J40" s="70"/>
      <c r="K40" s="72"/>
      <c r="L40" s="71"/>
      <c r="M40" s="71"/>
      <c r="N40" s="69"/>
    </row>
    <row r="41" spans="1:14" ht="12.75" x14ac:dyDescent="0.2">
      <c r="A41" s="43"/>
      <c r="B41" s="66" t="s">
        <v>225</v>
      </c>
      <c r="C41" s="66"/>
      <c r="D41" s="48"/>
      <c r="E41" s="48"/>
      <c r="H41" s="77"/>
      <c r="I41" s="73"/>
      <c r="J41" s="77"/>
      <c r="K41" s="78"/>
      <c r="L41" s="69"/>
      <c r="M41" s="69"/>
      <c r="N41" s="69"/>
    </row>
    <row r="42" spans="1:14" x14ac:dyDescent="0.2">
      <c r="A42" s="34"/>
      <c r="B42" s="40"/>
      <c r="C42" s="34"/>
      <c r="D42" s="34"/>
      <c r="E42" s="34"/>
      <c r="F42" s="34"/>
    </row>
    <row r="43" spans="1:14" x14ac:dyDescent="0.2">
      <c r="A43" s="43"/>
    </row>
    <row r="44" spans="1:14" x14ac:dyDescent="0.2">
      <c r="A44" s="43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  <pageSetUpPr fitToPage="1"/>
  </sheetPr>
  <dimension ref="B1:AQ253"/>
  <sheetViews>
    <sheetView workbookViewId="0">
      <selection activeCell="B8" sqref="B8"/>
    </sheetView>
  </sheetViews>
  <sheetFormatPr defaultColWidth="8.83203125" defaultRowHeight="12.75" x14ac:dyDescent="0.2"/>
  <cols>
    <col min="1" max="1" width="1.5" style="82" customWidth="1"/>
    <col min="2" max="2" width="25.83203125" style="82" bestFit="1" customWidth="1"/>
    <col min="3" max="4" width="18.83203125" style="82" customWidth="1"/>
    <col min="5" max="5" width="7.83203125" style="82" bestFit="1" customWidth="1"/>
    <col min="6" max="6" width="3" style="82" customWidth="1"/>
    <col min="7" max="7" width="8.1640625" style="82" customWidth="1"/>
    <col min="8" max="9" width="21.1640625" style="82" customWidth="1"/>
    <col min="10" max="12" width="8.83203125" style="82"/>
    <col min="13" max="13" width="14" style="130" bestFit="1" customWidth="1"/>
    <col min="14" max="14" width="9" style="133" bestFit="1" customWidth="1"/>
    <col min="15" max="15" width="7.83203125" style="133" bestFit="1" customWidth="1"/>
    <col min="16" max="16" width="9" style="133" bestFit="1" customWidth="1"/>
    <col min="17" max="17" width="10.33203125" style="133" customWidth="1"/>
    <col min="18" max="18" width="3.1640625" style="82" customWidth="1"/>
    <col min="19" max="19" width="10" style="47" customWidth="1"/>
    <col min="20" max="20" width="10.83203125" style="82" customWidth="1"/>
    <col min="21" max="21" width="10.1640625" style="82" customWidth="1"/>
    <col min="22" max="22" width="3.1640625" style="82" customWidth="1"/>
    <col min="23" max="23" width="8.83203125" style="82"/>
    <col min="24" max="24" width="10.1640625" style="82" customWidth="1"/>
    <col min="25" max="25" width="9.6640625" style="82" customWidth="1"/>
    <col min="26" max="26" width="8.83203125" style="82"/>
    <col min="27" max="27" width="9.83203125" style="82" customWidth="1"/>
    <col min="28" max="28" width="8.83203125" style="82"/>
    <col min="29" max="29" width="10.5" style="82" customWidth="1"/>
    <col min="30" max="30" width="10.6640625" style="320"/>
    <col min="31" max="37" width="10.6640625"/>
    <col min="38" max="38" width="22.83203125" customWidth="1"/>
    <col min="39" max="39" width="14.5" customWidth="1"/>
    <col min="43" max="43" width="8.83203125" style="320"/>
    <col min="44" max="16384" width="8.83203125" style="82"/>
  </cols>
  <sheetData>
    <row r="1" spans="2:41" ht="15.75" x14ac:dyDescent="0.25">
      <c r="B1" s="1" t="s">
        <v>63</v>
      </c>
      <c r="C1" s="81"/>
      <c r="D1" s="81"/>
      <c r="E1" s="81"/>
      <c r="F1" s="81"/>
      <c r="G1" s="81"/>
      <c r="H1" s="81"/>
      <c r="I1" s="81"/>
      <c r="M1" s="83" t="s">
        <v>64</v>
      </c>
      <c r="N1" s="84"/>
      <c r="O1" s="83"/>
      <c r="P1" s="84"/>
      <c r="Q1" s="85"/>
      <c r="AE1" t="s">
        <v>28</v>
      </c>
      <c r="AF1" t="s">
        <v>206</v>
      </c>
      <c r="AG1" t="s">
        <v>23</v>
      </c>
      <c r="AH1" t="s">
        <v>24</v>
      </c>
      <c r="AI1" t="s">
        <v>212</v>
      </c>
      <c r="AJ1" t="s">
        <v>211</v>
      </c>
    </row>
    <row r="2" spans="2:41" ht="15.75" x14ac:dyDescent="0.25">
      <c r="B2" s="1" t="s">
        <v>65</v>
      </c>
      <c r="C2" s="81"/>
      <c r="D2" s="81"/>
      <c r="E2" s="81"/>
      <c r="F2" s="81"/>
      <c r="G2" s="81"/>
      <c r="H2" s="81"/>
      <c r="I2" s="81"/>
      <c r="M2" s="86"/>
      <c r="N2" s="87"/>
      <c r="O2" s="87"/>
      <c r="P2" s="87"/>
      <c r="Q2" s="87"/>
      <c r="AD2" s="320" t="str">
        <f t="shared" ref="AD2:AD65" si="0">IF(AND(AE2&gt;=6,AE2&lt;=9),"Summer","Winter")</f>
        <v>Winter</v>
      </c>
      <c r="AE2">
        <f t="shared" ref="AE2:AE65" si="1">MONTH(AF2)</f>
        <v>1</v>
      </c>
      <c r="AF2" s="318">
        <v>42736</v>
      </c>
      <c r="AG2" s="319">
        <v>400</v>
      </c>
      <c r="AH2" s="319">
        <v>344</v>
      </c>
      <c r="AI2">
        <f t="shared" ref="AI2:AI65" si="2">AG2/16</f>
        <v>25</v>
      </c>
      <c r="AJ2">
        <f t="shared" ref="AJ2:AJ65" si="3">EDATE(AF2,1)-AF2-AI2</f>
        <v>6</v>
      </c>
    </row>
    <row r="3" spans="2:41" x14ac:dyDescent="0.2">
      <c r="B3" s="81"/>
      <c r="C3" s="81"/>
      <c r="D3" s="81"/>
      <c r="E3" s="81"/>
      <c r="F3" s="81"/>
      <c r="G3" s="81"/>
      <c r="H3" s="81"/>
      <c r="I3" s="81"/>
      <c r="M3" s="88" t="str">
        <f>"Official Forward Price Curve dated "&amp;TEXT(C4,"mmmm YYYY")</f>
        <v>Official Forward Price Curve dated March 2017</v>
      </c>
      <c r="N3" s="89"/>
      <c r="O3" s="89"/>
      <c r="P3" s="89"/>
      <c r="Q3" s="89"/>
      <c r="AD3" s="320" t="str">
        <f t="shared" si="0"/>
        <v>Winter</v>
      </c>
      <c r="AE3">
        <f t="shared" si="1"/>
        <v>2</v>
      </c>
      <c r="AF3" s="318">
        <v>42767</v>
      </c>
      <c r="AG3" s="319">
        <v>384</v>
      </c>
      <c r="AH3" s="319">
        <v>288</v>
      </c>
      <c r="AI3">
        <f t="shared" si="2"/>
        <v>24</v>
      </c>
      <c r="AJ3">
        <f t="shared" si="3"/>
        <v>4</v>
      </c>
      <c r="AM3" s="324"/>
      <c r="AN3" s="324"/>
      <c r="AO3" s="322"/>
    </row>
    <row r="4" spans="2:41" x14ac:dyDescent="0.2">
      <c r="B4" s="90" t="s">
        <v>66</v>
      </c>
      <c r="C4" s="91">
        <v>42825</v>
      </c>
      <c r="D4" s="91"/>
      <c r="E4" s="81"/>
      <c r="F4" s="92"/>
      <c r="G4" s="81"/>
      <c r="H4" s="81"/>
      <c r="I4" s="81"/>
      <c r="M4" s="93"/>
      <c r="N4" s="94"/>
      <c r="O4" s="94"/>
      <c r="P4" s="94"/>
      <c r="Q4" s="94"/>
      <c r="AD4" s="320" t="str">
        <f t="shared" si="0"/>
        <v>Winter</v>
      </c>
      <c r="AE4">
        <f t="shared" si="1"/>
        <v>3</v>
      </c>
      <c r="AF4" s="318">
        <v>42795</v>
      </c>
      <c r="AG4" s="319">
        <v>432</v>
      </c>
      <c r="AH4" s="319">
        <v>312</v>
      </c>
      <c r="AI4">
        <f t="shared" si="2"/>
        <v>27</v>
      </c>
      <c r="AJ4">
        <f t="shared" si="3"/>
        <v>4</v>
      </c>
      <c r="AM4" s="324"/>
      <c r="AN4" s="324"/>
      <c r="AO4" s="322"/>
    </row>
    <row r="5" spans="2:41" x14ac:dyDescent="0.2">
      <c r="B5" s="90"/>
      <c r="C5" s="95"/>
      <c r="D5" s="95"/>
      <c r="F5" s="92"/>
      <c r="G5" s="314"/>
      <c r="H5" s="315" t="s">
        <v>115</v>
      </c>
      <c r="I5" s="315"/>
      <c r="M5" s="96"/>
      <c r="N5" s="97" t="s">
        <v>64</v>
      </c>
      <c r="O5" s="97"/>
      <c r="P5" s="97"/>
      <c r="Q5" s="97"/>
      <c r="W5" s="96"/>
      <c r="X5" s="97" t="s">
        <v>64</v>
      </c>
      <c r="Y5" s="97"/>
      <c r="Z5" s="97"/>
      <c r="AA5" s="97"/>
      <c r="AD5" s="320" t="str">
        <f t="shared" si="0"/>
        <v>Winter</v>
      </c>
      <c r="AE5">
        <f t="shared" si="1"/>
        <v>4</v>
      </c>
      <c r="AF5" s="318">
        <v>42826</v>
      </c>
      <c r="AG5" s="319">
        <v>400</v>
      </c>
      <c r="AH5" s="319">
        <v>320</v>
      </c>
      <c r="AI5">
        <f t="shared" si="2"/>
        <v>25</v>
      </c>
      <c r="AJ5">
        <f t="shared" si="3"/>
        <v>5</v>
      </c>
      <c r="AM5" s="324"/>
      <c r="AN5" s="324"/>
      <c r="AO5" s="322"/>
    </row>
    <row r="6" spans="2:41" x14ac:dyDescent="0.2">
      <c r="B6" s="98" t="s">
        <v>67</v>
      </c>
      <c r="G6" s="316" t="s">
        <v>0</v>
      </c>
      <c r="H6" s="316" t="str">
        <f>C7</f>
        <v>IRP - Wyo NE</v>
      </c>
      <c r="I6" s="316" t="str">
        <f>D7</f>
        <v>Pacific NW</v>
      </c>
      <c r="M6" s="99"/>
      <c r="N6" s="97" t="s">
        <v>23</v>
      </c>
      <c r="O6" s="97"/>
      <c r="P6" s="97" t="s">
        <v>24</v>
      </c>
      <c r="Q6" s="97"/>
      <c r="W6" s="99"/>
      <c r="X6" s="97" t="s">
        <v>23</v>
      </c>
      <c r="Y6" s="97"/>
      <c r="Z6" s="97" t="s">
        <v>24</v>
      </c>
      <c r="AA6" s="97"/>
      <c r="AD6" s="320" t="str">
        <f t="shared" si="0"/>
        <v>Winter</v>
      </c>
      <c r="AE6">
        <f t="shared" si="1"/>
        <v>5</v>
      </c>
      <c r="AF6" s="318">
        <v>42856</v>
      </c>
      <c r="AG6" s="319">
        <v>416</v>
      </c>
      <c r="AH6" s="319">
        <v>328</v>
      </c>
      <c r="AI6">
        <f t="shared" si="2"/>
        <v>26</v>
      </c>
      <c r="AJ6">
        <f t="shared" si="3"/>
        <v>5</v>
      </c>
      <c r="AM6" s="324"/>
      <c r="AN6" s="324"/>
      <c r="AO6" s="322"/>
    </row>
    <row r="7" spans="2:41" ht="38.25" x14ac:dyDescent="0.2">
      <c r="B7" s="100" t="s">
        <v>28</v>
      </c>
      <c r="C7" s="101" t="str">
        <f>C249</f>
        <v>IRP - Wyo NE</v>
      </c>
      <c r="D7" s="101" t="str">
        <f>D249</f>
        <v>Pacific NW</v>
      </c>
      <c r="E7" s="102" t="s">
        <v>0</v>
      </c>
      <c r="G7" s="314"/>
      <c r="H7" s="313" t="s">
        <v>9</v>
      </c>
      <c r="I7" s="313" t="s">
        <v>9</v>
      </c>
      <c r="K7" s="82" t="s">
        <v>28</v>
      </c>
      <c r="L7" s="82" t="s">
        <v>0</v>
      </c>
      <c r="M7" s="103" t="s">
        <v>68</v>
      </c>
      <c r="N7" s="104" t="s">
        <v>69</v>
      </c>
      <c r="O7" s="104" t="s">
        <v>70</v>
      </c>
      <c r="P7" s="104" t="s">
        <v>69</v>
      </c>
      <c r="Q7" s="105" t="s">
        <v>70</v>
      </c>
      <c r="S7" s="47" t="s">
        <v>74</v>
      </c>
      <c r="T7" s="137" t="s">
        <v>73</v>
      </c>
      <c r="U7" s="137" t="s">
        <v>75</v>
      </c>
      <c r="V7" s="137"/>
      <c r="W7" s="103" t="s">
        <v>0</v>
      </c>
      <c r="X7" s="104" t="s">
        <v>69</v>
      </c>
      <c r="Y7" s="104" t="s">
        <v>70</v>
      </c>
      <c r="Z7" s="104" t="s">
        <v>69</v>
      </c>
      <c r="AA7" s="105" t="s">
        <v>70</v>
      </c>
      <c r="AD7" s="320" t="str">
        <f t="shared" si="0"/>
        <v>Summer</v>
      </c>
      <c r="AE7">
        <f t="shared" si="1"/>
        <v>6</v>
      </c>
      <c r="AF7" s="318">
        <v>42887</v>
      </c>
      <c r="AG7" s="319">
        <v>416</v>
      </c>
      <c r="AH7" s="319">
        <v>304</v>
      </c>
      <c r="AI7">
        <f t="shared" si="2"/>
        <v>26</v>
      </c>
      <c r="AJ7">
        <f t="shared" si="3"/>
        <v>4</v>
      </c>
      <c r="AM7" s="324"/>
      <c r="AN7" s="324"/>
      <c r="AO7" s="322"/>
    </row>
    <row r="8" spans="2:41" x14ac:dyDescent="0.2">
      <c r="B8" s="106">
        <v>43101</v>
      </c>
      <c r="C8" s="107">
        <v>3.4232755610205965</v>
      </c>
      <c r="D8" s="107">
        <v>3.3685139240506325</v>
      </c>
      <c r="E8" s="108">
        <f t="shared" ref="E8:E71" si="4">YEAR(B8)</f>
        <v>2018</v>
      </c>
      <c r="G8" s="109">
        <f>YEAR(B8)</f>
        <v>2018</v>
      </c>
      <c r="H8" s="110">
        <f t="shared" ref="H8:H27" si="5">ROUND(AVERAGEIF($E$8:$E$247,$G8,$C$8:$C$247),2)</f>
        <v>2.7</v>
      </c>
      <c r="I8" s="110">
        <f t="shared" ref="I8:I27" si="6">ROUND(AVERAGEIF($E$8:$E$247,$G8,$D$8:$D$247),2)</f>
        <v>2.72</v>
      </c>
      <c r="K8" s="18">
        <f>MONTH(M8)</f>
        <v>1</v>
      </c>
      <c r="L8" s="139">
        <f>YEAR(M8)</f>
        <v>2018</v>
      </c>
      <c r="M8" s="111">
        <f t="shared" ref="M8:M71" si="7">B8</f>
        <v>43101</v>
      </c>
      <c r="N8" s="112">
        <v>30.2225</v>
      </c>
      <c r="O8" s="112">
        <v>28.087499999999999</v>
      </c>
      <c r="P8" s="112">
        <v>25.125</v>
      </c>
      <c r="Q8" s="113">
        <v>25.48</v>
      </c>
      <c r="S8" s="136">
        <v>26.937956989247308</v>
      </c>
      <c r="T8" s="138">
        <f>O8/S8</f>
        <v>1.0426737265640282</v>
      </c>
      <c r="U8" s="138">
        <f>Q8/S8</f>
        <v>0.94587722484562309</v>
      </c>
      <c r="W8" s="109">
        <f>G8</f>
        <v>2018</v>
      </c>
      <c r="X8" s="114">
        <f>ROUND(AVERAGEIF($E$8:$E$247,$W8,N$8:N$247),2)</f>
        <v>24.29</v>
      </c>
      <c r="Y8" s="114">
        <f>ROUND(AVERAGEIF($E$8:$E$247,$W8,O$8:O$247),2)</f>
        <v>26.33</v>
      </c>
      <c r="Z8" s="114">
        <f>ROUND(AVERAGEIF($E$8:$E$247,$W8,P$8:P$247),2)</f>
        <v>18.489999999999998</v>
      </c>
      <c r="AA8" s="114">
        <f>ROUND(AVERAGEIF($E$8:$E$247,$W8,Q$8:Q$247),2)</f>
        <v>21.86</v>
      </c>
      <c r="AD8" s="320" t="str">
        <f t="shared" si="0"/>
        <v>Summer</v>
      </c>
      <c r="AE8">
        <f t="shared" si="1"/>
        <v>7</v>
      </c>
      <c r="AF8" s="318">
        <v>42917</v>
      </c>
      <c r="AG8" s="319">
        <v>400</v>
      </c>
      <c r="AH8" s="319">
        <v>344</v>
      </c>
      <c r="AI8">
        <f t="shared" si="2"/>
        <v>25</v>
      </c>
      <c r="AJ8">
        <f t="shared" si="3"/>
        <v>6</v>
      </c>
      <c r="AM8" s="324"/>
      <c r="AN8" s="324"/>
      <c r="AO8" s="322"/>
    </row>
    <row r="9" spans="2:41" x14ac:dyDescent="0.2">
      <c r="B9" s="115">
        <f t="shared" ref="B9:B72" si="8">EDATE(B8,1)</f>
        <v>43132</v>
      </c>
      <c r="C9" s="107">
        <v>3.3664049800184443</v>
      </c>
      <c r="D9" s="107">
        <v>3.3151468354430378</v>
      </c>
      <c r="E9" s="116">
        <f t="shared" si="4"/>
        <v>2018</v>
      </c>
      <c r="G9" s="109">
        <f t="shared" ref="G9:G27" si="9">G8+1</f>
        <v>2019</v>
      </c>
      <c r="H9" s="110">
        <f t="shared" si="5"/>
        <v>2.48</v>
      </c>
      <c r="I9" s="110">
        <f t="shared" si="6"/>
        <v>2.5</v>
      </c>
      <c r="K9" s="18">
        <f t="shared" ref="K9:K72" si="10">MONTH(M9)</f>
        <v>2</v>
      </c>
      <c r="L9" s="139">
        <f t="shared" ref="L9:L72" si="11">YEAR(M9)</f>
        <v>2018</v>
      </c>
      <c r="M9" s="111">
        <f t="shared" si="7"/>
        <v>43132</v>
      </c>
      <c r="N9" s="112">
        <v>27.285</v>
      </c>
      <c r="O9" s="112">
        <v>26.215</v>
      </c>
      <c r="P9" s="112">
        <v>23.432500000000001</v>
      </c>
      <c r="Q9" s="113">
        <v>24.745000000000001</v>
      </c>
      <c r="S9" s="136">
        <v>25.585000000000001</v>
      </c>
      <c r="T9" s="138">
        <f t="shared" ref="T9:T72" si="12">O9/S9</f>
        <v>1.0246238030095758</v>
      </c>
      <c r="U9" s="138">
        <f t="shared" ref="U9:U72" si="13">Q9/S9</f>
        <v>0.96716826265389877</v>
      </c>
      <c r="W9" s="109">
        <f t="shared" ref="W9:W27" si="14">W8+1</f>
        <v>2019</v>
      </c>
      <c r="X9" s="114">
        <f t="shared" ref="X9:X27" si="15">ROUND(AVERAGEIF($E$8:$E$247,$W9,N$8:N$247),2)</f>
        <v>25.11</v>
      </c>
      <c r="Y9" s="114">
        <f t="shared" ref="Y9:Y27" si="16">ROUND(AVERAGEIF($E$8:$E$247,$W9,O$8:O$247),2)</f>
        <v>27.03</v>
      </c>
      <c r="Z9" s="114">
        <f t="shared" ref="Z9:Z27" si="17">ROUND(AVERAGEIF($E$8:$E$247,$W9,P$8:P$247),2)</f>
        <v>19.18</v>
      </c>
      <c r="AA9" s="114">
        <f t="shared" ref="AA9:AA27" si="18">ROUND(AVERAGEIF($E$8:$E$247,$W9,Q$8:Q$247),2)</f>
        <v>21.46</v>
      </c>
      <c r="AD9" s="320" t="str">
        <f t="shared" si="0"/>
        <v>Summer</v>
      </c>
      <c r="AE9">
        <f t="shared" si="1"/>
        <v>8</v>
      </c>
      <c r="AF9" s="318">
        <v>42948</v>
      </c>
      <c r="AG9" s="319">
        <v>432</v>
      </c>
      <c r="AH9" s="319">
        <v>312</v>
      </c>
      <c r="AI9">
        <f t="shared" si="2"/>
        <v>27</v>
      </c>
      <c r="AJ9">
        <f t="shared" si="3"/>
        <v>4</v>
      </c>
      <c r="AM9" s="324"/>
      <c r="AN9" s="324"/>
      <c r="AO9" s="322"/>
    </row>
    <row r="10" spans="2:41" x14ac:dyDescent="0.2">
      <c r="B10" s="115">
        <f t="shared" si="8"/>
        <v>43160</v>
      </c>
      <c r="C10" s="107">
        <v>3.1030583256481199</v>
      </c>
      <c r="D10" s="107">
        <v>3.1774253164556958</v>
      </c>
      <c r="E10" s="116">
        <f t="shared" si="4"/>
        <v>2018</v>
      </c>
      <c r="G10" s="109">
        <f t="shared" si="9"/>
        <v>2020</v>
      </c>
      <c r="H10" s="110">
        <f t="shared" si="5"/>
        <v>2.48</v>
      </c>
      <c r="I10" s="110">
        <f t="shared" si="6"/>
        <v>2.5</v>
      </c>
      <c r="K10" s="18">
        <f t="shared" si="10"/>
        <v>3</v>
      </c>
      <c r="L10" s="139">
        <f t="shared" si="11"/>
        <v>2018</v>
      </c>
      <c r="M10" s="111">
        <f t="shared" si="7"/>
        <v>43160</v>
      </c>
      <c r="N10" s="112">
        <v>24.342500000000001</v>
      </c>
      <c r="O10" s="112">
        <v>25.447500000000002</v>
      </c>
      <c r="P10" s="112">
        <v>19.7925</v>
      </c>
      <c r="Q10" s="113">
        <v>22.574999999999999</v>
      </c>
      <c r="S10" s="136">
        <v>24.245148048452222</v>
      </c>
      <c r="T10" s="138">
        <f t="shared" si="12"/>
        <v>1.0495914460553082</v>
      </c>
      <c r="U10" s="138">
        <f t="shared" si="13"/>
        <v>0.93111413281063293</v>
      </c>
      <c r="W10" s="109">
        <f t="shared" si="14"/>
        <v>2020</v>
      </c>
      <c r="X10" s="114">
        <f t="shared" si="15"/>
        <v>27.21</v>
      </c>
      <c r="Y10" s="114">
        <f t="shared" si="16"/>
        <v>28.64</v>
      </c>
      <c r="Z10" s="114">
        <f t="shared" si="17"/>
        <v>20.99</v>
      </c>
      <c r="AA10" s="114">
        <f t="shared" si="18"/>
        <v>22.01</v>
      </c>
      <c r="AD10" s="320" t="str">
        <f t="shared" si="0"/>
        <v>Summer</v>
      </c>
      <c r="AE10">
        <f t="shared" si="1"/>
        <v>9</v>
      </c>
      <c r="AF10" s="318">
        <v>42979</v>
      </c>
      <c r="AG10" s="319">
        <v>400</v>
      </c>
      <c r="AH10" s="319">
        <v>320</v>
      </c>
      <c r="AI10">
        <f t="shared" si="2"/>
        <v>25</v>
      </c>
      <c r="AJ10">
        <f t="shared" si="3"/>
        <v>5</v>
      </c>
      <c r="AM10" s="324"/>
      <c r="AN10" s="324"/>
      <c r="AO10" s="322"/>
    </row>
    <row r="11" spans="2:41" x14ac:dyDescent="0.2">
      <c r="B11" s="115">
        <f t="shared" si="8"/>
        <v>43191</v>
      </c>
      <c r="C11" s="107">
        <v>2.499512880418076</v>
      </c>
      <c r="D11" s="107">
        <v>2.4420329113924049</v>
      </c>
      <c r="E11" s="116">
        <f t="shared" si="4"/>
        <v>2018</v>
      </c>
      <c r="G11" s="109">
        <f t="shared" si="9"/>
        <v>2021</v>
      </c>
      <c r="H11" s="110">
        <f t="shared" si="5"/>
        <v>2.5299999999999998</v>
      </c>
      <c r="I11" s="110">
        <f t="shared" si="6"/>
        <v>2.52</v>
      </c>
      <c r="K11" s="18">
        <f t="shared" si="10"/>
        <v>4</v>
      </c>
      <c r="L11" s="139">
        <f t="shared" si="11"/>
        <v>2018</v>
      </c>
      <c r="M11" s="111">
        <f t="shared" si="7"/>
        <v>43191</v>
      </c>
      <c r="N11" s="112">
        <v>17.785</v>
      </c>
      <c r="O11" s="112">
        <v>20.125</v>
      </c>
      <c r="P11" s="112">
        <v>12.4</v>
      </c>
      <c r="Q11" s="113">
        <v>17.3</v>
      </c>
      <c r="S11" s="136">
        <v>18.869444444444447</v>
      </c>
      <c r="T11" s="138">
        <f t="shared" si="12"/>
        <v>1.0665390843515381</v>
      </c>
      <c r="U11" s="138">
        <f t="shared" si="13"/>
        <v>0.91682614456057698</v>
      </c>
      <c r="W11" s="109">
        <f t="shared" si="14"/>
        <v>2021</v>
      </c>
      <c r="X11" s="114">
        <f t="shared" si="15"/>
        <v>28.78</v>
      </c>
      <c r="Y11" s="114">
        <f t="shared" si="16"/>
        <v>30.1</v>
      </c>
      <c r="Z11" s="114">
        <f t="shared" si="17"/>
        <v>23.04</v>
      </c>
      <c r="AA11" s="114">
        <f t="shared" si="18"/>
        <v>23.79</v>
      </c>
      <c r="AD11" s="320" t="str">
        <f t="shared" si="0"/>
        <v>Winter</v>
      </c>
      <c r="AE11">
        <f t="shared" si="1"/>
        <v>10</v>
      </c>
      <c r="AF11" s="318">
        <v>43009</v>
      </c>
      <c r="AG11" s="319">
        <v>416</v>
      </c>
      <c r="AH11" s="319">
        <v>328</v>
      </c>
      <c r="AI11">
        <f t="shared" si="2"/>
        <v>26</v>
      </c>
      <c r="AJ11">
        <f t="shared" si="3"/>
        <v>5</v>
      </c>
      <c r="AM11" s="324"/>
      <c r="AN11" s="324"/>
      <c r="AO11" s="322"/>
    </row>
    <row r="12" spans="2:41" x14ac:dyDescent="0.2">
      <c r="B12" s="115">
        <f t="shared" si="8"/>
        <v>43221</v>
      </c>
      <c r="C12" s="107">
        <v>2.3622037298903575</v>
      </c>
      <c r="D12" s="107">
        <v>2.3876531645569616</v>
      </c>
      <c r="E12" s="116">
        <f t="shared" si="4"/>
        <v>2018</v>
      </c>
      <c r="G12" s="109">
        <f t="shared" si="9"/>
        <v>2022</v>
      </c>
      <c r="H12" s="110">
        <f t="shared" si="5"/>
        <v>2.5499999999999998</v>
      </c>
      <c r="I12" s="110">
        <f t="shared" si="6"/>
        <v>2.5299999999999998</v>
      </c>
      <c r="K12" s="18">
        <f t="shared" si="10"/>
        <v>5</v>
      </c>
      <c r="L12" s="139">
        <f t="shared" si="11"/>
        <v>2018</v>
      </c>
      <c r="M12" s="111">
        <f t="shared" si="7"/>
        <v>43221</v>
      </c>
      <c r="N12" s="112">
        <v>16.059999999999999</v>
      </c>
      <c r="O12" s="112">
        <v>22.05</v>
      </c>
      <c r="P12" s="112">
        <v>9.4499999999999993</v>
      </c>
      <c r="Q12" s="113">
        <v>17.087499999999999</v>
      </c>
      <c r="S12" s="136">
        <v>19.8622311827957</v>
      </c>
      <c r="T12" s="138">
        <f t="shared" si="12"/>
        <v>1.1101471832177296</v>
      </c>
      <c r="U12" s="138">
        <f t="shared" si="13"/>
        <v>0.86030113347995252</v>
      </c>
      <c r="W12" s="109">
        <f t="shared" si="14"/>
        <v>2022</v>
      </c>
      <c r="X12" s="114">
        <f t="shared" si="15"/>
        <v>30.74</v>
      </c>
      <c r="Y12" s="114">
        <f t="shared" si="16"/>
        <v>31.49</v>
      </c>
      <c r="Z12" s="114">
        <f t="shared" si="17"/>
        <v>24.58</v>
      </c>
      <c r="AA12" s="114">
        <f t="shared" si="18"/>
        <v>25.76</v>
      </c>
      <c r="AD12" s="320" t="str">
        <f t="shared" si="0"/>
        <v>Winter</v>
      </c>
      <c r="AE12">
        <f t="shared" si="1"/>
        <v>11</v>
      </c>
      <c r="AF12" s="318">
        <v>43040</v>
      </c>
      <c r="AG12" s="319">
        <v>400</v>
      </c>
      <c r="AH12" s="319">
        <v>320</v>
      </c>
      <c r="AI12">
        <f t="shared" si="2"/>
        <v>25</v>
      </c>
      <c r="AJ12">
        <f t="shared" si="3"/>
        <v>5</v>
      </c>
      <c r="AM12" s="324"/>
      <c r="AN12" s="324"/>
      <c r="AO12" s="322"/>
    </row>
    <row r="13" spans="2:41" x14ac:dyDescent="0.2">
      <c r="B13" s="115">
        <f t="shared" si="8"/>
        <v>43252</v>
      </c>
      <c r="C13" s="107">
        <v>2.3857717184137717</v>
      </c>
      <c r="D13" s="107">
        <v>2.4108430379746832</v>
      </c>
      <c r="E13" s="116">
        <f t="shared" si="4"/>
        <v>2018</v>
      </c>
      <c r="G13" s="109">
        <f t="shared" si="9"/>
        <v>2023</v>
      </c>
      <c r="H13" s="110">
        <f t="shared" si="5"/>
        <v>2.99</v>
      </c>
      <c r="I13" s="110">
        <f t="shared" si="6"/>
        <v>2.91</v>
      </c>
      <c r="K13" s="18">
        <f t="shared" si="10"/>
        <v>6</v>
      </c>
      <c r="L13" s="139">
        <f t="shared" si="11"/>
        <v>2018</v>
      </c>
      <c r="M13" s="111">
        <f t="shared" si="7"/>
        <v>43252</v>
      </c>
      <c r="N13" s="112">
        <v>17.324999999999999</v>
      </c>
      <c r="O13" s="112">
        <v>24.875</v>
      </c>
      <c r="P13" s="112">
        <v>8.4</v>
      </c>
      <c r="Q13" s="113">
        <v>19.162500000000001</v>
      </c>
      <c r="S13" s="136">
        <v>22.463055555555556</v>
      </c>
      <c r="T13" s="138">
        <f t="shared" si="12"/>
        <v>1.1073738360517886</v>
      </c>
      <c r="U13" s="138">
        <f t="shared" si="13"/>
        <v>0.85306738224492074</v>
      </c>
      <c r="W13" s="109">
        <f t="shared" si="14"/>
        <v>2023</v>
      </c>
      <c r="X13" s="114">
        <f t="shared" si="15"/>
        <v>33.5</v>
      </c>
      <c r="Y13" s="114">
        <f t="shared" si="16"/>
        <v>33.869999999999997</v>
      </c>
      <c r="Z13" s="114">
        <f t="shared" si="17"/>
        <v>27.47</v>
      </c>
      <c r="AA13" s="114">
        <f t="shared" si="18"/>
        <v>28.81</v>
      </c>
      <c r="AD13" s="320" t="str">
        <f t="shared" si="0"/>
        <v>Winter</v>
      </c>
      <c r="AE13">
        <f t="shared" si="1"/>
        <v>12</v>
      </c>
      <c r="AF13" s="318">
        <v>43070</v>
      </c>
      <c r="AG13" s="319">
        <v>400</v>
      </c>
      <c r="AH13" s="319">
        <v>344</v>
      </c>
      <c r="AI13">
        <f t="shared" si="2"/>
        <v>25</v>
      </c>
      <c r="AJ13">
        <f t="shared" si="3"/>
        <v>6</v>
      </c>
      <c r="AM13" s="324"/>
      <c r="AN13" s="324"/>
      <c r="AO13" s="322"/>
    </row>
    <row r="14" spans="2:41" x14ac:dyDescent="0.2">
      <c r="B14" s="115">
        <f t="shared" si="8"/>
        <v>43282</v>
      </c>
      <c r="C14" s="107">
        <v>2.4626238549031663</v>
      </c>
      <c r="D14" s="107">
        <v>2.4786911392405062</v>
      </c>
      <c r="E14" s="116">
        <f t="shared" si="4"/>
        <v>2018</v>
      </c>
      <c r="G14" s="109">
        <f t="shared" si="9"/>
        <v>2024</v>
      </c>
      <c r="H14" s="110">
        <f t="shared" si="5"/>
        <v>3.61</v>
      </c>
      <c r="I14" s="110">
        <f t="shared" si="6"/>
        <v>3.5</v>
      </c>
      <c r="K14" s="18">
        <f t="shared" si="10"/>
        <v>7</v>
      </c>
      <c r="L14" s="139">
        <f t="shared" si="11"/>
        <v>2018</v>
      </c>
      <c r="M14" s="111">
        <f t="shared" si="7"/>
        <v>43282</v>
      </c>
      <c r="N14" s="112">
        <v>25.55</v>
      </c>
      <c r="O14" s="112">
        <v>33.6</v>
      </c>
      <c r="P14" s="112">
        <v>15.324999999999999</v>
      </c>
      <c r="Q14" s="113">
        <v>22.6875</v>
      </c>
      <c r="S14" s="136">
        <v>28.554435483870968</v>
      </c>
      <c r="T14" s="138">
        <f t="shared" si="12"/>
        <v>1.1766998517263292</v>
      </c>
      <c r="U14" s="138">
        <f t="shared" si="13"/>
        <v>0.79453505613217534</v>
      </c>
      <c r="W14" s="109">
        <f t="shared" si="14"/>
        <v>2024</v>
      </c>
      <c r="X14" s="114">
        <f t="shared" si="15"/>
        <v>37.1</v>
      </c>
      <c r="Y14" s="114">
        <f t="shared" si="16"/>
        <v>36.76</v>
      </c>
      <c r="Z14" s="114">
        <f t="shared" si="17"/>
        <v>30.79</v>
      </c>
      <c r="AA14" s="114">
        <f t="shared" si="18"/>
        <v>32.08</v>
      </c>
      <c r="AD14" s="320" t="str">
        <f t="shared" si="0"/>
        <v>Winter</v>
      </c>
      <c r="AE14">
        <f t="shared" si="1"/>
        <v>1</v>
      </c>
      <c r="AF14" s="318">
        <v>43101</v>
      </c>
      <c r="AG14" s="319">
        <v>416</v>
      </c>
      <c r="AH14" s="319">
        <v>328</v>
      </c>
      <c r="AI14">
        <f t="shared" si="2"/>
        <v>26</v>
      </c>
      <c r="AJ14">
        <f t="shared" si="3"/>
        <v>5</v>
      </c>
      <c r="AM14" s="324"/>
      <c r="AN14" s="324"/>
      <c r="AO14" s="322"/>
    </row>
    <row r="15" spans="2:41" x14ac:dyDescent="0.2">
      <c r="B15" s="115">
        <f t="shared" si="8"/>
        <v>43313</v>
      </c>
      <c r="C15" s="107">
        <v>2.4656979403627419</v>
      </c>
      <c r="D15" s="107">
        <v>2.494286075949367</v>
      </c>
      <c r="E15" s="116">
        <f t="shared" si="4"/>
        <v>2018</v>
      </c>
      <c r="G15" s="109">
        <f t="shared" si="9"/>
        <v>2025</v>
      </c>
      <c r="H15" s="110">
        <f t="shared" si="5"/>
        <v>3.81</v>
      </c>
      <c r="I15" s="110">
        <f t="shared" si="6"/>
        <v>3.78</v>
      </c>
      <c r="K15" s="18">
        <f t="shared" si="10"/>
        <v>8</v>
      </c>
      <c r="L15" s="139">
        <f t="shared" si="11"/>
        <v>2018</v>
      </c>
      <c r="M15" s="111">
        <f t="shared" si="7"/>
        <v>43313</v>
      </c>
      <c r="N15" s="112">
        <v>29</v>
      </c>
      <c r="O15" s="112">
        <v>33.22</v>
      </c>
      <c r="P15" s="112">
        <v>21.65</v>
      </c>
      <c r="Q15" s="113">
        <v>23.66</v>
      </c>
      <c r="S15" s="136">
        <v>29.210967741935484</v>
      </c>
      <c r="T15" s="138">
        <f t="shared" si="12"/>
        <v>1.1372440753583497</v>
      </c>
      <c r="U15" s="138">
        <f t="shared" si="13"/>
        <v>0.80996974181151582</v>
      </c>
      <c r="W15" s="109">
        <f t="shared" si="14"/>
        <v>2025</v>
      </c>
      <c r="X15" s="114">
        <f t="shared" si="15"/>
        <v>39.49</v>
      </c>
      <c r="Y15" s="114">
        <f t="shared" si="16"/>
        <v>39.08</v>
      </c>
      <c r="Z15" s="114">
        <f t="shared" si="17"/>
        <v>33.18</v>
      </c>
      <c r="AA15" s="114">
        <f t="shared" si="18"/>
        <v>33.950000000000003</v>
      </c>
      <c r="AD15" s="320" t="str">
        <f t="shared" si="0"/>
        <v>Winter</v>
      </c>
      <c r="AE15">
        <f t="shared" si="1"/>
        <v>2</v>
      </c>
      <c r="AF15" s="318">
        <v>43132</v>
      </c>
      <c r="AG15" s="319">
        <v>384</v>
      </c>
      <c r="AH15" s="319">
        <v>288</v>
      </c>
      <c r="AI15">
        <f t="shared" si="2"/>
        <v>24</v>
      </c>
      <c r="AJ15">
        <f t="shared" si="3"/>
        <v>4</v>
      </c>
      <c r="AO15" s="322"/>
    </row>
    <row r="16" spans="2:41" x14ac:dyDescent="0.2">
      <c r="B16" s="115">
        <f t="shared" si="8"/>
        <v>43344</v>
      </c>
      <c r="C16" s="107">
        <v>2.4462287324520955</v>
      </c>
      <c r="D16" s="107">
        <v>2.4751468354430375</v>
      </c>
      <c r="E16" s="116">
        <f t="shared" si="4"/>
        <v>2018</v>
      </c>
      <c r="G16" s="109">
        <f t="shared" si="9"/>
        <v>2026</v>
      </c>
      <c r="H16" s="110">
        <f t="shared" si="5"/>
        <v>3.81</v>
      </c>
      <c r="I16" s="110">
        <f t="shared" si="6"/>
        <v>3.77</v>
      </c>
      <c r="K16" s="18">
        <f t="shared" si="10"/>
        <v>9</v>
      </c>
      <c r="L16" s="139">
        <f t="shared" si="11"/>
        <v>2018</v>
      </c>
      <c r="M16" s="111">
        <f t="shared" si="7"/>
        <v>43344</v>
      </c>
      <c r="N16" s="112">
        <v>25.55</v>
      </c>
      <c r="O16" s="112">
        <v>27.28</v>
      </c>
      <c r="P16" s="112">
        <v>21.175000000000001</v>
      </c>
      <c r="Q16" s="113">
        <v>21.302499999999998</v>
      </c>
      <c r="S16" s="136">
        <v>24.490500000000001</v>
      </c>
      <c r="T16" s="138">
        <f t="shared" si="12"/>
        <v>1.113901308670709</v>
      </c>
      <c r="U16" s="138">
        <f t="shared" si="13"/>
        <v>0.86982707580490382</v>
      </c>
      <c r="W16" s="109">
        <f t="shared" si="14"/>
        <v>2026</v>
      </c>
      <c r="X16" s="114">
        <f t="shared" si="15"/>
        <v>40.270000000000003</v>
      </c>
      <c r="Y16" s="114">
        <f t="shared" si="16"/>
        <v>39.840000000000003</v>
      </c>
      <c r="Z16" s="114">
        <f t="shared" si="17"/>
        <v>33.950000000000003</v>
      </c>
      <c r="AA16" s="114">
        <f t="shared" si="18"/>
        <v>34.69</v>
      </c>
      <c r="AD16" s="320" t="str">
        <f t="shared" si="0"/>
        <v>Winter</v>
      </c>
      <c r="AE16">
        <f t="shared" si="1"/>
        <v>3</v>
      </c>
      <c r="AF16" s="318">
        <v>43160</v>
      </c>
      <c r="AG16" s="319">
        <v>432</v>
      </c>
      <c r="AH16" s="319">
        <v>312</v>
      </c>
      <c r="AI16">
        <f t="shared" si="2"/>
        <v>27</v>
      </c>
      <c r="AJ16">
        <f t="shared" si="3"/>
        <v>4</v>
      </c>
      <c r="AO16" t="s">
        <v>210</v>
      </c>
    </row>
    <row r="17" spans="2:41" x14ac:dyDescent="0.2">
      <c r="B17" s="115">
        <f t="shared" si="8"/>
        <v>43374</v>
      </c>
      <c r="C17" s="107">
        <v>2.4031915360180345</v>
      </c>
      <c r="D17" s="107">
        <v>2.488210126582278</v>
      </c>
      <c r="E17" s="116">
        <f t="shared" si="4"/>
        <v>2018</v>
      </c>
      <c r="G17" s="109">
        <f t="shared" si="9"/>
        <v>2027</v>
      </c>
      <c r="H17" s="110">
        <f t="shared" si="5"/>
        <v>3.95</v>
      </c>
      <c r="I17" s="110">
        <f t="shared" si="6"/>
        <v>3.92</v>
      </c>
      <c r="K17" s="18">
        <f t="shared" si="10"/>
        <v>10</v>
      </c>
      <c r="L17" s="139">
        <f t="shared" si="11"/>
        <v>2018</v>
      </c>
      <c r="M17" s="111">
        <f t="shared" si="7"/>
        <v>43374</v>
      </c>
      <c r="N17" s="112">
        <v>24.047499999999999</v>
      </c>
      <c r="O17" s="112">
        <v>24.5</v>
      </c>
      <c r="P17" s="112">
        <v>19.574999999999999</v>
      </c>
      <c r="Q17" s="113">
        <v>22.295000000000002</v>
      </c>
      <c r="S17" s="136">
        <v>23.575322580645164</v>
      </c>
      <c r="T17" s="138">
        <f t="shared" si="12"/>
        <v>1.0392222594703318</v>
      </c>
      <c r="U17" s="138">
        <f t="shared" si="13"/>
        <v>0.94569225611800201</v>
      </c>
      <c r="W17" s="109">
        <f t="shared" si="14"/>
        <v>2027</v>
      </c>
      <c r="X17" s="114">
        <f t="shared" si="15"/>
        <v>41.36</v>
      </c>
      <c r="Y17" s="114">
        <f t="shared" si="16"/>
        <v>40.83</v>
      </c>
      <c r="Z17" s="114">
        <f t="shared" si="17"/>
        <v>35.1</v>
      </c>
      <c r="AA17" s="114">
        <f t="shared" si="18"/>
        <v>35.89</v>
      </c>
      <c r="AD17" s="320" t="str">
        <f t="shared" si="0"/>
        <v>Winter</v>
      </c>
      <c r="AE17">
        <f t="shared" si="1"/>
        <v>4</v>
      </c>
      <c r="AF17" s="318">
        <v>43191</v>
      </c>
      <c r="AG17" s="319">
        <v>400</v>
      </c>
      <c r="AH17" s="319">
        <v>320</v>
      </c>
      <c r="AI17">
        <f t="shared" si="2"/>
        <v>25</v>
      </c>
      <c r="AJ17">
        <f t="shared" si="3"/>
        <v>5</v>
      </c>
      <c r="AL17" s="191" t="s">
        <v>209</v>
      </c>
      <c r="AM17" s="323">
        <f>SUM(AG2:AG253)</f>
        <v>103168</v>
      </c>
      <c r="AN17" s="323">
        <f>SUM(AH2:AH253)</f>
        <v>80912</v>
      </c>
      <c r="AO17" s="322">
        <f>AM17/SUM(AM17:AN17)</f>
        <v>0.56045197740112995</v>
      </c>
    </row>
    <row r="18" spans="2:41" x14ac:dyDescent="0.2">
      <c r="B18" s="115">
        <f t="shared" si="8"/>
        <v>43405</v>
      </c>
      <c r="C18" s="107">
        <v>2.6265750794138745</v>
      </c>
      <c r="D18" s="107">
        <v>2.7124126582278478</v>
      </c>
      <c r="E18" s="116">
        <f t="shared" si="4"/>
        <v>2018</v>
      </c>
      <c r="G18" s="109">
        <f t="shared" si="9"/>
        <v>2028</v>
      </c>
      <c r="H18" s="110">
        <f t="shared" si="5"/>
        <v>4.1500000000000004</v>
      </c>
      <c r="I18" s="110">
        <f t="shared" si="6"/>
        <v>4.1500000000000004</v>
      </c>
      <c r="K18" s="18">
        <f t="shared" si="10"/>
        <v>11</v>
      </c>
      <c r="L18" s="139">
        <f t="shared" si="11"/>
        <v>2018</v>
      </c>
      <c r="M18" s="111">
        <f t="shared" si="7"/>
        <v>43405</v>
      </c>
      <c r="N18" s="112">
        <v>25.592500000000001</v>
      </c>
      <c r="O18" s="112">
        <v>24.25</v>
      </c>
      <c r="P18" s="112">
        <v>22.47</v>
      </c>
      <c r="Q18" s="113">
        <v>21.712499999999999</v>
      </c>
      <c r="S18" s="136">
        <v>23.12026699029126</v>
      </c>
      <c r="T18" s="138">
        <f t="shared" si="12"/>
        <v>1.0488633202282285</v>
      </c>
      <c r="U18" s="138">
        <f t="shared" si="13"/>
        <v>0.93911112744146008</v>
      </c>
      <c r="W18" s="109">
        <f t="shared" si="14"/>
        <v>2028</v>
      </c>
      <c r="X18" s="114">
        <f t="shared" si="15"/>
        <v>43.71</v>
      </c>
      <c r="Y18" s="114">
        <f t="shared" si="16"/>
        <v>42.66</v>
      </c>
      <c r="Z18" s="114">
        <f t="shared" si="17"/>
        <v>37.19</v>
      </c>
      <c r="AA18" s="114">
        <f t="shared" si="18"/>
        <v>37.74</v>
      </c>
      <c r="AD18" s="320" t="str">
        <f t="shared" si="0"/>
        <v>Winter</v>
      </c>
      <c r="AE18">
        <f t="shared" si="1"/>
        <v>5</v>
      </c>
      <c r="AF18" s="318">
        <v>43221</v>
      </c>
      <c r="AG18" s="319">
        <v>416</v>
      </c>
      <c r="AH18" s="319">
        <v>328</v>
      </c>
      <c r="AI18">
        <f t="shared" si="2"/>
        <v>26</v>
      </c>
      <c r="AJ18">
        <f t="shared" si="3"/>
        <v>5</v>
      </c>
    </row>
    <row r="19" spans="2:41" x14ac:dyDescent="0.2">
      <c r="B19" s="117">
        <f t="shared" si="8"/>
        <v>43435</v>
      </c>
      <c r="C19" s="118">
        <v>2.8658413976841892</v>
      </c>
      <c r="D19" s="118">
        <v>2.8617797468354427</v>
      </c>
      <c r="E19" s="119">
        <f t="shared" si="4"/>
        <v>2018</v>
      </c>
      <c r="G19" s="109">
        <f t="shared" si="9"/>
        <v>2029</v>
      </c>
      <c r="H19" s="110">
        <f t="shared" si="5"/>
        <v>4.47</v>
      </c>
      <c r="I19" s="110">
        <f t="shared" si="6"/>
        <v>4.51</v>
      </c>
      <c r="K19" s="18">
        <f t="shared" si="10"/>
        <v>12</v>
      </c>
      <c r="L19" s="139">
        <f t="shared" si="11"/>
        <v>2018</v>
      </c>
      <c r="M19" s="120">
        <f t="shared" si="7"/>
        <v>43435</v>
      </c>
      <c r="N19" s="121">
        <v>28.66</v>
      </c>
      <c r="O19" s="121">
        <v>26.25</v>
      </c>
      <c r="P19" s="121">
        <v>23.055</v>
      </c>
      <c r="Q19" s="122">
        <v>24.342500000000001</v>
      </c>
      <c r="S19" s="136">
        <v>25.368037634408598</v>
      </c>
      <c r="T19" s="138">
        <f t="shared" si="12"/>
        <v>1.0347666768041659</v>
      </c>
      <c r="U19" s="138">
        <f t="shared" si="13"/>
        <v>0.95957363162306331</v>
      </c>
      <c r="W19" s="109">
        <f t="shared" si="14"/>
        <v>2029</v>
      </c>
      <c r="X19" s="114">
        <f t="shared" si="15"/>
        <v>45.85</v>
      </c>
      <c r="Y19" s="114">
        <f t="shared" si="16"/>
        <v>44.88</v>
      </c>
      <c r="Z19" s="114">
        <f t="shared" si="17"/>
        <v>39.29</v>
      </c>
      <c r="AA19" s="114">
        <f t="shared" si="18"/>
        <v>40.020000000000003</v>
      </c>
      <c r="AD19" s="320" t="str">
        <f t="shared" si="0"/>
        <v>Summer</v>
      </c>
      <c r="AE19">
        <f t="shared" si="1"/>
        <v>6</v>
      </c>
      <c r="AF19" s="318">
        <v>43252</v>
      </c>
      <c r="AG19" s="319">
        <v>416</v>
      </c>
      <c r="AH19" s="319">
        <v>304</v>
      </c>
      <c r="AI19">
        <f t="shared" si="2"/>
        <v>26</v>
      </c>
      <c r="AJ19">
        <f t="shared" si="3"/>
        <v>4</v>
      </c>
      <c r="AL19" t="s">
        <v>208</v>
      </c>
      <c r="AM19">
        <f>SUMIF($AD$2:$AD$253,"Summer",$AG$2:$AG$253)</f>
        <v>34464</v>
      </c>
      <c r="AN19" s="321">
        <f>AM19/$AM$23</f>
        <v>0.18722294654498045</v>
      </c>
      <c r="AO19" s="321"/>
    </row>
    <row r="20" spans="2:41" x14ac:dyDescent="0.2">
      <c r="B20" s="106">
        <f>EDATE(B19,1)</f>
        <v>43466</v>
      </c>
      <c r="C20" s="107">
        <v>2.9088785941182498</v>
      </c>
      <c r="D20" s="107">
        <v>2.944210126582278</v>
      </c>
      <c r="E20" s="108">
        <f t="shared" si="4"/>
        <v>2019</v>
      </c>
      <c r="G20" s="109">
        <f t="shared" si="9"/>
        <v>2030</v>
      </c>
      <c r="H20" s="110">
        <f t="shared" si="5"/>
        <v>4.8099999999999996</v>
      </c>
      <c r="I20" s="110">
        <f t="shared" si="6"/>
        <v>4.88</v>
      </c>
      <c r="K20" s="18">
        <f t="shared" si="10"/>
        <v>1</v>
      </c>
      <c r="L20" s="139">
        <f t="shared" si="11"/>
        <v>2019</v>
      </c>
      <c r="M20" s="111">
        <f t="shared" si="7"/>
        <v>43466</v>
      </c>
      <c r="N20" s="123">
        <v>29.137499999999999</v>
      </c>
      <c r="O20" s="123">
        <v>27.344000000000001</v>
      </c>
      <c r="P20" s="123">
        <v>24.745999999999999</v>
      </c>
      <c r="Q20" s="124">
        <v>26.02</v>
      </c>
      <c r="S20" s="136">
        <v>26.760301075268817</v>
      </c>
      <c r="T20" s="138">
        <f t="shared" si="12"/>
        <v>1.0218121209880791</v>
      </c>
      <c r="U20" s="138">
        <f t="shared" si="13"/>
        <v>0.97233584655170469</v>
      </c>
      <c r="W20" s="109">
        <f t="shared" si="14"/>
        <v>2030</v>
      </c>
      <c r="X20" s="114">
        <f t="shared" si="15"/>
        <v>48.25</v>
      </c>
      <c r="Y20" s="114">
        <f t="shared" si="16"/>
        <v>47.33</v>
      </c>
      <c r="Z20" s="114">
        <f t="shared" si="17"/>
        <v>41.83</v>
      </c>
      <c r="AA20" s="114">
        <f t="shared" si="18"/>
        <v>42.63</v>
      </c>
      <c r="AD20" s="320" t="str">
        <f t="shared" si="0"/>
        <v>Summer</v>
      </c>
      <c r="AE20">
        <f t="shared" si="1"/>
        <v>7</v>
      </c>
      <c r="AF20" s="318">
        <v>43282</v>
      </c>
      <c r="AG20" s="319">
        <v>400</v>
      </c>
      <c r="AH20" s="319">
        <v>344</v>
      </c>
      <c r="AI20">
        <f t="shared" si="2"/>
        <v>25</v>
      </c>
      <c r="AJ20">
        <f t="shared" si="3"/>
        <v>6</v>
      </c>
      <c r="AL20" t="s">
        <v>207</v>
      </c>
      <c r="AM20">
        <f>SUMIF($AD$2:$AD$253,"Winter",$AG$2:$AG$253)</f>
        <v>68704</v>
      </c>
      <c r="AN20" s="321">
        <f>AM20/$AM$23</f>
        <v>0.3732290308561495</v>
      </c>
      <c r="AO20" s="321">
        <f>AN20+AN19</f>
        <v>0.56045197740112995</v>
      </c>
    </row>
    <row r="21" spans="2:41" x14ac:dyDescent="0.2">
      <c r="B21" s="115">
        <f t="shared" si="8"/>
        <v>43497</v>
      </c>
      <c r="C21" s="107">
        <v>2.8919711240905834</v>
      </c>
      <c r="D21" s="107">
        <v>2.9175772151898731</v>
      </c>
      <c r="E21" s="116">
        <f t="shared" si="4"/>
        <v>2019</v>
      </c>
      <c r="G21" s="109">
        <f t="shared" si="9"/>
        <v>2031</v>
      </c>
      <c r="H21" s="110">
        <f t="shared" si="5"/>
        <v>5.04</v>
      </c>
      <c r="I21" s="110">
        <f t="shared" si="6"/>
        <v>5.1100000000000003</v>
      </c>
      <c r="K21" s="18">
        <f t="shared" si="10"/>
        <v>2</v>
      </c>
      <c r="L21" s="139">
        <f t="shared" si="11"/>
        <v>2019</v>
      </c>
      <c r="M21" s="111">
        <f t="shared" si="7"/>
        <v>43497</v>
      </c>
      <c r="N21" s="112">
        <v>28.305</v>
      </c>
      <c r="O21" s="112">
        <v>27.896999999999998</v>
      </c>
      <c r="P21" s="112">
        <v>24.0365</v>
      </c>
      <c r="Q21" s="113">
        <v>25.754999999999999</v>
      </c>
      <c r="S21" s="136">
        <v>26.978999999999999</v>
      </c>
      <c r="T21" s="138">
        <f t="shared" si="12"/>
        <v>1.0340264650283553</v>
      </c>
      <c r="U21" s="138">
        <f t="shared" si="13"/>
        <v>0.95463137996219283</v>
      </c>
      <c r="W21" s="109">
        <f t="shared" si="14"/>
        <v>2031</v>
      </c>
      <c r="X21" s="114">
        <f t="shared" si="15"/>
        <v>50.32</v>
      </c>
      <c r="Y21" s="114">
        <f t="shared" si="16"/>
        <v>49.33</v>
      </c>
      <c r="Z21" s="114">
        <f t="shared" si="17"/>
        <v>43.73</v>
      </c>
      <c r="AA21" s="114">
        <f t="shared" si="18"/>
        <v>44.41</v>
      </c>
      <c r="AD21" s="320" t="str">
        <f t="shared" si="0"/>
        <v>Summer</v>
      </c>
      <c r="AE21">
        <f t="shared" si="1"/>
        <v>8</v>
      </c>
      <c r="AF21" s="318">
        <v>43313</v>
      </c>
      <c r="AG21" s="319">
        <v>432</v>
      </c>
      <c r="AH21" s="319">
        <v>312</v>
      </c>
      <c r="AI21">
        <f t="shared" si="2"/>
        <v>27</v>
      </c>
      <c r="AJ21">
        <f t="shared" si="3"/>
        <v>4</v>
      </c>
      <c r="AL21" s="66" t="s">
        <v>59</v>
      </c>
      <c r="AM21">
        <f>SUMIF($AD$2:$AD$253,"Summer",$AH$2:$AH$253)</f>
        <v>27024</v>
      </c>
      <c r="AN21" s="321">
        <f>AM21/$AM$23</f>
        <v>0.1468057366362451</v>
      </c>
    </row>
    <row r="22" spans="2:41" x14ac:dyDescent="0.2">
      <c r="B22" s="115">
        <f t="shared" si="8"/>
        <v>43525</v>
      </c>
      <c r="C22" s="107">
        <v>2.7669583154011681</v>
      </c>
      <c r="D22" s="107">
        <v>2.8451721518987338</v>
      </c>
      <c r="E22" s="116">
        <f t="shared" si="4"/>
        <v>2019</v>
      </c>
      <c r="G22" s="109">
        <f t="shared" si="9"/>
        <v>2032</v>
      </c>
      <c r="H22" s="110">
        <f t="shared" si="5"/>
        <v>5.28</v>
      </c>
      <c r="I22" s="110">
        <f t="shared" si="6"/>
        <v>5.38</v>
      </c>
      <c r="K22" s="18">
        <f t="shared" si="10"/>
        <v>3</v>
      </c>
      <c r="L22" s="139">
        <f t="shared" si="11"/>
        <v>2019</v>
      </c>
      <c r="M22" s="111">
        <f t="shared" si="7"/>
        <v>43525</v>
      </c>
      <c r="N22" s="112">
        <v>25.807500000000001</v>
      </c>
      <c r="O22" s="112">
        <v>25.709</v>
      </c>
      <c r="P22" s="112">
        <v>22.6175</v>
      </c>
      <c r="Q22" s="113">
        <v>24.225000000000001</v>
      </c>
      <c r="S22" s="136">
        <v>25.055880215343205</v>
      </c>
      <c r="T22" s="138">
        <f t="shared" si="12"/>
        <v>1.0260665272600102</v>
      </c>
      <c r="U22" s="138">
        <f t="shared" si="13"/>
        <v>0.9668389133328309</v>
      </c>
      <c r="W22" s="109">
        <f t="shared" si="14"/>
        <v>2032</v>
      </c>
      <c r="X22" s="114">
        <f t="shared" si="15"/>
        <v>52.51</v>
      </c>
      <c r="Y22" s="114">
        <f t="shared" si="16"/>
        <v>51.66</v>
      </c>
      <c r="Z22" s="114">
        <f t="shared" si="17"/>
        <v>45.82</v>
      </c>
      <c r="AA22" s="114">
        <f t="shared" si="18"/>
        <v>46.63</v>
      </c>
      <c r="AD22" s="320" t="str">
        <f t="shared" si="0"/>
        <v>Summer</v>
      </c>
      <c r="AE22">
        <f t="shared" si="1"/>
        <v>9</v>
      </c>
      <c r="AF22" s="318">
        <v>43344</v>
      </c>
      <c r="AG22" s="319">
        <v>384</v>
      </c>
      <c r="AH22" s="319">
        <v>336</v>
      </c>
      <c r="AI22">
        <f t="shared" si="2"/>
        <v>24</v>
      </c>
      <c r="AJ22">
        <f t="shared" si="3"/>
        <v>6</v>
      </c>
      <c r="AL22" s="66" t="s">
        <v>60</v>
      </c>
      <c r="AM22">
        <f>SUMIF($AD$2:$AD$253,"Winter",$AH$2:$AH$253)</f>
        <v>53888</v>
      </c>
      <c r="AN22" s="321">
        <f>AM22/$AM$23</f>
        <v>0.29274228596262497</v>
      </c>
      <c r="AO22" s="321">
        <f>AN21+AN22</f>
        <v>0.43954802259887005</v>
      </c>
    </row>
    <row r="23" spans="2:41" x14ac:dyDescent="0.2">
      <c r="B23" s="115">
        <f t="shared" si="8"/>
        <v>43556</v>
      </c>
      <c r="C23" s="107">
        <v>2.2945738497796904</v>
      </c>
      <c r="D23" s="107">
        <v>2.2182354430379743</v>
      </c>
      <c r="E23" s="116">
        <f t="shared" si="4"/>
        <v>2019</v>
      </c>
      <c r="G23" s="109">
        <f t="shared" si="9"/>
        <v>2033</v>
      </c>
      <c r="H23" s="110">
        <f t="shared" si="5"/>
        <v>5.62</v>
      </c>
      <c r="I23" s="110">
        <f t="shared" si="6"/>
        <v>5.76</v>
      </c>
      <c r="K23" s="18">
        <f t="shared" si="10"/>
        <v>4</v>
      </c>
      <c r="L23" s="139">
        <f t="shared" si="11"/>
        <v>2019</v>
      </c>
      <c r="M23" s="111">
        <f t="shared" si="7"/>
        <v>43556</v>
      </c>
      <c r="N23" s="112">
        <v>21.35</v>
      </c>
      <c r="O23" s="112">
        <v>20.295000000000002</v>
      </c>
      <c r="P23" s="112">
        <v>14.933</v>
      </c>
      <c r="Q23" s="113">
        <v>14.484999999999999</v>
      </c>
      <c r="S23" s="136">
        <v>17.841888888888889</v>
      </c>
      <c r="T23" s="138">
        <f t="shared" si="12"/>
        <v>1.1374916706626728</v>
      </c>
      <c r="U23" s="138">
        <f t="shared" si="13"/>
        <v>0.81185350330371098</v>
      </c>
      <c r="W23" s="109">
        <f t="shared" si="14"/>
        <v>2033</v>
      </c>
      <c r="X23" s="114">
        <f t="shared" si="15"/>
        <v>55.22</v>
      </c>
      <c r="Y23" s="114">
        <f t="shared" si="16"/>
        <v>54.43</v>
      </c>
      <c r="Z23" s="114">
        <f t="shared" si="17"/>
        <v>48.63</v>
      </c>
      <c r="AA23" s="114">
        <f t="shared" si="18"/>
        <v>49.46</v>
      </c>
      <c r="AD23" s="320" t="str">
        <f t="shared" si="0"/>
        <v>Winter</v>
      </c>
      <c r="AE23">
        <f t="shared" si="1"/>
        <v>10</v>
      </c>
      <c r="AF23" s="318">
        <v>43374</v>
      </c>
      <c r="AG23" s="319">
        <v>432</v>
      </c>
      <c r="AH23" s="319">
        <v>312</v>
      </c>
      <c r="AI23">
        <f t="shared" si="2"/>
        <v>27</v>
      </c>
      <c r="AJ23">
        <f t="shared" si="3"/>
        <v>4</v>
      </c>
      <c r="AM23">
        <f>SUM(AM19:AM22)</f>
        <v>184080</v>
      </c>
    </row>
    <row r="24" spans="2:41" x14ac:dyDescent="0.2">
      <c r="B24" s="115">
        <f t="shared" si="8"/>
        <v>43586</v>
      </c>
      <c r="C24" s="107">
        <v>2.1977401578030538</v>
      </c>
      <c r="D24" s="107">
        <v>2.1861341772151897</v>
      </c>
      <c r="E24" s="116">
        <f t="shared" si="4"/>
        <v>2019</v>
      </c>
      <c r="G24" s="109">
        <f t="shared" si="9"/>
        <v>2034</v>
      </c>
      <c r="H24" s="110">
        <f t="shared" si="5"/>
        <v>5.9</v>
      </c>
      <c r="I24" s="110">
        <f t="shared" si="6"/>
        <v>6.02</v>
      </c>
      <c r="K24" s="18">
        <f t="shared" si="10"/>
        <v>5</v>
      </c>
      <c r="L24" s="139">
        <f t="shared" si="11"/>
        <v>2019</v>
      </c>
      <c r="M24" s="111">
        <f t="shared" si="7"/>
        <v>43586</v>
      </c>
      <c r="N24" s="112">
        <v>16.45</v>
      </c>
      <c r="O24" s="112">
        <v>20.988</v>
      </c>
      <c r="P24" s="112">
        <v>9.2650000000000006</v>
      </c>
      <c r="Q24" s="113">
        <v>10.39</v>
      </c>
      <c r="S24" s="136">
        <v>16.315763440860216</v>
      </c>
      <c r="T24" s="138">
        <f t="shared" si="12"/>
        <v>1.2863633427927077</v>
      </c>
      <c r="U24" s="138">
        <f t="shared" si="13"/>
        <v>0.63680746767754115</v>
      </c>
      <c r="W24" s="109">
        <f t="shared" si="14"/>
        <v>2034</v>
      </c>
      <c r="X24" s="114">
        <f t="shared" si="15"/>
        <v>57.39</v>
      </c>
      <c r="Y24" s="114">
        <f t="shared" si="16"/>
        <v>56.37</v>
      </c>
      <c r="Z24" s="114">
        <f t="shared" si="17"/>
        <v>50.74</v>
      </c>
      <c r="AA24" s="114">
        <f t="shared" si="18"/>
        <v>51.45</v>
      </c>
      <c r="AD24" s="320" t="str">
        <f t="shared" si="0"/>
        <v>Winter</v>
      </c>
      <c r="AE24">
        <f t="shared" si="1"/>
        <v>11</v>
      </c>
      <c r="AF24" s="318">
        <v>43405</v>
      </c>
      <c r="AG24" s="319">
        <v>400</v>
      </c>
      <c r="AH24" s="319">
        <v>320</v>
      </c>
      <c r="AI24">
        <f t="shared" si="2"/>
        <v>25</v>
      </c>
      <c r="AJ24">
        <f t="shared" si="3"/>
        <v>5</v>
      </c>
    </row>
    <row r="25" spans="2:41" x14ac:dyDescent="0.2">
      <c r="B25" s="115">
        <f t="shared" si="8"/>
        <v>43617</v>
      </c>
      <c r="C25" s="107">
        <v>2.2151599754073161</v>
      </c>
      <c r="D25" s="107">
        <v>2.2182354430379743</v>
      </c>
      <c r="E25" s="116">
        <f t="shared" si="4"/>
        <v>2019</v>
      </c>
      <c r="G25" s="109">
        <f t="shared" si="9"/>
        <v>2035</v>
      </c>
      <c r="H25" s="110">
        <f t="shared" si="5"/>
        <v>6.23</v>
      </c>
      <c r="I25" s="110">
        <f t="shared" si="6"/>
        <v>6.29</v>
      </c>
      <c r="K25" s="18">
        <f t="shared" si="10"/>
        <v>6</v>
      </c>
      <c r="L25" s="139">
        <f t="shared" si="11"/>
        <v>2019</v>
      </c>
      <c r="M25" s="111">
        <f t="shared" si="7"/>
        <v>43617</v>
      </c>
      <c r="N25" s="112">
        <v>15.75</v>
      </c>
      <c r="O25" s="112">
        <v>23.067</v>
      </c>
      <c r="P25" s="112">
        <v>8.5020000000000007</v>
      </c>
      <c r="Q25" s="113">
        <v>10.975</v>
      </c>
      <c r="S25" s="136">
        <v>17.692777777777778</v>
      </c>
      <c r="T25" s="138">
        <f t="shared" si="12"/>
        <v>1.3037523157597262</v>
      </c>
      <c r="U25" s="138">
        <f t="shared" si="13"/>
        <v>0.62030960530034229</v>
      </c>
      <c r="W25" s="109">
        <f t="shared" si="14"/>
        <v>2035</v>
      </c>
      <c r="X25" s="114">
        <f t="shared" si="15"/>
        <v>59.9</v>
      </c>
      <c r="Y25" s="114">
        <f t="shared" si="16"/>
        <v>58.9</v>
      </c>
      <c r="Z25" s="114">
        <f t="shared" si="17"/>
        <v>52.71</v>
      </c>
      <c r="AA25" s="114">
        <f t="shared" si="18"/>
        <v>53.67</v>
      </c>
      <c r="AD25" s="320" t="str">
        <f t="shared" si="0"/>
        <v>Winter</v>
      </c>
      <c r="AE25">
        <f t="shared" si="1"/>
        <v>12</v>
      </c>
      <c r="AF25" s="318">
        <v>43435</v>
      </c>
      <c r="AG25" s="319">
        <v>400</v>
      </c>
      <c r="AH25" s="319">
        <v>344</v>
      </c>
      <c r="AI25">
        <f t="shared" si="2"/>
        <v>25</v>
      </c>
      <c r="AJ25">
        <f t="shared" si="3"/>
        <v>6</v>
      </c>
    </row>
    <row r="26" spans="2:41" x14ac:dyDescent="0.2">
      <c r="B26" s="115">
        <f t="shared" si="8"/>
        <v>43647</v>
      </c>
      <c r="C26" s="107">
        <v>2.2792034224818116</v>
      </c>
      <c r="D26" s="107">
        <v>2.3062354430379743</v>
      </c>
      <c r="E26" s="116">
        <f t="shared" si="4"/>
        <v>2019</v>
      </c>
      <c r="G26" s="109">
        <f t="shared" si="9"/>
        <v>2036</v>
      </c>
      <c r="H26" s="110">
        <f t="shared" si="5"/>
        <v>6.7</v>
      </c>
      <c r="I26" s="110">
        <f t="shared" si="6"/>
        <v>6.8</v>
      </c>
      <c r="K26" s="18">
        <f t="shared" si="10"/>
        <v>7</v>
      </c>
      <c r="L26" s="139">
        <f t="shared" si="11"/>
        <v>2019</v>
      </c>
      <c r="M26" s="111">
        <f t="shared" si="7"/>
        <v>43647</v>
      </c>
      <c r="N26" s="112">
        <v>27.05</v>
      </c>
      <c r="O26" s="112">
        <v>34.200000000000003</v>
      </c>
      <c r="P26" s="112">
        <v>15.875</v>
      </c>
      <c r="Q26" s="113">
        <v>25.387499999999999</v>
      </c>
      <c r="S26" s="136">
        <v>30.314919354838715</v>
      </c>
      <c r="T26" s="138">
        <f t="shared" si="12"/>
        <v>1.1281573801891434</v>
      </c>
      <c r="U26" s="138">
        <f t="shared" si="13"/>
        <v>0.83745893244303726</v>
      </c>
      <c r="W26" s="109">
        <f t="shared" si="14"/>
        <v>2036</v>
      </c>
      <c r="X26" s="114">
        <f t="shared" si="15"/>
        <v>63.38</v>
      </c>
      <c r="Y26" s="114">
        <f t="shared" si="16"/>
        <v>62.67</v>
      </c>
      <c r="Z26" s="114">
        <f t="shared" si="17"/>
        <v>56.24</v>
      </c>
      <c r="AA26" s="114">
        <f t="shared" si="18"/>
        <v>57.42</v>
      </c>
      <c r="AD26" s="320" t="str">
        <f t="shared" si="0"/>
        <v>Winter</v>
      </c>
      <c r="AE26">
        <f t="shared" si="1"/>
        <v>1</v>
      </c>
      <c r="AF26" s="318">
        <v>43466</v>
      </c>
      <c r="AG26" s="319">
        <v>416</v>
      </c>
      <c r="AH26" s="319">
        <v>328</v>
      </c>
      <c r="AI26">
        <f t="shared" si="2"/>
        <v>26</v>
      </c>
      <c r="AJ26">
        <f t="shared" si="3"/>
        <v>5</v>
      </c>
    </row>
    <row r="27" spans="2:41" x14ac:dyDescent="0.2">
      <c r="B27" s="115">
        <f t="shared" si="8"/>
        <v>43678</v>
      </c>
      <c r="C27" s="107">
        <v>2.2914997643201147</v>
      </c>
      <c r="D27" s="107">
        <v>2.3284126582278479</v>
      </c>
      <c r="E27" s="116">
        <f t="shared" si="4"/>
        <v>2019</v>
      </c>
      <c r="G27" s="109">
        <f t="shared" si="9"/>
        <v>2037</v>
      </c>
      <c r="H27" s="110">
        <f t="shared" si="5"/>
        <v>6.9</v>
      </c>
      <c r="I27" s="110">
        <f t="shared" si="6"/>
        <v>7.05</v>
      </c>
      <c r="K27" s="18">
        <f t="shared" si="10"/>
        <v>8</v>
      </c>
      <c r="L27" s="139">
        <f t="shared" si="11"/>
        <v>2019</v>
      </c>
      <c r="M27" s="111">
        <f t="shared" si="7"/>
        <v>43678</v>
      </c>
      <c r="N27" s="112">
        <v>30.2</v>
      </c>
      <c r="O27" s="112">
        <v>32.92</v>
      </c>
      <c r="P27" s="112">
        <v>17.8</v>
      </c>
      <c r="Q27" s="113">
        <v>25.16</v>
      </c>
      <c r="S27" s="136">
        <v>29.665806451612905</v>
      </c>
      <c r="T27" s="138">
        <f t="shared" si="12"/>
        <v>1.1096950980818581</v>
      </c>
      <c r="U27" s="138">
        <f t="shared" si="13"/>
        <v>0.84811447957896569</v>
      </c>
      <c r="W27" s="109">
        <f t="shared" si="14"/>
        <v>2037</v>
      </c>
      <c r="X27" s="114">
        <f t="shared" si="15"/>
        <v>66.12</v>
      </c>
      <c r="Y27" s="114">
        <f t="shared" si="16"/>
        <v>65.02</v>
      </c>
      <c r="Z27" s="114">
        <f t="shared" si="17"/>
        <v>58.81</v>
      </c>
      <c r="AA27" s="114">
        <f t="shared" si="18"/>
        <v>59.66</v>
      </c>
      <c r="AD27" s="320" t="str">
        <f t="shared" si="0"/>
        <v>Winter</v>
      </c>
      <c r="AE27">
        <f t="shared" si="1"/>
        <v>2</v>
      </c>
      <c r="AF27" s="318">
        <v>43497</v>
      </c>
      <c r="AG27" s="319">
        <v>384</v>
      </c>
      <c r="AH27" s="319">
        <v>288</v>
      </c>
      <c r="AI27">
        <f t="shared" si="2"/>
        <v>24</v>
      </c>
      <c r="AJ27">
        <f t="shared" si="3"/>
        <v>4</v>
      </c>
    </row>
    <row r="28" spans="2:41" x14ac:dyDescent="0.2">
      <c r="B28" s="115">
        <f t="shared" si="8"/>
        <v>43709</v>
      </c>
      <c r="C28" s="107">
        <v>2.2822775079413873</v>
      </c>
      <c r="D28" s="107">
        <v>2.3343873417721515</v>
      </c>
      <c r="E28" s="116">
        <f t="shared" si="4"/>
        <v>2019</v>
      </c>
      <c r="G28" s="109"/>
      <c r="H28" s="110"/>
      <c r="I28" s="110"/>
      <c r="K28" s="18">
        <f t="shared" si="10"/>
        <v>9</v>
      </c>
      <c r="L28" s="139">
        <f t="shared" si="11"/>
        <v>2019</v>
      </c>
      <c r="M28" s="111">
        <f t="shared" si="7"/>
        <v>43709</v>
      </c>
      <c r="N28" s="112">
        <v>27.05</v>
      </c>
      <c r="O28" s="112">
        <v>30.68</v>
      </c>
      <c r="P28" s="112">
        <v>19.725000000000001</v>
      </c>
      <c r="Q28" s="113">
        <v>22.202500000000001</v>
      </c>
      <c r="S28" s="136">
        <v>26.723833333333332</v>
      </c>
      <c r="T28" s="138">
        <f t="shared" si="12"/>
        <v>1.1480388916260766</v>
      </c>
      <c r="U28" s="138">
        <f t="shared" si="13"/>
        <v>0.83081269528448398</v>
      </c>
      <c r="W28" s="109"/>
      <c r="X28" s="114"/>
      <c r="Y28" s="114"/>
      <c r="Z28" s="114"/>
      <c r="AA28" s="114"/>
      <c r="AD28" s="320" t="str">
        <f t="shared" si="0"/>
        <v>Winter</v>
      </c>
      <c r="AE28">
        <f t="shared" si="1"/>
        <v>3</v>
      </c>
      <c r="AF28" s="318">
        <v>43525</v>
      </c>
      <c r="AG28" s="319">
        <v>416</v>
      </c>
      <c r="AH28" s="319">
        <v>328</v>
      </c>
      <c r="AI28">
        <f t="shared" si="2"/>
        <v>26</v>
      </c>
      <c r="AJ28">
        <f t="shared" si="3"/>
        <v>5</v>
      </c>
    </row>
    <row r="29" spans="2:41" x14ac:dyDescent="0.2">
      <c r="B29" s="115">
        <f t="shared" si="8"/>
        <v>43739</v>
      </c>
      <c r="C29" s="107">
        <v>2.3232653140690647</v>
      </c>
      <c r="D29" s="107">
        <v>2.3595012658227845</v>
      </c>
      <c r="E29" s="116">
        <f t="shared" si="4"/>
        <v>2019</v>
      </c>
      <c r="G29" s="109"/>
      <c r="H29" s="110"/>
      <c r="I29" s="110"/>
      <c r="K29" s="18">
        <f t="shared" si="10"/>
        <v>10</v>
      </c>
      <c r="L29" s="139">
        <f t="shared" si="11"/>
        <v>2019</v>
      </c>
      <c r="M29" s="111">
        <f t="shared" si="7"/>
        <v>43739</v>
      </c>
      <c r="N29" s="112">
        <v>24.947500000000002</v>
      </c>
      <c r="O29" s="112">
        <v>26.6</v>
      </c>
      <c r="P29" s="112">
        <v>22.024999999999999</v>
      </c>
      <c r="Q29" s="113">
        <v>23.844999999999999</v>
      </c>
      <c r="S29" s="136">
        <v>25.444677419354839</v>
      </c>
      <c r="T29" s="138">
        <f t="shared" si="12"/>
        <v>1.0454052752017344</v>
      </c>
      <c r="U29" s="138">
        <f t="shared" si="13"/>
        <v>0.93713115741298314</v>
      </c>
      <c r="W29" s="109"/>
      <c r="X29" s="114"/>
      <c r="Y29" s="114"/>
      <c r="Z29" s="114"/>
      <c r="AA29" s="114"/>
      <c r="AD29" s="320" t="str">
        <f t="shared" si="0"/>
        <v>Winter</v>
      </c>
      <c r="AE29">
        <f t="shared" si="1"/>
        <v>4</v>
      </c>
      <c r="AF29" s="318">
        <v>43556</v>
      </c>
      <c r="AG29" s="319">
        <v>416</v>
      </c>
      <c r="AH29" s="319">
        <v>304</v>
      </c>
      <c r="AI29">
        <f t="shared" si="2"/>
        <v>26</v>
      </c>
      <c r="AJ29">
        <f t="shared" si="3"/>
        <v>4</v>
      </c>
    </row>
    <row r="30" spans="2:41" x14ac:dyDescent="0.2">
      <c r="B30" s="115">
        <f t="shared" si="8"/>
        <v>43770</v>
      </c>
      <c r="C30" s="107">
        <v>2.5358895583563892</v>
      </c>
      <c r="D30" s="107">
        <v>2.615906329113924</v>
      </c>
      <c r="E30" s="116">
        <f t="shared" si="4"/>
        <v>2019</v>
      </c>
      <c r="G30" s="109"/>
      <c r="H30" s="110"/>
      <c r="I30" s="110"/>
      <c r="K30" s="18">
        <f t="shared" si="10"/>
        <v>11</v>
      </c>
      <c r="L30" s="139">
        <f t="shared" si="11"/>
        <v>2019</v>
      </c>
      <c r="M30" s="111">
        <f t="shared" si="7"/>
        <v>43770</v>
      </c>
      <c r="N30" s="112">
        <v>26.4925</v>
      </c>
      <c r="O30" s="112">
        <v>26.35</v>
      </c>
      <c r="P30" s="112">
        <v>25.07</v>
      </c>
      <c r="Q30" s="113">
        <v>23.162500000000001</v>
      </c>
      <c r="S30" s="136">
        <v>24.930877253814149</v>
      </c>
      <c r="T30" s="138">
        <f t="shared" si="12"/>
        <v>1.056922294861034</v>
      </c>
      <c r="U30" s="138">
        <f t="shared" si="13"/>
        <v>0.92906879145042498</v>
      </c>
      <c r="W30" s="109"/>
      <c r="X30" s="114"/>
      <c r="Y30" s="114"/>
      <c r="Z30" s="114"/>
      <c r="AA30" s="114"/>
      <c r="AD30" s="320" t="str">
        <f t="shared" si="0"/>
        <v>Winter</v>
      </c>
      <c r="AE30">
        <f t="shared" si="1"/>
        <v>5</v>
      </c>
      <c r="AF30" s="318">
        <v>43586</v>
      </c>
      <c r="AG30" s="319">
        <v>416</v>
      </c>
      <c r="AH30" s="319">
        <v>328</v>
      </c>
      <c r="AI30">
        <f t="shared" si="2"/>
        <v>26</v>
      </c>
      <c r="AJ30">
        <f t="shared" si="3"/>
        <v>5</v>
      </c>
    </row>
    <row r="31" spans="2:41" x14ac:dyDescent="0.2">
      <c r="B31" s="117">
        <f t="shared" si="8"/>
        <v>43800</v>
      </c>
      <c r="C31" s="118">
        <v>2.7608101444820168</v>
      </c>
      <c r="D31" s="118">
        <v>2.7661848101265822</v>
      </c>
      <c r="E31" s="119">
        <f t="shared" si="4"/>
        <v>2019</v>
      </c>
      <c r="G31" s="109"/>
      <c r="H31" s="110"/>
      <c r="I31" s="110"/>
      <c r="K31" s="18">
        <f t="shared" si="10"/>
        <v>12</v>
      </c>
      <c r="L31" s="139">
        <f t="shared" si="11"/>
        <v>2019</v>
      </c>
      <c r="M31" s="120">
        <f t="shared" si="7"/>
        <v>43800</v>
      </c>
      <c r="N31" s="121">
        <v>28.81</v>
      </c>
      <c r="O31" s="121">
        <v>28.35</v>
      </c>
      <c r="P31" s="121">
        <v>25.504999999999999</v>
      </c>
      <c r="Q31" s="122">
        <v>25.892499999999998</v>
      </c>
      <c r="S31" s="136">
        <v>27.213736559139782</v>
      </c>
      <c r="T31" s="138">
        <f t="shared" si="12"/>
        <v>1.0417533049307999</v>
      </c>
      <c r="U31" s="138">
        <f t="shared" si="13"/>
        <v>0.95144964542930266</v>
      </c>
      <c r="W31" s="109"/>
      <c r="X31" s="114"/>
      <c r="Y31" s="114"/>
      <c r="Z31" s="114"/>
      <c r="AA31" s="114"/>
      <c r="AD31" s="320" t="str">
        <f t="shared" si="0"/>
        <v>Summer</v>
      </c>
      <c r="AE31">
        <f t="shared" si="1"/>
        <v>6</v>
      </c>
      <c r="AF31" s="318">
        <v>43617</v>
      </c>
      <c r="AG31" s="319">
        <v>400</v>
      </c>
      <c r="AH31" s="319">
        <v>320</v>
      </c>
      <c r="AI31">
        <f t="shared" si="2"/>
        <v>25</v>
      </c>
      <c r="AJ31">
        <f t="shared" si="3"/>
        <v>5</v>
      </c>
    </row>
    <row r="32" spans="2:41" x14ac:dyDescent="0.2">
      <c r="B32" s="106">
        <f t="shared" si="8"/>
        <v>43831</v>
      </c>
      <c r="C32" s="107">
        <v>2.8525203606926941</v>
      </c>
      <c r="D32" s="107">
        <v>2.8536784810126576</v>
      </c>
      <c r="E32" s="108">
        <f t="shared" si="4"/>
        <v>2020</v>
      </c>
      <c r="G32" s="109"/>
      <c r="H32" s="126" t="s">
        <v>71</v>
      </c>
      <c r="I32" s="126" t="s">
        <v>71</v>
      </c>
      <c r="K32" s="18">
        <f t="shared" si="10"/>
        <v>1</v>
      </c>
      <c r="L32" s="139">
        <f t="shared" si="11"/>
        <v>2020</v>
      </c>
      <c r="M32" s="111">
        <f t="shared" si="7"/>
        <v>43831</v>
      </c>
      <c r="N32" s="123">
        <v>30.737500000000001</v>
      </c>
      <c r="O32" s="123">
        <v>29.943999999999999</v>
      </c>
      <c r="P32" s="123">
        <v>27.045999999999999</v>
      </c>
      <c r="Q32" s="124">
        <v>26.77</v>
      </c>
      <c r="S32" s="136">
        <v>28.544709677419355</v>
      </c>
      <c r="T32" s="138">
        <f t="shared" si="12"/>
        <v>1.0490210038355223</v>
      </c>
      <c r="U32" s="138">
        <f t="shared" si="13"/>
        <v>0.93782701952567893</v>
      </c>
      <c r="W32" s="109"/>
      <c r="X32" s="114"/>
      <c r="Y32" s="114"/>
      <c r="Z32" s="114"/>
      <c r="AA32" s="114"/>
      <c r="AD32" s="320" t="str">
        <f t="shared" si="0"/>
        <v>Summer</v>
      </c>
      <c r="AE32">
        <f t="shared" si="1"/>
        <v>7</v>
      </c>
      <c r="AF32" s="318">
        <v>43647</v>
      </c>
      <c r="AG32" s="319">
        <v>416</v>
      </c>
      <c r="AH32" s="319">
        <v>328</v>
      </c>
      <c r="AI32">
        <f t="shared" si="2"/>
        <v>26</v>
      </c>
      <c r="AJ32">
        <f t="shared" si="3"/>
        <v>5</v>
      </c>
    </row>
    <row r="33" spans="2:36" x14ac:dyDescent="0.2">
      <c r="B33" s="115">
        <f t="shared" si="8"/>
        <v>43862</v>
      </c>
      <c r="C33" s="107">
        <v>2.8407363664309866</v>
      </c>
      <c r="D33" s="107">
        <v>2.8321088607594933</v>
      </c>
      <c r="E33" s="116">
        <f t="shared" si="4"/>
        <v>2020</v>
      </c>
      <c r="G33" s="109"/>
      <c r="H33" s="128">
        <f>ROUND(AVERAGE(H8:H30)-AVERAGE(C8:C247),2)</f>
        <v>0</v>
      </c>
      <c r="I33" s="128">
        <f>ROUND(AVERAGE(I8:I30)-AVERAGE(D8:D247),2)</f>
        <v>0</v>
      </c>
      <c r="K33" s="18">
        <f t="shared" si="10"/>
        <v>2</v>
      </c>
      <c r="L33" s="139">
        <f t="shared" si="11"/>
        <v>2020</v>
      </c>
      <c r="M33" s="111">
        <f t="shared" si="7"/>
        <v>43862</v>
      </c>
      <c r="N33" s="112">
        <v>29.905000000000001</v>
      </c>
      <c r="O33" s="112">
        <v>29.396999999999998</v>
      </c>
      <c r="P33" s="112">
        <v>26.336500000000001</v>
      </c>
      <c r="Q33" s="113">
        <v>26.004999999999999</v>
      </c>
      <c r="S33" s="136">
        <v>27.954425287356322</v>
      </c>
      <c r="T33" s="138">
        <f t="shared" si="12"/>
        <v>1.051604520494154</v>
      </c>
      <c r="U33" s="138">
        <f t="shared" si="13"/>
        <v>0.93026416149438629</v>
      </c>
      <c r="W33" s="109"/>
      <c r="X33" s="114"/>
      <c r="Y33" s="114"/>
      <c r="Z33" s="114"/>
      <c r="AA33" s="114"/>
      <c r="AD33" s="320" t="str">
        <f t="shared" si="0"/>
        <v>Summer</v>
      </c>
      <c r="AE33">
        <f t="shared" si="1"/>
        <v>8</v>
      </c>
      <c r="AF33" s="318">
        <v>43678</v>
      </c>
      <c r="AG33" s="319">
        <v>432</v>
      </c>
      <c r="AH33" s="319">
        <v>312</v>
      </c>
      <c r="AI33">
        <f t="shared" si="2"/>
        <v>27</v>
      </c>
      <c r="AJ33">
        <f t="shared" si="3"/>
        <v>4</v>
      </c>
    </row>
    <row r="34" spans="2:36" x14ac:dyDescent="0.2">
      <c r="B34" s="115">
        <f t="shared" si="8"/>
        <v>43891</v>
      </c>
      <c r="C34" s="107">
        <v>2.7382668511117942</v>
      </c>
      <c r="D34" s="107">
        <v>2.7717544303797466</v>
      </c>
      <c r="E34" s="116">
        <f t="shared" si="4"/>
        <v>2020</v>
      </c>
      <c r="G34" s="109"/>
      <c r="H34" s="110"/>
      <c r="I34" s="110"/>
      <c r="K34" s="18">
        <f t="shared" si="10"/>
        <v>3</v>
      </c>
      <c r="L34" s="139">
        <f t="shared" si="11"/>
        <v>2020</v>
      </c>
      <c r="M34" s="111">
        <f t="shared" si="7"/>
        <v>43891</v>
      </c>
      <c r="N34" s="112">
        <v>27.407499999999999</v>
      </c>
      <c r="O34" s="112">
        <v>27.209</v>
      </c>
      <c r="P34" s="112">
        <v>24.9175</v>
      </c>
      <c r="Q34" s="113">
        <v>24.475000000000001</v>
      </c>
      <c r="S34" s="136">
        <v>26.005745625841183</v>
      </c>
      <c r="T34" s="138">
        <f t="shared" si="12"/>
        <v>1.0462687896540515</v>
      </c>
      <c r="U34" s="138">
        <f t="shared" si="13"/>
        <v>0.9411381758529499</v>
      </c>
      <c r="W34" s="109"/>
      <c r="X34" s="114"/>
      <c r="Y34" s="114"/>
      <c r="Z34" s="114"/>
      <c r="AA34" s="114"/>
      <c r="AD34" s="320" t="str">
        <f t="shared" si="0"/>
        <v>Summer</v>
      </c>
      <c r="AE34">
        <f t="shared" si="1"/>
        <v>9</v>
      </c>
      <c r="AF34" s="318">
        <v>43709</v>
      </c>
      <c r="AG34" s="319">
        <v>384</v>
      </c>
      <c r="AH34" s="319">
        <v>336</v>
      </c>
      <c r="AI34">
        <f t="shared" si="2"/>
        <v>24</v>
      </c>
      <c r="AJ34">
        <f t="shared" si="3"/>
        <v>6</v>
      </c>
    </row>
    <row r="35" spans="2:36" x14ac:dyDescent="0.2">
      <c r="B35" s="115">
        <f t="shared" si="8"/>
        <v>43922</v>
      </c>
      <c r="C35" s="107">
        <v>2.2156723229839121</v>
      </c>
      <c r="D35" s="107">
        <v>2.2187417721518985</v>
      </c>
      <c r="E35" s="116">
        <f t="shared" si="4"/>
        <v>2020</v>
      </c>
      <c r="G35" s="109"/>
      <c r="K35" s="18">
        <f t="shared" si="10"/>
        <v>4</v>
      </c>
      <c r="L35" s="139">
        <f t="shared" si="11"/>
        <v>2020</v>
      </c>
      <c r="M35" s="111">
        <f t="shared" si="7"/>
        <v>43922</v>
      </c>
      <c r="N35" s="112">
        <v>24.7</v>
      </c>
      <c r="O35" s="112">
        <v>23.445</v>
      </c>
      <c r="P35" s="112">
        <v>16.283000000000001</v>
      </c>
      <c r="Q35" s="113">
        <v>17.934999999999999</v>
      </c>
      <c r="S35" s="136">
        <v>21.118555555555556</v>
      </c>
      <c r="T35" s="138">
        <f t="shared" si="12"/>
        <v>1.1101611536984326</v>
      </c>
      <c r="U35" s="138">
        <f t="shared" si="13"/>
        <v>0.84925315809688151</v>
      </c>
      <c r="X35" s="125"/>
      <c r="Y35" s="125"/>
      <c r="Z35" s="125"/>
      <c r="AA35" s="125"/>
      <c r="AD35" s="320" t="str">
        <f t="shared" si="0"/>
        <v>Winter</v>
      </c>
      <c r="AE35">
        <f t="shared" si="1"/>
        <v>10</v>
      </c>
      <c r="AF35" s="318">
        <v>43739</v>
      </c>
      <c r="AG35" s="319">
        <v>432</v>
      </c>
      <c r="AH35" s="319">
        <v>312</v>
      </c>
      <c r="AI35">
        <f t="shared" si="2"/>
        <v>27</v>
      </c>
      <c r="AJ35">
        <f t="shared" si="3"/>
        <v>4</v>
      </c>
    </row>
    <row r="36" spans="2:36" x14ac:dyDescent="0.2">
      <c r="B36" s="115">
        <f t="shared" si="8"/>
        <v>43952</v>
      </c>
      <c r="C36" s="107">
        <v>2.2146476278307206</v>
      </c>
      <c r="D36" s="107">
        <v>2.2002101265822782</v>
      </c>
      <c r="E36" s="116">
        <f t="shared" si="4"/>
        <v>2020</v>
      </c>
      <c r="G36" s="109"/>
      <c r="K36" s="18">
        <f t="shared" si="10"/>
        <v>5</v>
      </c>
      <c r="L36" s="139">
        <f t="shared" si="11"/>
        <v>2020</v>
      </c>
      <c r="M36" s="111">
        <f t="shared" si="7"/>
        <v>43952</v>
      </c>
      <c r="N36" s="112">
        <v>19.8</v>
      </c>
      <c r="O36" s="112">
        <v>24.138000000000002</v>
      </c>
      <c r="P36" s="112">
        <v>10.615</v>
      </c>
      <c r="Q36" s="113">
        <v>13.84</v>
      </c>
      <c r="S36" s="136">
        <v>19.376559139784948</v>
      </c>
      <c r="T36" s="138">
        <f t="shared" si="12"/>
        <v>1.2457320118533646</v>
      </c>
      <c r="U36" s="138">
        <f t="shared" si="13"/>
        <v>0.71426510249608766</v>
      </c>
      <c r="X36" s="127" t="s">
        <v>71</v>
      </c>
      <c r="Y36" s="127"/>
      <c r="Z36" s="127"/>
      <c r="AA36" s="127"/>
      <c r="AD36" s="320" t="str">
        <f t="shared" si="0"/>
        <v>Winter</v>
      </c>
      <c r="AE36">
        <f t="shared" si="1"/>
        <v>11</v>
      </c>
      <c r="AF36" s="318">
        <v>43770</v>
      </c>
      <c r="AG36" s="319">
        <v>400</v>
      </c>
      <c r="AH36" s="319">
        <v>320</v>
      </c>
      <c r="AI36">
        <f t="shared" si="2"/>
        <v>25</v>
      </c>
      <c r="AJ36">
        <f t="shared" si="3"/>
        <v>5</v>
      </c>
    </row>
    <row r="37" spans="2:36" x14ac:dyDescent="0.2">
      <c r="B37" s="115">
        <f t="shared" si="8"/>
        <v>43983</v>
      </c>
      <c r="C37" s="107">
        <v>2.2407773542371148</v>
      </c>
      <c r="D37" s="107">
        <v>2.2409189873417721</v>
      </c>
      <c r="E37" s="116">
        <f t="shared" si="4"/>
        <v>2020</v>
      </c>
      <c r="K37" s="18">
        <f t="shared" si="10"/>
        <v>6</v>
      </c>
      <c r="L37" s="139">
        <f t="shared" si="11"/>
        <v>2020</v>
      </c>
      <c r="M37" s="111">
        <f t="shared" si="7"/>
        <v>43983</v>
      </c>
      <c r="N37" s="112">
        <v>19.100000000000001</v>
      </c>
      <c r="O37" s="112">
        <v>26.216999999999999</v>
      </c>
      <c r="P37" s="112">
        <v>9.8520000000000003</v>
      </c>
      <c r="Q37" s="113">
        <v>14.425000000000001</v>
      </c>
      <c r="S37" s="136">
        <v>21.238155555555558</v>
      </c>
      <c r="T37" s="138">
        <f t="shared" si="12"/>
        <v>1.2344292295731893</v>
      </c>
      <c r="U37" s="138">
        <f t="shared" si="13"/>
        <v>0.67920210689984584</v>
      </c>
      <c r="X37" s="128">
        <f>ROUND(AVERAGE(X8:X34)-AVERAGE(N8:N247),2)</f>
        <v>0</v>
      </c>
      <c r="Y37" s="128">
        <f>ROUND(AVERAGE(Y8:Y34)-AVERAGE(O8:O247),2)</f>
        <v>0</v>
      </c>
      <c r="Z37" s="128">
        <f>ROUND(AVERAGE(Z8:Z34)-AVERAGE(P8:P247),2)</f>
        <v>0</v>
      </c>
      <c r="AA37" s="128">
        <f>ROUND(AVERAGE(AA8:AA34)-AVERAGE(Q8:Q247),2)</f>
        <v>0</v>
      </c>
      <c r="AD37" s="320" t="str">
        <f t="shared" si="0"/>
        <v>Winter</v>
      </c>
      <c r="AE37">
        <f t="shared" si="1"/>
        <v>12</v>
      </c>
      <c r="AF37" s="318">
        <v>43800</v>
      </c>
      <c r="AG37" s="319">
        <v>400</v>
      </c>
      <c r="AH37" s="319">
        <v>344</v>
      </c>
      <c r="AI37">
        <f t="shared" si="2"/>
        <v>25</v>
      </c>
      <c r="AJ37">
        <f t="shared" si="3"/>
        <v>6</v>
      </c>
    </row>
    <row r="38" spans="2:36" x14ac:dyDescent="0.2">
      <c r="B38" s="115">
        <f t="shared" si="8"/>
        <v>44013</v>
      </c>
      <c r="C38" s="107">
        <v>2.3073825391945899</v>
      </c>
      <c r="D38" s="107">
        <v>2.3238556962025312</v>
      </c>
      <c r="E38" s="116">
        <f t="shared" si="4"/>
        <v>2020</v>
      </c>
      <c r="K38" s="18">
        <f t="shared" si="10"/>
        <v>7</v>
      </c>
      <c r="L38" s="139">
        <f t="shared" si="11"/>
        <v>2020</v>
      </c>
      <c r="M38" s="111">
        <f t="shared" si="7"/>
        <v>44013</v>
      </c>
      <c r="N38" s="112">
        <v>28.9</v>
      </c>
      <c r="O38" s="112">
        <v>35.25</v>
      </c>
      <c r="P38" s="112">
        <v>18.725000000000001</v>
      </c>
      <c r="Q38" s="113">
        <v>23.037500000000001</v>
      </c>
      <c r="S38" s="136">
        <v>29.865994623655915</v>
      </c>
      <c r="T38" s="138">
        <f t="shared" si="12"/>
        <v>1.1802720935360909</v>
      </c>
      <c r="U38" s="138">
        <f t="shared" si="13"/>
        <v>0.77136222283227496</v>
      </c>
      <c r="AD38" s="320" t="str">
        <f t="shared" si="0"/>
        <v>Winter</v>
      </c>
      <c r="AE38">
        <f t="shared" si="1"/>
        <v>1</v>
      </c>
      <c r="AF38" s="318">
        <v>43831</v>
      </c>
      <c r="AG38" s="319">
        <v>416</v>
      </c>
      <c r="AH38" s="319">
        <v>328</v>
      </c>
      <c r="AI38">
        <f t="shared" si="2"/>
        <v>26</v>
      </c>
      <c r="AJ38">
        <f t="shared" si="3"/>
        <v>5</v>
      </c>
    </row>
    <row r="39" spans="2:36" x14ac:dyDescent="0.2">
      <c r="B39" s="115">
        <f t="shared" si="8"/>
        <v>44044</v>
      </c>
      <c r="C39" s="107">
        <v>2.3350493083307713</v>
      </c>
      <c r="D39" s="107">
        <v>2.3711468354430378</v>
      </c>
      <c r="E39" s="116">
        <f t="shared" si="4"/>
        <v>2020</v>
      </c>
      <c r="K39" s="18">
        <f t="shared" si="10"/>
        <v>8</v>
      </c>
      <c r="L39" s="139">
        <f t="shared" si="11"/>
        <v>2020</v>
      </c>
      <c r="M39" s="111">
        <f t="shared" si="7"/>
        <v>44044</v>
      </c>
      <c r="N39" s="112">
        <v>32.049999999999997</v>
      </c>
      <c r="O39" s="112">
        <v>33.97</v>
      </c>
      <c r="P39" s="112">
        <v>20.65</v>
      </c>
      <c r="Q39" s="113">
        <v>22.81</v>
      </c>
      <c r="S39" s="136">
        <v>29.049999999999997</v>
      </c>
      <c r="T39" s="138">
        <f t="shared" si="12"/>
        <v>1.1693631669535285</v>
      </c>
      <c r="U39" s="138">
        <f t="shared" si="13"/>
        <v>0.785197934595525</v>
      </c>
      <c r="AD39" s="320" t="str">
        <f t="shared" si="0"/>
        <v>Winter</v>
      </c>
      <c r="AE39">
        <f t="shared" si="1"/>
        <v>2</v>
      </c>
      <c r="AF39" s="318">
        <v>43862</v>
      </c>
      <c r="AG39" s="319">
        <v>400</v>
      </c>
      <c r="AH39" s="319">
        <v>296</v>
      </c>
      <c r="AI39">
        <f t="shared" si="2"/>
        <v>25</v>
      </c>
      <c r="AJ39">
        <f t="shared" si="3"/>
        <v>4</v>
      </c>
    </row>
    <row r="40" spans="2:36" x14ac:dyDescent="0.2">
      <c r="B40" s="115">
        <f t="shared" si="8"/>
        <v>44075</v>
      </c>
      <c r="C40" s="107">
        <v>2.329413484988216</v>
      </c>
      <c r="D40" s="107">
        <v>2.3781341772151898</v>
      </c>
      <c r="E40" s="116">
        <f t="shared" si="4"/>
        <v>2020</v>
      </c>
      <c r="K40" s="18">
        <f t="shared" si="10"/>
        <v>9</v>
      </c>
      <c r="L40" s="139">
        <f t="shared" si="11"/>
        <v>2020</v>
      </c>
      <c r="M40" s="111">
        <f t="shared" si="7"/>
        <v>44075</v>
      </c>
      <c r="N40" s="112">
        <v>28.9</v>
      </c>
      <c r="O40" s="112">
        <v>31.73</v>
      </c>
      <c r="P40" s="112">
        <v>22.574999999999999</v>
      </c>
      <c r="Q40" s="113">
        <v>19.852499999999999</v>
      </c>
      <c r="S40" s="136">
        <v>26.451111111111114</v>
      </c>
      <c r="T40" s="138">
        <f t="shared" si="12"/>
        <v>1.1995715365874149</v>
      </c>
      <c r="U40" s="138">
        <f t="shared" si="13"/>
        <v>0.75053557926573122</v>
      </c>
      <c r="AD40" s="320" t="str">
        <f t="shared" si="0"/>
        <v>Winter</v>
      </c>
      <c r="AE40">
        <f t="shared" si="1"/>
        <v>3</v>
      </c>
      <c r="AF40" s="318">
        <v>43891</v>
      </c>
      <c r="AG40" s="319">
        <v>416</v>
      </c>
      <c r="AH40" s="319">
        <v>328</v>
      </c>
      <c r="AI40">
        <f t="shared" si="2"/>
        <v>26</v>
      </c>
      <c r="AJ40">
        <f t="shared" si="3"/>
        <v>5</v>
      </c>
    </row>
    <row r="41" spans="2:36" x14ac:dyDescent="0.2">
      <c r="B41" s="115">
        <f t="shared" si="8"/>
        <v>44105</v>
      </c>
      <c r="C41" s="107">
        <v>2.3678395532329133</v>
      </c>
      <c r="D41" s="107">
        <v>2.4007164556962022</v>
      </c>
      <c r="E41" s="116">
        <f t="shared" si="4"/>
        <v>2020</v>
      </c>
      <c r="K41" s="18">
        <f t="shared" si="10"/>
        <v>10</v>
      </c>
      <c r="L41" s="139">
        <f t="shared" si="11"/>
        <v>2020</v>
      </c>
      <c r="M41" s="111">
        <f t="shared" si="7"/>
        <v>44105</v>
      </c>
      <c r="N41" s="112">
        <v>26.547499999999999</v>
      </c>
      <c r="O41" s="112">
        <v>26.95</v>
      </c>
      <c r="P41" s="112">
        <v>22.774999999999999</v>
      </c>
      <c r="Q41" s="113">
        <v>24.545000000000002</v>
      </c>
      <c r="S41" s="136">
        <v>25.941451612903226</v>
      </c>
      <c r="T41" s="138">
        <f t="shared" si="12"/>
        <v>1.0388778701418206</v>
      </c>
      <c r="U41" s="138">
        <f t="shared" si="13"/>
        <v>0.94616910288055611</v>
      </c>
      <c r="AD41" s="320" t="str">
        <f t="shared" si="0"/>
        <v>Winter</v>
      </c>
      <c r="AE41">
        <f t="shared" si="1"/>
        <v>4</v>
      </c>
      <c r="AF41" s="318">
        <v>43922</v>
      </c>
      <c r="AG41" s="319">
        <v>416</v>
      </c>
      <c r="AH41" s="319">
        <v>304</v>
      </c>
      <c r="AI41">
        <f t="shared" si="2"/>
        <v>26</v>
      </c>
      <c r="AJ41">
        <f t="shared" si="3"/>
        <v>4</v>
      </c>
    </row>
    <row r="42" spans="2:36" x14ac:dyDescent="0.2">
      <c r="B42" s="115">
        <f t="shared" si="8"/>
        <v>44136</v>
      </c>
      <c r="C42" s="107">
        <v>2.5727785838712984</v>
      </c>
      <c r="D42" s="107">
        <v>2.6521594936708857</v>
      </c>
      <c r="E42" s="116">
        <f t="shared" si="4"/>
        <v>2020</v>
      </c>
      <c r="K42" s="18">
        <f t="shared" si="10"/>
        <v>11</v>
      </c>
      <c r="L42" s="139">
        <f t="shared" si="11"/>
        <v>2020</v>
      </c>
      <c r="M42" s="111">
        <f t="shared" si="7"/>
        <v>44136</v>
      </c>
      <c r="N42" s="112">
        <v>28.092500000000001</v>
      </c>
      <c r="O42" s="112">
        <v>26.7</v>
      </c>
      <c r="P42" s="112">
        <v>25.82</v>
      </c>
      <c r="Q42" s="113">
        <v>23.862500000000001</v>
      </c>
      <c r="S42" s="136">
        <v>25.373734396671288</v>
      </c>
      <c r="T42" s="138">
        <f t="shared" si="12"/>
        <v>1.0522692317415721</v>
      </c>
      <c r="U42" s="138">
        <f t="shared" si="13"/>
        <v>0.94044099409862414</v>
      </c>
      <c r="AD42" s="320" t="str">
        <f t="shared" si="0"/>
        <v>Winter</v>
      </c>
      <c r="AE42">
        <f t="shared" si="1"/>
        <v>5</v>
      </c>
      <c r="AF42" s="318">
        <v>43952</v>
      </c>
      <c r="AG42" s="319">
        <v>400</v>
      </c>
      <c r="AH42" s="319">
        <v>344</v>
      </c>
      <c r="AI42">
        <f t="shared" si="2"/>
        <v>25</v>
      </c>
      <c r="AJ42">
        <f t="shared" si="3"/>
        <v>6</v>
      </c>
    </row>
    <row r="43" spans="2:36" x14ac:dyDescent="0.2">
      <c r="B43" s="117">
        <f t="shared" si="8"/>
        <v>44166</v>
      </c>
      <c r="C43" s="118">
        <v>2.7715694435905318</v>
      </c>
      <c r="D43" s="118">
        <v>2.7919063291139237</v>
      </c>
      <c r="E43" s="119">
        <f t="shared" si="4"/>
        <v>2020</v>
      </c>
      <c r="K43" s="18">
        <f t="shared" si="10"/>
        <v>12</v>
      </c>
      <c r="L43" s="139">
        <f t="shared" si="11"/>
        <v>2020</v>
      </c>
      <c r="M43" s="120">
        <f t="shared" si="7"/>
        <v>44166</v>
      </c>
      <c r="N43" s="121">
        <v>30.41</v>
      </c>
      <c r="O43" s="121">
        <v>28.7</v>
      </c>
      <c r="P43" s="121">
        <v>26.254999999999999</v>
      </c>
      <c r="Q43" s="122">
        <v>26.592500000000001</v>
      </c>
      <c r="S43" s="136">
        <v>27.770887096774196</v>
      </c>
      <c r="T43" s="138">
        <f t="shared" si="12"/>
        <v>1.0334563638528396</v>
      </c>
      <c r="U43" s="138">
        <f t="shared" si="13"/>
        <v>0.95756753852810583</v>
      </c>
      <c r="AD43" s="320" t="str">
        <f t="shared" si="0"/>
        <v>Summer</v>
      </c>
      <c r="AE43">
        <f t="shared" si="1"/>
        <v>6</v>
      </c>
      <c r="AF43" s="318">
        <v>43983</v>
      </c>
      <c r="AG43" s="319">
        <v>416</v>
      </c>
      <c r="AH43" s="319">
        <v>304</v>
      </c>
      <c r="AI43">
        <f t="shared" si="2"/>
        <v>26</v>
      </c>
      <c r="AJ43">
        <f t="shared" si="3"/>
        <v>4</v>
      </c>
    </row>
    <row r="44" spans="2:36" x14ac:dyDescent="0.2">
      <c r="B44" s="106">
        <f t="shared" si="8"/>
        <v>44197</v>
      </c>
      <c r="C44" s="107">
        <v>2.8996563377395228</v>
      </c>
      <c r="D44" s="107">
        <v>2.8873999999999995</v>
      </c>
      <c r="E44" s="108">
        <f t="shared" si="4"/>
        <v>2021</v>
      </c>
      <c r="K44" s="18">
        <f t="shared" si="10"/>
        <v>1</v>
      </c>
      <c r="L44" s="139">
        <f t="shared" si="11"/>
        <v>2021</v>
      </c>
      <c r="M44" s="111">
        <f t="shared" si="7"/>
        <v>44197</v>
      </c>
      <c r="N44" s="123">
        <v>32.087499999999999</v>
      </c>
      <c r="O44" s="123">
        <v>31.294</v>
      </c>
      <c r="P44" s="123">
        <v>26.946000000000002</v>
      </c>
      <c r="Q44" s="124">
        <v>28.87</v>
      </c>
      <c r="S44" s="136">
        <v>30.173225806451612</v>
      </c>
      <c r="T44" s="138">
        <f t="shared" si="12"/>
        <v>1.0371446593326705</v>
      </c>
      <c r="U44" s="138">
        <f t="shared" si="13"/>
        <v>0.9568085356596856</v>
      </c>
      <c r="AD44" s="320" t="str">
        <f t="shared" si="0"/>
        <v>Summer</v>
      </c>
      <c r="AE44">
        <f t="shared" si="1"/>
        <v>7</v>
      </c>
      <c r="AF44" s="318">
        <v>44013</v>
      </c>
      <c r="AG44" s="319">
        <v>416</v>
      </c>
      <c r="AH44" s="319">
        <v>328</v>
      </c>
      <c r="AI44">
        <f t="shared" si="2"/>
        <v>26</v>
      </c>
      <c r="AJ44">
        <f t="shared" si="3"/>
        <v>5</v>
      </c>
    </row>
    <row r="45" spans="2:36" x14ac:dyDescent="0.2">
      <c r="B45" s="115">
        <f t="shared" si="8"/>
        <v>44228</v>
      </c>
      <c r="C45" s="107">
        <v>2.9027304231990985</v>
      </c>
      <c r="D45" s="107">
        <v>2.8928683544303793</v>
      </c>
      <c r="E45" s="116">
        <f t="shared" si="4"/>
        <v>2021</v>
      </c>
      <c r="K45" s="18">
        <f t="shared" si="10"/>
        <v>2</v>
      </c>
      <c r="L45" s="139">
        <f t="shared" si="11"/>
        <v>2021</v>
      </c>
      <c r="M45" s="111">
        <f t="shared" si="7"/>
        <v>44228</v>
      </c>
      <c r="N45" s="112">
        <v>31.254999999999999</v>
      </c>
      <c r="O45" s="112">
        <v>30.747</v>
      </c>
      <c r="P45" s="112">
        <v>26.236499999999999</v>
      </c>
      <c r="Q45" s="113">
        <v>28.105</v>
      </c>
      <c r="S45" s="136">
        <v>29.614714285714289</v>
      </c>
      <c r="T45" s="138">
        <f t="shared" si="12"/>
        <v>1.03823388952403</v>
      </c>
      <c r="U45" s="138">
        <f t="shared" si="13"/>
        <v>0.94902148063462655</v>
      </c>
      <c r="AD45" s="320" t="str">
        <f t="shared" si="0"/>
        <v>Summer</v>
      </c>
      <c r="AE45">
        <f t="shared" si="1"/>
        <v>8</v>
      </c>
      <c r="AF45" s="318">
        <v>44044</v>
      </c>
      <c r="AG45" s="319">
        <v>416</v>
      </c>
      <c r="AH45" s="319">
        <v>328</v>
      </c>
      <c r="AI45">
        <f t="shared" si="2"/>
        <v>26</v>
      </c>
      <c r="AJ45">
        <f t="shared" si="3"/>
        <v>5</v>
      </c>
    </row>
    <row r="46" spans="2:36" x14ac:dyDescent="0.2">
      <c r="B46" s="115">
        <f t="shared" si="8"/>
        <v>44256</v>
      </c>
      <c r="C46" s="107">
        <v>2.8125572497182088</v>
      </c>
      <c r="D46" s="107">
        <v>2.7943367088607594</v>
      </c>
      <c r="E46" s="116">
        <f t="shared" si="4"/>
        <v>2021</v>
      </c>
      <c r="K46" s="18">
        <f t="shared" si="10"/>
        <v>3</v>
      </c>
      <c r="L46" s="139">
        <f t="shared" si="11"/>
        <v>2021</v>
      </c>
      <c r="M46" s="111">
        <f t="shared" si="7"/>
        <v>44256</v>
      </c>
      <c r="N46" s="112">
        <v>28.7575</v>
      </c>
      <c r="O46" s="112">
        <v>28.559000000000001</v>
      </c>
      <c r="P46" s="112">
        <v>24.817499999999999</v>
      </c>
      <c r="Q46" s="113">
        <v>26.574999999999999</v>
      </c>
      <c r="S46" s="136">
        <v>27.728550471063258</v>
      </c>
      <c r="T46" s="138">
        <f t="shared" si="12"/>
        <v>1.0299492586099435</v>
      </c>
      <c r="U46" s="138">
        <f t="shared" si="13"/>
        <v>0.95839845749358332</v>
      </c>
      <c r="AD46" s="320" t="str">
        <f t="shared" si="0"/>
        <v>Summer</v>
      </c>
      <c r="AE46">
        <f t="shared" si="1"/>
        <v>9</v>
      </c>
      <c r="AF46" s="318">
        <v>44075</v>
      </c>
      <c r="AG46" s="319">
        <v>400</v>
      </c>
      <c r="AH46" s="319">
        <v>320</v>
      </c>
      <c r="AI46">
        <f t="shared" si="2"/>
        <v>25</v>
      </c>
      <c r="AJ46">
        <f t="shared" si="3"/>
        <v>5</v>
      </c>
    </row>
    <row r="47" spans="2:36" x14ac:dyDescent="0.2">
      <c r="B47" s="115">
        <f t="shared" si="8"/>
        <v>44287</v>
      </c>
      <c r="C47" s="107">
        <v>2.3360740034839638</v>
      </c>
      <c r="D47" s="107">
        <v>2.2338303797468351</v>
      </c>
      <c r="E47" s="116">
        <f t="shared" si="4"/>
        <v>2021</v>
      </c>
      <c r="K47" s="18">
        <f t="shared" si="10"/>
        <v>4</v>
      </c>
      <c r="L47" s="139">
        <f t="shared" si="11"/>
        <v>2021</v>
      </c>
      <c r="M47" s="111">
        <f t="shared" si="7"/>
        <v>44287</v>
      </c>
      <c r="N47" s="112">
        <v>26.25</v>
      </c>
      <c r="O47" s="112">
        <v>24.795000000000002</v>
      </c>
      <c r="P47" s="112">
        <v>17.283000000000001</v>
      </c>
      <c r="Q47" s="113">
        <v>19.385000000000002</v>
      </c>
      <c r="S47" s="136">
        <v>22.510777777777783</v>
      </c>
      <c r="T47" s="138">
        <f t="shared" si="12"/>
        <v>1.1014723811310136</v>
      </c>
      <c r="U47" s="138">
        <f t="shared" si="13"/>
        <v>0.86114305739966523</v>
      </c>
      <c r="AD47" s="320" t="str">
        <f t="shared" si="0"/>
        <v>Winter</v>
      </c>
      <c r="AE47">
        <f t="shared" si="1"/>
        <v>10</v>
      </c>
      <c r="AF47" s="318">
        <v>44105</v>
      </c>
      <c r="AG47" s="319">
        <v>432</v>
      </c>
      <c r="AH47" s="319">
        <v>312</v>
      </c>
      <c r="AI47">
        <f t="shared" si="2"/>
        <v>27</v>
      </c>
      <c r="AJ47">
        <f t="shared" si="3"/>
        <v>4</v>
      </c>
    </row>
    <row r="48" spans="2:36" x14ac:dyDescent="0.2">
      <c r="B48" s="115">
        <f t="shared" si="8"/>
        <v>44317</v>
      </c>
      <c r="C48" s="107">
        <v>2.2479502203094577</v>
      </c>
      <c r="D48" s="107">
        <v>2.2152987341772152</v>
      </c>
      <c r="E48" s="116">
        <f t="shared" si="4"/>
        <v>2021</v>
      </c>
      <c r="K48" s="18">
        <f t="shared" si="10"/>
        <v>5</v>
      </c>
      <c r="L48" s="139">
        <f t="shared" si="11"/>
        <v>2021</v>
      </c>
      <c r="M48" s="111">
        <f t="shared" si="7"/>
        <v>44317</v>
      </c>
      <c r="N48" s="112">
        <v>21.35</v>
      </c>
      <c r="O48" s="112">
        <v>25.488</v>
      </c>
      <c r="P48" s="112">
        <v>11.615</v>
      </c>
      <c r="Q48" s="113">
        <v>15.29</v>
      </c>
      <c r="S48" s="136">
        <v>20.772795698924732</v>
      </c>
      <c r="T48" s="138">
        <f t="shared" si="12"/>
        <v>1.2269893936962633</v>
      </c>
      <c r="U48" s="138">
        <f t="shared" si="13"/>
        <v>0.73605884453922876</v>
      </c>
      <c r="AD48" s="320" t="str">
        <f t="shared" si="0"/>
        <v>Winter</v>
      </c>
      <c r="AE48">
        <f t="shared" si="1"/>
        <v>11</v>
      </c>
      <c r="AF48" s="318">
        <v>44136</v>
      </c>
      <c r="AG48" s="319">
        <v>384</v>
      </c>
      <c r="AH48" s="319">
        <v>336</v>
      </c>
      <c r="AI48">
        <f t="shared" si="2"/>
        <v>24</v>
      </c>
      <c r="AJ48">
        <f t="shared" si="3"/>
        <v>6</v>
      </c>
    </row>
    <row r="49" spans="2:36" x14ac:dyDescent="0.2">
      <c r="B49" s="115">
        <f t="shared" si="8"/>
        <v>44348</v>
      </c>
      <c r="C49" s="107">
        <v>2.2848392458243674</v>
      </c>
      <c r="D49" s="107">
        <v>2.2489189873417721</v>
      </c>
      <c r="E49" s="116">
        <f t="shared" si="4"/>
        <v>2021</v>
      </c>
      <c r="K49" s="18">
        <f t="shared" si="10"/>
        <v>6</v>
      </c>
      <c r="L49" s="139">
        <f t="shared" si="11"/>
        <v>2021</v>
      </c>
      <c r="M49" s="111">
        <f t="shared" si="7"/>
        <v>44348</v>
      </c>
      <c r="N49" s="112">
        <v>20.65</v>
      </c>
      <c r="O49" s="112">
        <v>27.567</v>
      </c>
      <c r="P49" s="112">
        <v>10.852</v>
      </c>
      <c r="Q49" s="113">
        <v>15.875</v>
      </c>
      <c r="S49" s="136">
        <v>22.630377777777781</v>
      </c>
      <c r="T49" s="138">
        <f t="shared" si="12"/>
        <v>1.2181413969619987</v>
      </c>
      <c r="U49" s="138">
        <f t="shared" si="13"/>
        <v>0.70149071994673817</v>
      </c>
      <c r="AD49" s="320" t="str">
        <f t="shared" si="0"/>
        <v>Winter</v>
      </c>
      <c r="AE49">
        <f t="shared" si="1"/>
        <v>12</v>
      </c>
      <c r="AF49" s="318">
        <v>44166</v>
      </c>
      <c r="AG49" s="319">
        <v>416</v>
      </c>
      <c r="AH49" s="319">
        <v>328</v>
      </c>
      <c r="AI49">
        <f t="shared" si="2"/>
        <v>26</v>
      </c>
      <c r="AJ49">
        <f t="shared" si="3"/>
        <v>5</v>
      </c>
    </row>
    <row r="50" spans="2:36" x14ac:dyDescent="0.2">
      <c r="B50" s="115">
        <f t="shared" si="8"/>
        <v>44378</v>
      </c>
      <c r="C50" s="107">
        <v>2.328388789835024</v>
      </c>
      <c r="D50" s="107">
        <v>2.3268936708860757</v>
      </c>
      <c r="E50" s="116">
        <f t="shared" si="4"/>
        <v>2021</v>
      </c>
      <c r="K50" s="18">
        <f t="shared" si="10"/>
        <v>7</v>
      </c>
      <c r="L50" s="139">
        <f t="shared" si="11"/>
        <v>2021</v>
      </c>
      <c r="M50" s="111">
        <f t="shared" si="7"/>
        <v>44378</v>
      </c>
      <c r="N50" s="112">
        <v>30.8</v>
      </c>
      <c r="O50" s="112">
        <v>36.9</v>
      </c>
      <c r="P50" s="112">
        <v>22.175000000000001</v>
      </c>
      <c r="Q50" s="113">
        <v>24.587499999999999</v>
      </c>
      <c r="S50" s="136">
        <v>31.471908602150535</v>
      </c>
      <c r="T50" s="138">
        <f t="shared" si="12"/>
        <v>1.1724741726492733</v>
      </c>
      <c r="U50" s="138">
        <f t="shared" si="13"/>
        <v>0.78125226883506804</v>
      </c>
      <c r="AD50" s="320" t="str">
        <f t="shared" si="0"/>
        <v>Winter</v>
      </c>
      <c r="AE50">
        <f t="shared" si="1"/>
        <v>1</v>
      </c>
      <c r="AF50" s="318">
        <v>44197</v>
      </c>
      <c r="AG50" s="319">
        <v>400</v>
      </c>
      <c r="AH50" s="319">
        <v>344</v>
      </c>
      <c r="AI50">
        <f t="shared" si="2"/>
        <v>25</v>
      </c>
      <c r="AJ50">
        <f t="shared" si="3"/>
        <v>6</v>
      </c>
    </row>
    <row r="51" spans="2:36" x14ac:dyDescent="0.2">
      <c r="B51" s="115">
        <f t="shared" si="8"/>
        <v>44409</v>
      </c>
      <c r="C51" s="107">
        <v>2.3540061686648222</v>
      </c>
      <c r="D51" s="107">
        <v>2.3720582278481008</v>
      </c>
      <c r="E51" s="116">
        <f t="shared" si="4"/>
        <v>2021</v>
      </c>
      <c r="K51" s="18">
        <f t="shared" si="10"/>
        <v>8</v>
      </c>
      <c r="L51" s="139">
        <f t="shared" si="11"/>
        <v>2021</v>
      </c>
      <c r="M51" s="111">
        <f t="shared" si="7"/>
        <v>44409</v>
      </c>
      <c r="N51" s="112">
        <v>33.950000000000003</v>
      </c>
      <c r="O51" s="112">
        <v>35.619999999999997</v>
      </c>
      <c r="P51" s="112">
        <v>24.1</v>
      </c>
      <c r="Q51" s="113">
        <v>24.36</v>
      </c>
      <c r="S51" s="136">
        <v>30.655913978494624</v>
      </c>
      <c r="T51" s="138">
        <f t="shared" si="12"/>
        <v>1.1619291476674849</v>
      </c>
      <c r="U51" s="138">
        <f t="shared" si="13"/>
        <v>0.79462644686075057</v>
      </c>
      <c r="AD51" s="320" t="str">
        <f t="shared" si="0"/>
        <v>Winter</v>
      </c>
      <c r="AE51">
        <f t="shared" si="1"/>
        <v>2</v>
      </c>
      <c r="AF51" s="318">
        <v>44228</v>
      </c>
      <c r="AG51" s="319">
        <v>384</v>
      </c>
      <c r="AH51" s="319">
        <v>288</v>
      </c>
      <c r="AI51">
        <f t="shared" si="2"/>
        <v>24</v>
      </c>
      <c r="AJ51">
        <f t="shared" si="3"/>
        <v>4</v>
      </c>
    </row>
    <row r="52" spans="2:36" x14ac:dyDescent="0.2">
      <c r="B52" s="115">
        <f t="shared" si="8"/>
        <v>44440</v>
      </c>
      <c r="C52" s="107">
        <v>2.3693765959627009</v>
      </c>
      <c r="D52" s="107">
        <v>2.3821848101265823</v>
      </c>
      <c r="E52" s="116">
        <f t="shared" si="4"/>
        <v>2021</v>
      </c>
      <c r="K52" s="18">
        <f t="shared" si="10"/>
        <v>9</v>
      </c>
      <c r="L52" s="139">
        <f t="shared" si="11"/>
        <v>2021</v>
      </c>
      <c r="M52" s="111">
        <f t="shared" si="7"/>
        <v>44440</v>
      </c>
      <c r="N52" s="112">
        <v>30.8</v>
      </c>
      <c r="O52" s="112">
        <v>33.380000000000003</v>
      </c>
      <c r="P52" s="112">
        <v>26.024999999999999</v>
      </c>
      <c r="Q52" s="113">
        <v>21.4025</v>
      </c>
      <c r="S52" s="136">
        <v>28.056666666666668</v>
      </c>
      <c r="T52" s="138">
        <f t="shared" si="12"/>
        <v>1.189735059997624</v>
      </c>
      <c r="U52" s="138">
        <f t="shared" si="13"/>
        <v>0.76283117500297015</v>
      </c>
      <c r="AD52" s="320" t="str">
        <f t="shared" si="0"/>
        <v>Winter</v>
      </c>
      <c r="AE52">
        <f t="shared" si="1"/>
        <v>3</v>
      </c>
      <c r="AF52" s="318">
        <v>44256</v>
      </c>
      <c r="AG52" s="319">
        <v>432</v>
      </c>
      <c r="AH52" s="319">
        <v>312</v>
      </c>
      <c r="AI52">
        <f t="shared" si="2"/>
        <v>27</v>
      </c>
      <c r="AJ52">
        <f t="shared" si="3"/>
        <v>4</v>
      </c>
    </row>
    <row r="53" spans="2:36" x14ac:dyDescent="0.2">
      <c r="B53" s="115">
        <f t="shared" si="8"/>
        <v>44470</v>
      </c>
      <c r="C53" s="107">
        <v>2.3898704990265398</v>
      </c>
      <c r="D53" s="107">
        <v>2.4047670886075947</v>
      </c>
      <c r="E53" s="116">
        <f t="shared" si="4"/>
        <v>2021</v>
      </c>
      <c r="K53" s="18">
        <f t="shared" si="10"/>
        <v>10</v>
      </c>
      <c r="L53" s="139">
        <f t="shared" si="11"/>
        <v>2021</v>
      </c>
      <c r="M53" s="111">
        <f t="shared" si="7"/>
        <v>44470</v>
      </c>
      <c r="N53" s="112">
        <v>27.997499999999999</v>
      </c>
      <c r="O53" s="112">
        <v>28.45</v>
      </c>
      <c r="P53" s="112">
        <v>26.625</v>
      </c>
      <c r="Q53" s="113">
        <v>26.545000000000002</v>
      </c>
      <c r="S53" s="136">
        <v>27.610161290322583</v>
      </c>
      <c r="T53" s="138">
        <f t="shared" si="12"/>
        <v>1.0304177400793302</v>
      </c>
      <c r="U53" s="138">
        <f t="shared" si="13"/>
        <v>0.96142140282621513</v>
      </c>
      <c r="AD53" s="320" t="str">
        <f t="shared" si="0"/>
        <v>Winter</v>
      </c>
      <c r="AE53">
        <f t="shared" si="1"/>
        <v>4</v>
      </c>
      <c r="AF53" s="318">
        <v>44287</v>
      </c>
      <c r="AG53" s="319">
        <v>416</v>
      </c>
      <c r="AH53" s="319">
        <v>304</v>
      </c>
      <c r="AI53">
        <f t="shared" si="2"/>
        <v>26</v>
      </c>
      <c r="AJ53">
        <f t="shared" si="3"/>
        <v>4</v>
      </c>
    </row>
    <row r="54" spans="2:36" x14ac:dyDescent="0.2">
      <c r="B54" s="115">
        <f t="shared" si="8"/>
        <v>44501</v>
      </c>
      <c r="C54" s="107">
        <v>2.6183775181883386</v>
      </c>
      <c r="D54" s="107">
        <v>2.6591468354430376</v>
      </c>
      <c r="E54" s="116">
        <f t="shared" si="4"/>
        <v>2021</v>
      </c>
      <c r="K54" s="18">
        <f t="shared" si="10"/>
        <v>11</v>
      </c>
      <c r="L54" s="139">
        <f t="shared" si="11"/>
        <v>2021</v>
      </c>
      <c r="M54" s="111">
        <f t="shared" si="7"/>
        <v>44501</v>
      </c>
      <c r="N54" s="112">
        <v>29.5425</v>
      </c>
      <c r="O54" s="112">
        <v>28.2</v>
      </c>
      <c r="P54" s="112">
        <v>29.67</v>
      </c>
      <c r="Q54" s="113">
        <v>25.862500000000001</v>
      </c>
      <c r="S54" s="136">
        <v>27.159309986130374</v>
      </c>
      <c r="T54" s="138">
        <f t="shared" si="12"/>
        <v>1.0383179843081831</v>
      </c>
      <c r="U54" s="138">
        <f t="shared" si="13"/>
        <v>0.95225173294930454</v>
      </c>
      <c r="AD54" s="320" t="str">
        <f t="shared" si="0"/>
        <v>Winter</v>
      </c>
      <c r="AE54">
        <f t="shared" si="1"/>
        <v>5</v>
      </c>
      <c r="AF54" s="318">
        <v>44317</v>
      </c>
      <c r="AG54" s="319">
        <v>400</v>
      </c>
      <c r="AH54" s="319">
        <v>344</v>
      </c>
      <c r="AI54">
        <f t="shared" si="2"/>
        <v>25</v>
      </c>
      <c r="AJ54">
        <f t="shared" si="3"/>
        <v>6</v>
      </c>
    </row>
    <row r="55" spans="2:36" x14ac:dyDescent="0.2">
      <c r="B55" s="117">
        <f t="shared" si="8"/>
        <v>44531</v>
      </c>
      <c r="C55" s="118">
        <v>2.8176807254841685</v>
      </c>
      <c r="D55" s="118">
        <v>2.8019316455696197</v>
      </c>
      <c r="E55" s="119">
        <f t="shared" si="4"/>
        <v>2021</v>
      </c>
      <c r="K55" s="18">
        <f t="shared" si="10"/>
        <v>12</v>
      </c>
      <c r="L55" s="139">
        <f t="shared" si="11"/>
        <v>2021</v>
      </c>
      <c r="M55" s="120">
        <f t="shared" si="7"/>
        <v>44531</v>
      </c>
      <c r="N55" s="121">
        <v>31.86</v>
      </c>
      <c r="O55" s="121">
        <v>30.2</v>
      </c>
      <c r="P55" s="121">
        <v>30.105</v>
      </c>
      <c r="Q55" s="122">
        <v>28.592500000000001</v>
      </c>
      <c r="S55" s="136">
        <v>29.491317204301076</v>
      </c>
      <c r="T55" s="138">
        <f t="shared" si="12"/>
        <v>1.0240302184805623</v>
      </c>
      <c r="U55" s="138">
        <f t="shared" si="13"/>
        <v>0.96952264973196955</v>
      </c>
      <c r="AD55" s="320" t="str">
        <f t="shared" si="0"/>
        <v>Summer</v>
      </c>
      <c r="AE55">
        <f t="shared" si="1"/>
        <v>6</v>
      </c>
      <c r="AF55" s="318">
        <v>44348</v>
      </c>
      <c r="AG55" s="319">
        <v>416</v>
      </c>
      <c r="AH55" s="319">
        <v>304</v>
      </c>
      <c r="AI55">
        <f t="shared" si="2"/>
        <v>26</v>
      </c>
      <c r="AJ55">
        <f t="shared" si="3"/>
        <v>4</v>
      </c>
    </row>
    <row r="56" spans="2:36" x14ac:dyDescent="0.2">
      <c r="B56" s="106">
        <f t="shared" si="8"/>
        <v>44562</v>
      </c>
      <c r="C56" s="107">
        <v>2.9432058817501794</v>
      </c>
      <c r="D56" s="107">
        <v>2.9024886075949361</v>
      </c>
      <c r="E56" s="108">
        <f t="shared" si="4"/>
        <v>2022</v>
      </c>
      <c r="K56" s="18">
        <f t="shared" si="10"/>
        <v>1</v>
      </c>
      <c r="L56" s="139">
        <f t="shared" si="11"/>
        <v>2022</v>
      </c>
      <c r="M56" s="111">
        <f t="shared" si="7"/>
        <v>44562</v>
      </c>
      <c r="N56" s="123">
        <v>33.4375</v>
      </c>
      <c r="O56" s="123">
        <v>32.643999999999998</v>
      </c>
      <c r="P56" s="123">
        <v>25.795999999999999</v>
      </c>
      <c r="Q56" s="124">
        <v>29.87</v>
      </c>
      <c r="S56" s="136">
        <v>31.361397849462364</v>
      </c>
      <c r="T56" s="138">
        <f t="shared" si="12"/>
        <v>1.0408974802939028</v>
      </c>
      <c r="U56" s="138">
        <f t="shared" si="13"/>
        <v>0.952444790355927</v>
      </c>
      <c r="AD56" s="320" t="str">
        <f t="shared" si="0"/>
        <v>Summer</v>
      </c>
      <c r="AE56">
        <f t="shared" si="1"/>
        <v>7</v>
      </c>
      <c r="AF56" s="318">
        <v>44378</v>
      </c>
      <c r="AG56" s="319">
        <v>416</v>
      </c>
      <c r="AH56" s="319">
        <v>328</v>
      </c>
      <c r="AI56">
        <f t="shared" si="2"/>
        <v>26</v>
      </c>
      <c r="AJ56">
        <f t="shared" si="3"/>
        <v>5</v>
      </c>
    </row>
    <row r="57" spans="2:36" x14ac:dyDescent="0.2">
      <c r="B57" s="115">
        <f t="shared" si="8"/>
        <v>44593</v>
      </c>
      <c r="C57" s="107">
        <v>2.9396194487140077</v>
      </c>
      <c r="D57" s="107">
        <v>2.9040075949367083</v>
      </c>
      <c r="E57" s="116">
        <f t="shared" si="4"/>
        <v>2022</v>
      </c>
      <c r="K57" s="18">
        <f t="shared" si="10"/>
        <v>2</v>
      </c>
      <c r="L57" s="139">
        <f t="shared" si="11"/>
        <v>2022</v>
      </c>
      <c r="M57" s="111">
        <f t="shared" si="7"/>
        <v>44593</v>
      </c>
      <c r="N57" s="112">
        <v>32.604999999999997</v>
      </c>
      <c r="O57" s="112">
        <v>32.097000000000001</v>
      </c>
      <c r="P57" s="112">
        <v>25.086500000000001</v>
      </c>
      <c r="Q57" s="113">
        <v>29.105</v>
      </c>
      <c r="S57" s="136">
        <v>30.814714285714288</v>
      </c>
      <c r="T57" s="138">
        <f t="shared" si="12"/>
        <v>1.0416127731185936</v>
      </c>
      <c r="U57" s="138">
        <f t="shared" si="13"/>
        <v>0.94451630250854179</v>
      </c>
      <c r="AD57" s="320" t="str">
        <f t="shared" si="0"/>
        <v>Summer</v>
      </c>
      <c r="AE57">
        <f t="shared" si="1"/>
        <v>8</v>
      </c>
      <c r="AF57" s="318">
        <v>44409</v>
      </c>
      <c r="AG57" s="319">
        <v>416</v>
      </c>
      <c r="AH57" s="319">
        <v>328</v>
      </c>
      <c r="AI57">
        <f t="shared" si="2"/>
        <v>26</v>
      </c>
      <c r="AJ57">
        <f t="shared" si="3"/>
        <v>5</v>
      </c>
    </row>
    <row r="58" spans="2:36" x14ac:dyDescent="0.2">
      <c r="B58" s="115">
        <f t="shared" si="8"/>
        <v>44621</v>
      </c>
      <c r="C58" s="107">
        <v>2.8438104518905627</v>
      </c>
      <c r="D58" s="107">
        <v>2.8024379746835439</v>
      </c>
      <c r="E58" s="116">
        <f t="shared" si="4"/>
        <v>2022</v>
      </c>
      <c r="K58" s="18">
        <f t="shared" si="10"/>
        <v>3</v>
      </c>
      <c r="L58" s="139">
        <f t="shared" si="11"/>
        <v>2022</v>
      </c>
      <c r="M58" s="111">
        <f t="shared" si="7"/>
        <v>44621</v>
      </c>
      <c r="N58" s="112">
        <v>30.107500000000002</v>
      </c>
      <c r="O58" s="112">
        <v>29.908999999999999</v>
      </c>
      <c r="P58" s="112">
        <v>23.6675</v>
      </c>
      <c r="Q58" s="113">
        <v>27.574999999999999</v>
      </c>
      <c r="S58" s="136">
        <v>28.932049798115749</v>
      </c>
      <c r="T58" s="138">
        <f t="shared" si="12"/>
        <v>1.0337670579409786</v>
      </c>
      <c r="U58" s="138">
        <f t="shared" si="13"/>
        <v>0.95309527642925151</v>
      </c>
      <c r="AD58" s="320" t="str">
        <f t="shared" si="0"/>
        <v>Summer</v>
      </c>
      <c r="AE58">
        <f t="shared" si="1"/>
        <v>9</v>
      </c>
      <c r="AF58" s="318">
        <v>44440</v>
      </c>
      <c r="AG58" s="319">
        <v>400</v>
      </c>
      <c r="AH58" s="319">
        <v>320</v>
      </c>
      <c r="AI58">
        <f t="shared" si="2"/>
        <v>25</v>
      </c>
      <c r="AJ58">
        <f t="shared" si="3"/>
        <v>5</v>
      </c>
    </row>
    <row r="59" spans="2:36" x14ac:dyDescent="0.2">
      <c r="B59" s="115">
        <f t="shared" si="8"/>
        <v>44652</v>
      </c>
      <c r="C59" s="107">
        <v>2.3340246131775797</v>
      </c>
      <c r="D59" s="107">
        <v>2.2368683544303796</v>
      </c>
      <c r="E59" s="116">
        <f t="shared" si="4"/>
        <v>2022</v>
      </c>
      <c r="K59" s="18">
        <f t="shared" si="10"/>
        <v>4</v>
      </c>
      <c r="L59" s="139">
        <f t="shared" si="11"/>
        <v>2022</v>
      </c>
      <c r="M59" s="111">
        <f t="shared" si="7"/>
        <v>44652</v>
      </c>
      <c r="N59" s="112">
        <v>28.2</v>
      </c>
      <c r="O59" s="112">
        <v>26.145</v>
      </c>
      <c r="P59" s="112">
        <v>18.283000000000001</v>
      </c>
      <c r="Q59" s="113">
        <v>21.385000000000002</v>
      </c>
      <c r="S59" s="136">
        <v>24.135222222222225</v>
      </c>
      <c r="T59" s="138">
        <f t="shared" si="12"/>
        <v>1.0832715671425348</v>
      </c>
      <c r="U59" s="138">
        <f t="shared" si="13"/>
        <v>0.88604943443653117</v>
      </c>
      <c r="AD59" s="320" t="str">
        <f t="shared" si="0"/>
        <v>Winter</v>
      </c>
      <c r="AE59">
        <f t="shared" si="1"/>
        <v>10</v>
      </c>
      <c r="AF59" s="318">
        <v>44470</v>
      </c>
      <c r="AG59" s="319">
        <v>416</v>
      </c>
      <c r="AH59" s="319">
        <v>328</v>
      </c>
      <c r="AI59">
        <f t="shared" si="2"/>
        <v>26</v>
      </c>
      <c r="AJ59">
        <f t="shared" si="3"/>
        <v>5</v>
      </c>
    </row>
    <row r="60" spans="2:36" x14ac:dyDescent="0.2">
      <c r="B60" s="115">
        <f t="shared" si="8"/>
        <v>44682</v>
      </c>
      <c r="C60" s="107">
        <v>2.2494872630392457</v>
      </c>
      <c r="D60" s="107">
        <v>2.2192481012658223</v>
      </c>
      <c r="E60" s="116">
        <f t="shared" si="4"/>
        <v>2022</v>
      </c>
      <c r="K60" s="18">
        <f t="shared" si="10"/>
        <v>5</v>
      </c>
      <c r="L60" s="139">
        <f t="shared" si="11"/>
        <v>2022</v>
      </c>
      <c r="M60" s="111">
        <f t="shared" si="7"/>
        <v>44682</v>
      </c>
      <c r="N60" s="112">
        <v>23.3</v>
      </c>
      <c r="O60" s="112">
        <v>26.838000000000001</v>
      </c>
      <c r="P60" s="112">
        <v>12.615</v>
      </c>
      <c r="Q60" s="113">
        <v>17.29</v>
      </c>
      <c r="S60" s="136">
        <v>22.423333333333336</v>
      </c>
      <c r="T60" s="138">
        <f t="shared" si="12"/>
        <v>1.1968782518210197</v>
      </c>
      <c r="U60" s="138">
        <f t="shared" si="13"/>
        <v>0.77107180020811639</v>
      </c>
      <c r="AD60" s="320" t="str">
        <f t="shared" si="0"/>
        <v>Winter</v>
      </c>
      <c r="AE60">
        <f t="shared" si="1"/>
        <v>11</v>
      </c>
      <c r="AF60" s="318">
        <v>44501</v>
      </c>
      <c r="AG60" s="319">
        <v>400</v>
      </c>
      <c r="AH60" s="319">
        <v>320</v>
      </c>
      <c r="AI60">
        <f t="shared" si="2"/>
        <v>25</v>
      </c>
      <c r="AJ60">
        <f t="shared" si="3"/>
        <v>5</v>
      </c>
    </row>
    <row r="61" spans="2:36" x14ac:dyDescent="0.2">
      <c r="B61" s="115">
        <f t="shared" si="8"/>
        <v>44713</v>
      </c>
      <c r="C61" s="107">
        <v>2.2807404652115997</v>
      </c>
      <c r="D61" s="107">
        <v>2.2549949367088606</v>
      </c>
      <c r="E61" s="116">
        <f t="shared" si="4"/>
        <v>2022</v>
      </c>
      <c r="K61" s="18">
        <f t="shared" si="10"/>
        <v>6</v>
      </c>
      <c r="L61" s="139">
        <f t="shared" si="11"/>
        <v>2022</v>
      </c>
      <c r="M61" s="111">
        <f t="shared" si="7"/>
        <v>44713</v>
      </c>
      <c r="N61" s="112">
        <v>22.6</v>
      </c>
      <c r="O61" s="112">
        <v>28.917000000000002</v>
      </c>
      <c r="P61" s="112">
        <v>11.852</v>
      </c>
      <c r="Q61" s="113">
        <v>17.875</v>
      </c>
      <c r="S61" s="136">
        <v>24.254822222222224</v>
      </c>
      <c r="T61" s="138">
        <f t="shared" si="12"/>
        <v>1.1922165305959778</v>
      </c>
      <c r="U61" s="138">
        <f t="shared" si="13"/>
        <v>0.73696685286866204</v>
      </c>
      <c r="AD61" s="320" t="str">
        <f t="shared" si="0"/>
        <v>Winter</v>
      </c>
      <c r="AE61">
        <f t="shared" si="1"/>
        <v>12</v>
      </c>
      <c r="AF61" s="318">
        <v>44531</v>
      </c>
      <c r="AG61" s="319">
        <v>416</v>
      </c>
      <c r="AH61" s="319">
        <v>328</v>
      </c>
      <c r="AI61">
        <f t="shared" si="2"/>
        <v>26</v>
      </c>
      <c r="AJ61">
        <f t="shared" si="3"/>
        <v>5</v>
      </c>
    </row>
    <row r="62" spans="2:36" x14ac:dyDescent="0.2">
      <c r="B62" s="115">
        <f t="shared" si="8"/>
        <v>44743</v>
      </c>
      <c r="C62" s="107">
        <v>2.3340246131775797</v>
      </c>
      <c r="D62" s="107">
        <v>2.3348936708860757</v>
      </c>
      <c r="E62" s="116">
        <f t="shared" si="4"/>
        <v>2022</v>
      </c>
      <c r="K62" s="18">
        <f t="shared" si="10"/>
        <v>7</v>
      </c>
      <c r="L62" s="139">
        <f t="shared" si="11"/>
        <v>2022</v>
      </c>
      <c r="M62" s="111">
        <f t="shared" si="7"/>
        <v>44743</v>
      </c>
      <c r="N62" s="112">
        <v>33.1</v>
      </c>
      <c r="O62" s="112">
        <v>38.4</v>
      </c>
      <c r="P62" s="112">
        <v>26.574999999999999</v>
      </c>
      <c r="Q62" s="113">
        <v>27.037500000000001</v>
      </c>
      <c r="S62" s="136">
        <v>33.14637096774193</v>
      </c>
      <c r="T62" s="138">
        <f t="shared" si="12"/>
        <v>1.1584978650414219</v>
      </c>
      <c r="U62" s="138">
        <f t="shared" si="13"/>
        <v>0.81570015692857945</v>
      </c>
      <c r="AD62" s="320" t="str">
        <f t="shared" si="0"/>
        <v>Winter</v>
      </c>
      <c r="AE62">
        <f t="shared" si="1"/>
        <v>1</v>
      </c>
      <c r="AF62" s="318">
        <v>44562</v>
      </c>
      <c r="AG62" s="319">
        <v>400</v>
      </c>
      <c r="AH62" s="319">
        <v>344</v>
      </c>
      <c r="AI62">
        <f t="shared" si="2"/>
        <v>25</v>
      </c>
      <c r="AJ62">
        <f t="shared" si="3"/>
        <v>6</v>
      </c>
    </row>
    <row r="63" spans="2:36" x14ac:dyDescent="0.2">
      <c r="B63" s="115">
        <f t="shared" si="8"/>
        <v>44774</v>
      </c>
      <c r="C63" s="107">
        <v>2.3627160774669536</v>
      </c>
      <c r="D63" s="107">
        <v>2.3831974683544299</v>
      </c>
      <c r="E63" s="116">
        <f t="shared" si="4"/>
        <v>2022</v>
      </c>
      <c r="K63" s="18">
        <f t="shared" si="10"/>
        <v>8</v>
      </c>
      <c r="L63" s="139">
        <f t="shared" si="11"/>
        <v>2022</v>
      </c>
      <c r="M63" s="111">
        <f t="shared" si="7"/>
        <v>44774</v>
      </c>
      <c r="N63" s="112">
        <v>36.25</v>
      </c>
      <c r="O63" s="112">
        <v>37.119999999999997</v>
      </c>
      <c r="P63" s="112">
        <v>28.5</v>
      </c>
      <c r="Q63" s="113">
        <v>26.81</v>
      </c>
      <c r="S63" s="136">
        <v>32.796451612903226</v>
      </c>
      <c r="T63" s="138">
        <f t="shared" si="12"/>
        <v>1.1318297612841672</v>
      </c>
      <c r="U63" s="138">
        <f t="shared" si="13"/>
        <v>0.81746648437576841</v>
      </c>
      <c r="AD63" s="320" t="str">
        <f t="shared" si="0"/>
        <v>Winter</v>
      </c>
      <c r="AE63">
        <f t="shared" si="1"/>
        <v>2</v>
      </c>
      <c r="AF63" s="318">
        <v>44593</v>
      </c>
      <c r="AG63" s="319">
        <v>384</v>
      </c>
      <c r="AH63" s="319">
        <v>288</v>
      </c>
      <c r="AI63">
        <f t="shared" si="2"/>
        <v>24</v>
      </c>
      <c r="AJ63">
        <f t="shared" si="3"/>
        <v>4</v>
      </c>
    </row>
    <row r="64" spans="2:36" x14ac:dyDescent="0.2">
      <c r="B64" s="115">
        <f t="shared" si="8"/>
        <v>44805</v>
      </c>
      <c r="C64" s="107">
        <v>2.3704012911158929</v>
      </c>
      <c r="D64" s="107">
        <v>2.3932227848101264</v>
      </c>
      <c r="E64" s="116">
        <f t="shared" si="4"/>
        <v>2022</v>
      </c>
      <c r="K64" s="18">
        <f t="shared" si="10"/>
        <v>9</v>
      </c>
      <c r="L64" s="139">
        <f t="shared" si="11"/>
        <v>2022</v>
      </c>
      <c r="M64" s="111">
        <f t="shared" si="7"/>
        <v>44805</v>
      </c>
      <c r="N64" s="112">
        <v>33.1</v>
      </c>
      <c r="O64" s="112">
        <v>34.880000000000003</v>
      </c>
      <c r="P64" s="112">
        <v>30.425000000000001</v>
      </c>
      <c r="Q64" s="113">
        <v>23.852499999999999</v>
      </c>
      <c r="S64" s="136">
        <v>29.978888888888889</v>
      </c>
      <c r="T64" s="138">
        <f t="shared" si="12"/>
        <v>1.163485415662874</v>
      </c>
      <c r="U64" s="138">
        <f t="shared" si="13"/>
        <v>0.79564323042140761</v>
      </c>
      <c r="AD64" s="320" t="str">
        <f t="shared" si="0"/>
        <v>Winter</v>
      </c>
      <c r="AE64">
        <f t="shared" si="1"/>
        <v>3</v>
      </c>
      <c r="AF64" s="318">
        <v>44621</v>
      </c>
      <c r="AG64" s="319">
        <v>432</v>
      </c>
      <c r="AH64" s="319">
        <v>312</v>
      </c>
      <c r="AI64">
        <f t="shared" si="2"/>
        <v>27</v>
      </c>
      <c r="AJ64">
        <f t="shared" si="3"/>
        <v>4</v>
      </c>
    </row>
    <row r="65" spans="2:36" x14ac:dyDescent="0.2">
      <c r="B65" s="115">
        <f t="shared" si="8"/>
        <v>44835</v>
      </c>
      <c r="C65" s="107">
        <v>2.3965310175222871</v>
      </c>
      <c r="D65" s="107">
        <v>2.4138810126582277</v>
      </c>
      <c r="E65" s="116">
        <f t="shared" si="4"/>
        <v>2022</v>
      </c>
      <c r="K65" s="18">
        <f t="shared" si="10"/>
        <v>10</v>
      </c>
      <c r="L65" s="139">
        <f t="shared" si="11"/>
        <v>2022</v>
      </c>
      <c r="M65" s="111">
        <f t="shared" si="7"/>
        <v>44835</v>
      </c>
      <c r="N65" s="112">
        <v>30.247499999999999</v>
      </c>
      <c r="O65" s="112">
        <v>29.8</v>
      </c>
      <c r="P65" s="112">
        <v>28.524999999999999</v>
      </c>
      <c r="Q65" s="113">
        <v>28.995000000000001</v>
      </c>
      <c r="S65" s="136">
        <v>29.445107526881721</v>
      </c>
      <c r="T65" s="138">
        <f t="shared" si="12"/>
        <v>1.0120526804935008</v>
      </c>
      <c r="U65" s="138">
        <f t="shared" si="13"/>
        <v>0.98471367352043815</v>
      </c>
      <c r="AD65" s="320" t="str">
        <f t="shared" si="0"/>
        <v>Winter</v>
      </c>
      <c r="AE65">
        <f t="shared" si="1"/>
        <v>4</v>
      </c>
      <c r="AF65" s="318">
        <v>44652</v>
      </c>
      <c r="AG65" s="319">
        <v>416</v>
      </c>
      <c r="AH65" s="319">
        <v>304</v>
      </c>
      <c r="AI65">
        <f t="shared" si="2"/>
        <v>26</v>
      </c>
      <c r="AJ65">
        <f t="shared" si="3"/>
        <v>4</v>
      </c>
    </row>
    <row r="66" spans="2:36" x14ac:dyDescent="0.2">
      <c r="B66" s="115">
        <f t="shared" si="8"/>
        <v>44866</v>
      </c>
      <c r="C66" s="107">
        <v>2.6521924582436727</v>
      </c>
      <c r="D66" s="107">
        <v>2.6722101265822782</v>
      </c>
      <c r="E66" s="116">
        <f t="shared" si="4"/>
        <v>2022</v>
      </c>
      <c r="K66" s="18">
        <f t="shared" si="10"/>
        <v>11</v>
      </c>
      <c r="L66" s="139">
        <f t="shared" si="11"/>
        <v>2022</v>
      </c>
      <c r="M66" s="111">
        <f t="shared" si="7"/>
        <v>44866</v>
      </c>
      <c r="N66" s="112">
        <v>31.7925</v>
      </c>
      <c r="O66" s="112">
        <v>29.55</v>
      </c>
      <c r="P66" s="112">
        <v>31.57</v>
      </c>
      <c r="Q66" s="113">
        <v>28.3125</v>
      </c>
      <c r="S66" s="136">
        <v>28.999046463245492</v>
      </c>
      <c r="T66" s="138">
        <f t="shared" si="12"/>
        <v>1.0189990225179579</v>
      </c>
      <c r="U66" s="138">
        <f t="shared" si="13"/>
        <v>0.97632520558509928</v>
      </c>
      <c r="AD66" s="320" t="str">
        <f t="shared" ref="AD66:AD129" si="19">IF(AND(AE66&gt;=6,AE66&lt;=9),"Summer","Winter")</f>
        <v>Winter</v>
      </c>
      <c r="AE66">
        <f t="shared" ref="AE66:AE129" si="20">MONTH(AF66)</f>
        <v>5</v>
      </c>
      <c r="AF66" s="318">
        <v>44682</v>
      </c>
      <c r="AG66" s="319">
        <v>400</v>
      </c>
      <c r="AH66" s="319">
        <v>344</v>
      </c>
      <c r="AI66">
        <f t="shared" ref="AI66:AI129" si="21">AG66/16</f>
        <v>25</v>
      </c>
      <c r="AJ66">
        <f t="shared" ref="AJ66:AJ129" si="22">EDATE(AF66,1)-AF66-AI66</f>
        <v>6</v>
      </c>
    </row>
    <row r="67" spans="2:36" x14ac:dyDescent="0.2">
      <c r="B67" s="117">
        <f t="shared" si="8"/>
        <v>44896</v>
      </c>
      <c r="C67" s="118">
        <v>2.839199323701199</v>
      </c>
      <c r="D67" s="118">
        <v>2.8180329113924047</v>
      </c>
      <c r="E67" s="119">
        <f t="shared" si="4"/>
        <v>2022</v>
      </c>
      <c r="K67" s="18">
        <f t="shared" si="10"/>
        <v>12</v>
      </c>
      <c r="L67" s="139">
        <f t="shared" si="11"/>
        <v>2022</v>
      </c>
      <c r="M67" s="120">
        <f t="shared" si="7"/>
        <v>44896</v>
      </c>
      <c r="N67" s="121">
        <v>34.11</v>
      </c>
      <c r="O67" s="121">
        <v>31.55</v>
      </c>
      <c r="P67" s="121">
        <v>32.005000000000003</v>
      </c>
      <c r="Q67" s="122">
        <v>31.0425</v>
      </c>
      <c r="S67" s="136">
        <v>31.326263440860213</v>
      </c>
      <c r="T67" s="138">
        <f t="shared" si="12"/>
        <v>1.0071421399989875</v>
      </c>
      <c r="U67" s="138">
        <f t="shared" si="13"/>
        <v>0.99094167609884531</v>
      </c>
      <c r="AD67" s="320" t="str">
        <f t="shared" si="19"/>
        <v>Summer</v>
      </c>
      <c r="AE67">
        <f t="shared" si="20"/>
        <v>6</v>
      </c>
      <c r="AF67" s="318">
        <v>44713</v>
      </c>
      <c r="AG67" s="319">
        <v>416</v>
      </c>
      <c r="AH67" s="319">
        <v>304</v>
      </c>
      <c r="AI67">
        <f t="shared" si="21"/>
        <v>26</v>
      </c>
      <c r="AJ67">
        <f t="shared" si="22"/>
        <v>4</v>
      </c>
    </row>
    <row r="68" spans="2:36" x14ac:dyDescent="0.2">
      <c r="B68" s="106">
        <f t="shared" si="8"/>
        <v>44927</v>
      </c>
      <c r="C68" s="107">
        <v>2.9729220411927453</v>
      </c>
      <c r="D68" s="107">
        <v>2.9366151898734172</v>
      </c>
      <c r="E68" s="108">
        <f t="shared" si="4"/>
        <v>2023</v>
      </c>
      <c r="K68" s="18">
        <f t="shared" si="10"/>
        <v>1</v>
      </c>
      <c r="L68" s="139">
        <f t="shared" si="11"/>
        <v>2023</v>
      </c>
      <c r="M68" s="111">
        <f t="shared" si="7"/>
        <v>44927</v>
      </c>
      <c r="N68" s="123">
        <v>34.787500000000001</v>
      </c>
      <c r="O68" s="123">
        <v>33.994</v>
      </c>
      <c r="P68" s="123">
        <v>29.245999999999999</v>
      </c>
      <c r="Q68" s="124">
        <v>30.87</v>
      </c>
      <c r="S68" s="136">
        <v>32.549569892473116</v>
      </c>
      <c r="T68" s="138">
        <f t="shared" si="12"/>
        <v>1.0443763193276756</v>
      </c>
      <c r="U68" s="138">
        <f t="shared" si="13"/>
        <v>0.94839962868874939</v>
      </c>
      <c r="AD68" s="320" t="str">
        <f t="shared" si="19"/>
        <v>Summer</v>
      </c>
      <c r="AE68">
        <f t="shared" si="20"/>
        <v>7</v>
      </c>
      <c r="AF68" s="318">
        <v>44743</v>
      </c>
      <c r="AG68" s="319">
        <v>400</v>
      </c>
      <c r="AH68" s="319">
        <v>344</v>
      </c>
      <c r="AI68">
        <f t="shared" si="21"/>
        <v>25</v>
      </c>
      <c r="AJ68">
        <f t="shared" si="22"/>
        <v>6</v>
      </c>
    </row>
    <row r="69" spans="2:36" x14ac:dyDescent="0.2">
      <c r="B69" s="115">
        <f t="shared" si="8"/>
        <v>44958</v>
      </c>
      <c r="C69" s="107">
        <v>2.9749714314991293</v>
      </c>
      <c r="D69" s="107">
        <v>2.936108860759493</v>
      </c>
      <c r="E69" s="116">
        <f t="shared" si="4"/>
        <v>2023</v>
      </c>
      <c r="K69" s="18">
        <f t="shared" si="10"/>
        <v>2</v>
      </c>
      <c r="L69" s="139">
        <f t="shared" si="11"/>
        <v>2023</v>
      </c>
      <c r="M69" s="111">
        <f t="shared" si="7"/>
        <v>44958</v>
      </c>
      <c r="N69" s="112">
        <v>33.954999999999998</v>
      </c>
      <c r="O69" s="112">
        <v>33.447000000000003</v>
      </c>
      <c r="P69" s="112">
        <v>28.5365</v>
      </c>
      <c r="Q69" s="113">
        <v>30.105</v>
      </c>
      <c r="S69" s="136">
        <v>32.014714285714291</v>
      </c>
      <c r="T69" s="138">
        <f t="shared" si="12"/>
        <v>1.0447383569162394</v>
      </c>
      <c r="U69" s="138">
        <f t="shared" si="13"/>
        <v>0.94034885744501395</v>
      </c>
      <c r="AD69" s="320" t="str">
        <f t="shared" si="19"/>
        <v>Summer</v>
      </c>
      <c r="AE69">
        <f t="shared" si="20"/>
        <v>8</v>
      </c>
      <c r="AF69" s="318">
        <v>44774</v>
      </c>
      <c r="AG69" s="319">
        <v>432</v>
      </c>
      <c r="AH69" s="319">
        <v>312</v>
      </c>
      <c r="AI69">
        <f t="shared" si="21"/>
        <v>27</v>
      </c>
      <c r="AJ69">
        <f t="shared" si="22"/>
        <v>4</v>
      </c>
    </row>
    <row r="70" spans="2:36" x14ac:dyDescent="0.2">
      <c r="B70" s="115">
        <f t="shared" si="8"/>
        <v>44986</v>
      </c>
      <c r="C70" s="107">
        <v>2.8781377395224923</v>
      </c>
      <c r="D70" s="107">
        <v>2.8336278481012656</v>
      </c>
      <c r="E70" s="116">
        <f t="shared" si="4"/>
        <v>2023</v>
      </c>
      <c r="K70" s="18">
        <f t="shared" si="10"/>
        <v>3</v>
      </c>
      <c r="L70" s="139">
        <f t="shared" si="11"/>
        <v>2023</v>
      </c>
      <c r="M70" s="111">
        <f t="shared" si="7"/>
        <v>44986</v>
      </c>
      <c r="N70" s="112">
        <v>31.4575</v>
      </c>
      <c r="O70" s="112">
        <v>31.259</v>
      </c>
      <c r="P70" s="112">
        <v>27.1175</v>
      </c>
      <c r="Q70" s="113">
        <v>28.574999999999999</v>
      </c>
      <c r="S70" s="136">
        <v>30.135549125168239</v>
      </c>
      <c r="T70" s="138">
        <f t="shared" si="12"/>
        <v>1.0372799204741716</v>
      </c>
      <c r="U70" s="138">
        <f t="shared" si="13"/>
        <v>0.94821567316771005</v>
      </c>
      <c r="AD70" s="320" t="str">
        <f t="shared" si="19"/>
        <v>Summer</v>
      </c>
      <c r="AE70">
        <f t="shared" si="20"/>
        <v>9</v>
      </c>
      <c r="AF70" s="318">
        <v>44805</v>
      </c>
      <c r="AG70" s="319">
        <v>400</v>
      </c>
      <c r="AH70" s="319">
        <v>320</v>
      </c>
      <c r="AI70">
        <f t="shared" si="21"/>
        <v>25</v>
      </c>
      <c r="AJ70">
        <f t="shared" si="22"/>
        <v>5</v>
      </c>
    </row>
    <row r="71" spans="2:36" x14ac:dyDescent="0.2">
      <c r="B71" s="115">
        <f t="shared" si="8"/>
        <v>45017</v>
      </c>
      <c r="C71" s="107">
        <v>2.3821852853776004</v>
      </c>
      <c r="D71" s="107">
        <v>2.2790962025316452</v>
      </c>
      <c r="E71" s="116">
        <f t="shared" si="4"/>
        <v>2023</v>
      </c>
      <c r="K71" s="18">
        <f t="shared" si="10"/>
        <v>4</v>
      </c>
      <c r="L71" s="139">
        <f t="shared" si="11"/>
        <v>2023</v>
      </c>
      <c r="M71" s="111">
        <f t="shared" si="7"/>
        <v>45017</v>
      </c>
      <c r="N71" s="112">
        <v>26.65</v>
      </c>
      <c r="O71" s="112">
        <v>27.495000000000001</v>
      </c>
      <c r="P71" s="112">
        <v>19.283000000000001</v>
      </c>
      <c r="Q71" s="113">
        <v>26.385000000000002</v>
      </c>
      <c r="S71" s="136">
        <v>27.001666666666669</v>
      </c>
      <c r="T71" s="138">
        <f t="shared" si="12"/>
        <v>1.0182704771310414</v>
      </c>
      <c r="U71" s="138">
        <f t="shared" si="13"/>
        <v>0.97716190358619837</v>
      </c>
      <c r="AD71" s="320" t="str">
        <f t="shared" si="19"/>
        <v>Winter</v>
      </c>
      <c r="AE71">
        <f t="shared" si="20"/>
        <v>10</v>
      </c>
      <c r="AF71" s="318">
        <v>44835</v>
      </c>
      <c r="AG71" s="319">
        <v>416</v>
      </c>
      <c r="AH71" s="319">
        <v>328</v>
      </c>
      <c r="AI71">
        <f t="shared" si="21"/>
        <v>26</v>
      </c>
      <c r="AJ71">
        <f t="shared" si="22"/>
        <v>5</v>
      </c>
    </row>
    <row r="72" spans="2:36" x14ac:dyDescent="0.2">
      <c r="B72" s="115">
        <f t="shared" si="8"/>
        <v>45047</v>
      </c>
      <c r="C72" s="107">
        <v>2.9037551183522905</v>
      </c>
      <c r="D72" s="107">
        <v>2.8091215189873413</v>
      </c>
      <c r="E72" s="116">
        <f t="shared" ref="E72:E135" si="23">YEAR(B72)</f>
        <v>2023</v>
      </c>
      <c r="K72" s="18">
        <f t="shared" si="10"/>
        <v>5</v>
      </c>
      <c r="L72" s="139">
        <f t="shared" si="11"/>
        <v>2023</v>
      </c>
      <c r="M72" s="111">
        <f t="shared" ref="M72:M135" si="24">B72</f>
        <v>45047</v>
      </c>
      <c r="N72" s="112">
        <v>24.381119999999999</v>
      </c>
      <c r="O72" s="112">
        <v>27.516439999999999</v>
      </c>
      <c r="P72" s="112">
        <v>16.246410000000001</v>
      </c>
      <c r="Q72" s="113">
        <v>21.44725</v>
      </c>
      <c r="S72" s="136">
        <v>24.840775591397847</v>
      </c>
      <c r="T72" s="138">
        <f t="shared" si="12"/>
        <v>1.1077125953156113</v>
      </c>
      <c r="U72" s="138">
        <f t="shared" si="13"/>
        <v>0.86338890350215169</v>
      </c>
      <c r="AD72" s="320" t="str">
        <f t="shared" si="19"/>
        <v>Winter</v>
      </c>
      <c r="AE72">
        <f t="shared" si="20"/>
        <v>11</v>
      </c>
      <c r="AF72" s="318">
        <v>44866</v>
      </c>
      <c r="AG72" s="319">
        <v>400</v>
      </c>
      <c r="AH72" s="319">
        <v>320</v>
      </c>
      <c r="AI72">
        <f t="shared" si="21"/>
        <v>25</v>
      </c>
      <c r="AJ72">
        <f t="shared" si="22"/>
        <v>5</v>
      </c>
    </row>
    <row r="73" spans="2:36" x14ac:dyDescent="0.2">
      <c r="B73" s="115">
        <f t="shared" ref="B73:B136" si="25">EDATE(B72,1)</f>
        <v>45078</v>
      </c>
      <c r="C73" s="107">
        <v>2.9311144789425145</v>
      </c>
      <c r="D73" s="107">
        <v>2.7562607594936703</v>
      </c>
      <c r="E73" s="116">
        <f t="shared" si="23"/>
        <v>2023</v>
      </c>
      <c r="K73" s="18">
        <f t="shared" ref="K73:K136" si="26">MONTH(M73)</f>
        <v>6</v>
      </c>
      <c r="L73" s="139">
        <f t="shared" ref="L73:L136" si="27">YEAR(M73)</f>
        <v>2023</v>
      </c>
      <c r="M73" s="111">
        <f t="shared" si="24"/>
        <v>45078</v>
      </c>
      <c r="N73" s="112">
        <v>25.15775</v>
      </c>
      <c r="O73" s="112">
        <v>29.345040000000001</v>
      </c>
      <c r="P73" s="112">
        <v>16.913409999999999</v>
      </c>
      <c r="Q73" s="113">
        <v>22.313459999999999</v>
      </c>
      <c r="S73" s="136">
        <v>26.376150666666668</v>
      </c>
      <c r="T73" s="138">
        <f t="shared" ref="T73:T136" si="28">O73/S73</f>
        <v>1.1125596138289171</v>
      </c>
      <c r="U73" s="138">
        <f t="shared" ref="U73:U136" si="29">Q73/S73</f>
        <v>0.84597105476042922</v>
      </c>
      <c r="AD73" s="320" t="str">
        <f t="shared" si="19"/>
        <v>Winter</v>
      </c>
      <c r="AE73">
        <f t="shared" si="20"/>
        <v>12</v>
      </c>
      <c r="AF73" s="318">
        <v>44896</v>
      </c>
      <c r="AG73" s="319">
        <v>416</v>
      </c>
      <c r="AH73" s="319">
        <v>328</v>
      </c>
      <c r="AI73">
        <f t="shared" si="21"/>
        <v>26</v>
      </c>
      <c r="AJ73">
        <f t="shared" si="22"/>
        <v>5</v>
      </c>
    </row>
    <row r="74" spans="2:36" x14ac:dyDescent="0.2">
      <c r="B74" s="115">
        <f t="shared" si="25"/>
        <v>45108</v>
      </c>
      <c r="C74" s="107">
        <v>2.9655442360897633</v>
      </c>
      <c r="D74" s="107">
        <v>2.8668430379746832</v>
      </c>
      <c r="E74" s="116">
        <f t="shared" si="23"/>
        <v>2023</v>
      </c>
      <c r="K74" s="18">
        <f t="shared" si="26"/>
        <v>7</v>
      </c>
      <c r="L74" s="139">
        <f t="shared" si="27"/>
        <v>2023</v>
      </c>
      <c r="M74" s="111">
        <f t="shared" si="24"/>
        <v>45108</v>
      </c>
      <c r="N74" s="112">
        <v>37.81062</v>
      </c>
      <c r="O74" s="112">
        <v>40.845889999999997</v>
      </c>
      <c r="P74" s="112">
        <v>29.465420000000002</v>
      </c>
      <c r="Q74" s="113">
        <v>30.31889</v>
      </c>
      <c r="S74" s="136">
        <v>35.978567419354832</v>
      </c>
      <c r="T74" s="138">
        <f t="shared" si="28"/>
        <v>1.1352839462425834</v>
      </c>
      <c r="U74" s="138">
        <f t="shared" si="29"/>
        <v>0.84269308576443813</v>
      </c>
      <c r="AD74" s="320" t="str">
        <f t="shared" si="19"/>
        <v>Winter</v>
      </c>
      <c r="AE74">
        <f t="shared" si="20"/>
        <v>1</v>
      </c>
      <c r="AF74" s="318">
        <v>44927</v>
      </c>
      <c r="AG74" s="319">
        <v>400</v>
      </c>
      <c r="AH74" s="319">
        <v>344</v>
      </c>
      <c r="AI74">
        <f t="shared" si="21"/>
        <v>25</v>
      </c>
      <c r="AJ74">
        <f t="shared" si="22"/>
        <v>6</v>
      </c>
    </row>
    <row r="75" spans="2:36" x14ac:dyDescent="0.2">
      <c r="B75" s="115">
        <f t="shared" si="25"/>
        <v>45139</v>
      </c>
      <c r="C75" s="107">
        <v>3.0059172251255251</v>
      </c>
      <c r="D75" s="107">
        <v>2.9617291139240502</v>
      </c>
      <c r="E75" s="116">
        <f t="shared" si="23"/>
        <v>2023</v>
      </c>
      <c r="K75" s="18">
        <f t="shared" si="26"/>
        <v>8</v>
      </c>
      <c r="L75" s="139">
        <f t="shared" si="27"/>
        <v>2023</v>
      </c>
      <c r="M75" s="111">
        <f t="shared" si="24"/>
        <v>45139</v>
      </c>
      <c r="N75" s="112">
        <v>41.045810000000003</v>
      </c>
      <c r="O75" s="112">
        <v>41.422020000000003</v>
      </c>
      <c r="P75" s="112">
        <v>31.43337</v>
      </c>
      <c r="Q75" s="113">
        <v>30.940449999999998</v>
      </c>
      <c r="S75" s="136">
        <v>37.026522903225811</v>
      </c>
      <c r="T75" s="138">
        <f t="shared" si="28"/>
        <v>1.1187121218015115</v>
      </c>
      <c r="U75" s="138">
        <f t="shared" si="29"/>
        <v>0.83562936981329172</v>
      </c>
      <c r="AD75" s="320" t="str">
        <f t="shared" si="19"/>
        <v>Winter</v>
      </c>
      <c r="AE75">
        <f t="shared" si="20"/>
        <v>2</v>
      </c>
      <c r="AF75" s="318">
        <v>44958</v>
      </c>
      <c r="AG75" s="319">
        <v>384</v>
      </c>
      <c r="AH75" s="319">
        <v>288</v>
      </c>
      <c r="AI75">
        <f t="shared" si="21"/>
        <v>24</v>
      </c>
      <c r="AJ75">
        <f t="shared" si="22"/>
        <v>4</v>
      </c>
    </row>
    <row r="76" spans="2:36" x14ac:dyDescent="0.2">
      <c r="B76" s="115">
        <f t="shared" si="25"/>
        <v>45170</v>
      </c>
      <c r="C76" s="107">
        <v>3.0019209140280769</v>
      </c>
      <c r="D76" s="107">
        <v>2.928210126582278</v>
      </c>
      <c r="E76" s="116">
        <f t="shared" si="23"/>
        <v>2023</v>
      </c>
      <c r="K76" s="18">
        <f t="shared" si="26"/>
        <v>9</v>
      </c>
      <c r="L76" s="139">
        <f t="shared" si="27"/>
        <v>2023</v>
      </c>
      <c r="M76" s="111">
        <f t="shared" si="24"/>
        <v>45170</v>
      </c>
      <c r="N76" s="112">
        <v>37.805439999999997</v>
      </c>
      <c r="O76" s="112">
        <v>36.799570000000003</v>
      </c>
      <c r="P76" s="112">
        <v>32.317419999999998</v>
      </c>
      <c r="Q76" s="113">
        <v>27.836559999999999</v>
      </c>
      <c r="S76" s="136">
        <v>32.816009999999999</v>
      </c>
      <c r="T76" s="138">
        <f t="shared" si="28"/>
        <v>1.1213907479916054</v>
      </c>
      <c r="U76" s="138">
        <f t="shared" si="29"/>
        <v>0.84826156501049332</v>
      </c>
      <c r="AD76" s="320" t="str">
        <f t="shared" si="19"/>
        <v>Winter</v>
      </c>
      <c r="AE76">
        <f t="shared" si="20"/>
        <v>3</v>
      </c>
      <c r="AF76" s="318">
        <v>44986</v>
      </c>
      <c r="AG76" s="319">
        <v>432</v>
      </c>
      <c r="AH76" s="319">
        <v>312</v>
      </c>
      <c r="AI76">
        <f t="shared" si="21"/>
        <v>27</v>
      </c>
      <c r="AJ76">
        <f t="shared" si="22"/>
        <v>4</v>
      </c>
    </row>
    <row r="77" spans="2:36" x14ac:dyDescent="0.2">
      <c r="B77" s="115">
        <f t="shared" si="25"/>
        <v>45200</v>
      </c>
      <c r="C77" s="107">
        <v>3.0683211599549134</v>
      </c>
      <c r="D77" s="107">
        <v>3.0027417721518983</v>
      </c>
      <c r="E77" s="116">
        <f t="shared" si="23"/>
        <v>2023</v>
      </c>
      <c r="K77" s="18">
        <f t="shared" si="26"/>
        <v>10</v>
      </c>
      <c r="L77" s="139">
        <f t="shared" si="27"/>
        <v>2023</v>
      </c>
      <c r="M77" s="111">
        <f t="shared" si="24"/>
        <v>45200</v>
      </c>
      <c r="N77" s="112">
        <v>34.953229999999998</v>
      </c>
      <c r="O77" s="112">
        <v>33.82931</v>
      </c>
      <c r="P77" s="112">
        <v>31.223379999999999</v>
      </c>
      <c r="Q77" s="113">
        <v>31.29468</v>
      </c>
      <c r="S77" s="136">
        <v>32.711892473118283</v>
      </c>
      <c r="T77" s="138">
        <f t="shared" si="28"/>
        <v>1.034159366591217</v>
      </c>
      <c r="U77" s="138">
        <f t="shared" si="29"/>
        <v>0.95667592529894419</v>
      </c>
      <c r="AD77" s="320" t="str">
        <f t="shared" si="19"/>
        <v>Winter</v>
      </c>
      <c r="AE77">
        <f t="shared" si="20"/>
        <v>4</v>
      </c>
      <c r="AF77" s="318">
        <v>45017</v>
      </c>
      <c r="AG77" s="319">
        <v>400</v>
      </c>
      <c r="AH77" s="319">
        <v>320</v>
      </c>
      <c r="AI77">
        <f t="shared" si="21"/>
        <v>25</v>
      </c>
      <c r="AJ77">
        <f t="shared" si="22"/>
        <v>5</v>
      </c>
    </row>
    <row r="78" spans="2:36" x14ac:dyDescent="0.2">
      <c r="B78" s="115">
        <f t="shared" si="25"/>
        <v>45231</v>
      </c>
      <c r="C78" s="107">
        <v>3.2521514704375449</v>
      </c>
      <c r="D78" s="107">
        <v>3.2283620253164553</v>
      </c>
      <c r="E78" s="116">
        <f t="shared" si="23"/>
        <v>2023</v>
      </c>
      <c r="K78" s="18">
        <f t="shared" si="26"/>
        <v>11</v>
      </c>
      <c r="L78" s="139">
        <f t="shared" si="27"/>
        <v>2023</v>
      </c>
      <c r="M78" s="111">
        <f t="shared" si="24"/>
        <v>45231</v>
      </c>
      <c r="N78" s="112">
        <v>36.208689999999997</v>
      </c>
      <c r="O78" s="112">
        <v>34.468989999999998</v>
      </c>
      <c r="P78" s="112">
        <v>33.504669999999997</v>
      </c>
      <c r="Q78" s="113">
        <v>31.678629999999998</v>
      </c>
      <c r="S78" s="136">
        <v>33.226679930651869</v>
      </c>
      <c r="T78" s="138">
        <f t="shared" si="28"/>
        <v>1.0373889317843668</v>
      </c>
      <c r="U78" s="138">
        <f t="shared" si="29"/>
        <v>0.95340943079829699</v>
      </c>
      <c r="AD78" s="320" t="str">
        <f t="shared" si="19"/>
        <v>Winter</v>
      </c>
      <c r="AE78">
        <f t="shared" si="20"/>
        <v>5</v>
      </c>
      <c r="AF78" s="318">
        <v>45047</v>
      </c>
      <c r="AG78" s="319">
        <v>416</v>
      </c>
      <c r="AH78" s="319">
        <v>328</v>
      </c>
      <c r="AI78">
        <f t="shared" si="21"/>
        <v>26</v>
      </c>
      <c r="AJ78">
        <f t="shared" si="22"/>
        <v>5</v>
      </c>
    </row>
    <row r="79" spans="2:36" x14ac:dyDescent="0.2">
      <c r="B79" s="117">
        <f t="shared" si="25"/>
        <v>45261</v>
      </c>
      <c r="C79" s="118">
        <v>3.4835276360282816</v>
      </c>
      <c r="D79" s="118">
        <v>3.4297797468354427</v>
      </c>
      <c r="E79" s="119">
        <f t="shared" si="23"/>
        <v>2023</v>
      </c>
      <c r="K79" s="18">
        <f t="shared" si="26"/>
        <v>12</v>
      </c>
      <c r="L79" s="139">
        <f t="shared" si="27"/>
        <v>2023</v>
      </c>
      <c r="M79" s="120">
        <f t="shared" si="24"/>
        <v>45261</v>
      </c>
      <c r="N79" s="121">
        <v>37.810809999999996</v>
      </c>
      <c r="O79" s="121">
        <v>35.99586</v>
      </c>
      <c r="P79" s="121">
        <v>34.312820000000002</v>
      </c>
      <c r="Q79" s="122">
        <v>33.918399999999998</v>
      </c>
      <c r="S79" s="136">
        <v>35.035313978494621</v>
      </c>
      <c r="T79" s="138">
        <f t="shared" si="28"/>
        <v>1.0274165095850143</v>
      </c>
      <c r="U79" s="138">
        <f t="shared" si="29"/>
        <v>0.96812033769184414</v>
      </c>
      <c r="AD79" s="320" t="str">
        <f t="shared" si="19"/>
        <v>Summer</v>
      </c>
      <c r="AE79">
        <f t="shared" si="20"/>
        <v>6</v>
      </c>
      <c r="AF79" s="318">
        <v>45078</v>
      </c>
      <c r="AG79" s="319">
        <v>416</v>
      </c>
      <c r="AH79" s="319">
        <v>304</v>
      </c>
      <c r="AI79">
        <f t="shared" si="21"/>
        <v>26</v>
      </c>
      <c r="AJ79">
        <f t="shared" si="22"/>
        <v>4</v>
      </c>
    </row>
    <row r="80" spans="2:36" x14ac:dyDescent="0.2">
      <c r="B80" s="106">
        <f t="shared" si="25"/>
        <v>45292</v>
      </c>
      <c r="C80" s="107">
        <v>3.5482883697100114</v>
      </c>
      <c r="D80" s="107">
        <v>3.5392481012658221</v>
      </c>
      <c r="E80" s="108">
        <f t="shared" si="23"/>
        <v>2024</v>
      </c>
      <c r="K80" s="18">
        <f t="shared" si="26"/>
        <v>1</v>
      </c>
      <c r="L80" s="139">
        <f t="shared" si="27"/>
        <v>2024</v>
      </c>
      <c r="M80" s="111">
        <f t="shared" si="24"/>
        <v>45292</v>
      </c>
      <c r="N80" s="123">
        <v>37.534379999999999</v>
      </c>
      <c r="O80" s="123">
        <v>37.102440000000001</v>
      </c>
      <c r="P80" s="123">
        <v>32.576239999999999</v>
      </c>
      <c r="Q80" s="124">
        <v>33.650970000000001</v>
      </c>
      <c r="S80" s="136">
        <v>35.580824193548388</v>
      </c>
      <c r="T80" s="138">
        <f t="shared" si="28"/>
        <v>1.0427650522701359</v>
      </c>
      <c r="U80" s="138">
        <f t="shared" si="29"/>
        <v>0.9457613971208032</v>
      </c>
      <c r="AD80" s="320" t="str">
        <f t="shared" si="19"/>
        <v>Summer</v>
      </c>
      <c r="AE80">
        <f t="shared" si="20"/>
        <v>7</v>
      </c>
      <c r="AF80" s="318">
        <v>45108</v>
      </c>
      <c r="AG80" s="319">
        <v>400</v>
      </c>
      <c r="AH80" s="319">
        <v>344</v>
      </c>
      <c r="AI80">
        <f t="shared" si="21"/>
        <v>25</v>
      </c>
      <c r="AJ80">
        <f t="shared" si="22"/>
        <v>6</v>
      </c>
    </row>
    <row r="81" spans="2:36" x14ac:dyDescent="0.2">
      <c r="B81" s="115">
        <f t="shared" si="25"/>
        <v>45323</v>
      </c>
      <c r="C81" s="107">
        <v>3.5595600163951229</v>
      </c>
      <c r="D81" s="107">
        <v>3.571855696202531</v>
      </c>
      <c r="E81" s="116">
        <f t="shared" si="23"/>
        <v>2024</v>
      </c>
      <c r="K81" s="18">
        <f t="shared" si="26"/>
        <v>2</v>
      </c>
      <c r="L81" s="139">
        <f t="shared" si="27"/>
        <v>2024</v>
      </c>
      <c r="M81" s="111">
        <f t="shared" si="24"/>
        <v>45323</v>
      </c>
      <c r="N81" s="112">
        <v>38.163879999999999</v>
      </c>
      <c r="O81" s="112">
        <v>37.490989999999996</v>
      </c>
      <c r="P81" s="112">
        <v>33.378909999999998</v>
      </c>
      <c r="Q81" s="113">
        <v>34.021000000000001</v>
      </c>
      <c r="S81" s="136">
        <v>36.015247126436783</v>
      </c>
      <c r="T81" s="138">
        <f t="shared" si="28"/>
        <v>1.0409755031912569</v>
      </c>
      <c r="U81" s="138">
        <f t="shared" si="29"/>
        <v>0.94462769839019323</v>
      </c>
      <c r="AD81" s="320" t="str">
        <f t="shared" si="19"/>
        <v>Summer</v>
      </c>
      <c r="AE81">
        <f t="shared" si="20"/>
        <v>8</v>
      </c>
      <c r="AF81" s="318">
        <v>45139</v>
      </c>
      <c r="AG81" s="319">
        <v>432</v>
      </c>
      <c r="AH81" s="319">
        <v>312</v>
      </c>
      <c r="AI81">
        <f t="shared" si="21"/>
        <v>27</v>
      </c>
      <c r="AJ81">
        <f t="shared" si="22"/>
        <v>4</v>
      </c>
    </row>
    <row r="82" spans="2:36" x14ac:dyDescent="0.2">
      <c r="B82" s="115">
        <f t="shared" si="25"/>
        <v>45352</v>
      </c>
      <c r="C82" s="107">
        <v>3.4273743416333642</v>
      </c>
      <c r="D82" s="107">
        <v>3.52719746835443</v>
      </c>
      <c r="E82" s="116">
        <f t="shared" si="23"/>
        <v>2024</v>
      </c>
      <c r="K82" s="18">
        <f t="shared" si="26"/>
        <v>3</v>
      </c>
      <c r="L82" s="139">
        <f t="shared" si="27"/>
        <v>2024</v>
      </c>
      <c r="M82" s="111">
        <f t="shared" si="24"/>
        <v>45352</v>
      </c>
      <c r="N82" s="112">
        <v>34.856079999999999</v>
      </c>
      <c r="O82" s="112">
        <v>34.389580000000002</v>
      </c>
      <c r="P82" s="112">
        <v>31.532450000000001</v>
      </c>
      <c r="Q82" s="113">
        <v>32.079720000000002</v>
      </c>
      <c r="S82" s="136">
        <v>33.372992893674301</v>
      </c>
      <c r="T82" s="138">
        <f t="shared" si="28"/>
        <v>1.030461370652747</v>
      </c>
      <c r="U82" s="138">
        <f t="shared" si="29"/>
        <v>0.96124791990353875</v>
      </c>
      <c r="AD82" s="320" t="str">
        <f t="shared" si="19"/>
        <v>Summer</v>
      </c>
      <c r="AE82">
        <f t="shared" si="20"/>
        <v>9</v>
      </c>
      <c r="AF82" s="318">
        <v>45170</v>
      </c>
      <c r="AG82" s="319">
        <v>400</v>
      </c>
      <c r="AH82" s="319">
        <v>320</v>
      </c>
      <c r="AI82">
        <f t="shared" si="21"/>
        <v>25</v>
      </c>
      <c r="AJ82">
        <f t="shared" si="22"/>
        <v>5</v>
      </c>
    </row>
    <row r="83" spans="2:36" x14ac:dyDescent="0.2">
      <c r="B83" s="115">
        <f t="shared" si="25"/>
        <v>45383</v>
      </c>
      <c r="C83" s="107">
        <v>3.0219024695153194</v>
      </c>
      <c r="D83" s="107">
        <v>2.8877037974683541</v>
      </c>
      <c r="E83" s="116">
        <f t="shared" si="23"/>
        <v>2024</v>
      </c>
      <c r="K83" s="18">
        <f t="shared" si="26"/>
        <v>4</v>
      </c>
      <c r="L83" s="139">
        <f t="shared" si="27"/>
        <v>2024</v>
      </c>
      <c r="M83" s="111">
        <f t="shared" si="24"/>
        <v>45383</v>
      </c>
      <c r="N83" s="112">
        <v>28.775749999999999</v>
      </c>
      <c r="O83" s="112">
        <v>28.771129999999999</v>
      </c>
      <c r="P83" s="112">
        <v>23.180800000000001</v>
      </c>
      <c r="Q83" s="113">
        <v>26.89471</v>
      </c>
      <c r="S83" s="136">
        <v>27.978863777777779</v>
      </c>
      <c r="T83" s="138">
        <f t="shared" si="28"/>
        <v>1.0283165974327906</v>
      </c>
      <c r="U83" s="138">
        <f t="shared" si="29"/>
        <v>0.96125097193407594</v>
      </c>
      <c r="AD83" s="320" t="str">
        <f t="shared" si="19"/>
        <v>Winter</v>
      </c>
      <c r="AE83">
        <f t="shared" si="20"/>
        <v>10</v>
      </c>
      <c r="AF83" s="318">
        <v>45200</v>
      </c>
      <c r="AG83" s="319">
        <v>416</v>
      </c>
      <c r="AH83" s="319">
        <v>328</v>
      </c>
      <c r="AI83">
        <f t="shared" si="21"/>
        <v>26</v>
      </c>
      <c r="AJ83">
        <f t="shared" si="22"/>
        <v>5</v>
      </c>
    </row>
    <row r="84" spans="2:36" x14ac:dyDescent="0.2">
      <c r="B84" s="115">
        <f t="shared" si="25"/>
        <v>45413</v>
      </c>
      <c r="C84" s="107">
        <v>3.5580229736653348</v>
      </c>
      <c r="D84" s="107">
        <v>3.3988936708860757</v>
      </c>
      <c r="E84" s="116">
        <f t="shared" si="23"/>
        <v>2024</v>
      </c>
      <c r="K84" s="18">
        <f t="shared" si="26"/>
        <v>5</v>
      </c>
      <c r="L84" s="139">
        <f t="shared" si="27"/>
        <v>2024</v>
      </c>
      <c r="M84" s="111">
        <f t="shared" si="24"/>
        <v>45413</v>
      </c>
      <c r="N84" s="112">
        <v>25.462250000000001</v>
      </c>
      <c r="O84" s="112">
        <v>28.194880000000001</v>
      </c>
      <c r="P84" s="112">
        <v>19.877829999999999</v>
      </c>
      <c r="Q84" s="113">
        <v>25.604500000000002</v>
      </c>
      <c r="S84" s="136">
        <v>27.05288451612903</v>
      </c>
      <c r="T84" s="138">
        <f t="shared" si="28"/>
        <v>1.0422134461554409</v>
      </c>
      <c r="U84" s="138">
        <f t="shared" si="29"/>
        <v>0.94646099511992898</v>
      </c>
      <c r="AD84" s="320" t="str">
        <f t="shared" si="19"/>
        <v>Winter</v>
      </c>
      <c r="AE84">
        <f t="shared" si="20"/>
        <v>11</v>
      </c>
      <c r="AF84" s="318">
        <v>45231</v>
      </c>
      <c r="AG84" s="319">
        <v>400</v>
      </c>
      <c r="AH84" s="319">
        <v>320</v>
      </c>
      <c r="AI84">
        <f t="shared" si="21"/>
        <v>25</v>
      </c>
      <c r="AJ84">
        <f t="shared" si="22"/>
        <v>5</v>
      </c>
    </row>
    <row r="85" spans="2:36" x14ac:dyDescent="0.2">
      <c r="B85" s="115">
        <f t="shared" si="25"/>
        <v>45444</v>
      </c>
      <c r="C85" s="107">
        <v>3.5813860231581107</v>
      </c>
      <c r="D85" s="107">
        <v>3.2575265822784805</v>
      </c>
      <c r="E85" s="116">
        <f t="shared" si="23"/>
        <v>2024</v>
      </c>
      <c r="K85" s="18">
        <f t="shared" si="26"/>
        <v>6</v>
      </c>
      <c r="L85" s="139">
        <f t="shared" si="27"/>
        <v>2024</v>
      </c>
      <c r="M85" s="111">
        <f t="shared" si="24"/>
        <v>45444</v>
      </c>
      <c r="N85" s="112">
        <v>27.715499999999999</v>
      </c>
      <c r="O85" s="112">
        <v>29.773070000000001</v>
      </c>
      <c r="P85" s="112">
        <v>21.974820000000001</v>
      </c>
      <c r="Q85" s="113">
        <v>26.751919999999998</v>
      </c>
      <c r="S85" s="136">
        <v>28.430336666666665</v>
      </c>
      <c r="T85" s="138">
        <f t="shared" si="28"/>
        <v>1.0472288931740872</v>
      </c>
      <c r="U85" s="138">
        <f t="shared" si="29"/>
        <v>0.94096388353239102</v>
      </c>
      <c r="AD85" s="320" t="str">
        <f t="shared" si="19"/>
        <v>Winter</v>
      </c>
      <c r="AE85">
        <f t="shared" si="20"/>
        <v>12</v>
      </c>
      <c r="AF85" s="318">
        <v>45261</v>
      </c>
      <c r="AG85" s="319">
        <v>400</v>
      </c>
      <c r="AH85" s="319">
        <v>344</v>
      </c>
      <c r="AI85">
        <f t="shared" si="21"/>
        <v>25</v>
      </c>
      <c r="AJ85">
        <f t="shared" si="22"/>
        <v>6</v>
      </c>
    </row>
    <row r="86" spans="2:36" x14ac:dyDescent="0.2">
      <c r="B86" s="115">
        <f t="shared" si="25"/>
        <v>45474</v>
      </c>
      <c r="C86" s="107">
        <v>3.5969613894866277</v>
      </c>
      <c r="D86" s="107">
        <v>3.3988936708860757</v>
      </c>
      <c r="E86" s="116">
        <f t="shared" si="23"/>
        <v>2024</v>
      </c>
      <c r="K86" s="18">
        <f t="shared" si="26"/>
        <v>7</v>
      </c>
      <c r="L86" s="139">
        <f t="shared" si="27"/>
        <v>2024</v>
      </c>
      <c r="M86" s="111">
        <f t="shared" si="24"/>
        <v>45474</v>
      </c>
      <c r="N86" s="112">
        <v>42.521239999999999</v>
      </c>
      <c r="O86" s="112">
        <v>43.29177</v>
      </c>
      <c r="P86" s="112">
        <v>32.355840000000001</v>
      </c>
      <c r="Q86" s="113">
        <v>33.600279999999998</v>
      </c>
      <c r="S86" s="136">
        <v>39.019177634408599</v>
      </c>
      <c r="T86" s="138">
        <f t="shared" si="28"/>
        <v>1.1094998055987644</v>
      </c>
      <c r="U86" s="138">
        <f t="shared" si="29"/>
        <v>0.86112219777717691</v>
      </c>
      <c r="AD86" s="320" t="str">
        <f t="shared" si="19"/>
        <v>Winter</v>
      </c>
      <c r="AE86">
        <f t="shared" si="20"/>
        <v>1</v>
      </c>
      <c r="AF86" s="318">
        <v>45292</v>
      </c>
      <c r="AG86" s="319">
        <v>416</v>
      </c>
      <c r="AH86" s="319">
        <v>328</v>
      </c>
      <c r="AI86">
        <f t="shared" si="21"/>
        <v>26</v>
      </c>
      <c r="AJ86">
        <f t="shared" si="22"/>
        <v>5</v>
      </c>
    </row>
    <row r="87" spans="2:36" x14ac:dyDescent="0.2">
      <c r="B87" s="115">
        <f t="shared" si="25"/>
        <v>45505</v>
      </c>
      <c r="C87" s="107">
        <v>3.6490159032687779</v>
      </c>
      <c r="D87" s="107">
        <v>3.5402607594936701</v>
      </c>
      <c r="E87" s="116">
        <f t="shared" si="23"/>
        <v>2024</v>
      </c>
      <c r="K87" s="18">
        <f t="shared" si="26"/>
        <v>8</v>
      </c>
      <c r="L87" s="139">
        <f t="shared" si="27"/>
        <v>2024</v>
      </c>
      <c r="M87" s="111">
        <f t="shared" si="24"/>
        <v>45505</v>
      </c>
      <c r="N87" s="112">
        <v>45.841630000000002</v>
      </c>
      <c r="O87" s="112">
        <v>45.724040000000002</v>
      </c>
      <c r="P87" s="112">
        <v>34.366750000000003</v>
      </c>
      <c r="Q87" s="113">
        <v>35.070900000000002</v>
      </c>
      <c r="S87" s="136">
        <v>41.256594193548388</v>
      </c>
      <c r="T87" s="138">
        <f t="shared" si="28"/>
        <v>1.1082844062574178</v>
      </c>
      <c r="U87" s="138">
        <f t="shared" si="29"/>
        <v>0.85006774518203709</v>
      </c>
      <c r="AD87" s="320" t="str">
        <f t="shared" si="19"/>
        <v>Winter</v>
      </c>
      <c r="AE87">
        <f t="shared" si="20"/>
        <v>2</v>
      </c>
      <c r="AF87" s="318">
        <v>45323</v>
      </c>
      <c r="AG87" s="319">
        <v>400</v>
      </c>
      <c r="AH87" s="319">
        <v>296</v>
      </c>
      <c r="AI87">
        <f t="shared" si="21"/>
        <v>25</v>
      </c>
      <c r="AJ87">
        <f t="shared" si="22"/>
        <v>4</v>
      </c>
    </row>
    <row r="88" spans="2:36" x14ac:dyDescent="0.2">
      <c r="B88" s="115">
        <f t="shared" si="25"/>
        <v>45536</v>
      </c>
      <c r="C88" s="107">
        <v>3.6334405369402605</v>
      </c>
      <c r="D88" s="107">
        <v>3.463096202531645</v>
      </c>
      <c r="E88" s="116">
        <f t="shared" si="23"/>
        <v>2024</v>
      </c>
      <c r="K88" s="18">
        <f t="shared" si="26"/>
        <v>9</v>
      </c>
      <c r="L88" s="139">
        <f t="shared" si="27"/>
        <v>2024</v>
      </c>
      <c r="M88" s="111">
        <f t="shared" si="24"/>
        <v>45536</v>
      </c>
      <c r="N88" s="112">
        <v>42.510869999999997</v>
      </c>
      <c r="O88" s="112">
        <v>38.719140000000003</v>
      </c>
      <c r="P88" s="112">
        <v>34.209850000000003</v>
      </c>
      <c r="Q88" s="113">
        <v>31.820609999999999</v>
      </c>
      <c r="S88" s="136">
        <v>35.499825999999999</v>
      </c>
      <c r="T88" s="138">
        <f t="shared" si="28"/>
        <v>1.0906853458943715</v>
      </c>
      <c r="U88" s="138">
        <f t="shared" si="29"/>
        <v>0.89635960469214693</v>
      </c>
      <c r="AD88" s="320" t="str">
        <f t="shared" si="19"/>
        <v>Winter</v>
      </c>
      <c r="AE88">
        <f t="shared" si="20"/>
        <v>3</v>
      </c>
      <c r="AF88" s="318">
        <v>45352</v>
      </c>
      <c r="AG88" s="319">
        <v>416</v>
      </c>
      <c r="AH88" s="319">
        <v>328</v>
      </c>
      <c r="AI88">
        <f t="shared" si="21"/>
        <v>26</v>
      </c>
      <c r="AJ88">
        <f t="shared" si="22"/>
        <v>5</v>
      </c>
    </row>
    <row r="89" spans="2:36" x14ac:dyDescent="0.2">
      <c r="B89" s="115">
        <f t="shared" si="25"/>
        <v>45566</v>
      </c>
      <c r="C89" s="107">
        <v>3.7401113023875396</v>
      </c>
      <c r="D89" s="107">
        <v>3.5917037974683539</v>
      </c>
      <c r="E89" s="116">
        <f t="shared" si="23"/>
        <v>2024</v>
      </c>
      <c r="K89" s="18">
        <f t="shared" si="26"/>
        <v>10</v>
      </c>
      <c r="L89" s="139">
        <f t="shared" si="27"/>
        <v>2024</v>
      </c>
      <c r="M89" s="111">
        <f t="shared" si="24"/>
        <v>45566</v>
      </c>
      <c r="N89" s="112">
        <v>39.65896</v>
      </c>
      <c r="O89" s="112">
        <v>37.858620000000002</v>
      </c>
      <c r="P89" s="112">
        <v>33.921770000000002</v>
      </c>
      <c r="Q89" s="113">
        <v>33.594349999999999</v>
      </c>
      <c r="S89" s="136">
        <v>36.070377741935488</v>
      </c>
      <c r="T89" s="138">
        <f t="shared" si="28"/>
        <v>1.0495764771541469</v>
      </c>
      <c r="U89" s="138">
        <f t="shared" si="29"/>
        <v>0.93135564701733486</v>
      </c>
      <c r="AD89" s="320" t="str">
        <f t="shared" si="19"/>
        <v>Winter</v>
      </c>
      <c r="AE89">
        <f t="shared" si="20"/>
        <v>4</v>
      </c>
      <c r="AF89" s="318">
        <v>45383</v>
      </c>
      <c r="AG89" s="319">
        <v>416</v>
      </c>
      <c r="AH89" s="319">
        <v>304</v>
      </c>
      <c r="AI89">
        <f t="shared" si="21"/>
        <v>26</v>
      </c>
      <c r="AJ89">
        <f t="shared" si="22"/>
        <v>4</v>
      </c>
    </row>
    <row r="90" spans="2:36" x14ac:dyDescent="0.2">
      <c r="B90" s="115">
        <f t="shared" si="25"/>
        <v>45597</v>
      </c>
      <c r="C90" s="107">
        <v>3.8522129521467368</v>
      </c>
      <c r="D90" s="107">
        <v>3.7845139240506325</v>
      </c>
      <c r="E90" s="116">
        <f t="shared" si="23"/>
        <v>2024</v>
      </c>
      <c r="K90" s="18">
        <f t="shared" si="26"/>
        <v>11</v>
      </c>
      <c r="L90" s="139">
        <f t="shared" si="27"/>
        <v>2024</v>
      </c>
      <c r="M90" s="111">
        <f t="shared" si="24"/>
        <v>45597</v>
      </c>
      <c r="N90" s="112">
        <v>40.624870000000001</v>
      </c>
      <c r="O90" s="112">
        <v>39.387979999999999</v>
      </c>
      <c r="P90" s="112">
        <v>35.439329999999998</v>
      </c>
      <c r="Q90" s="113">
        <v>35.04477</v>
      </c>
      <c r="S90" s="136">
        <v>37.454317850208042</v>
      </c>
      <c r="T90" s="138">
        <f t="shared" si="28"/>
        <v>1.0516272157865829</v>
      </c>
      <c r="U90" s="138">
        <f t="shared" si="29"/>
        <v>0.93566702082668796</v>
      </c>
      <c r="AD90" s="320" t="str">
        <f t="shared" si="19"/>
        <v>Winter</v>
      </c>
      <c r="AE90">
        <f t="shared" si="20"/>
        <v>5</v>
      </c>
      <c r="AF90" s="318">
        <v>45413</v>
      </c>
      <c r="AG90" s="319">
        <v>416</v>
      </c>
      <c r="AH90" s="319">
        <v>328</v>
      </c>
      <c r="AI90">
        <f t="shared" si="21"/>
        <v>26</v>
      </c>
      <c r="AJ90">
        <f t="shared" si="22"/>
        <v>5</v>
      </c>
    </row>
    <row r="91" spans="2:36" x14ac:dyDescent="0.2">
      <c r="B91" s="117">
        <f t="shared" si="25"/>
        <v>45627</v>
      </c>
      <c r="C91" s="118">
        <v>4.1278559483553652</v>
      </c>
      <c r="D91" s="118">
        <v>4.0415265822784798</v>
      </c>
      <c r="E91" s="119">
        <f t="shared" si="23"/>
        <v>2024</v>
      </c>
      <c r="K91" s="18">
        <f t="shared" si="26"/>
        <v>12</v>
      </c>
      <c r="L91" s="139">
        <f t="shared" si="27"/>
        <v>2024</v>
      </c>
      <c r="M91" s="120">
        <f t="shared" si="24"/>
        <v>45627</v>
      </c>
      <c r="N91" s="121">
        <v>41.511629999999997</v>
      </c>
      <c r="O91" s="121">
        <v>40.44173</v>
      </c>
      <c r="P91" s="121">
        <v>36.620640000000002</v>
      </c>
      <c r="Q91" s="122">
        <v>36.794310000000003</v>
      </c>
      <c r="S91" s="136">
        <v>38.755288494623656</v>
      </c>
      <c r="T91" s="138">
        <f t="shared" si="28"/>
        <v>1.0435151322795673</v>
      </c>
      <c r="U91" s="138">
        <f t="shared" si="29"/>
        <v>0.94940100897724733</v>
      </c>
      <c r="AD91" s="320" t="str">
        <f t="shared" si="19"/>
        <v>Summer</v>
      </c>
      <c r="AE91">
        <f t="shared" si="20"/>
        <v>6</v>
      </c>
      <c r="AF91" s="318">
        <v>45444</v>
      </c>
      <c r="AG91" s="319">
        <v>400</v>
      </c>
      <c r="AH91" s="319">
        <v>320</v>
      </c>
      <c r="AI91">
        <f t="shared" si="21"/>
        <v>25</v>
      </c>
      <c r="AJ91">
        <f t="shared" si="22"/>
        <v>5</v>
      </c>
    </row>
    <row r="92" spans="2:36" x14ac:dyDescent="0.2">
      <c r="B92" s="106">
        <f t="shared" si="25"/>
        <v>45658</v>
      </c>
      <c r="C92" s="107">
        <v>4.1236546982272779</v>
      </c>
      <c r="D92" s="107">
        <v>4.141779746835442</v>
      </c>
      <c r="E92" s="108">
        <f t="shared" si="23"/>
        <v>2025</v>
      </c>
      <c r="K92" s="18">
        <f t="shared" si="26"/>
        <v>1</v>
      </c>
      <c r="L92" s="139">
        <f t="shared" si="27"/>
        <v>2025</v>
      </c>
      <c r="M92" s="111">
        <f t="shared" si="24"/>
        <v>45658</v>
      </c>
      <c r="N92" s="123">
        <v>40.281260000000003</v>
      </c>
      <c r="O92" s="123">
        <v>40.210889999999999</v>
      </c>
      <c r="P92" s="123">
        <v>35.906480000000002</v>
      </c>
      <c r="Q92" s="124">
        <v>36.431950000000001</v>
      </c>
      <c r="S92" s="136">
        <v>38.54490569892473</v>
      </c>
      <c r="T92" s="138">
        <f t="shared" si="28"/>
        <v>1.0432219062640422</v>
      </c>
      <c r="U92" s="138">
        <f t="shared" si="29"/>
        <v>0.94518197254316605</v>
      </c>
      <c r="AD92" s="320" t="str">
        <f t="shared" si="19"/>
        <v>Summer</v>
      </c>
      <c r="AE92">
        <f t="shared" si="20"/>
        <v>7</v>
      </c>
      <c r="AF92" s="318">
        <v>45474</v>
      </c>
      <c r="AG92" s="319">
        <v>416</v>
      </c>
      <c r="AH92" s="319">
        <v>328</v>
      </c>
      <c r="AI92">
        <f t="shared" si="21"/>
        <v>26</v>
      </c>
      <c r="AJ92">
        <f t="shared" si="22"/>
        <v>5</v>
      </c>
    </row>
    <row r="93" spans="2:36" x14ac:dyDescent="0.2">
      <c r="B93" s="115">
        <f t="shared" si="25"/>
        <v>45689</v>
      </c>
      <c r="C93" s="107">
        <v>4.144148601291116</v>
      </c>
      <c r="D93" s="107">
        <v>4.207703797468354</v>
      </c>
      <c r="E93" s="116">
        <f t="shared" si="23"/>
        <v>2025</v>
      </c>
      <c r="K93" s="18">
        <f t="shared" si="26"/>
        <v>2</v>
      </c>
      <c r="L93" s="139">
        <f t="shared" si="27"/>
        <v>2025</v>
      </c>
      <c r="M93" s="111">
        <f t="shared" si="24"/>
        <v>45689</v>
      </c>
      <c r="N93" s="112">
        <v>42.372750000000003</v>
      </c>
      <c r="O93" s="112">
        <v>41.534979999999997</v>
      </c>
      <c r="P93" s="112">
        <v>38.221319999999999</v>
      </c>
      <c r="Q93" s="113">
        <v>37.936990000000002</v>
      </c>
      <c r="S93" s="136">
        <v>39.992984285714286</v>
      </c>
      <c r="T93" s="138">
        <f t="shared" si="28"/>
        <v>1.0385566554190986</v>
      </c>
      <c r="U93" s="138">
        <f t="shared" si="29"/>
        <v>0.94859112610786844</v>
      </c>
      <c r="AD93" s="320" t="str">
        <f t="shared" si="19"/>
        <v>Summer</v>
      </c>
      <c r="AE93">
        <f t="shared" si="20"/>
        <v>8</v>
      </c>
      <c r="AF93" s="318">
        <v>45505</v>
      </c>
      <c r="AG93" s="319">
        <v>432</v>
      </c>
      <c r="AH93" s="319">
        <v>312</v>
      </c>
      <c r="AI93">
        <f t="shared" si="21"/>
        <v>27</v>
      </c>
      <c r="AJ93">
        <f t="shared" si="22"/>
        <v>4</v>
      </c>
    </row>
    <row r="94" spans="2:36" x14ac:dyDescent="0.2">
      <c r="B94" s="115">
        <f t="shared" si="25"/>
        <v>45717</v>
      </c>
      <c r="C94" s="107">
        <v>3.976508474228917</v>
      </c>
      <c r="D94" s="107">
        <v>4.2208683544303787</v>
      </c>
      <c r="E94" s="116">
        <f t="shared" si="23"/>
        <v>2025</v>
      </c>
      <c r="K94" s="18">
        <f t="shared" si="26"/>
        <v>3</v>
      </c>
      <c r="L94" s="139">
        <f t="shared" si="27"/>
        <v>2025</v>
      </c>
      <c r="M94" s="111">
        <f t="shared" si="24"/>
        <v>45717</v>
      </c>
      <c r="N94" s="112">
        <v>38.254660000000001</v>
      </c>
      <c r="O94" s="112">
        <v>37.520159999999997</v>
      </c>
      <c r="P94" s="112">
        <v>35.947400000000002</v>
      </c>
      <c r="Q94" s="113">
        <v>35.584429999999998</v>
      </c>
      <c r="S94" s="136">
        <v>36.668230376850602</v>
      </c>
      <c r="T94" s="138">
        <f t="shared" si="28"/>
        <v>1.023233453438954</v>
      </c>
      <c r="U94" s="138">
        <f t="shared" si="29"/>
        <v>0.97044306840793637</v>
      </c>
      <c r="AD94" s="320" t="str">
        <f t="shared" si="19"/>
        <v>Summer</v>
      </c>
      <c r="AE94">
        <f t="shared" si="20"/>
        <v>9</v>
      </c>
      <c r="AF94" s="318">
        <v>45536</v>
      </c>
      <c r="AG94" s="319">
        <v>384</v>
      </c>
      <c r="AH94" s="319">
        <v>336</v>
      </c>
      <c r="AI94">
        <f t="shared" si="21"/>
        <v>24</v>
      </c>
      <c r="AJ94">
        <f t="shared" si="22"/>
        <v>6</v>
      </c>
    </row>
    <row r="95" spans="2:36" x14ac:dyDescent="0.2">
      <c r="B95" s="115">
        <f t="shared" si="25"/>
        <v>45748</v>
      </c>
      <c r="C95" s="107">
        <v>3.6617221231683574</v>
      </c>
      <c r="D95" s="107">
        <v>3.496210126582278</v>
      </c>
      <c r="E95" s="116">
        <f t="shared" si="23"/>
        <v>2025</v>
      </c>
      <c r="K95" s="18">
        <f t="shared" si="26"/>
        <v>4</v>
      </c>
      <c r="L95" s="139">
        <f t="shared" si="27"/>
        <v>2025</v>
      </c>
      <c r="M95" s="111">
        <f t="shared" si="24"/>
        <v>45748</v>
      </c>
      <c r="N95" s="112">
        <v>30.901489999999999</v>
      </c>
      <c r="O95" s="112">
        <v>30.047260000000001</v>
      </c>
      <c r="P95" s="112">
        <v>27.078589999999998</v>
      </c>
      <c r="Q95" s="113">
        <v>27.404430000000001</v>
      </c>
      <c r="S95" s="136">
        <v>28.931398444444447</v>
      </c>
      <c r="T95" s="138">
        <f t="shared" si="28"/>
        <v>1.0385692229049448</v>
      </c>
      <c r="U95" s="138">
        <f t="shared" si="29"/>
        <v>0.9472210633932332</v>
      </c>
      <c r="AD95" s="320" t="str">
        <f t="shared" si="19"/>
        <v>Winter</v>
      </c>
      <c r="AE95">
        <f t="shared" si="20"/>
        <v>10</v>
      </c>
      <c r="AF95" s="318">
        <v>45566</v>
      </c>
      <c r="AG95" s="319">
        <v>432</v>
      </c>
      <c r="AH95" s="319">
        <v>312</v>
      </c>
      <c r="AI95">
        <f t="shared" si="21"/>
        <v>27</v>
      </c>
      <c r="AJ95">
        <f t="shared" si="22"/>
        <v>4</v>
      </c>
    </row>
    <row r="96" spans="2:36" x14ac:dyDescent="0.2">
      <c r="B96" s="115">
        <f t="shared" si="25"/>
        <v>45778</v>
      </c>
      <c r="C96" s="107">
        <v>3.6083355056870583</v>
      </c>
      <c r="D96" s="107">
        <v>3.5093746835443032</v>
      </c>
      <c r="E96" s="116">
        <f t="shared" si="23"/>
        <v>2025</v>
      </c>
      <c r="K96" s="18">
        <f t="shared" si="26"/>
        <v>5</v>
      </c>
      <c r="L96" s="139">
        <f t="shared" si="27"/>
        <v>2025</v>
      </c>
      <c r="M96" s="111">
        <f t="shared" si="24"/>
        <v>45778</v>
      </c>
      <c r="N96" s="112">
        <v>27.7499</v>
      </c>
      <c r="O96" s="112">
        <v>29.245290000000001</v>
      </c>
      <c r="P96" s="112">
        <v>22.343430000000001</v>
      </c>
      <c r="Q96" s="113">
        <v>26.82488</v>
      </c>
      <c r="S96" s="136">
        <v>28.17822752688172</v>
      </c>
      <c r="T96" s="138">
        <f t="shared" si="28"/>
        <v>1.0378683319275606</v>
      </c>
      <c r="U96" s="138">
        <f t="shared" si="29"/>
        <v>0.95197187170163056</v>
      </c>
      <c r="AD96" s="320" t="str">
        <f t="shared" si="19"/>
        <v>Winter</v>
      </c>
      <c r="AE96">
        <f t="shared" si="20"/>
        <v>11</v>
      </c>
      <c r="AF96" s="318">
        <v>45597</v>
      </c>
      <c r="AG96" s="319">
        <v>400</v>
      </c>
      <c r="AH96" s="319">
        <v>320</v>
      </c>
      <c r="AI96">
        <f t="shared" si="21"/>
        <v>25</v>
      </c>
      <c r="AJ96">
        <f t="shared" si="22"/>
        <v>5</v>
      </c>
    </row>
    <row r="97" spans="2:36" x14ac:dyDescent="0.2">
      <c r="B97" s="115">
        <f t="shared" si="25"/>
        <v>45809</v>
      </c>
      <c r="C97" s="107">
        <v>3.5924527308125835</v>
      </c>
      <c r="D97" s="107">
        <v>3.3776278481012652</v>
      </c>
      <c r="E97" s="116">
        <f t="shared" si="23"/>
        <v>2025</v>
      </c>
      <c r="K97" s="18">
        <f t="shared" si="26"/>
        <v>6</v>
      </c>
      <c r="L97" s="139">
        <f t="shared" si="27"/>
        <v>2025</v>
      </c>
      <c r="M97" s="111">
        <f t="shared" si="24"/>
        <v>45809</v>
      </c>
      <c r="N97" s="112">
        <v>30.001159999999999</v>
      </c>
      <c r="O97" s="112">
        <v>31.73939</v>
      </c>
      <c r="P97" s="112">
        <v>23.551349999999999</v>
      </c>
      <c r="Q97" s="113">
        <v>27.883669999999999</v>
      </c>
      <c r="S97" s="136">
        <v>30.025736666666667</v>
      </c>
      <c r="T97" s="138">
        <f t="shared" si="28"/>
        <v>1.0570728156433797</v>
      </c>
      <c r="U97" s="138">
        <f t="shared" si="29"/>
        <v>0.92865898044577533</v>
      </c>
      <c r="AD97" s="320" t="str">
        <f t="shared" si="19"/>
        <v>Winter</v>
      </c>
      <c r="AE97">
        <f t="shared" si="20"/>
        <v>12</v>
      </c>
      <c r="AF97" s="318">
        <v>45627</v>
      </c>
      <c r="AG97" s="319">
        <v>400</v>
      </c>
      <c r="AH97" s="319">
        <v>344</v>
      </c>
      <c r="AI97">
        <f t="shared" si="21"/>
        <v>25</v>
      </c>
      <c r="AJ97">
        <f t="shared" si="22"/>
        <v>6</v>
      </c>
    </row>
    <row r="98" spans="2:36" x14ac:dyDescent="0.2">
      <c r="B98" s="115">
        <f t="shared" si="25"/>
        <v>45839</v>
      </c>
      <c r="C98" s="107">
        <v>3.6083355056870583</v>
      </c>
      <c r="D98" s="107">
        <v>3.5358050632911389</v>
      </c>
      <c r="E98" s="116">
        <f t="shared" si="23"/>
        <v>2025</v>
      </c>
      <c r="K98" s="18">
        <f t="shared" si="26"/>
        <v>7</v>
      </c>
      <c r="L98" s="139">
        <f t="shared" si="27"/>
        <v>2025</v>
      </c>
      <c r="M98" s="111">
        <f t="shared" si="24"/>
        <v>45839</v>
      </c>
      <c r="N98" s="112">
        <v>44.81118</v>
      </c>
      <c r="O98" s="112">
        <v>45.251539999999999</v>
      </c>
      <c r="P98" s="112">
        <v>33.945819999999998</v>
      </c>
      <c r="Q98" s="113">
        <v>35.16836</v>
      </c>
      <c r="S98" s="136">
        <v>40.806267096774192</v>
      </c>
      <c r="T98" s="138">
        <f t="shared" si="28"/>
        <v>1.1089360340823042</v>
      </c>
      <c r="U98" s="138">
        <f t="shared" si="29"/>
        <v>0.86183722506634575</v>
      </c>
      <c r="AD98" s="320" t="str">
        <f t="shared" si="19"/>
        <v>Winter</v>
      </c>
      <c r="AE98">
        <f t="shared" si="20"/>
        <v>1</v>
      </c>
      <c r="AF98" s="318">
        <v>45658</v>
      </c>
      <c r="AG98" s="319">
        <v>416</v>
      </c>
      <c r="AH98" s="319">
        <v>328</v>
      </c>
      <c r="AI98">
        <f t="shared" si="21"/>
        <v>26</v>
      </c>
      <c r="AJ98">
        <f t="shared" si="22"/>
        <v>5</v>
      </c>
    </row>
    <row r="99" spans="2:36" x14ac:dyDescent="0.2">
      <c r="B99" s="115">
        <f t="shared" si="25"/>
        <v>45870</v>
      </c>
      <c r="C99" s="107">
        <v>3.6883641971513477</v>
      </c>
      <c r="D99" s="107">
        <v>3.627956962025316</v>
      </c>
      <c r="E99" s="116">
        <f t="shared" si="23"/>
        <v>2025</v>
      </c>
      <c r="K99" s="18">
        <f t="shared" si="26"/>
        <v>8</v>
      </c>
      <c r="L99" s="139">
        <f t="shared" si="27"/>
        <v>2025</v>
      </c>
      <c r="M99" s="111">
        <f t="shared" si="24"/>
        <v>45870</v>
      </c>
      <c r="N99" s="112">
        <v>49.030380000000001</v>
      </c>
      <c r="O99" s="112">
        <v>49.215580000000003</v>
      </c>
      <c r="P99" s="112">
        <v>36.974249999999998</v>
      </c>
      <c r="Q99" s="113">
        <v>37.452640000000002</v>
      </c>
      <c r="S99" s="136">
        <v>44.02976774193548</v>
      </c>
      <c r="T99" s="138">
        <f t="shared" si="28"/>
        <v>1.1177796868804597</v>
      </c>
      <c r="U99" s="138">
        <f t="shared" si="29"/>
        <v>0.85062088493210031</v>
      </c>
      <c r="AD99" s="320" t="str">
        <f t="shared" si="19"/>
        <v>Winter</v>
      </c>
      <c r="AE99">
        <f t="shared" si="20"/>
        <v>2</v>
      </c>
      <c r="AF99" s="318">
        <v>45689</v>
      </c>
      <c r="AG99" s="319">
        <v>384</v>
      </c>
      <c r="AH99" s="319">
        <v>288</v>
      </c>
      <c r="AI99">
        <f t="shared" si="21"/>
        <v>24</v>
      </c>
      <c r="AJ99">
        <f t="shared" si="22"/>
        <v>4</v>
      </c>
    </row>
    <row r="100" spans="2:36" x14ac:dyDescent="0.2">
      <c r="B100" s="115">
        <f t="shared" si="25"/>
        <v>45901</v>
      </c>
      <c r="C100" s="107">
        <v>3.6991234962598627</v>
      </c>
      <c r="D100" s="107">
        <v>3.548969620253164</v>
      </c>
      <c r="E100" s="116">
        <f t="shared" si="23"/>
        <v>2025</v>
      </c>
      <c r="K100" s="18">
        <f t="shared" si="26"/>
        <v>9</v>
      </c>
      <c r="L100" s="139">
        <f t="shared" si="27"/>
        <v>2025</v>
      </c>
      <c r="M100" s="111">
        <f t="shared" si="24"/>
        <v>45901</v>
      </c>
      <c r="N100" s="112">
        <v>44.774850000000001</v>
      </c>
      <c r="O100" s="112">
        <v>41.474600000000002</v>
      </c>
      <c r="P100" s="112">
        <v>35.113930000000003</v>
      </c>
      <c r="Q100" s="113">
        <v>33.251130000000003</v>
      </c>
      <c r="S100" s="136">
        <v>37.819724444444446</v>
      </c>
      <c r="T100" s="138">
        <f t="shared" si="28"/>
        <v>1.0966394020380665</v>
      </c>
      <c r="U100" s="138">
        <f t="shared" si="29"/>
        <v>0.87920074745241694</v>
      </c>
      <c r="AD100" s="320" t="str">
        <f t="shared" si="19"/>
        <v>Winter</v>
      </c>
      <c r="AE100">
        <f t="shared" si="20"/>
        <v>3</v>
      </c>
      <c r="AF100" s="318">
        <v>45717</v>
      </c>
      <c r="AG100" s="319">
        <v>416</v>
      </c>
      <c r="AH100" s="319">
        <v>328</v>
      </c>
      <c r="AI100">
        <f t="shared" si="21"/>
        <v>26</v>
      </c>
      <c r="AJ100">
        <f t="shared" si="22"/>
        <v>5</v>
      </c>
    </row>
    <row r="101" spans="2:36" x14ac:dyDescent="0.2">
      <c r="B101" s="115">
        <f t="shared" si="25"/>
        <v>45931</v>
      </c>
      <c r="C101" s="107">
        <v>3.7550718516241419</v>
      </c>
      <c r="D101" s="107">
        <v>3.6411215189873412</v>
      </c>
      <c r="E101" s="116">
        <f t="shared" si="23"/>
        <v>2025</v>
      </c>
      <c r="K101" s="18">
        <f t="shared" si="26"/>
        <v>10</v>
      </c>
      <c r="L101" s="139">
        <f t="shared" si="27"/>
        <v>2025</v>
      </c>
      <c r="M101" s="111">
        <f t="shared" si="24"/>
        <v>45931</v>
      </c>
      <c r="N101" s="112">
        <v>41.068420000000003</v>
      </c>
      <c r="O101" s="112">
        <v>39.378500000000003</v>
      </c>
      <c r="P101" s="112">
        <v>34.990020000000001</v>
      </c>
      <c r="Q101" s="113">
        <v>34.840739999999997</v>
      </c>
      <c r="S101" s="136">
        <v>37.475568387096779</v>
      </c>
      <c r="T101" s="138">
        <f t="shared" si="28"/>
        <v>1.0507779253204983</v>
      </c>
      <c r="U101" s="138">
        <f t="shared" si="29"/>
        <v>0.92969210340238684</v>
      </c>
      <c r="AD101" s="320" t="str">
        <f t="shared" si="19"/>
        <v>Winter</v>
      </c>
      <c r="AE101">
        <f t="shared" si="20"/>
        <v>4</v>
      </c>
      <c r="AF101" s="318">
        <v>45748</v>
      </c>
      <c r="AG101" s="319">
        <v>416</v>
      </c>
      <c r="AH101" s="319">
        <v>304</v>
      </c>
      <c r="AI101">
        <f t="shared" si="21"/>
        <v>26</v>
      </c>
      <c r="AJ101">
        <f t="shared" si="22"/>
        <v>4</v>
      </c>
    </row>
    <row r="102" spans="2:36" x14ac:dyDescent="0.2">
      <c r="B102" s="115">
        <f t="shared" si="25"/>
        <v>45962</v>
      </c>
      <c r="C102" s="107">
        <v>3.8437079823752436</v>
      </c>
      <c r="D102" s="107">
        <v>3.8651215189873414</v>
      </c>
      <c r="E102" s="116">
        <f t="shared" si="23"/>
        <v>2025</v>
      </c>
      <c r="K102" s="18">
        <f t="shared" si="26"/>
        <v>11</v>
      </c>
      <c r="L102" s="139">
        <f t="shared" si="27"/>
        <v>2025</v>
      </c>
      <c r="M102" s="111">
        <f t="shared" si="24"/>
        <v>45962</v>
      </c>
      <c r="N102" s="112">
        <v>41.786499999999997</v>
      </c>
      <c r="O102" s="112">
        <v>41.269849999999998</v>
      </c>
      <c r="P102" s="112">
        <v>36.866050000000001</v>
      </c>
      <c r="Q102" s="113">
        <v>36.802570000000003</v>
      </c>
      <c r="S102" s="136">
        <v>39.181814826629683</v>
      </c>
      <c r="T102" s="138">
        <f t="shared" si="28"/>
        <v>1.0532909254614515</v>
      </c>
      <c r="U102" s="138">
        <f t="shared" si="29"/>
        <v>0.93927680896974075</v>
      </c>
      <c r="AD102" s="320" t="str">
        <f t="shared" si="19"/>
        <v>Winter</v>
      </c>
      <c r="AE102">
        <f t="shared" si="20"/>
        <v>5</v>
      </c>
      <c r="AF102" s="318">
        <v>45778</v>
      </c>
      <c r="AG102" s="319">
        <v>416</v>
      </c>
      <c r="AH102" s="319">
        <v>328</v>
      </c>
      <c r="AI102">
        <f t="shared" si="21"/>
        <v>26</v>
      </c>
      <c r="AJ102">
        <f t="shared" si="22"/>
        <v>5</v>
      </c>
    </row>
    <row r="103" spans="2:36" x14ac:dyDescent="0.2">
      <c r="B103" s="117">
        <f t="shared" si="25"/>
        <v>45992</v>
      </c>
      <c r="C103" s="118">
        <v>3.9929035966799877</v>
      </c>
      <c r="D103" s="118">
        <v>4.1549443037974676</v>
      </c>
      <c r="E103" s="119">
        <f t="shared" si="23"/>
        <v>2025</v>
      </c>
      <c r="K103" s="18">
        <f t="shared" si="26"/>
        <v>12</v>
      </c>
      <c r="L103" s="139">
        <f t="shared" si="27"/>
        <v>2025</v>
      </c>
      <c r="M103" s="120">
        <f t="shared" si="24"/>
        <v>45992</v>
      </c>
      <c r="N103" s="121">
        <v>42.859740000000002</v>
      </c>
      <c r="O103" s="121">
        <v>42.077710000000003</v>
      </c>
      <c r="P103" s="121">
        <v>37.25705</v>
      </c>
      <c r="Q103" s="122">
        <v>37.814149999999998</v>
      </c>
      <c r="S103" s="136">
        <v>40.198076021505379</v>
      </c>
      <c r="T103" s="138">
        <f t="shared" si="28"/>
        <v>1.0467593020494077</v>
      </c>
      <c r="U103" s="138">
        <f t="shared" si="29"/>
        <v>0.9406955193519706</v>
      </c>
      <c r="AD103" s="320" t="str">
        <f t="shared" si="19"/>
        <v>Summer</v>
      </c>
      <c r="AE103">
        <f t="shared" si="20"/>
        <v>6</v>
      </c>
      <c r="AF103" s="318">
        <v>45809</v>
      </c>
      <c r="AG103" s="319">
        <v>400</v>
      </c>
      <c r="AH103" s="319">
        <v>320</v>
      </c>
      <c r="AI103">
        <f t="shared" si="21"/>
        <v>25</v>
      </c>
      <c r="AJ103">
        <f t="shared" si="22"/>
        <v>5</v>
      </c>
    </row>
    <row r="104" spans="2:36" x14ac:dyDescent="0.2">
      <c r="B104" s="106">
        <f t="shared" si="25"/>
        <v>46023</v>
      </c>
      <c r="C104" s="107">
        <v>4.0470075007685216</v>
      </c>
      <c r="D104" s="107">
        <v>4.2404126582278465</v>
      </c>
      <c r="E104" s="108">
        <f t="shared" si="23"/>
        <v>2026</v>
      </c>
      <c r="K104" s="18">
        <f t="shared" si="26"/>
        <v>1</v>
      </c>
      <c r="L104" s="139">
        <f t="shared" si="27"/>
        <v>2026</v>
      </c>
      <c r="M104" s="111">
        <f t="shared" si="24"/>
        <v>46023</v>
      </c>
      <c r="N104" s="123">
        <v>41.808280000000003</v>
      </c>
      <c r="O104" s="123">
        <v>41.613340000000001</v>
      </c>
      <c r="P104" s="123">
        <v>37.105319999999999</v>
      </c>
      <c r="Q104" s="124">
        <v>37.537269999999999</v>
      </c>
      <c r="S104" s="136">
        <v>39.816362903225809</v>
      </c>
      <c r="T104" s="138">
        <f t="shared" si="28"/>
        <v>1.0451316234268251</v>
      </c>
      <c r="U104" s="138">
        <f t="shared" si="29"/>
        <v>0.94275989223914869</v>
      </c>
      <c r="AD104" s="320" t="str">
        <f t="shared" si="19"/>
        <v>Summer</v>
      </c>
      <c r="AE104">
        <f t="shared" si="20"/>
        <v>7</v>
      </c>
      <c r="AF104" s="318">
        <v>45839</v>
      </c>
      <c r="AG104" s="319">
        <v>416</v>
      </c>
      <c r="AH104" s="319">
        <v>328</v>
      </c>
      <c r="AI104">
        <f t="shared" si="21"/>
        <v>26</v>
      </c>
      <c r="AJ104">
        <f t="shared" si="22"/>
        <v>5</v>
      </c>
    </row>
    <row r="105" spans="2:36" x14ac:dyDescent="0.2">
      <c r="B105" s="115">
        <f t="shared" si="25"/>
        <v>46054</v>
      </c>
      <c r="C105" s="107">
        <v>4.0947582949072654</v>
      </c>
      <c r="D105" s="107">
        <v>4.1729696202531636</v>
      </c>
      <c r="E105" s="116">
        <f t="shared" si="23"/>
        <v>2026</v>
      </c>
      <c r="K105" s="18">
        <f t="shared" si="26"/>
        <v>2</v>
      </c>
      <c r="L105" s="139">
        <f t="shared" si="27"/>
        <v>2026</v>
      </c>
      <c r="M105" s="111">
        <f t="shared" si="24"/>
        <v>46054</v>
      </c>
      <c r="N105" s="112">
        <v>43.239690000000003</v>
      </c>
      <c r="O105" s="112">
        <v>42.208739999999999</v>
      </c>
      <c r="P105" s="112">
        <v>38.921410000000002</v>
      </c>
      <c r="Q105" s="113">
        <v>38.395020000000002</v>
      </c>
      <c r="S105" s="136">
        <v>40.574288571428575</v>
      </c>
      <c r="T105" s="138">
        <f t="shared" si="28"/>
        <v>1.0402829349846534</v>
      </c>
      <c r="U105" s="138">
        <f t="shared" si="29"/>
        <v>0.9462894200204619</v>
      </c>
      <c r="AD105" s="320" t="str">
        <f t="shared" si="19"/>
        <v>Summer</v>
      </c>
      <c r="AE105">
        <f t="shared" si="20"/>
        <v>8</v>
      </c>
      <c r="AF105" s="318">
        <v>45870</v>
      </c>
      <c r="AG105" s="319">
        <v>416</v>
      </c>
      <c r="AH105" s="319">
        <v>328</v>
      </c>
      <c r="AI105">
        <f t="shared" si="21"/>
        <v>26</v>
      </c>
      <c r="AJ105">
        <f t="shared" si="22"/>
        <v>5</v>
      </c>
    </row>
    <row r="106" spans="2:36" x14ac:dyDescent="0.2">
      <c r="B106" s="115">
        <f t="shared" si="25"/>
        <v>46082</v>
      </c>
      <c r="C106" s="107">
        <v>3.8823389896505791</v>
      </c>
      <c r="D106" s="107">
        <v>4.0785898734177204</v>
      </c>
      <c r="E106" s="116">
        <f t="shared" si="23"/>
        <v>2026</v>
      </c>
      <c r="K106" s="18">
        <f t="shared" si="26"/>
        <v>3</v>
      </c>
      <c r="L106" s="139">
        <f t="shared" si="27"/>
        <v>2026</v>
      </c>
      <c r="M106" s="111">
        <f t="shared" si="24"/>
        <v>46082</v>
      </c>
      <c r="N106" s="112">
        <v>37.932279999999999</v>
      </c>
      <c r="O106" s="112">
        <v>37.074689999999997</v>
      </c>
      <c r="P106" s="112">
        <v>35.916890000000002</v>
      </c>
      <c r="Q106" s="113">
        <v>35.287039999999998</v>
      </c>
      <c r="S106" s="136">
        <v>36.28793152086137</v>
      </c>
      <c r="T106" s="138">
        <f t="shared" si="28"/>
        <v>1.0216809954760395</v>
      </c>
      <c r="U106" s="138">
        <f t="shared" si="29"/>
        <v>0.97241806080112403</v>
      </c>
      <c r="AD106" s="320" t="str">
        <f t="shared" si="19"/>
        <v>Summer</v>
      </c>
      <c r="AE106">
        <f t="shared" si="20"/>
        <v>9</v>
      </c>
      <c r="AF106" s="318">
        <v>45901</v>
      </c>
      <c r="AG106" s="319">
        <v>400</v>
      </c>
      <c r="AH106" s="319">
        <v>320</v>
      </c>
      <c r="AI106">
        <f t="shared" si="21"/>
        <v>25</v>
      </c>
      <c r="AJ106">
        <f t="shared" si="22"/>
        <v>5</v>
      </c>
    </row>
    <row r="107" spans="2:36" x14ac:dyDescent="0.2">
      <c r="B107" s="115">
        <f t="shared" si="25"/>
        <v>46113</v>
      </c>
      <c r="C107" s="107">
        <v>3.6281121221436625</v>
      </c>
      <c r="D107" s="107">
        <v>3.4580329113924044</v>
      </c>
      <c r="E107" s="116">
        <f t="shared" si="23"/>
        <v>2026</v>
      </c>
      <c r="K107" s="18">
        <f t="shared" si="26"/>
        <v>4</v>
      </c>
      <c r="L107" s="139">
        <f t="shared" si="27"/>
        <v>2026</v>
      </c>
      <c r="M107" s="111">
        <f t="shared" si="24"/>
        <v>46113</v>
      </c>
      <c r="N107" s="112">
        <v>30.649090000000001</v>
      </c>
      <c r="O107" s="112">
        <v>30.21058</v>
      </c>
      <c r="P107" s="112">
        <v>27.033799999999999</v>
      </c>
      <c r="Q107" s="113">
        <v>28.01773</v>
      </c>
      <c r="S107" s="136">
        <v>29.284710000000004</v>
      </c>
      <c r="T107" s="138">
        <f t="shared" si="28"/>
        <v>1.0316161573735918</v>
      </c>
      <c r="U107" s="138">
        <f t="shared" si="29"/>
        <v>0.95673578464666365</v>
      </c>
      <c r="AD107" s="320" t="str">
        <f t="shared" si="19"/>
        <v>Winter</v>
      </c>
      <c r="AE107">
        <f t="shared" si="20"/>
        <v>10</v>
      </c>
      <c r="AF107" s="318">
        <v>45931</v>
      </c>
      <c r="AG107" s="319">
        <v>432</v>
      </c>
      <c r="AH107" s="319">
        <v>312</v>
      </c>
      <c r="AI107">
        <f t="shared" si="21"/>
        <v>27</v>
      </c>
      <c r="AJ107">
        <f t="shared" si="22"/>
        <v>4</v>
      </c>
    </row>
    <row r="108" spans="2:36" x14ac:dyDescent="0.2">
      <c r="B108" s="115">
        <f t="shared" si="25"/>
        <v>46143</v>
      </c>
      <c r="C108" s="107">
        <v>3.5734958704785327</v>
      </c>
      <c r="D108" s="107">
        <v>3.5254759493670882</v>
      </c>
      <c r="E108" s="116">
        <f t="shared" si="23"/>
        <v>2026</v>
      </c>
      <c r="K108" s="18">
        <f t="shared" si="26"/>
        <v>5</v>
      </c>
      <c r="L108" s="139">
        <f t="shared" si="27"/>
        <v>2026</v>
      </c>
      <c r="M108" s="111">
        <f t="shared" si="24"/>
        <v>46143</v>
      </c>
      <c r="N108" s="112">
        <v>27.344709999999999</v>
      </c>
      <c r="O108" s="112">
        <v>30.22297</v>
      </c>
      <c r="P108" s="112">
        <v>22.433769999999999</v>
      </c>
      <c r="Q108" s="113">
        <v>27.540590000000002</v>
      </c>
      <c r="S108" s="136">
        <v>28.98272978494624</v>
      </c>
      <c r="T108" s="138">
        <f t="shared" si="28"/>
        <v>1.0427923878894922</v>
      </c>
      <c r="U108" s="138">
        <f t="shared" si="29"/>
        <v>0.95024140943082269</v>
      </c>
      <c r="AD108" s="320" t="str">
        <f t="shared" si="19"/>
        <v>Winter</v>
      </c>
      <c r="AE108">
        <f t="shared" si="20"/>
        <v>11</v>
      </c>
      <c r="AF108" s="318">
        <v>45962</v>
      </c>
      <c r="AG108" s="319">
        <v>384</v>
      </c>
      <c r="AH108" s="319">
        <v>336</v>
      </c>
      <c r="AI108">
        <f t="shared" si="21"/>
        <v>24</v>
      </c>
      <c r="AJ108">
        <f t="shared" si="22"/>
        <v>6</v>
      </c>
    </row>
    <row r="109" spans="2:36" x14ac:dyDescent="0.2">
      <c r="B109" s="115">
        <f t="shared" si="25"/>
        <v>46174</v>
      </c>
      <c r="C109" s="107">
        <v>3.5845625781330055</v>
      </c>
      <c r="D109" s="107">
        <v>3.4040582278481004</v>
      </c>
      <c r="E109" s="116">
        <f t="shared" si="23"/>
        <v>2026</v>
      </c>
      <c r="K109" s="18">
        <f t="shared" si="26"/>
        <v>6</v>
      </c>
      <c r="L109" s="139">
        <f t="shared" si="27"/>
        <v>2026</v>
      </c>
      <c r="M109" s="111">
        <f t="shared" si="24"/>
        <v>46174</v>
      </c>
      <c r="N109" s="112">
        <v>31.504259999999999</v>
      </c>
      <c r="O109" s="112">
        <v>33.4099</v>
      </c>
      <c r="P109" s="112">
        <v>24.53359</v>
      </c>
      <c r="Q109" s="113">
        <v>29.117560000000001</v>
      </c>
      <c r="S109" s="136">
        <v>31.597578666666667</v>
      </c>
      <c r="T109" s="138">
        <f t="shared" si="28"/>
        <v>1.0573563358272515</v>
      </c>
      <c r="U109" s="138">
        <f t="shared" si="29"/>
        <v>0.92151238255218204</v>
      </c>
      <c r="AD109" s="320" t="str">
        <f t="shared" si="19"/>
        <v>Winter</v>
      </c>
      <c r="AE109">
        <f t="shared" si="20"/>
        <v>12</v>
      </c>
      <c r="AF109" s="318">
        <v>45992</v>
      </c>
      <c r="AG109" s="319">
        <v>416</v>
      </c>
      <c r="AH109" s="319">
        <v>328</v>
      </c>
      <c r="AI109">
        <f t="shared" si="21"/>
        <v>26</v>
      </c>
      <c r="AJ109">
        <f t="shared" si="22"/>
        <v>5</v>
      </c>
    </row>
    <row r="110" spans="2:36" x14ac:dyDescent="0.2">
      <c r="B110" s="115">
        <f t="shared" si="25"/>
        <v>46204</v>
      </c>
      <c r="C110" s="107">
        <v>3.6281121221436625</v>
      </c>
      <c r="D110" s="107">
        <v>3.5929189873417715</v>
      </c>
      <c r="E110" s="116">
        <f t="shared" si="23"/>
        <v>2026</v>
      </c>
      <c r="K110" s="18">
        <f t="shared" si="26"/>
        <v>7</v>
      </c>
      <c r="L110" s="139">
        <f t="shared" si="27"/>
        <v>2026</v>
      </c>
      <c r="M110" s="111">
        <f t="shared" si="24"/>
        <v>46204</v>
      </c>
      <c r="N110" s="112">
        <v>46.828029999999998</v>
      </c>
      <c r="O110" s="112">
        <v>47.323050000000002</v>
      </c>
      <c r="P110" s="112">
        <v>35.75658</v>
      </c>
      <c r="Q110" s="113">
        <v>36.864040000000003</v>
      </c>
      <c r="S110" s="136">
        <v>42.712088602150537</v>
      </c>
      <c r="T110" s="138">
        <f t="shared" si="28"/>
        <v>1.1079544819453597</v>
      </c>
      <c r="U110" s="138">
        <f t="shared" si="29"/>
        <v>0.86308212045954391</v>
      </c>
      <c r="AD110" s="320" t="str">
        <f t="shared" si="19"/>
        <v>Winter</v>
      </c>
      <c r="AE110">
        <f t="shared" si="20"/>
        <v>1</v>
      </c>
      <c r="AF110" s="318">
        <v>46023</v>
      </c>
      <c r="AG110" s="319">
        <v>416</v>
      </c>
      <c r="AH110" s="319">
        <v>328</v>
      </c>
      <c r="AI110">
        <f t="shared" si="21"/>
        <v>26</v>
      </c>
      <c r="AJ110">
        <f t="shared" si="22"/>
        <v>5</v>
      </c>
    </row>
    <row r="111" spans="2:36" x14ac:dyDescent="0.2">
      <c r="B111" s="115">
        <f t="shared" si="25"/>
        <v>46235</v>
      </c>
      <c r="C111" s="107">
        <v>3.7373446254739218</v>
      </c>
      <c r="D111" s="107">
        <v>3.673830379746835</v>
      </c>
      <c r="E111" s="116">
        <f t="shared" si="23"/>
        <v>2026</v>
      </c>
      <c r="K111" s="18">
        <f t="shared" si="26"/>
        <v>8</v>
      </c>
      <c r="L111" s="139">
        <f t="shared" si="27"/>
        <v>2026</v>
      </c>
      <c r="M111" s="111">
        <f t="shared" si="24"/>
        <v>46235</v>
      </c>
      <c r="N111" s="112">
        <v>49.940330000000003</v>
      </c>
      <c r="O111" s="112">
        <v>50.034210000000002</v>
      </c>
      <c r="P111" s="112">
        <v>37.917549999999999</v>
      </c>
      <c r="Q111" s="113">
        <v>38.412239999999997</v>
      </c>
      <c r="S111" s="136">
        <v>44.910545806451616</v>
      </c>
      <c r="T111" s="138">
        <f t="shared" si="28"/>
        <v>1.1140859925334585</v>
      </c>
      <c r="U111" s="138">
        <f t="shared" si="29"/>
        <v>0.85530557044536948</v>
      </c>
      <c r="AD111" s="320" t="str">
        <f t="shared" si="19"/>
        <v>Winter</v>
      </c>
      <c r="AE111">
        <f t="shared" si="20"/>
        <v>2</v>
      </c>
      <c r="AF111" s="318">
        <v>46054</v>
      </c>
      <c r="AG111" s="319">
        <v>384</v>
      </c>
      <c r="AH111" s="319">
        <v>288</v>
      </c>
      <c r="AI111">
        <f t="shared" si="21"/>
        <v>24</v>
      </c>
      <c r="AJ111">
        <f t="shared" si="22"/>
        <v>4</v>
      </c>
    </row>
    <row r="112" spans="2:36" x14ac:dyDescent="0.2">
      <c r="B112" s="115">
        <f t="shared" si="25"/>
        <v>46266</v>
      </c>
      <c r="C112" s="107">
        <v>3.7347828875909417</v>
      </c>
      <c r="D112" s="107">
        <v>3.5658810126582274</v>
      </c>
      <c r="E112" s="116">
        <f t="shared" si="23"/>
        <v>2026</v>
      </c>
      <c r="K112" s="18">
        <f t="shared" si="26"/>
        <v>9</v>
      </c>
      <c r="L112" s="139">
        <f t="shared" si="27"/>
        <v>2026</v>
      </c>
      <c r="M112" s="111">
        <f t="shared" si="24"/>
        <v>46266</v>
      </c>
      <c r="N112" s="112">
        <v>45.198399999999999</v>
      </c>
      <c r="O112" s="112">
        <v>41.83155</v>
      </c>
      <c r="P112" s="112">
        <v>35.989429999999999</v>
      </c>
      <c r="Q112" s="113">
        <v>34.001510000000003</v>
      </c>
      <c r="S112" s="136">
        <v>38.351532222222225</v>
      </c>
      <c r="T112" s="138">
        <f t="shared" si="28"/>
        <v>1.0907399933231698</v>
      </c>
      <c r="U112" s="138">
        <f t="shared" si="29"/>
        <v>0.88657500834603775</v>
      </c>
      <c r="AD112" s="320" t="str">
        <f t="shared" si="19"/>
        <v>Winter</v>
      </c>
      <c r="AE112">
        <f t="shared" si="20"/>
        <v>3</v>
      </c>
      <c r="AF112" s="318">
        <v>46082</v>
      </c>
      <c r="AG112" s="319">
        <v>416</v>
      </c>
      <c r="AH112" s="319">
        <v>328</v>
      </c>
      <c r="AI112">
        <f t="shared" si="21"/>
        <v>26</v>
      </c>
      <c r="AJ112">
        <f t="shared" si="22"/>
        <v>5</v>
      </c>
    </row>
    <row r="113" spans="2:36" x14ac:dyDescent="0.2">
      <c r="B113" s="115">
        <f t="shared" si="25"/>
        <v>46296</v>
      </c>
      <c r="C113" s="107">
        <v>3.7782299620862796</v>
      </c>
      <c r="D113" s="107">
        <v>3.6333240506329112</v>
      </c>
      <c r="E113" s="116">
        <f t="shared" si="23"/>
        <v>2026</v>
      </c>
      <c r="K113" s="18">
        <f t="shared" si="26"/>
        <v>10</v>
      </c>
      <c r="L113" s="139">
        <f t="shared" si="27"/>
        <v>2026</v>
      </c>
      <c r="M113" s="111">
        <f t="shared" si="24"/>
        <v>46296</v>
      </c>
      <c r="N113" s="112">
        <v>42.443730000000002</v>
      </c>
      <c r="O113" s="112">
        <v>40.509039999999999</v>
      </c>
      <c r="P113" s="112">
        <v>36.347729999999999</v>
      </c>
      <c r="Q113" s="113">
        <v>36.12556</v>
      </c>
      <c r="S113" s="136">
        <v>38.670806451612904</v>
      </c>
      <c r="T113" s="138">
        <f t="shared" si="28"/>
        <v>1.047535433497804</v>
      </c>
      <c r="U113" s="138">
        <f t="shared" si="29"/>
        <v>0.93418170746457896</v>
      </c>
      <c r="AD113" s="320" t="str">
        <f t="shared" si="19"/>
        <v>Winter</v>
      </c>
      <c r="AE113">
        <f t="shared" si="20"/>
        <v>4</v>
      </c>
      <c r="AF113" s="318">
        <v>46113</v>
      </c>
      <c r="AG113" s="319">
        <v>416</v>
      </c>
      <c r="AH113" s="319">
        <v>304</v>
      </c>
      <c r="AI113">
        <f t="shared" si="21"/>
        <v>26</v>
      </c>
      <c r="AJ113">
        <f t="shared" si="22"/>
        <v>4</v>
      </c>
    </row>
    <row r="114" spans="2:36" x14ac:dyDescent="0.2">
      <c r="B114" s="115">
        <f t="shared" si="25"/>
        <v>46327</v>
      </c>
      <c r="C114" s="107">
        <v>3.8831587457731325</v>
      </c>
      <c r="D114" s="107">
        <v>3.8087164556962021</v>
      </c>
      <c r="E114" s="116">
        <f t="shared" si="23"/>
        <v>2026</v>
      </c>
      <c r="K114" s="18">
        <f t="shared" si="26"/>
        <v>11</v>
      </c>
      <c r="L114" s="139">
        <f t="shared" si="27"/>
        <v>2026</v>
      </c>
      <c r="M114" s="111">
        <f t="shared" si="24"/>
        <v>46327</v>
      </c>
      <c r="N114" s="112">
        <v>42.974589999999999</v>
      </c>
      <c r="O114" s="112">
        <v>41.536999999999999</v>
      </c>
      <c r="P114" s="112">
        <v>37.694899999999997</v>
      </c>
      <c r="Q114" s="113">
        <v>37.010770000000001</v>
      </c>
      <c r="S114" s="136">
        <v>39.421411220527048</v>
      </c>
      <c r="T114" s="138">
        <f t="shared" si="28"/>
        <v>1.0536659828750967</v>
      </c>
      <c r="U114" s="138">
        <f t="shared" si="29"/>
        <v>0.938849443845587</v>
      </c>
      <c r="AD114" s="320" t="str">
        <f t="shared" si="19"/>
        <v>Winter</v>
      </c>
      <c r="AE114">
        <f t="shared" si="20"/>
        <v>5</v>
      </c>
      <c r="AF114" s="318">
        <v>46143</v>
      </c>
      <c r="AG114" s="319">
        <v>400</v>
      </c>
      <c r="AH114" s="319">
        <v>344</v>
      </c>
      <c r="AI114">
        <f t="shared" si="21"/>
        <v>25</v>
      </c>
      <c r="AJ114">
        <f t="shared" si="22"/>
        <v>6</v>
      </c>
    </row>
    <row r="115" spans="2:36" x14ac:dyDescent="0.2">
      <c r="B115" s="117">
        <f t="shared" si="25"/>
        <v>46357</v>
      </c>
      <c r="C115" s="118">
        <v>4.0905570447791781</v>
      </c>
      <c r="D115" s="118">
        <v>4.0785898734177204</v>
      </c>
      <c r="E115" s="119">
        <f t="shared" si="23"/>
        <v>2026</v>
      </c>
      <c r="K115" s="18">
        <f t="shared" si="26"/>
        <v>12</v>
      </c>
      <c r="L115" s="139">
        <f t="shared" si="27"/>
        <v>2026</v>
      </c>
      <c r="M115" s="120">
        <f t="shared" si="24"/>
        <v>46357</v>
      </c>
      <c r="N115" s="121">
        <v>43.399749999999997</v>
      </c>
      <c r="O115" s="121">
        <v>42.06662</v>
      </c>
      <c r="P115" s="121">
        <v>37.797449999999998</v>
      </c>
      <c r="Q115" s="122">
        <v>37.928809999999999</v>
      </c>
      <c r="S115" s="136">
        <v>40.242424193548388</v>
      </c>
      <c r="T115" s="138">
        <f t="shared" si="28"/>
        <v>1.0453301669322412</v>
      </c>
      <c r="U115" s="138">
        <f t="shared" si="29"/>
        <v>0.94250808096398664</v>
      </c>
      <c r="AD115" s="320" t="str">
        <f t="shared" si="19"/>
        <v>Summer</v>
      </c>
      <c r="AE115">
        <f t="shared" si="20"/>
        <v>6</v>
      </c>
      <c r="AF115" s="318">
        <v>46174</v>
      </c>
      <c r="AG115" s="319">
        <v>416</v>
      </c>
      <c r="AH115" s="319">
        <v>304</v>
      </c>
      <c r="AI115">
        <f t="shared" si="21"/>
        <v>26</v>
      </c>
      <c r="AJ115">
        <f t="shared" si="22"/>
        <v>4</v>
      </c>
    </row>
    <row r="116" spans="2:36" x14ac:dyDescent="0.2">
      <c r="B116" s="106">
        <f t="shared" si="25"/>
        <v>46388</v>
      </c>
      <c r="C116" s="107">
        <v>4.1640276872630393</v>
      </c>
      <c r="D116" s="107">
        <v>4.2765645569620245</v>
      </c>
      <c r="E116" s="108">
        <f t="shared" si="23"/>
        <v>2027</v>
      </c>
      <c r="K116" s="18">
        <f t="shared" si="26"/>
        <v>1</v>
      </c>
      <c r="L116" s="139">
        <f t="shared" si="27"/>
        <v>2027</v>
      </c>
      <c r="M116" s="111">
        <f t="shared" si="24"/>
        <v>46388</v>
      </c>
      <c r="N116" s="123">
        <v>42.224690000000002</v>
      </c>
      <c r="O116" s="123">
        <v>41.804430000000004</v>
      </c>
      <c r="P116" s="123">
        <v>38.15184</v>
      </c>
      <c r="Q116" s="124">
        <v>38.415799999999997</v>
      </c>
      <c r="S116" s="136">
        <v>40.237644086021504</v>
      </c>
      <c r="T116" s="138">
        <f t="shared" si="28"/>
        <v>1.0389383113640791</v>
      </c>
      <c r="U116" s="138">
        <f t="shared" si="29"/>
        <v>0.95472289376269892</v>
      </c>
      <c r="AD116" s="320" t="str">
        <f t="shared" si="19"/>
        <v>Summer</v>
      </c>
      <c r="AE116">
        <f t="shared" si="20"/>
        <v>7</v>
      </c>
      <c r="AF116" s="318">
        <v>46204</v>
      </c>
      <c r="AG116" s="319">
        <v>416</v>
      </c>
      <c r="AH116" s="319">
        <v>328</v>
      </c>
      <c r="AI116">
        <f t="shared" si="21"/>
        <v>26</v>
      </c>
      <c r="AJ116">
        <f t="shared" si="22"/>
        <v>5</v>
      </c>
    </row>
    <row r="117" spans="2:36" x14ac:dyDescent="0.2">
      <c r="B117" s="115">
        <f t="shared" si="25"/>
        <v>46419</v>
      </c>
      <c r="C117" s="107">
        <v>4.1985599139256076</v>
      </c>
      <c r="D117" s="107">
        <v>4.2626911392405056</v>
      </c>
      <c r="E117" s="116">
        <f t="shared" si="23"/>
        <v>2027</v>
      </c>
      <c r="K117" s="18">
        <f t="shared" si="26"/>
        <v>2</v>
      </c>
      <c r="L117" s="139">
        <f t="shared" si="27"/>
        <v>2027</v>
      </c>
      <c r="M117" s="111">
        <f t="shared" si="24"/>
        <v>46419</v>
      </c>
      <c r="N117" s="112">
        <v>43.899090000000001</v>
      </c>
      <c r="O117" s="112">
        <v>42.998399999999997</v>
      </c>
      <c r="P117" s="112">
        <v>40.04889</v>
      </c>
      <c r="Q117" s="113">
        <v>39.389319999999998</v>
      </c>
      <c r="S117" s="136">
        <v>41.451651428571431</v>
      </c>
      <c r="T117" s="138">
        <f t="shared" si="28"/>
        <v>1.0373145222957858</v>
      </c>
      <c r="U117" s="138">
        <f t="shared" si="29"/>
        <v>0.95024730360561882</v>
      </c>
      <c r="AD117" s="320" t="str">
        <f t="shared" si="19"/>
        <v>Summer</v>
      </c>
      <c r="AE117">
        <f t="shared" si="20"/>
        <v>8</v>
      </c>
      <c r="AF117" s="318">
        <v>46235</v>
      </c>
      <c r="AG117" s="319">
        <v>416</v>
      </c>
      <c r="AH117" s="319">
        <v>328</v>
      </c>
      <c r="AI117">
        <f t="shared" si="21"/>
        <v>26</v>
      </c>
      <c r="AJ117">
        <f t="shared" si="22"/>
        <v>5</v>
      </c>
    </row>
    <row r="118" spans="2:36" x14ac:dyDescent="0.2">
      <c r="B118" s="115">
        <f t="shared" si="25"/>
        <v>46447</v>
      </c>
      <c r="C118" s="107">
        <v>4.0509013423506506</v>
      </c>
      <c r="D118" s="107">
        <v>4.2488177215189866</v>
      </c>
      <c r="E118" s="116">
        <f t="shared" si="23"/>
        <v>2027</v>
      </c>
      <c r="K118" s="18">
        <f t="shared" si="26"/>
        <v>3</v>
      </c>
      <c r="L118" s="139">
        <f t="shared" si="27"/>
        <v>2027</v>
      </c>
      <c r="M118" s="111">
        <f t="shared" si="24"/>
        <v>46447</v>
      </c>
      <c r="N118" s="112">
        <v>39.207410000000003</v>
      </c>
      <c r="O118" s="112">
        <v>38.274799999999999</v>
      </c>
      <c r="P118" s="112">
        <v>37.099519999999998</v>
      </c>
      <c r="Q118" s="113">
        <v>36.896430000000002</v>
      </c>
      <c r="S118" s="136">
        <v>37.697851049798118</v>
      </c>
      <c r="T118" s="138">
        <f t="shared" si="28"/>
        <v>1.0153045580619369</v>
      </c>
      <c r="U118" s="138">
        <f t="shared" si="29"/>
        <v>0.97874093542521945</v>
      </c>
      <c r="AD118" s="320" t="str">
        <f t="shared" si="19"/>
        <v>Summer</v>
      </c>
      <c r="AE118">
        <f t="shared" si="20"/>
        <v>9</v>
      </c>
      <c r="AF118" s="318">
        <v>46266</v>
      </c>
      <c r="AG118" s="319">
        <v>400</v>
      </c>
      <c r="AH118" s="319">
        <v>320</v>
      </c>
      <c r="AI118">
        <f t="shared" si="21"/>
        <v>25</v>
      </c>
      <c r="AJ118">
        <f t="shared" si="22"/>
        <v>5</v>
      </c>
    </row>
    <row r="119" spans="2:36" x14ac:dyDescent="0.2">
      <c r="B119" s="115">
        <f t="shared" si="25"/>
        <v>46478</v>
      </c>
      <c r="C119" s="107">
        <v>3.7761805717798955</v>
      </c>
      <c r="D119" s="107">
        <v>3.68193164556962</v>
      </c>
      <c r="E119" s="116">
        <f t="shared" si="23"/>
        <v>2027</v>
      </c>
      <c r="K119" s="18">
        <f t="shared" si="26"/>
        <v>4</v>
      </c>
      <c r="L119" s="139">
        <f t="shared" si="27"/>
        <v>2027</v>
      </c>
      <c r="M119" s="111">
        <f t="shared" si="24"/>
        <v>46478</v>
      </c>
      <c r="N119" s="112">
        <v>32.047870000000003</v>
      </c>
      <c r="O119" s="112">
        <v>31.794280000000001</v>
      </c>
      <c r="P119" s="112">
        <v>28.535540000000001</v>
      </c>
      <c r="Q119" s="113">
        <v>29.316579999999998</v>
      </c>
      <c r="S119" s="136">
        <v>30.748140000000003</v>
      </c>
      <c r="T119" s="138">
        <f t="shared" si="28"/>
        <v>1.034022870976911</v>
      </c>
      <c r="U119" s="138">
        <f t="shared" si="29"/>
        <v>0.95344238708422668</v>
      </c>
      <c r="AD119" s="320" t="str">
        <f t="shared" si="19"/>
        <v>Winter</v>
      </c>
      <c r="AE119">
        <f t="shared" si="20"/>
        <v>10</v>
      </c>
      <c r="AF119" s="318">
        <v>46296</v>
      </c>
      <c r="AG119" s="319">
        <v>432</v>
      </c>
      <c r="AH119" s="319">
        <v>312</v>
      </c>
      <c r="AI119">
        <f t="shared" si="21"/>
        <v>27</v>
      </c>
      <c r="AJ119">
        <f t="shared" si="22"/>
        <v>4</v>
      </c>
    </row>
    <row r="120" spans="2:36" x14ac:dyDescent="0.2">
      <c r="B120" s="115">
        <f t="shared" si="25"/>
        <v>46508</v>
      </c>
      <c r="C120" s="107">
        <v>3.7482063940977564</v>
      </c>
      <c r="D120" s="107">
        <v>3.7234506329113919</v>
      </c>
      <c r="E120" s="116">
        <f t="shared" si="23"/>
        <v>2027</v>
      </c>
      <c r="K120" s="18">
        <f t="shared" si="26"/>
        <v>5</v>
      </c>
      <c r="L120" s="139">
        <f t="shared" si="27"/>
        <v>2027</v>
      </c>
      <c r="M120" s="111">
        <f t="shared" si="24"/>
        <v>46508</v>
      </c>
      <c r="N120" s="112">
        <v>28.80742</v>
      </c>
      <c r="O120" s="112">
        <v>31.86777</v>
      </c>
      <c r="P120" s="112">
        <v>23.792549999999999</v>
      </c>
      <c r="Q120" s="113">
        <v>29.385950000000001</v>
      </c>
      <c r="S120" s="136">
        <v>30.720261827956993</v>
      </c>
      <c r="T120" s="138">
        <f t="shared" si="28"/>
        <v>1.0373534632767589</v>
      </c>
      <c r="U120" s="138">
        <f t="shared" si="29"/>
        <v>0.95656574037586162</v>
      </c>
      <c r="AD120" s="320" t="str">
        <f t="shared" si="19"/>
        <v>Winter</v>
      </c>
      <c r="AE120">
        <f t="shared" si="20"/>
        <v>11</v>
      </c>
      <c r="AF120" s="318">
        <v>46327</v>
      </c>
      <c r="AG120" s="319">
        <v>384</v>
      </c>
      <c r="AH120" s="319">
        <v>336</v>
      </c>
      <c r="AI120">
        <f t="shared" si="21"/>
        <v>24</v>
      </c>
      <c r="AJ120">
        <f t="shared" si="22"/>
        <v>6</v>
      </c>
    </row>
    <row r="121" spans="2:36" x14ac:dyDescent="0.2">
      <c r="B121" s="115">
        <f t="shared" si="25"/>
        <v>46539</v>
      </c>
      <c r="C121" s="107">
        <v>3.731708802131366</v>
      </c>
      <c r="D121" s="107">
        <v>3.5851215189873415</v>
      </c>
      <c r="E121" s="116">
        <f t="shared" si="23"/>
        <v>2027</v>
      </c>
      <c r="K121" s="18">
        <f t="shared" si="26"/>
        <v>6</v>
      </c>
      <c r="L121" s="139">
        <f t="shared" si="27"/>
        <v>2027</v>
      </c>
      <c r="M121" s="111">
        <f t="shared" si="24"/>
        <v>46539</v>
      </c>
      <c r="N121" s="112">
        <v>33.06561</v>
      </c>
      <c r="O121" s="112">
        <v>34.589790000000001</v>
      </c>
      <c r="P121" s="112">
        <v>25.85106</v>
      </c>
      <c r="Q121" s="113">
        <v>30.52928</v>
      </c>
      <c r="S121" s="136">
        <v>32.875352444444445</v>
      </c>
      <c r="T121" s="138">
        <f t="shared" si="28"/>
        <v>1.0521496327211322</v>
      </c>
      <c r="U121" s="138">
        <f t="shared" si="29"/>
        <v>0.92863734469739789</v>
      </c>
      <c r="AD121" s="320" t="str">
        <f t="shared" si="19"/>
        <v>Winter</v>
      </c>
      <c r="AE121">
        <f t="shared" si="20"/>
        <v>12</v>
      </c>
      <c r="AF121" s="318">
        <v>46357</v>
      </c>
      <c r="AG121" s="319">
        <v>416</v>
      </c>
      <c r="AH121" s="319">
        <v>328</v>
      </c>
      <c r="AI121">
        <f t="shared" si="21"/>
        <v>26</v>
      </c>
      <c r="AJ121">
        <f t="shared" si="22"/>
        <v>5</v>
      </c>
    </row>
    <row r="122" spans="2:36" x14ac:dyDescent="0.2">
      <c r="B122" s="115">
        <f t="shared" si="25"/>
        <v>46569</v>
      </c>
      <c r="C122" s="107">
        <v>3.7902188953786249</v>
      </c>
      <c r="D122" s="107">
        <v>3.7372227848101263</v>
      </c>
      <c r="E122" s="116">
        <f t="shared" si="23"/>
        <v>2027</v>
      </c>
      <c r="K122" s="18">
        <f t="shared" si="26"/>
        <v>7</v>
      </c>
      <c r="L122" s="139">
        <f t="shared" si="27"/>
        <v>2027</v>
      </c>
      <c r="M122" s="111">
        <f t="shared" si="24"/>
        <v>46569</v>
      </c>
      <c r="N122" s="112">
        <v>47.915619999999997</v>
      </c>
      <c r="O122" s="112">
        <v>48.274889999999999</v>
      </c>
      <c r="P122" s="112">
        <v>37.140619999999998</v>
      </c>
      <c r="Q122" s="113">
        <v>38.23874</v>
      </c>
      <c r="S122" s="136">
        <v>43.850350752688172</v>
      </c>
      <c r="T122" s="138">
        <f t="shared" si="28"/>
        <v>1.1009008861129939</v>
      </c>
      <c r="U122" s="138">
        <f t="shared" si="29"/>
        <v>0.87202814444205645</v>
      </c>
      <c r="AD122" s="320" t="str">
        <f t="shared" si="19"/>
        <v>Winter</v>
      </c>
      <c r="AE122">
        <f t="shared" si="20"/>
        <v>1</v>
      </c>
      <c r="AF122" s="318">
        <v>46388</v>
      </c>
      <c r="AG122" s="319">
        <v>400</v>
      </c>
      <c r="AH122" s="319">
        <v>344</v>
      </c>
      <c r="AI122">
        <f t="shared" si="21"/>
        <v>25</v>
      </c>
      <c r="AJ122">
        <f t="shared" si="22"/>
        <v>6</v>
      </c>
    </row>
    <row r="123" spans="2:36" x14ac:dyDescent="0.2">
      <c r="B123" s="115">
        <f t="shared" si="25"/>
        <v>46600</v>
      </c>
      <c r="C123" s="107">
        <v>3.8602055743416335</v>
      </c>
      <c r="D123" s="107">
        <v>3.8340329113924048</v>
      </c>
      <c r="E123" s="116">
        <f t="shared" si="23"/>
        <v>2027</v>
      </c>
      <c r="K123" s="18">
        <f t="shared" si="26"/>
        <v>8</v>
      </c>
      <c r="L123" s="139">
        <f t="shared" si="27"/>
        <v>2027</v>
      </c>
      <c r="M123" s="111">
        <f t="shared" si="24"/>
        <v>46600</v>
      </c>
      <c r="N123" s="112">
        <v>51.280059999999999</v>
      </c>
      <c r="O123" s="112">
        <v>51.111879999999999</v>
      </c>
      <c r="P123" s="112">
        <v>39.174349999999997</v>
      </c>
      <c r="Q123" s="113">
        <v>39.561369999999997</v>
      </c>
      <c r="S123" s="136">
        <v>46.01971967741936</v>
      </c>
      <c r="T123" s="138">
        <f t="shared" si="28"/>
        <v>1.1106517023196738</v>
      </c>
      <c r="U123" s="138">
        <f t="shared" si="29"/>
        <v>0.85966125559455975</v>
      </c>
      <c r="AD123" s="320" t="str">
        <f t="shared" si="19"/>
        <v>Winter</v>
      </c>
      <c r="AE123">
        <f t="shared" si="20"/>
        <v>2</v>
      </c>
      <c r="AF123" s="318">
        <v>46419</v>
      </c>
      <c r="AG123" s="319">
        <v>384</v>
      </c>
      <c r="AH123" s="319">
        <v>288</v>
      </c>
      <c r="AI123">
        <f t="shared" si="21"/>
        <v>24</v>
      </c>
      <c r="AJ123">
        <f t="shared" si="22"/>
        <v>4</v>
      </c>
    </row>
    <row r="124" spans="2:36" x14ac:dyDescent="0.2">
      <c r="B124" s="115">
        <f t="shared" si="25"/>
        <v>46631</v>
      </c>
      <c r="C124" s="107">
        <v>3.8576438364586534</v>
      </c>
      <c r="D124" s="107">
        <v>3.7095772151898729</v>
      </c>
      <c r="E124" s="116">
        <f t="shared" si="23"/>
        <v>2027</v>
      </c>
      <c r="K124" s="18">
        <f t="shared" si="26"/>
        <v>9</v>
      </c>
      <c r="L124" s="139">
        <f t="shared" si="27"/>
        <v>2027</v>
      </c>
      <c r="M124" s="111">
        <f t="shared" si="24"/>
        <v>46631</v>
      </c>
      <c r="N124" s="112">
        <v>46.065190000000001</v>
      </c>
      <c r="O124" s="112">
        <v>42.398269999999997</v>
      </c>
      <c r="P124" s="112">
        <v>37.046790000000001</v>
      </c>
      <c r="Q124" s="113">
        <v>35.097810000000003</v>
      </c>
      <c r="S124" s="136">
        <v>39.153621111111114</v>
      </c>
      <c r="T124" s="138">
        <f t="shared" si="28"/>
        <v>1.0828697013663471</v>
      </c>
      <c r="U124" s="138">
        <f t="shared" si="29"/>
        <v>0.89641287329206587</v>
      </c>
      <c r="AD124" s="320" t="str">
        <f t="shared" si="19"/>
        <v>Winter</v>
      </c>
      <c r="AE124">
        <f t="shared" si="20"/>
        <v>3</v>
      </c>
      <c r="AF124" s="318">
        <v>46447</v>
      </c>
      <c r="AG124" s="319">
        <v>432</v>
      </c>
      <c r="AH124" s="319">
        <v>312</v>
      </c>
      <c r="AI124">
        <f t="shared" si="21"/>
        <v>27</v>
      </c>
      <c r="AJ124">
        <f t="shared" si="22"/>
        <v>4</v>
      </c>
    </row>
    <row r="125" spans="2:36" x14ac:dyDescent="0.2">
      <c r="B125" s="115">
        <f t="shared" si="25"/>
        <v>46661</v>
      </c>
      <c r="C125" s="107">
        <v>3.9721022850701919</v>
      </c>
      <c r="D125" s="107">
        <v>3.806387341772151</v>
      </c>
      <c r="E125" s="116">
        <f t="shared" si="23"/>
        <v>2027</v>
      </c>
      <c r="K125" s="18">
        <f t="shared" si="26"/>
        <v>10</v>
      </c>
      <c r="L125" s="139">
        <f t="shared" si="27"/>
        <v>2027</v>
      </c>
      <c r="M125" s="111">
        <f t="shared" si="24"/>
        <v>46661</v>
      </c>
      <c r="N125" s="112">
        <v>43.414380000000001</v>
      </c>
      <c r="O125" s="112">
        <v>41.716790000000003</v>
      </c>
      <c r="P125" s="112">
        <v>37.454039999999999</v>
      </c>
      <c r="Q125" s="113">
        <v>37.270389999999999</v>
      </c>
      <c r="S125" s="136">
        <v>39.756549139784951</v>
      </c>
      <c r="T125" s="138">
        <f t="shared" si="28"/>
        <v>1.0493061118892084</v>
      </c>
      <c r="U125" s="138">
        <f t="shared" si="29"/>
        <v>0.93746541906734515</v>
      </c>
      <c r="AD125" s="320" t="str">
        <f t="shared" si="19"/>
        <v>Winter</v>
      </c>
      <c r="AE125">
        <f t="shared" si="20"/>
        <v>4</v>
      </c>
      <c r="AF125" s="318">
        <v>46478</v>
      </c>
      <c r="AG125" s="319">
        <v>416</v>
      </c>
      <c r="AH125" s="319">
        <v>304</v>
      </c>
      <c r="AI125">
        <f t="shared" si="21"/>
        <v>26</v>
      </c>
      <c r="AJ125">
        <f t="shared" si="22"/>
        <v>4</v>
      </c>
    </row>
    <row r="126" spans="2:36" x14ac:dyDescent="0.2">
      <c r="B126" s="115">
        <f t="shared" si="25"/>
        <v>46692</v>
      </c>
      <c r="C126" s="107">
        <v>4.0521309765344808</v>
      </c>
      <c r="D126" s="107">
        <v>3.9584886075949361</v>
      </c>
      <c r="E126" s="116">
        <f t="shared" si="23"/>
        <v>2027</v>
      </c>
      <c r="K126" s="18">
        <f t="shared" si="26"/>
        <v>11</v>
      </c>
      <c r="L126" s="139">
        <f t="shared" si="27"/>
        <v>2027</v>
      </c>
      <c r="M126" s="111">
        <f t="shared" si="24"/>
        <v>46692</v>
      </c>
      <c r="N126" s="112">
        <v>44.084339999999997</v>
      </c>
      <c r="O126" s="112">
        <v>42.806150000000002</v>
      </c>
      <c r="P126" s="112">
        <v>38.383940000000003</v>
      </c>
      <c r="Q126" s="113">
        <v>37.827559999999998</v>
      </c>
      <c r="S126" s="136">
        <v>40.589607156726771</v>
      </c>
      <c r="T126" s="138">
        <f t="shared" si="28"/>
        <v>1.0546086301036273</v>
      </c>
      <c r="U126" s="138">
        <f t="shared" si="29"/>
        <v>0.93195186279921838</v>
      </c>
      <c r="AD126" s="320" t="str">
        <f t="shared" si="19"/>
        <v>Winter</v>
      </c>
      <c r="AE126">
        <f t="shared" si="20"/>
        <v>5</v>
      </c>
      <c r="AF126" s="318">
        <v>46508</v>
      </c>
      <c r="AG126" s="319">
        <v>400</v>
      </c>
      <c r="AH126" s="319">
        <v>344</v>
      </c>
      <c r="AI126">
        <f t="shared" si="21"/>
        <v>25</v>
      </c>
      <c r="AJ126">
        <f t="shared" si="22"/>
        <v>6</v>
      </c>
    </row>
    <row r="127" spans="2:36" x14ac:dyDescent="0.2">
      <c r="B127" s="117">
        <f t="shared" si="25"/>
        <v>46722</v>
      </c>
      <c r="C127" s="118">
        <v>4.2365761041090275</v>
      </c>
      <c r="D127" s="118">
        <v>4.19352658227848</v>
      </c>
      <c r="E127" s="119">
        <f t="shared" si="23"/>
        <v>2027</v>
      </c>
      <c r="K127" s="18">
        <f t="shared" si="26"/>
        <v>12</v>
      </c>
      <c r="L127" s="139">
        <f t="shared" si="27"/>
        <v>2027</v>
      </c>
      <c r="M127" s="120">
        <f t="shared" si="24"/>
        <v>46722</v>
      </c>
      <c r="N127" s="121">
        <v>44.34064</v>
      </c>
      <c r="O127" s="121">
        <v>42.329590000000003</v>
      </c>
      <c r="P127" s="121">
        <v>38.578960000000002</v>
      </c>
      <c r="Q127" s="122">
        <v>38.78651</v>
      </c>
      <c r="S127" s="136">
        <v>40.767586989247313</v>
      </c>
      <c r="T127" s="138">
        <f t="shared" si="28"/>
        <v>1.0383148262163437</v>
      </c>
      <c r="U127" s="138">
        <f t="shared" si="29"/>
        <v>0.95140558626219807</v>
      </c>
      <c r="AD127" s="320" t="str">
        <f t="shared" si="19"/>
        <v>Summer</v>
      </c>
      <c r="AE127">
        <f t="shared" si="20"/>
        <v>6</v>
      </c>
      <c r="AF127" s="318">
        <v>46539</v>
      </c>
      <c r="AG127" s="319">
        <v>416</v>
      </c>
      <c r="AH127" s="319">
        <v>304</v>
      </c>
      <c r="AI127">
        <f t="shared" si="21"/>
        <v>26</v>
      </c>
      <c r="AJ127">
        <f t="shared" si="22"/>
        <v>4</v>
      </c>
    </row>
    <row r="128" spans="2:36" x14ac:dyDescent="0.2">
      <c r="B128" s="106">
        <f t="shared" si="25"/>
        <v>46753</v>
      </c>
      <c r="C128" s="107">
        <v>4.3131208320524648</v>
      </c>
      <c r="D128" s="107">
        <v>4.3685139240506317</v>
      </c>
      <c r="E128" s="108">
        <f t="shared" si="23"/>
        <v>2028</v>
      </c>
      <c r="K128" s="18">
        <f t="shared" si="26"/>
        <v>1</v>
      </c>
      <c r="L128" s="139">
        <f t="shared" si="27"/>
        <v>2028</v>
      </c>
      <c r="M128" s="111">
        <f t="shared" si="24"/>
        <v>46753</v>
      </c>
      <c r="N128" s="123">
        <v>43.564190000000004</v>
      </c>
      <c r="O128" s="123">
        <v>42.903489999999998</v>
      </c>
      <c r="P128" s="123">
        <v>39.335990000000002</v>
      </c>
      <c r="Q128" s="124">
        <v>39.528759999999998</v>
      </c>
      <c r="S128" s="136">
        <v>41.343130967741935</v>
      </c>
      <c r="T128" s="138">
        <f t="shared" si="28"/>
        <v>1.0377416754787037</v>
      </c>
      <c r="U128" s="138">
        <f t="shared" si="29"/>
        <v>0.95611433083871655</v>
      </c>
      <c r="AD128" s="320" t="str">
        <f t="shared" si="19"/>
        <v>Summer</v>
      </c>
      <c r="AE128">
        <f t="shared" si="20"/>
        <v>7</v>
      </c>
      <c r="AF128" s="318">
        <v>46569</v>
      </c>
      <c r="AG128" s="319">
        <v>416</v>
      </c>
      <c r="AH128" s="319">
        <v>328</v>
      </c>
      <c r="AI128">
        <f t="shared" si="21"/>
        <v>26</v>
      </c>
      <c r="AJ128">
        <f t="shared" si="22"/>
        <v>5</v>
      </c>
    </row>
    <row r="129" spans="2:36" x14ac:dyDescent="0.2">
      <c r="B129" s="115">
        <f t="shared" si="25"/>
        <v>46784</v>
      </c>
      <c r="C129" s="107">
        <v>4.3336147351163037</v>
      </c>
      <c r="D129" s="107">
        <v>4.4676531645569604</v>
      </c>
      <c r="E129" s="116">
        <f t="shared" si="23"/>
        <v>2028</v>
      </c>
      <c r="K129" s="18">
        <f t="shared" si="26"/>
        <v>2</v>
      </c>
      <c r="L129" s="139">
        <f t="shared" si="27"/>
        <v>2028</v>
      </c>
      <c r="M129" s="111">
        <f t="shared" si="24"/>
        <v>46784</v>
      </c>
      <c r="N129" s="112">
        <v>46.05274</v>
      </c>
      <c r="O129" s="112">
        <v>44.579070000000002</v>
      </c>
      <c r="P129" s="112">
        <v>41.807589999999998</v>
      </c>
      <c r="Q129" s="113">
        <v>41.083449999999999</v>
      </c>
      <c r="S129" s="136">
        <v>43.092427011494252</v>
      </c>
      <c r="T129" s="138">
        <f t="shared" si="28"/>
        <v>1.0344989384819103</v>
      </c>
      <c r="U129" s="138">
        <f t="shared" si="29"/>
        <v>0.95337981286228346</v>
      </c>
      <c r="AD129" s="320" t="str">
        <f t="shared" si="19"/>
        <v>Summer</v>
      </c>
      <c r="AE129">
        <f t="shared" si="20"/>
        <v>8</v>
      </c>
      <c r="AF129" s="318">
        <v>46600</v>
      </c>
      <c r="AG129" s="319">
        <v>416</v>
      </c>
      <c r="AH129" s="319">
        <v>328</v>
      </c>
      <c r="AI129">
        <f t="shared" si="21"/>
        <v>26</v>
      </c>
      <c r="AJ129">
        <f t="shared" si="22"/>
        <v>5</v>
      </c>
    </row>
    <row r="130" spans="2:36" x14ac:dyDescent="0.2">
      <c r="B130" s="115">
        <f t="shared" si="25"/>
        <v>46813</v>
      </c>
      <c r="C130" s="107">
        <v>4.1537807357311198</v>
      </c>
      <c r="D130" s="107">
        <v>4.4392987341772141</v>
      </c>
      <c r="E130" s="116">
        <f t="shared" si="23"/>
        <v>2028</v>
      </c>
      <c r="K130" s="18">
        <f t="shared" si="26"/>
        <v>3</v>
      </c>
      <c r="L130" s="139">
        <f t="shared" si="27"/>
        <v>2028</v>
      </c>
      <c r="M130" s="111">
        <f t="shared" si="24"/>
        <v>46813</v>
      </c>
      <c r="N130" s="112">
        <v>40.681609999999999</v>
      </c>
      <c r="O130" s="112">
        <v>39.581409999999998</v>
      </c>
      <c r="P130" s="112">
        <v>38.347529999999999</v>
      </c>
      <c r="Q130" s="113">
        <v>37.959130000000002</v>
      </c>
      <c r="S130" s="136">
        <v>38.902366823687757</v>
      </c>
      <c r="T130" s="138">
        <f t="shared" si="28"/>
        <v>1.0174550607522104</v>
      </c>
      <c r="U130" s="138">
        <f t="shared" si="29"/>
        <v>0.97575374197763676</v>
      </c>
      <c r="AD130" s="320" t="str">
        <f t="shared" ref="AD130:AD193" si="30">IF(AND(AE130&gt;=6,AE130&lt;=9),"Summer","Winter")</f>
        <v>Summer</v>
      </c>
      <c r="AE130">
        <f t="shared" ref="AE130:AE193" si="31">MONTH(AF130)</f>
        <v>9</v>
      </c>
      <c r="AF130" s="318">
        <v>46631</v>
      </c>
      <c r="AG130" s="319">
        <v>400</v>
      </c>
      <c r="AH130" s="319">
        <v>320</v>
      </c>
      <c r="AI130">
        <f t="shared" ref="AI130:AI193" si="32">AG130/16</f>
        <v>25</v>
      </c>
      <c r="AJ130">
        <f t="shared" ref="AJ130:AJ193" si="33">EDATE(AF130,1)-AF130-AI130</f>
        <v>5</v>
      </c>
    </row>
    <row r="131" spans="2:36" x14ac:dyDescent="0.2">
      <c r="B131" s="115">
        <f t="shared" si="25"/>
        <v>46844</v>
      </c>
      <c r="C131" s="107">
        <v>3.9581664309867817</v>
      </c>
      <c r="D131" s="107">
        <v>3.8865898734177211</v>
      </c>
      <c r="E131" s="116">
        <f t="shared" si="23"/>
        <v>2028</v>
      </c>
      <c r="K131" s="18">
        <f t="shared" si="26"/>
        <v>4</v>
      </c>
      <c r="L131" s="139">
        <f t="shared" si="27"/>
        <v>2028</v>
      </c>
      <c r="M131" s="111">
        <f t="shared" si="24"/>
        <v>46844</v>
      </c>
      <c r="N131" s="112">
        <v>34.516449999999999</v>
      </c>
      <c r="O131" s="112">
        <v>33.334620000000001</v>
      </c>
      <c r="P131" s="112">
        <v>30.495180000000001</v>
      </c>
      <c r="Q131" s="113">
        <v>30.865629999999999</v>
      </c>
      <c r="S131" s="136">
        <v>32.237291111111112</v>
      </c>
      <c r="T131" s="138">
        <f t="shared" si="28"/>
        <v>1.0340391159141369</v>
      </c>
      <c r="U131" s="138">
        <f t="shared" si="29"/>
        <v>0.95745110510732867</v>
      </c>
      <c r="AD131" s="320" t="str">
        <f t="shared" si="30"/>
        <v>Winter</v>
      </c>
      <c r="AE131">
        <f t="shared" si="31"/>
        <v>10</v>
      </c>
      <c r="AF131" s="318">
        <v>46661</v>
      </c>
      <c r="AG131" s="319">
        <v>416</v>
      </c>
      <c r="AH131" s="319">
        <v>328</v>
      </c>
      <c r="AI131">
        <f t="shared" si="32"/>
        <v>26</v>
      </c>
      <c r="AJ131">
        <f t="shared" si="33"/>
        <v>5</v>
      </c>
    </row>
    <row r="132" spans="2:36" x14ac:dyDescent="0.2">
      <c r="B132" s="115">
        <f t="shared" si="25"/>
        <v>46874</v>
      </c>
      <c r="C132" s="107">
        <v>3.9151292345527207</v>
      </c>
      <c r="D132" s="107">
        <v>3.9716531645569617</v>
      </c>
      <c r="E132" s="116">
        <f t="shared" si="23"/>
        <v>2028</v>
      </c>
      <c r="K132" s="18">
        <f t="shared" si="26"/>
        <v>5</v>
      </c>
      <c r="L132" s="139">
        <f t="shared" si="27"/>
        <v>2028</v>
      </c>
      <c r="M132" s="111">
        <f t="shared" si="24"/>
        <v>46874</v>
      </c>
      <c r="N132" s="112">
        <v>32.105989999999998</v>
      </c>
      <c r="O132" s="112">
        <v>33.854770000000002</v>
      </c>
      <c r="P132" s="112">
        <v>26.271360000000001</v>
      </c>
      <c r="Q132" s="113">
        <v>31.164300000000001</v>
      </c>
      <c r="S132" s="136">
        <v>32.6686488172043</v>
      </c>
      <c r="T132" s="138">
        <f t="shared" si="28"/>
        <v>1.0363076290492632</v>
      </c>
      <c r="U132" s="138">
        <f t="shared" si="29"/>
        <v>0.95395129974239823</v>
      </c>
      <c r="AD132" s="320" t="str">
        <f t="shared" si="30"/>
        <v>Winter</v>
      </c>
      <c r="AE132">
        <f t="shared" si="31"/>
        <v>11</v>
      </c>
      <c r="AF132" s="318">
        <v>46692</v>
      </c>
      <c r="AG132" s="319">
        <v>400</v>
      </c>
      <c r="AH132" s="319">
        <v>320</v>
      </c>
      <c r="AI132">
        <f t="shared" si="32"/>
        <v>25</v>
      </c>
      <c r="AJ132">
        <f t="shared" si="33"/>
        <v>5</v>
      </c>
    </row>
    <row r="133" spans="2:36" x14ac:dyDescent="0.2">
      <c r="B133" s="115">
        <f t="shared" si="25"/>
        <v>46905</v>
      </c>
      <c r="C133" s="107">
        <v>3.8982217645250539</v>
      </c>
      <c r="D133" s="107">
        <v>3.8157037974683541</v>
      </c>
      <c r="E133" s="116">
        <f t="shared" si="23"/>
        <v>2028</v>
      </c>
      <c r="K133" s="18">
        <f t="shared" si="26"/>
        <v>6</v>
      </c>
      <c r="L133" s="139">
        <f t="shared" si="27"/>
        <v>2028</v>
      </c>
      <c r="M133" s="111">
        <f t="shared" si="24"/>
        <v>46905</v>
      </c>
      <c r="N133" s="112">
        <v>35.426009999999998</v>
      </c>
      <c r="O133" s="112">
        <v>36.423929999999999</v>
      </c>
      <c r="P133" s="112">
        <v>27.81183</v>
      </c>
      <c r="Q133" s="113">
        <v>32.127490000000002</v>
      </c>
      <c r="S133" s="136">
        <v>34.609877555555556</v>
      </c>
      <c r="T133" s="138">
        <f t="shared" si="28"/>
        <v>1.0524142982457114</v>
      </c>
      <c r="U133" s="138">
        <f t="shared" si="29"/>
        <v>0.928275170821658</v>
      </c>
      <c r="AD133" s="320" t="str">
        <f t="shared" si="30"/>
        <v>Winter</v>
      </c>
      <c r="AE133">
        <f t="shared" si="31"/>
        <v>12</v>
      </c>
      <c r="AF133" s="318">
        <v>46722</v>
      </c>
      <c r="AG133" s="319">
        <v>416</v>
      </c>
      <c r="AH133" s="319">
        <v>328</v>
      </c>
      <c r="AI133">
        <f t="shared" si="32"/>
        <v>26</v>
      </c>
      <c r="AJ133">
        <f t="shared" si="33"/>
        <v>5</v>
      </c>
    </row>
    <row r="134" spans="2:36" x14ac:dyDescent="0.2">
      <c r="B134" s="115">
        <f t="shared" si="25"/>
        <v>46935</v>
      </c>
      <c r="C134" s="107">
        <v>3.9725121631314688</v>
      </c>
      <c r="D134" s="107">
        <v>3.9858303797468349</v>
      </c>
      <c r="E134" s="116">
        <f t="shared" si="23"/>
        <v>2028</v>
      </c>
      <c r="K134" s="18">
        <f t="shared" si="26"/>
        <v>7</v>
      </c>
      <c r="L134" s="139">
        <f t="shared" si="27"/>
        <v>2028</v>
      </c>
      <c r="M134" s="111">
        <f t="shared" si="24"/>
        <v>46935</v>
      </c>
      <c r="N134" s="112">
        <v>50.502630000000003</v>
      </c>
      <c r="O134" s="112">
        <v>50.63223</v>
      </c>
      <c r="P134" s="112">
        <v>39.60698</v>
      </c>
      <c r="Q134" s="113">
        <v>40.461150000000004</v>
      </c>
      <c r="S134" s="136">
        <v>45.929472580645154</v>
      </c>
      <c r="T134" s="138">
        <f t="shared" si="28"/>
        <v>1.1023908430713529</v>
      </c>
      <c r="U134" s="138">
        <f t="shared" si="29"/>
        <v>0.88094088014959004</v>
      </c>
      <c r="AD134" s="320" t="str">
        <f t="shared" si="30"/>
        <v>Winter</v>
      </c>
      <c r="AE134">
        <f t="shared" si="31"/>
        <v>1</v>
      </c>
      <c r="AF134" s="318">
        <v>46753</v>
      </c>
      <c r="AG134" s="319">
        <v>400</v>
      </c>
      <c r="AH134" s="319">
        <v>344</v>
      </c>
      <c r="AI134">
        <f t="shared" si="32"/>
        <v>25</v>
      </c>
      <c r="AJ134">
        <f t="shared" si="33"/>
        <v>6</v>
      </c>
    </row>
    <row r="135" spans="2:36" x14ac:dyDescent="0.2">
      <c r="B135" s="115">
        <f t="shared" si="25"/>
        <v>46966</v>
      </c>
      <c r="C135" s="107">
        <v>4.072829818628958</v>
      </c>
      <c r="D135" s="107">
        <v>4.0991468354430367</v>
      </c>
      <c r="E135" s="116">
        <f t="shared" si="23"/>
        <v>2028</v>
      </c>
      <c r="K135" s="18">
        <f t="shared" si="26"/>
        <v>8</v>
      </c>
      <c r="L135" s="139">
        <f t="shared" si="27"/>
        <v>2028</v>
      </c>
      <c r="M135" s="111">
        <f t="shared" si="24"/>
        <v>46966</v>
      </c>
      <c r="N135" s="112">
        <v>53.675190000000001</v>
      </c>
      <c r="O135" s="112">
        <v>53.328249999999997</v>
      </c>
      <c r="P135" s="112">
        <v>41.134999999999998</v>
      </c>
      <c r="Q135" s="113">
        <v>41.466810000000002</v>
      </c>
      <c r="S135" s="136">
        <v>48.354097741935483</v>
      </c>
      <c r="T135" s="138">
        <f t="shared" si="28"/>
        <v>1.1028693014728852</v>
      </c>
      <c r="U135" s="138">
        <f t="shared" si="29"/>
        <v>0.85756558257600524</v>
      </c>
      <c r="AD135" s="320" t="str">
        <f t="shared" si="30"/>
        <v>Winter</v>
      </c>
      <c r="AE135">
        <f t="shared" si="31"/>
        <v>2</v>
      </c>
      <c r="AF135" s="318">
        <v>46784</v>
      </c>
      <c r="AG135" s="319">
        <v>400</v>
      </c>
      <c r="AH135" s="319">
        <v>296</v>
      </c>
      <c r="AI135">
        <f t="shared" si="32"/>
        <v>25</v>
      </c>
      <c r="AJ135">
        <f t="shared" si="33"/>
        <v>4</v>
      </c>
    </row>
    <row r="136" spans="2:36" x14ac:dyDescent="0.2">
      <c r="B136" s="115">
        <f t="shared" si="25"/>
        <v>46997</v>
      </c>
      <c r="C136" s="107">
        <v>4.0846138128906651</v>
      </c>
      <c r="D136" s="107">
        <v>3.9716531645569617</v>
      </c>
      <c r="E136" s="116">
        <f t="shared" ref="E136:E199" si="34">YEAR(B136)</f>
        <v>2028</v>
      </c>
      <c r="K136" s="18">
        <f t="shared" si="26"/>
        <v>9</v>
      </c>
      <c r="L136" s="139">
        <f t="shared" si="27"/>
        <v>2028</v>
      </c>
      <c r="M136" s="111">
        <f t="shared" ref="M136:M199" si="35">B136</f>
        <v>46997</v>
      </c>
      <c r="N136" s="112">
        <v>47.84064</v>
      </c>
      <c r="O136" s="112">
        <v>43.781739999999999</v>
      </c>
      <c r="P136" s="112">
        <v>39.511699999999998</v>
      </c>
      <c r="Q136" s="113">
        <v>37.192970000000003</v>
      </c>
      <c r="S136" s="136">
        <v>40.853397777777779</v>
      </c>
      <c r="T136" s="138">
        <f t="shared" si="28"/>
        <v>1.0716792820550924</v>
      </c>
      <c r="U136" s="138">
        <f t="shared" si="29"/>
        <v>0.91040089743113439</v>
      </c>
      <c r="AD136" s="320" t="str">
        <f t="shared" si="30"/>
        <v>Winter</v>
      </c>
      <c r="AE136">
        <f t="shared" si="31"/>
        <v>3</v>
      </c>
      <c r="AF136" s="318">
        <v>46813</v>
      </c>
      <c r="AG136" s="319">
        <v>432</v>
      </c>
      <c r="AH136" s="319">
        <v>312</v>
      </c>
      <c r="AI136">
        <f t="shared" si="32"/>
        <v>27</v>
      </c>
      <c r="AJ136">
        <f t="shared" si="33"/>
        <v>4</v>
      </c>
    </row>
    <row r="137" spans="2:36" x14ac:dyDescent="0.2">
      <c r="B137" s="115">
        <f t="shared" ref="B137:B200" si="36">EDATE(B136,1)</f>
        <v>47027</v>
      </c>
      <c r="C137" s="107">
        <v>4.1875956757864543</v>
      </c>
      <c r="D137" s="107">
        <v>4.0991468354430367</v>
      </c>
      <c r="E137" s="116">
        <f t="shared" si="34"/>
        <v>2028</v>
      </c>
      <c r="K137" s="18">
        <f t="shared" ref="K137:K200" si="37">MONTH(M137)</f>
        <v>10</v>
      </c>
      <c r="L137" s="139">
        <f t="shared" ref="L137:L200" si="38">YEAR(M137)</f>
        <v>2028</v>
      </c>
      <c r="M137" s="111">
        <f t="shared" si="35"/>
        <v>47027</v>
      </c>
      <c r="N137" s="112">
        <v>46.072319999999998</v>
      </c>
      <c r="O137" s="112">
        <v>43.199210000000001</v>
      </c>
      <c r="P137" s="112">
        <v>39.502800000000001</v>
      </c>
      <c r="Q137" s="113">
        <v>38.828380000000003</v>
      </c>
      <c r="S137" s="136">
        <v>41.27228494623656</v>
      </c>
      <c r="T137" s="138">
        <f t="shared" ref="T137:T200" si="39">O137/S137</f>
        <v>1.0466881117988391</v>
      </c>
      <c r="U137" s="138">
        <f t="shared" ref="U137:U200" si="40">Q137/S137</f>
        <v>0.94078580942586254</v>
      </c>
      <c r="AD137" s="320" t="str">
        <f t="shared" si="30"/>
        <v>Winter</v>
      </c>
      <c r="AE137">
        <f t="shared" si="31"/>
        <v>4</v>
      </c>
      <c r="AF137" s="318">
        <v>46844</v>
      </c>
      <c r="AG137" s="319">
        <v>400</v>
      </c>
      <c r="AH137" s="319">
        <v>320</v>
      </c>
      <c r="AI137">
        <f t="shared" si="32"/>
        <v>25</v>
      </c>
      <c r="AJ137">
        <f t="shared" si="33"/>
        <v>5</v>
      </c>
    </row>
    <row r="138" spans="2:36" x14ac:dyDescent="0.2">
      <c r="B138" s="115">
        <f t="shared" si="36"/>
        <v>47058</v>
      </c>
      <c r="C138" s="107">
        <v>4.3131208320524648</v>
      </c>
      <c r="D138" s="107">
        <v>4.2550962025316439</v>
      </c>
      <c r="E138" s="116">
        <f t="shared" si="34"/>
        <v>2028</v>
      </c>
      <c r="K138" s="18">
        <f t="shared" si="37"/>
        <v>11</v>
      </c>
      <c r="L138" s="139">
        <f t="shared" si="38"/>
        <v>2028</v>
      </c>
      <c r="M138" s="111">
        <f t="shared" si="35"/>
        <v>47058</v>
      </c>
      <c r="N138" s="112">
        <v>47.063769999999998</v>
      </c>
      <c r="O138" s="112">
        <v>45.537210000000002</v>
      </c>
      <c r="P138" s="112">
        <v>40.952100000000002</v>
      </c>
      <c r="Q138" s="113">
        <v>40.58914</v>
      </c>
      <c r="S138" s="136">
        <v>43.334255117891821</v>
      </c>
      <c r="T138" s="138">
        <f t="shared" si="39"/>
        <v>1.0508363389682134</v>
      </c>
      <c r="U138" s="138">
        <f t="shared" si="40"/>
        <v>0.93665253711126051</v>
      </c>
      <c r="AD138" s="320" t="str">
        <f t="shared" si="30"/>
        <v>Winter</v>
      </c>
      <c r="AE138">
        <f t="shared" si="31"/>
        <v>5</v>
      </c>
      <c r="AF138" s="318">
        <v>46874</v>
      </c>
      <c r="AG138" s="319">
        <v>416</v>
      </c>
      <c r="AH138" s="319">
        <v>328</v>
      </c>
      <c r="AI138">
        <f t="shared" si="32"/>
        <v>26</v>
      </c>
      <c r="AJ138">
        <f t="shared" si="33"/>
        <v>5</v>
      </c>
    </row>
    <row r="139" spans="2:36" x14ac:dyDescent="0.2">
      <c r="B139" s="117">
        <f t="shared" si="36"/>
        <v>47088</v>
      </c>
      <c r="C139" s="118">
        <v>4.5594575468798038</v>
      </c>
      <c r="D139" s="118">
        <v>4.4960075949367084</v>
      </c>
      <c r="E139" s="119">
        <f t="shared" si="34"/>
        <v>2028</v>
      </c>
      <c r="K139" s="18">
        <f t="shared" si="37"/>
        <v>12</v>
      </c>
      <c r="L139" s="139">
        <f t="shared" si="38"/>
        <v>2028</v>
      </c>
      <c r="M139" s="120">
        <f t="shared" si="35"/>
        <v>47088</v>
      </c>
      <c r="N139" s="121">
        <v>47.073819999999998</v>
      </c>
      <c r="O139" s="121">
        <v>44.762540000000001</v>
      </c>
      <c r="P139" s="121">
        <v>41.51247</v>
      </c>
      <c r="Q139" s="122">
        <v>41.591349999999998</v>
      </c>
      <c r="S139" s="136">
        <v>43.296290860215052</v>
      </c>
      <c r="T139" s="138">
        <f t="shared" si="39"/>
        <v>1.0338654677029686</v>
      </c>
      <c r="U139" s="138">
        <f t="shared" si="40"/>
        <v>0.96062154918259468</v>
      </c>
      <c r="AD139" s="320" t="str">
        <f t="shared" si="30"/>
        <v>Summer</v>
      </c>
      <c r="AE139">
        <f t="shared" si="31"/>
        <v>6</v>
      </c>
      <c r="AF139" s="318">
        <v>46905</v>
      </c>
      <c r="AG139" s="319">
        <v>416</v>
      </c>
      <c r="AH139" s="319">
        <v>304</v>
      </c>
      <c r="AI139">
        <f t="shared" si="32"/>
        <v>26</v>
      </c>
      <c r="AJ139">
        <f t="shared" si="33"/>
        <v>4</v>
      </c>
    </row>
    <row r="140" spans="2:36" x14ac:dyDescent="0.2">
      <c r="B140" s="106">
        <f t="shared" si="36"/>
        <v>47119</v>
      </c>
      <c r="C140" s="107">
        <v>4.6726863613075116</v>
      </c>
      <c r="D140" s="107">
        <v>4.8110455696202523</v>
      </c>
      <c r="E140" s="108">
        <f t="shared" si="34"/>
        <v>2029</v>
      </c>
      <c r="K140" s="18">
        <f t="shared" si="37"/>
        <v>1</v>
      </c>
      <c r="L140" s="139">
        <f t="shared" si="38"/>
        <v>2029</v>
      </c>
      <c r="M140" s="111">
        <f t="shared" si="35"/>
        <v>47119</v>
      </c>
      <c r="N140" s="123">
        <v>46.013539999999999</v>
      </c>
      <c r="O140" s="123">
        <v>45.698979999999999</v>
      </c>
      <c r="P140" s="123">
        <v>41.735950000000003</v>
      </c>
      <c r="Q140" s="124">
        <v>42.126240000000003</v>
      </c>
      <c r="S140" s="136">
        <v>44.123901075268812</v>
      </c>
      <c r="T140" s="138">
        <f t="shared" si="39"/>
        <v>1.0356967286742016</v>
      </c>
      <c r="U140" s="138">
        <f t="shared" si="40"/>
        <v>0.95472610021808602</v>
      </c>
      <c r="AD140" s="320" t="str">
        <f t="shared" si="30"/>
        <v>Summer</v>
      </c>
      <c r="AE140">
        <f t="shared" si="31"/>
        <v>7</v>
      </c>
      <c r="AF140" s="318">
        <v>46935</v>
      </c>
      <c r="AG140" s="319">
        <v>400</v>
      </c>
      <c r="AH140" s="319">
        <v>344</v>
      </c>
      <c r="AI140">
        <f t="shared" si="32"/>
        <v>25</v>
      </c>
      <c r="AJ140">
        <f t="shared" si="33"/>
        <v>6</v>
      </c>
    </row>
    <row r="141" spans="2:36" x14ac:dyDescent="0.2">
      <c r="B141" s="115">
        <f t="shared" si="36"/>
        <v>47150</v>
      </c>
      <c r="C141" s="107">
        <v>4.7079358745773137</v>
      </c>
      <c r="D141" s="107">
        <v>4.898235443037974</v>
      </c>
      <c r="E141" s="116">
        <f t="shared" si="34"/>
        <v>2029</v>
      </c>
      <c r="K141" s="18">
        <f t="shared" si="37"/>
        <v>2</v>
      </c>
      <c r="L141" s="139">
        <f t="shared" si="38"/>
        <v>2029</v>
      </c>
      <c r="M141" s="111">
        <f t="shared" si="35"/>
        <v>47150</v>
      </c>
      <c r="N141" s="112">
        <v>48.83267</v>
      </c>
      <c r="O141" s="112">
        <v>46.930819999999997</v>
      </c>
      <c r="P141" s="112">
        <v>44.391860000000001</v>
      </c>
      <c r="Q141" s="113">
        <v>43.668660000000003</v>
      </c>
      <c r="S141" s="136">
        <v>45.53275142857143</v>
      </c>
      <c r="T141" s="138">
        <f t="shared" si="39"/>
        <v>1.0307046802041331</v>
      </c>
      <c r="U141" s="138">
        <f t="shared" si="40"/>
        <v>0.95906042639448918</v>
      </c>
      <c r="AD141" s="320" t="str">
        <f t="shared" si="30"/>
        <v>Summer</v>
      </c>
      <c r="AE141">
        <f t="shared" si="31"/>
        <v>8</v>
      </c>
      <c r="AF141" s="318">
        <v>46966</v>
      </c>
      <c r="AG141" s="319">
        <v>432</v>
      </c>
      <c r="AH141" s="319">
        <v>312</v>
      </c>
      <c r="AI141">
        <f t="shared" si="32"/>
        <v>27</v>
      </c>
      <c r="AJ141">
        <f t="shared" si="33"/>
        <v>4</v>
      </c>
    </row>
    <row r="142" spans="2:36" x14ac:dyDescent="0.2">
      <c r="B142" s="115">
        <f t="shared" si="36"/>
        <v>47178</v>
      </c>
      <c r="C142" s="107">
        <v>4.5678600471359774</v>
      </c>
      <c r="D142" s="107">
        <v>4.8110455696202523</v>
      </c>
      <c r="E142" s="116">
        <f t="shared" si="34"/>
        <v>2029</v>
      </c>
      <c r="K142" s="18">
        <f t="shared" si="37"/>
        <v>3</v>
      </c>
      <c r="L142" s="139">
        <f t="shared" si="38"/>
        <v>2029</v>
      </c>
      <c r="M142" s="111">
        <f t="shared" si="35"/>
        <v>47178</v>
      </c>
      <c r="N142" s="112">
        <v>43.390790000000003</v>
      </c>
      <c r="O142" s="112">
        <v>41.719340000000003</v>
      </c>
      <c r="P142" s="112">
        <v>41.279130000000002</v>
      </c>
      <c r="Q142" s="113">
        <v>40.748139999999999</v>
      </c>
      <c r="S142" s="136">
        <v>41.312821561238223</v>
      </c>
      <c r="T142" s="138">
        <f t="shared" si="39"/>
        <v>1.0098400066468274</v>
      </c>
      <c r="U142" s="138">
        <f t="shared" si="40"/>
        <v>0.9863315663298089</v>
      </c>
      <c r="AD142" s="320" t="str">
        <f t="shared" si="30"/>
        <v>Summer</v>
      </c>
      <c r="AE142">
        <f t="shared" si="31"/>
        <v>9</v>
      </c>
      <c r="AF142" s="318">
        <v>46997</v>
      </c>
      <c r="AG142" s="319">
        <v>400</v>
      </c>
      <c r="AH142" s="319">
        <v>320</v>
      </c>
      <c r="AI142">
        <f t="shared" si="32"/>
        <v>25</v>
      </c>
      <c r="AJ142">
        <f t="shared" si="33"/>
        <v>5</v>
      </c>
    </row>
    <row r="143" spans="2:36" x14ac:dyDescent="0.2">
      <c r="B143" s="115">
        <f t="shared" si="36"/>
        <v>47209</v>
      </c>
      <c r="C143" s="107">
        <v>4.2495897325545648</v>
      </c>
      <c r="D143" s="107">
        <v>4.2009189873417707</v>
      </c>
      <c r="E143" s="116">
        <f t="shared" si="34"/>
        <v>2029</v>
      </c>
      <c r="K143" s="18">
        <f t="shared" si="37"/>
        <v>4</v>
      </c>
      <c r="L143" s="139">
        <f t="shared" si="38"/>
        <v>2029</v>
      </c>
      <c r="M143" s="111">
        <f t="shared" si="35"/>
        <v>47209</v>
      </c>
      <c r="N143" s="112">
        <v>36.304310000000001</v>
      </c>
      <c r="O143" s="112">
        <v>34.60998</v>
      </c>
      <c r="P143" s="112">
        <v>32.094619999999999</v>
      </c>
      <c r="Q143" s="113">
        <v>32.036369999999998</v>
      </c>
      <c r="S143" s="136">
        <v>33.466153333333338</v>
      </c>
      <c r="T143" s="138">
        <f t="shared" si="39"/>
        <v>1.0341786119030112</v>
      </c>
      <c r="U143" s="138">
        <f t="shared" si="40"/>
        <v>0.95727673512123568</v>
      </c>
      <c r="AD143" s="320" t="str">
        <f t="shared" si="30"/>
        <v>Winter</v>
      </c>
      <c r="AE143">
        <f t="shared" si="31"/>
        <v>10</v>
      </c>
      <c r="AF143" s="318">
        <v>47027</v>
      </c>
      <c r="AG143" s="319">
        <v>416</v>
      </c>
      <c r="AH143" s="319">
        <v>328</v>
      </c>
      <c r="AI143">
        <f t="shared" si="32"/>
        <v>26</v>
      </c>
      <c r="AJ143">
        <f t="shared" si="33"/>
        <v>5</v>
      </c>
    </row>
    <row r="144" spans="2:36" x14ac:dyDescent="0.2">
      <c r="B144" s="115">
        <f t="shared" si="36"/>
        <v>47239</v>
      </c>
      <c r="C144" s="107">
        <v>4.2201809816579567</v>
      </c>
      <c r="D144" s="107">
        <v>4.2444632911392395</v>
      </c>
      <c r="E144" s="116">
        <f t="shared" si="34"/>
        <v>2029</v>
      </c>
      <c r="K144" s="18">
        <f t="shared" si="37"/>
        <v>5</v>
      </c>
      <c r="L144" s="139">
        <f t="shared" si="38"/>
        <v>2029</v>
      </c>
      <c r="M144" s="111">
        <f t="shared" si="35"/>
        <v>47239</v>
      </c>
      <c r="N144" s="112">
        <v>33.3444</v>
      </c>
      <c r="O144" s="112">
        <v>35.472020000000001</v>
      </c>
      <c r="P144" s="112">
        <v>27.07142</v>
      </c>
      <c r="Q144" s="113">
        <v>32.697450000000003</v>
      </c>
      <c r="S144" s="136">
        <v>34.248822473118281</v>
      </c>
      <c r="T144" s="138">
        <f t="shared" si="39"/>
        <v>1.0357150243002311</v>
      </c>
      <c r="U144" s="138">
        <f t="shared" si="40"/>
        <v>0.95470289600946301</v>
      </c>
      <c r="AD144" s="320" t="str">
        <f t="shared" si="30"/>
        <v>Winter</v>
      </c>
      <c r="AE144">
        <f t="shared" si="31"/>
        <v>11</v>
      </c>
      <c r="AF144" s="318">
        <v>47058</v>
      </c>
      <c r="AG144" s="319">
        <v>400</v>
      </c>
      <c r="AH144" s="319">
        <v>320</v>
      </c>
      <c r="AI144">
        <f t="shared" si="32"/>
        <v>25</v>
      </c>
      <c r="AJ144">
        <f t="shared" si="33"/>
        <v>5</v>
      </c>
    </row>
    <row r="145" spans="2:36" x14ac:dyDescent="0.2">
      <c r="B145" s="115">
        <f t="shared" si="36"/>
        <v>47270</v>
      </c>
      <c r="C145" s="107">
        <v>4.188210492878369</v>
      </c>
      <c r="D145" s="107">
        <v>4.1572734177215178</v>
      </c>
      <c r="E145" s="116">
        <f t="shared" si="34"/>
        <v>2029</v>
      </c>
      <c r="K145" s="18">
        <f t="shared" si="37"/>
        <v>6</v>
      </c>
      <c r="L145" s="139">
        <f t="shared" si="38"/>
        <v>2029</v>
      </c>
      <c r="M145" s="111">
        <f t="shared" si="35"/>
        <v>47270</v>
      </c>
      <c r="N145" s="112">
        <v>35.843829999999997</v>
      </c>
      <c r="O145" s="112">
        <v>36.53389</v>
      </c>
      <c r="P145" s="112">
        <v>28.541640000000001</v>
      </c>
      <c r="Q145" s="113">
        <v>32.972079999999998</v>
      </c>
      <c r="S145" s="136">
        <v>35.030014666666666</v>
      </c>
      <c r="T145" s="138">
        <f t="shared" si="39"/>
        <v>1.0429310506331122</v>
      </c>
      <c r="U145" s="138">
        <f t="shared" si="40"/>
        <v>0.94125224650205686</v>
      </c>
      <c r="AD145" s="320" t="str">
        <f t="shared" si="30"/>
        <v>Winter</v>
      </c>
      <c r="AE145">
        <f t="shared" si="31"/>
        <v>12</v>
      </c>
      <c r="AF145" s="318">
        <v>47088</v>
      </c>
      <c r="AG145" s="319">
        <v>400</v>
      </c>
      <c r="AH145" s="319">
        <v>344</v>
      </c>
      <c r="AI145">
        <f t="shared" si="32"/>
        <v>25</v>
      </c>
      <c r="AJ145">
        <f t="shared" si="33"/>
        <v>6</v>
      </c>
    </row>
    <row r="146" spans="2:36" x14ac:dyDescent="0.2">
      <c r="B146" s="115">
        <f t="shared" si="36"/>
        <v>47300</v>
      </c>
      <c r="C146" s="107">
        <v>4.2643453427605289</v>
      </c>
      <c r="D146" s="107">
        <v>4.1427924050632896</v>
      </c>
      <c r="E146" s="116">
        <f t="shared" si="34"/>
        <v>2029</v>
      </c>
      <c r="K146" s="18">
        <f t="shared" si="37"/>
        <v>7</v>
      </c>
      <c r="L146" s="139">
        <f t="shared" si="38"/>
        <v>2029</v>
      </c>
      <c r="M146" s="111">
        <f t="shared" si="35"/>
        <v>47300</v>
      </c>
      <c r="N146" s="112">
        <v>51.536810000000003</v>
      </c>
      <c r="O146" s="112">
        <v>52.336620000000003</v>
      </c>
      <c r="P146" s="112">
        <v>40.829929999999997</v>
      </c>
      <c r="Q146" s="113">
        <v>42.0974</v>
      </c>
      <c r="S146" s="136">
        <v>47.602356989247312</v>
      </c>
      <c r="T146" s="138">
        <f t="shared" si="39"/>
        <v>1.0994543823076259</v>
      </c>
      <c r="U146" s="138">
        <f t="shared" si="40"/>
        <v>0.88435536940973736</v>
      </c>
      <c r="AD146" s="320" t="str">
        <f t="shared" si="30"/>
        <v>Winter</v>
      </c>
      <c r="AE146">
        <f t="shared" si="31"/>
        <v>1</v>
      </c>
      <c r="AF146" s="318">
        <v>47119</v>
      </c>
      <c r="AG146" s="319">
        <v>416</v>
      </c>
      <c r="AH146" s="319">
        <v>328</v>
      </c>
      <c r="AI146">
        <f t="shared" si="32"/>
        <v>26</v>
      </c>
      <c r="AJ146">
        <f t="shared" si="33"/>
        <v>5</v>
      </c>
    </row>
    <row r="147" spans="2:36" x14ac:dyDescent="0.2">
      <c r="B147" s="115">
        <f t="shared" si="36"/>
        <v>47331</v>
      </c>
      <c r="C147" s="107">
        <v>4.367224736140999</v>
      </c>
      <c r="D147" s="107">
        <v>4.3170708860759479</v>
      </c>
      <c r="E147" s="116">
        <f t="shared" si="34"/>
        <v>2029</v>
      </c>
      <c r="K147" s="18">
        <f t="shared" si="37"/>
        <v>8</v>
      </c>
      <c r="L147" s="139">
        <f t="shared" si="38"/>
        <v>2029</v>
      </c>
      <c r="M147" s="111">
        <f t="shared" si="35"/>
        <v>47331</v>
      </c>
      <c r="N147" s="112">
        <v>55.97325</v>
      </c>
      <c r="O147" s="112">
        <v>55.870530000000002</v>
      </c>
      <c r="P147" s="112">
        <v>43.152459999999998</v>
      </c>
      <c r="Q147" s="113">
        <v>44.044060000000002</v>
      </c>
      <c r="S147" s="136">
        <v>50.911042580645166</v>
      </c>
      <c r="T147" s="138">
        <f t="shared" si="39"/>
        <v>1.0974147683481204</v>
      </c>
      <c r="U147" s="138">
        <f t="shared" si="40"/>
        <v>0.86511801305644875</v>
      </c>
      <c r="AD147" s="320" t="str">
        <f t="shared" si="30"/>
        <v>Winter</v>
      </c>
      <c r="AE147">
        <f t="shared" si="31"/>
        <v>2</v>
      </c>
      <c r="AF147" s="318">
        <v>47150</v>
      </c>
      <c r="AG147" s="319">
        <v>384</v>
      </c>
      <c r="AH147" s="319">
        <v>288</v>
      </c>
      <c r="AI147">
        <f t="shared" si="32"/>
        <v>24</v>
      </c>
      <c r="AJ147">
        <f t="shared" si="33"/>
        <v>4</v>
      </c>
    </row>
    <row r="148" spans="2:36" x14ac:dyDescent="0.2">
      <c r="B148" s="115">
        <f t="shared" si="36"/>
        <v>47362</v>
      </c>
      <c r="C148" s="107">
        <v>4.3793161389486635</v>
      </c>
      <c r="D148" s="107">
        <v>4.2444632911392395</v>
      </c>
      <c r="E148" s="116">
        <f t="shared" si="34"/>
        <v>2029</v>
      </c>
      <c r="K148" s="18">
        <f t="shared" si="37"/>
        <v>9</v>
      </c>
      <c r="L148" s="139">
        <f t="shared" si="38"/>
        <v>2029</v>
      </c>
      <c r="M148" s="111">
        <f t="shared" si="35"/>
        <v>47362</v>
      </c>
      <c r="N148" s="112">
        <v>50.979550000000003</v>
      </c>
      <c r="O148" s="112">
        <v>47.464649999999999</v>
      </c>
      <c r="P148" s="112">
        <v>42.257530000000003</v>
      </c>
      <c r="Q148" s="113">
        <v>40.037730000000003</v>
      </c>
      <c r="S148" s="136">
        <v>43.998753999999998</v>
      </c>
      <c r="T148" s="138">
        <f t="shared" si="39"/>
        <v>1.0787725943330122</v>
      </c>
      <c r="U148" s="138">
        <f t="shared" si="40"/>
        <v>0.90997417790512902</v>
      </c>
      <c r="AD148" s="320" t="str">
        <f t="shared" si="30"/>
        <v>Winter</v>
      </c>
      <c r="AE148">
        <f t="shared" si="31"/>
        <v>3</v>
      </c>
      <c r="AF148" s="318">
        <v>47178</v>
      </c>
      <c r="AG148" s="319">
        <v>432</v>
      </c>
      <c r="AH148" s="319">
        <v>312</v>
      </c>
      <c r="AI148">
        <f t="shared" si="32"/>
        <v>27</v>
      </c>
      <c r="AJ148">
        <f t="shared" si="33"/>
        <v>4</v>
      </c>
    </row>
    <row r="149" spans="2:36" x14ac:dyDescent="0.2">
      <c r="B149" s="115">
        <f t="shared" si="36"/>
        <v>47392</v>
      </c>
      <c r="C149" s="107">
        <v>4.4701041295214674</v>
      </c>
      <c r="D149" s="107">
        <v>4.4623873417721516</v>
      </c>
      <c r="E149" s="116">
        <f t="shared" si="34"/>
        <v>2029</v>
      </c>
      <c r="K149" s="18">
        <f t="shared" si="37"/>
        <v>10</v>
      </c>
      <c r="L149" s="139">
        <f t="shared" si="38"/>
        <v>2029</v>
      </c>
      <c r="M149" s="111">
        <f t="shared" si="35"/>
        <v>47392</v>
      </c>
      <c r="N149" s="112">
        <v>48.929560000000002</v>
      </c>
      <c r="O149" s="112">
        <v>46.40934</v>
      </c>
      <c r="P149" s="112">
        <v>41.990049999999997</v>
      </c>
      <c r="Q149" s="113">
        <v>41.611930000000001</v>
      </c>
      <c r="S149" s="136">
        <v>44.397522903225806</v>
      </c>
      <c r="T149" s="138">
        <f t="shared" si="39"/>
        <v>1.0453137239471535</v>
      </c>
      <c r="U149" s="138">
        <f t="shared" si="40"/>
        <v>0.93725792068855696</v>
      </c>
      <c r="AD149" s="320" t="str">
        <f t="shared" si="30"/>
        <v>Winter</v>
      </c>
      <c r="AE149">
        <f t="shared" si="31"/>
        <v>4</v>
      </c>
      <c r="AF149" s="318">
        <v>47209</v>
      </c>
      <c r="AG149" s="319">
        <v>400</v>
      </c>
      <c r="AH149" s="319">
        <v>320</v>
      </c>
      <c r="AI149">
        <f t="shared" si="32"/>
        <v>25</v>
      </c>
      <c r="AJ149">
        <f t="shared" si="33"/>
        <v>5</v>
      </c>
    </row>
    <row r="150" spans="2:36" x14ac:dyDescent="0.2">
      <c r="B150" s="115">
        <f t="shared" si="36"/>
        <v>47423</v>
      </c>
      <c r="C150" s="107">
        <v>4.6138688595142945</v>
      </c>
      <c r="D150" s="107">
        <v>4.8110455696202523</v>
      </c>
      <c r="E150" s="116">
        <f t="shared" si="34"/>
        <v>2029</v>
      </c>
      <c r="K150" s="18">
        <f t="shared" si="37"/>
        <v>11</v>
      </c>
      <c r="L150" s="139">
        <f t="shared" si="38"/>
        <v>2029</v>
      </c>
      <c r="M150" s="111">
        <f t="shared" si="35"/>
        <v>47423</v>
      </c>
      <c r="N150" s="112">
        <v>49.177280000000003</v>
      </c>
      <c r="O150" s="112">
        <v>47.137830000000001</v>
      </c>
      <c r="P150" s="112">
        <v>43.2089</v>
      </c>
      <c r="Q150" s="113">
        <v>42.793900000000001</v>
      </c>
      <c r="S150" s="136">
        <v>45.203847295423024</v>
      </c>
      <c r="T150" s="138">
        <f t="shared" si="39"/>
        <v>1.0427835863601989</v>
      </c>
      <c r="U150" s="138">
        <f t="shared" si="40"/>
        <v>0.94668711980037512</v>
      </c>
      <c r="AD150" s="320" t="str">
        <f t="shared" si="30"/>
        <v>Winter</v>
      </c>
      <c r="AE150">
        <f t="shared" si="31"/>
        <v>5</v>
      </c>
      <c r="AF150" s="318">
        <v>47239</v>
      </c>
      <c r="AG150" s="319">
        <v>416</v>
      </c>
      <c r="AH150" s="319">
        <v>328</v>
      </c>
      <c r="AI150">
        <f t="shared" si="32"/>
        <v>26</v>
      </c>
      <c r="AJ150">
        <f t="shared" si="33"/>
        <v>5</v>
      </c>
    </row>
    <row r="151" spans="2:36" x14ac:dyDescent="0.2">
      <c r="B151" s="117">
        <f t="shared" si="36"/>
        <v>47453</v>
      </c>
      <c r="C151" s="118">
        <v>4.925171247054001</v>
      </c>
      <c r="D151" s="118">
        <v>5.0725139240506323</v>
      </c>
      <c r="E151" s="119">
        <f t="shared" si="34"/>
        <v>2029</v>
      </c>
      <c r="K151" s="18">
        <f t="shared" si="37"/>
        <v>12</v>
      </c>
      <c r="L151" s="139">
        <f t="shared" si="38"/>
        <v>2029</v>
      </c>
      <c r="M151" s="120">
        <f t="shared" si="35"/>
        <v>47453</v>
      </c>
      <c r="N151" s="121">
        <v>49.858800000000002</v>
      </c>
      <c r="O151" s="121">
        <v>48.379190000000001</v>
      </c>
      <c r="P151" s="121">
        <v>44.928040000000003</v>
      </c>
      <c r="Q151" s="122">
        <v>45.398409999999998</v>
      </c>
      <c r="S151" s="136">
        <v>47.000979892473111</v>
      </c>
      <c r="T151" s="138">
        <f t="shared" si="39"/>
        <v>1.0293230079602576</v>
      </c>
      <c r="U151" s="138">
        <f t="shared" si="40"/>
        <v>0.96590347911597996</v>
      </c>
      <c r="AD151" s="320" t="str">
        <f t="shared" si="30"/>
        <v>Summer</v>
      </c>
      <c r="AE151">
        <f t="shared" si="31"/>
        <v>6</v>
      </c>
      <c r="AF151" s="318">
        <v>47270</v>
      </c>
      <c r="AG151" s="319">
        <v>416</v>
      </c>
      <c r="AH151" s="319">
        <v>304</v>
      </c>
      <c r="AI151">
        <f t="shared" si="32"/>
        <v>26</v>
      </c>
      <c r="AJ151">
        <f t="shared" si="33"/>
        <v>4</v>
      </c>
    </row>
    <row r="152" spans="2:36" x14ac:dyDescent="0.2">
      <c r="B152" s="106">
        <f t="shared" si="36"/>
        <v>47484</v>
      </c>
      <c r="C152" s="107">
        <v>4.9872677733374324</v>
      </c>
      <c r="D152" s="107">
        <v>5.2879063291139232</v>
      </c>
      <c r="E152" s="108">
        <f t="shared" si="34"/>
        <v>2030</v>
      </c>
      <c r="K152" s="18">
        <f t="shared" si="37"/>
        <v>1</v>
      </c>
      <c r="L152" s="139">
        <f t="shared" si="38"/>
        <v>2030</v>
      </c>
      <c r="M152" s="111">
        <f t="shared" si="35"/>
        <v>47484</v>
      </c>
      <c r="N152" s="123">
        <v>49.077979999999997</v>
      </c>
      <c r="O152" s="123">
        <v>49.03642</v>
      </c>
      <c r="P152" s="123">
        <v>45.008429999999997</v>
      </c>
      <c r="Q152" s="124">
        <v>45.785609999999998</v>
      </c>
      <c r="S152" s="136">
        <v>47.603267204301069</v>
      </c>
      <c r="T152" s="138">
        <f t="shared" si="39"/>
        <v>1.0301061855596634</v>
      </c>
      <c r="U152" s="138">
        <f t="shared" si="40"/>
        <v>0.96181654514384174</v>
      </c>
      <c r="AD152" s="320" t="str">
        <f t="shared" si="30"/>
        <v>Summer</v>
      </c>
      <c r="AE152">
        <f t="shared" si="31"/>
        <v>7</v>
      </c>
      <c r="AF152" s="318">
        <v>47300</v>
      </c>
      <c r="AG152" s="319">
        <v>400</v>
      </c>
      <c r="AH152" s="319">
        <v>344</v>
      </c>
      <c r="AI152">
        <f t="shared" si="32"/>
        <v>25</v>
      </c>
      <c r="AJ152">
        <f t="shared" si="33"/>
        <v>6</v>
      </c>
    </row>
    <row r="153" spans="2:36" x14ac:dyDescent="0.2">
      <c r="B153" s="115">
        <f t="shared" si="36"/>
        <v>47515</v>
      </c>
      <c r="C153" s="107">
        <v>5.0228246951531919</v>
      </c>
      <c r="D153" s="107">
        <v>5.3176784810126572</v>
      </c>
      <c r="E153" s="116">
        <f t="shared" si="34"/>
        <v>2030</v>
      </c>
      <c r="K153" s="18">
        <f t="shared" si="37"/>
        <v>2</v>
      </c>
      <c r="L153" s="139">
        <f t="shared" si="38"/>
        <v>2030</v>
      </c>
      <c r="M153" s="111">
        <f t="shared" si="35"/>
        <v>47515</v>
      </c>
      <c r="N153" s="112">
        <v>51.27073</v>
      </c>
      <c r="O153" s="112">
        <v>49.187330000000003</v>
      </c>
      <c r="P153" s="112">
        <v>46.869340000000001</v>
      </c>
      <c r="Q153" s="113">
        <v>45.823709999999998</v>
      </c>
      <c r="S153" s="136">
        <v>47.745778571428573</v>
      </c>
      <c r="T153" s="138">
        <f t="shared" si="39"/>
        <v>1.0301922279142404</v>
      </c>
      <c r="U153" s="138">
        <f t="shared" si="40"/>
        <v>0.95974369611434596</v>
      </c>
      <c r="AD153" s="320" t="str">
        <f t="shared" si="30"/>
        <v>Summer</v>
      </c>
      <c r="AE153">
        <f t="shared" si="31"/>
        <v>8</v>
      </c>
      <c r="AF153" s="318">
        <v>47331</v>
      </c>
      <c r="AG153" s="319">
        <v>432</v>
      </c>
      <c r="AH153" s="319">
        <v>312</v>
      </c>
      <c r="AI153">
        <f t="shared" si="32"/>
        <v>27</v>
      </c>
      <c r="AJ153">
        <f t="shared" si="33"/>
        <v>4</v>
      </c>
    </row>
    <row r="154" spans="2:36" x14ac:dyDescent="0.2">
      <c r="B154" s="115">
        <f t="shared" si="36"/>
        <v>47543</v>
      </c>
      <c r="C154" s="107">
        <v>4.8795723127369612</v>
      </c>
      <c r="D154" s="107">
        <v>5.1390455696202517</v>
      </c>
      <c r="E154" s="116">
        <f t="shared" si="34"/>
        <v>2030</v>
      </c>
      <c r="K154" s="18">
        <f t="shared" si="37"/>
        <v>3</v>
      </c>
      <c r="L154" s="139">
        <f t="shared" si="38"/>
        <v>2030</v>
      </c>
      <c r="M154" s="111">
        <f t="shared" si="35"/>
        <v>47543</v>
      </c>
      <c r="N154" s="112">
        <v>45.132629999999999</v>
      </c>
      <c r="O154" s="112">
        <v>43.368690000000001</v>
      </c>
      <c r="P154" s="112">
        <v>43.236939999999997</v>
      </c>
      <c r="Q154" s="113">
        <v>42.445129999999999</v>
      </c>
      <c r="S154" s="136">
        <v>42.962224158815609</v>
      </c>
      <c r="T154" s="138">
        <f t="shared" si="39"/>
        <v>1.0094610055494762</v>
      </c>
      <c r="U154" s="138">
        <f t="shared" si="40"/>
        <v>0.98796398070770031</v>
      </c>
      <c r="AD154" s="320" t="str">
        <f t="shared" si="30"/>
        <v>Summer</v>
      </c>
      <c r="AE154">
        <f t="shared" si="31"/>
        <v>9</v>
      </c>
      <c r="AF154" s="318">
        <v>47362</v>
      </c>
      <c r="AG154" s="319">
        <v>384</v>
      </c>
      <c r="AH154" s="319">
        <v>336</v>
      </c>
      <c r="AI154">
        <f t="shared" si="32"/>
        <v>24</v>
      </c>
      <c r="AJ154">
        <f t="shared" si="33"/>
        <v>6</v>
      </c>
    </row>
    <row r="155" spans="2:36" x14ac:dyDescent="0.2">
      <c r="B155" s="115">
        <f t="shared" si="36"/>
        <v>47574</v>
      </c>
      <c r="C155" s="107">
        <v>4.5682699251972538</v>
      </c>
      <c r="D155" s="107">
        <v>4.5731721518987332</v>
      </c>
      <c r="E155" s="116">
        <f t="shared" si="34"/>
        <v>2030</v>
      </c>
      <c r="K155" s="18">
        <f t="shared" si="37"/>
        <v>4</v>
      </c>
      <c r="L155" s="139">
        <f t="shared" si="38"/>
        <v>2030</v>
      </c>
      <c r="M155" s="111">
        <f t="shared" si="35"/>
        <v>47574</v>
      </c>
      <c r="N155" s="112">
        <v>38.514420000000001</v>
      </c>
      <c r="O155" s="112">
        <v>36.337800000000001</v>
      </c>
      <c r="P155" s="112">
        <v>34.733629999999998</v>
      </c>
      <c r="Q155" s="113">
        <v>34.403019999999998</v>
      </c>
      <c r="S155" s="136">
        <v>35.520892888888888</v>
      </c>
      <c r="T155" s="138">
        <f t="shared" si="39"/>
        <v>1.0229979328973076</v>
      </c>
      <c r="U155" s="138">
        <f t="shared" si="40"/>
        <v>0.9685291444563161</v>
      </c>
      <c r="AD155" s="320" t="str">
        <f t="shared" si="30"/>
        <v>Winter</v>
      </c>
      <c r="AE155">
        <f t="shared" si="31"/>
        <v>10</v>
      </c>
      <c r="AF155" s="318">
        <v>47392</v>
      </c>
      <c r="AG155" s="319">
        <v>432</v>
      </c>
      <c r="AH155" s="319">
        <v>312</v>
      </c>
      <c r="AI155">
        <f t="shared" si="32"/>
        <v>27</v>
      </c>
      <c r="AJ155">
        <f t="shared" si="33"/>
        <v>4</v>
      </c>
    </row>
    <row r="156" spans="2:36" x14ac:dyDescent="0.2">
      <c r="B156" s="115">
        <f t="shared" si="36"/>
        <v>47604</v>
      </c>
      <c r="C156" s="107">
        <v>4.5532069064453333</v>
      </c>
      <c r="D156" s="107">
        <v>4.5880582278480997</v>
      </c>
      <c r="E156" s="116">
        <f t="shared" si="34"/>
        <v>2030</v>
      </c>
      <c r="K156" s="18">
        <f t="shared" si="37"/>
        <v>5</v>
      </c>
      <c r="L156" s="139">
        <f t="shared" si="38"/>
        <v>2030</v>
      </c>
      <c r="M156" s="111">
        <f t="shared" si="35"/>
        <v>47604</v>
      </c>
      <c r="N156" s="112">
        <v>35.592509999999997</v>
      </c>
      <c r="O156" s="112">
        <v>37.906840000000003</v>
      </c>
      <c r="P156" s="112">
        <v>29.19773</v>
      </c>
      <c r="Q156" s="113">
        <v>35.059919999999998</v>
      </c>
      <c r="S156" s="136">
        <v>36.651746236559141</v>
      </c>
      <c r="T156" s="138">
        <f t="shared" si="39"/>
        <v>1.0342437644127564</v>
      </c>
      <c r="U156" s="138">
        <f t="shared" si="40"/>
        <v>0.95656888415943087</v>
      </c>
      <c r="AD156" s="320" t="str">
        <f t="shared" si="30"/>
        <v>Winter</v>
      </c>
      <c r="AE156">
        <f t="shared" si="31"/>
        <v>11</v>
      </c>
      <c r="AF156" s="318">
        <v>47423</v>
      </c>
      <c r="AG156" s="319">
        <v>400</v>
      </c>
      <c r="AH156" s="319">
        <v>320</v>
      </c>
      <c r="AI156">
        <f t="shared" si="32"/>
        <v>25</v>
      </c>
      <c r="AJ156">
        <f t="shared" si="33"/>
        <v>5</v>
      </c>
    </row>
    <row r="157" spans="2:36" x14ac:dyDescent="0.2">
      <c r="B157" s="115">
        <f t="shared" si="36"/>
        <v>47635</v>
      </c>
      <c r="C157" s="107">
        <v>4.52051913105851</v>
      </c>
      <c r="D157" s="107">
        <v>4.468868354430378</v>
      </c>
      <c r="E157" s="116">
        <f t="shared" si="34"/>
        <v>2030</v>
      </c>
      <c r="K157" s="18">
        <f t="shared" si="37"/>
        <v>6</v>
      </c>
      <c r="L157" s="139">
        <f t="shared" si="38"/>
        <v>2030</v>
      </c>
      <c r="M157" s="111">
        <f t="shared" si="35"/>
        <v>47635</v>
      </c>
      <c r="N157" s="112">
        <v>37.978819999999999</v>
      </c>
      <c r="O157" s="112">
        <v>38.896630000000002</v>
      </c>
      <c r="P157" s="112">
        <v>30.973500000000001</v>
      </c>
      <c r="Q157" s="113">
        <v>35.636130000000001</v>
      </c>
      <c r="S157" s="136">
        <v>37.447518888888894</v>
      </c>
      <c r="T157" s="138">
        <f t="shared" si="39"/>
        <v>1.0386971194382941</v>
      </c>
      <c r="U157" s="138">
        <f t="shared" si="40"/>
        <v>0.95162860070213218</v>
      </c>
      <c r="AD157" s="320" t="str">
        <f t="shared" si="30"/>
        <v>Winter</v>
      </c>
      <c r="AE157">
        <f t="shared" si="31"/>
        <v>12</v>
      </c>
      <c r="AF157" s="318">
        <v>47453</v>
      </c>
      <c r="AG157" s="319">
        <v>400</v>
      </c>
      <c r="AH157" s="319">
        <v>344</v>
      </c>
      <c r="AI157">
        <f t="shared" si="32"/>
        <v>25</v>
      </c>
      <c r="AJ157">
        <f t="shared" si="33"/>
        <v>6</v>
      </c>
    </row>
    <row r="158" spans="2:36" x14ac:dyDescent="0.2">
      <c r="B158" s="115">
        <f t="shared" si="36"/>
        <v>47665</v>
      </c>
      <c r="C158" s="107">
        <v>4.5983959627010975</v>
      </c>
      <c r="D158" s="107">
        <v>4.468868354430378</v>
      </c>
      <c r="E158" s="116">
        <f t="shared" si="34"/>
        <v>2030</v>
      </c>
      <c r="K158" s="18">
        <f t="shared" si="37"/>
        <v>7</v>
      </c>
      <c r="L158" s="139">
        <f t="shared" si="38"/>
        <v>2030</v>
      </c>
      <c r="M158" s="111">
        <f t="shared" si="35"/>
        <v>47665</v>
      </c>
      <c r="N158" s="112">
        <v>54.965159999999997</v>
      </c>
      <c r="O158" s="112">
        <v>55.459960000000002</v>
      </c>
      <c r="P158" s="112">
        <v>43.247869999999999</v>
      </c>
      <c r="Q158" s="113">
        <v>44.410739999999997</v>
      </c>
      <c r="S158" s="136">
        <v>50.58879849462366</v>
      </c>
      <c r="T158" s="138">
        <f t="shared" si="39"/>
        <v>1.0962893298581509</v>
      </c>
      <c r="U158" s="138">
        <f t="shared" si="40"/>
        <v>0.8778769474969792</v>
      </c>
      <c r="AD158" s="320" t="str">
        <f t="shared" si="30"/>
        <v>Winter</v>
      </c>
      <c r="AE158">
        <f t="shared" si="31"/>
        <v>1</v>
      </c>
      <c r="AF158" s="318">
        <v>47484</v>
      </c>
      <c r="AG158" s="319">
        <v>416</v>
      </c>
      <c r="AH158" s="319">
        <v>328</v>
      </c>
      <c r="AI158">
        <f t="shared" si="32"/>
        <v>26</v>
      </c>
      <c r="AJ158">
        <f t="shared" si="33"/>
        <v>5</v>
      </c>
    </row>
    <row r="159" spans="2:36" x14ac:dyDescent="0.2">
      <c r="B159" s="115">
        <f t="shared" si="36"/>
        <v>47696</v>
      </c>
      <c r="C159" s="107">
        <v>4.7339631314683883</v>
      </c>
      <c r="D159" s="107">
        <v>4.6624886075949359</v>
      </c>
      <c r="E159" s="116">
        <f t="shared" si="34"/>
        <v>2030</v>
      </c>
      <c r="K159" s="18">
        <f t="shared" si="37"/>
        <v>8</v>
      </c>
      <c r="L159" s="139">
        <f t="shared" si="38"/>
        <v>2030</v>
      </c>
      <c r="M159" s="111">
        <f t="shared" si="35"/>
        <v>47696</v>
      </c>
      <c r="N159" s="112">
        <v>58.432250000000003</v>
      </c>
      <c r="O159" s="112">
        <v>58.43103</v>
      </c>
      <c r="P159" s="112">
        <v>45.835900000000002</v>
      </c>
      <c r="Q159" s="113">
        <v>46.799630000000001</v>
      </c>
      <c r="S159" s="136">
        <v>53.553346129032263</v>
      </c>
      <c r="T159" s="138">
        <f t="shared" si="39"/>
        <v>1.0910808422542893</v>
      </c>
      <c r="U159" s="138">
        <f t="shared" si="40"/>
        <v>0.873888064570984</v>
      </c>
      <c r="AD159" s="320" t="str">
        <f t="shared" si="30"/>
        <v>Winter</v>
      </c>
      <c r="AE159">
        <f t="shared" si="31"/>
        <v>2</v>
      </c>
      <c r="AF159" s="318">
        <v>47515</v>
      </c>
      <c r="AG159" s="319">
        <v>384</v>
      </c>
      <c r="AH159" s="319">
        <v>288</v>
      </c>
      <c r="AI159">
        <f t="shared" si="32"/>
        <v>24</v>
      </c>
      <c r="AJ159">
        <f t="shared" si="33"/>
        <v>4</v>
      </c>
    </row>
    <row r="160" spans="2:36" x14ac:dyDescent="0.2">
      <c r="B160" s="115">
        <f t="shared" si="36"/>
        <v>47727</v>
      </c>
      <c r="C160" s="107">
        <v>4.8068189568603339</v>
      </c>
      <c r="D160" s="107">
        <v>4.5731721518987332</v>
      </c>
      <c r="E160" s="116">
        <f t="shared" si="34"/>
        <v>2030</v>
      </c>
      <c r="K160" s="18">
        <f t="shared" si="37"/>
        <v>9</v>
      </c>
      <c r="L160" s="139">
        <f t="shared" si="38"/>
        <v>2030</v>
      </c>
      <c r="M160" s="111">
        <f t="shared" si="35"/>
        <v>47727</v>
      </c>
      <c r="N160" s="112">
        <v>53.742460000000001</v>
      </c>
      <c r="O160" s="112">
        <v>50.254649999999998</v>
      </c>
      <c r="P160" s="112">
        <v>44.816299999999998</v>
      </c>
      <c r="Q160" s="113">
        <v>42.796169999999996</v>
      </c>
      <c r="S160" s="136">
        <v>46.774025999999999</v>
      </c>
      <c r="T160" s="138">
        <f t="shared" si="39"/>
        <v>1.0744136072443282</v>
      </c>
      <c r="U160" s="138">
        <f t="shared" si="40"/>
        <v>0.91495587743505336</v>
      </c>
      <c r="AD160" s="320" t="str">
        <f t="shared" si="30"/>
        <v>Winter</v>
      </c>
      <c r="AE160">
        <f t="shared" si="31"/>
        <v>3</v>
      </c>
      <c r="AF160" s="318">
        <v>47543</v>
      </c>
      <c r="AG160" s="319">
        <v>416</v>
      </c>
      <c r="AH160" s="319">
        <v>328</v>
      </c>
      <c r="AI160">
        <f t="shared" si="32"/>
        <v>26</v>
      </c>
      <c r="AJ160">
        <f t="shared" si="33"/>
        <v>5</v>
      </c>
    </row>
    <row r="161" spans="2:36" x14ac:dyDescent="0.2">
      <c r="B161" s="115">
        <f t="shared" si="36"/>
        <v>47757</v>
      </c>
      <c r="C161" s="107">
        <v>4.8696327697509991</v>
      </c>
      <c r="D161" s="107">
        <v>4.7666911392405051</v>
      </c>
      <c r="E161" s="116">
        <f t="shared" si="34"/>
        <v>2030</v>
      </c>
      <c r="K161" s="18">
        <f t="shared" si="37"/>
        <v>10</v>
      </c>
      <c r="L161" s="139">
        <f t="shared" si="38"/>
        <v>2030</v>
      </c>
      <c r="M161" s="111">
        <f t="shared" si="35"/>
        <v>47757</v>
      </c>
      <c r="N161" s="112">
        <v>50.643610000000002</v>
      </c>
      <c r="O161" s="112">
        <v>48.316339999999997</v>
      </c>
      <c r="P161" s="112">
        <v>44.219740000000002</v>
      </c>
      <c r="Q161" s="113">
        <v>44.196660000000001</v>
      </c>
      <c r="S161" s="136">
        <v>46.588732258064518</v>
      </c>
      <c r="T161" s="138">
        <f t="shared" si="39"/>
        <v>1.0370820938497727</v>
      </c>
      <c r="U161" s="138">
        <f t="shared" si="40"/>
        <v>0.94865556236185311</v>
      </c>
      <c r="AD161" s="320" t="str">
        <f t="shared" si="30"/>
        <v>Winter</v>
      </c>
      <c r="AE161">
        <f t="shared" si="31"/>
        <v>4</v>
      </c>
      <c r="AF161" s="318">
        <v>47574</v>
      </c>
      <c r="AG161" s="319">
        <v>416</v>
      </c>
      <c r="AH161" s="319">
        <v>304</v>
      </c>
      <c r="AI161">
        <f t="shared" si="32"/>
        <v>26</v>
      </c>
      <c r="AJ161">
        <f t="shared" si="33"/>
        <v>4</v>
      </c>
    </row>
    <row r="162" spans="2:36" x14ac:dyDescent="0.2">
      <c r="B162" s="115">
        <f t="shared" si="36"/>
        <v>47788</v>
      </c>
      <c r="C162" s="107">
        <v>5.0023307920893538</v>
      </c>
      <c r="D162" s="107">
        <v>5.2432481012658219</v>
      </c>
      <c r="E162" s="116">
        <f t="shared" si="34"/>
        <v>2030</v>
      </c>
      <c r="K162" s="18">
        <f t="shared" si="37"/>
        <v>11</v>
      </c>
      <c r="L162" s="139">
        <f t="shared" si="38"/>
        <v>2030</v>
      </c>
      <c r="M162" s="111">
        <f t="shared" si="35"/>
        <v>47788</v>
      </c>
      <c r="N162" s="112">
        <v>51.280239999999999</v>
      </c>
      <c r="O162" s="112">
        <v>49.44603</v>
      </c>
      <c r="P162" s="112">
        <v>45.9754</v>
      </c>
      <c r="Q162" s="113">
        <v>45.701540000000001</v>
      </c>
      <c r="S162" s="136">
        <v>47.778926962552006</v>
      </c>
      <c r="T162" s="138">
        <f t="shared" si="39"/>
        <v>1.0348920150248377</v>
      </c>
      <c r="U162" s="138">
        <f t="shared" si="40"/>
        <v>0.95652085355160421</v>
      </c>
      <c r="AD162" s="320" t="str">
        <f t="shared" si="30"/>
        <v>Winter</v>
      </c>
      <c r="AE162">
        <f t="shared" si="31"/>
        <v>5</v>
      </c>
      <c r="AF162" s="318">
        <v>47604</v>
      </c>
      <c r="AG162" s="319">
        <v>416</v>
      </c>
      <c r="AH162" s="319">
        <v>328</v>
      </c>
      <c r="AI162">
        <f t="shared" si="32"/>
        <v>26</v>
      </c>
      <c r="AJ162">
        <f t="shared" si="33"/>
        <v>5</v>
      </c>
    </row>
    <row r="163" spans="2:36" x14ac:dyDescent="0.2">
      <c r="B163" s="117">
        <f t="shared" si="36"/>
        <v>47818</v>
      </c>
      <c r="C163" s="118">
        <v>5.2309402807664718</v>
      </c>
      <c r="D163" s="118">
        <v>5.4815265822784793</v>
      </c>
      <c r="E163" s="119">
        <f t="shared" si="34"/>
        <v>2030</v>
      </c>
      <c r="K163" s="18">
        <f t="shared" si="37"/>
        <v>12</v>
      </c>
      <c r="L163" s="139">
        <f t="shared" si="38"/>
        <v>2030</v>
      </c>
      <c r="M163" s="120">
        <f t="shared" si="35"/>
        <v>47818</v>
      </c>
      <c r="N163" s="121">
        <v>52.422319999999999</v>
      </c>
      <c r="O163" s="121">
        <v>51.261420000000001</v>
      </c>
      <c r="P163" s="121">
        <v>47.80762</v>
      </c>
      <c r="Q163" s="122">
        <v>48.47063</v>
      </c>
      <c r="S163" s="136">
        <v>49.97105473118279</v>
      </c>
      <c r="T163" s="138">
        <f t="shared" si="39"/>
        <v>1.0258222540180246</v>
      </c>
      <c r="U163" s="138">
        <f t="shared" si="40"/>
        <v>0.96997412323485543</v>
      </c>
      <c r="AD163" s="320" t="str">
        <f t="shared" si="30"/>
        <v>Summer</v>
      </c>
      <c r="AE163">
        <f t="shared" si="31"/>
        <v>6</v>
      </c>
      <c r="AF163" s="318">
        <v>47635</v>
      </c>
      <c r="AG163" s="319">
        <v>400</v>
      </c>
      <c r="AH163" s="319">
        <v>320</v>
      </c>
      <c r="AI163">
        <f t="shared" si="32"/>
        <v>25</v>
      </c>
      <c r="AJ163">
        <f t="shared" si="33"/>
        <v>5</v>
      </c>
    </row>
    <row r="164" spans="2:36" x14ac:dyDescent="0.2">
      <c r="B164" s="106">
        <f t="shared" si="36"/>
        <v>47849</v>
      </c>
      <c r="C164" s="107">
        <v>5.3455011988933299</v>
      </c>
      <c r="D164" s="107">
        <v>5.7093746835443024</v>
      </c>
      <c r="E164" s="108">
        <f t="shared" si="34"/>
        <v>2031</v>
      </c>
      <c r="K164" s="18">
        <f t="shared" si="37"/>
        <v>1</v>
      </c>
      <c r="L164" s="139">
        <f t="shared" si="38"/>
        <v>2031</v>
      </c>
      <c r="M164" s="111">
        <f t="shared" si="35"/>
        <v>47849</v>
      </c>
      <c r="N164" s="123">
        <v>52.303849999999997</v>
      </c>
      <c r="O164" s="123">
        <v>52.179589999999997</v>
      </c>
      <c r="P164" s="123">
        <v>48.134210000000003</v>
      </c>
      <c r="Q164" s="124">
        <v>48.9773</v>
      </c>
      <c r="S164" s="136">
        <v>50.767827741935477</v>
      </c>
      <c r="T164" s="138">
        <f t="shared" si="39"/>
        <v>1.0278082069069576</v>
      </c>
      <c r="U164" s="138">
        <f t="shared" si="40"/>
        <v>0.96473105465459064</v>
      </c>
      <c r="AD164" s="320" t="str">
        <f t="shared" si="30"/>
        <v>Summer</v>
      </c>
      <c r="AE164">
        <f t="shared" si="31"/>
        <v>7</v>
      </c>
      <c r="AF164" s="318">
        <v>47665</v>
      </c>
      <c r="AG164" s="319">
        <v>416</v>
      </c>
      <c r="AH164" s="319">
        <v>328</v>
      </c>
      <c r="AI164">
        <f t="shared" si="32"/>
        <v>26</v>
      </c>
      <c r="AJ164">
        <f t="shared" si="33"/>
        <v>5</v>
      </c>
    </row>
    <row r="165" spans="2:36" x14ac:dyDescent="0.2">
      <c r="B165" s="115">
        <f t="shared" si="36"/>
        <v>47880</v>
      </c>
      <c r="C165" s="107">
        <v>5.4123113228814432</v>
      </c>
      <c r="D165" s="107">
        <v>5.7551468354430364</v>
      </c>
      <c r="E165" s="116">
        <f t="shared" si="34"/>
        <v>2031</v>
      </c>
      <c r="K165" s="18">
        <f t="shared" si="37"/>
        <v>2</v>
      </c>
      <c r="L165" s="139">
        <f t="shared" si="38"/>
        <v>2031</v>
      </c>
      <c r="M165" s="111">
        <f t="shared" si="35"/>
        <v>47880</v>
      </c>
      <c r="N165" s="112">
        <v>54.3093</v>
      </c>
      <c r="O165" s="112">
        <v>52.001550000000002</v>
      </c>
      <c r="P165" s="112">
        <v>49.24991</v>
      </c>
      <c r="Q165" s="113">
        <v>48.293840000000003</v>
      </c>
      <c r="S165" s="136">
        <v>50.412531428571434</v>
      </c>
      <c r="T165" s="138">
        <f t="shared" si="39"/>
        <v>1.031520309066011</v>
      </c>
      <c r="U165" s="138">
        <f t="shared" si="40"/>
        <v>0.95797292124531841</v>
      </c>
      <c r="AD165" s="320" t="str">
        <f t="shared" si="30"/>
        <v>Summer</v>
      </c>
      <c r="AE165">
        <f t="shared" si="31"/>
        <v>8</v>
      </c>
      <c r="AF165" s="318">
        <v>47696</v>
      </c>
      <c r="AG165" s="319">
        <v>432</v>
      </c>
      <c r="AH165" s="319">
        <v>312</v>
      </c>
      <c r="AI165">
        <f t="shared" si="32"/>
        <v>27</v>
      </c>
      <c r="AJ165">
        <f t="shared" si="33"/>
        <v>4</v>
      </c>
    </row>
    <row r="166" spans="2:36" x14ac:dyDescent="0.2">
      <c r="B166" s="115">
        <f t="shared" si="36"/>
        <v>47908</v>
      </c>
      <c r="C166" s="107">
        <v>5.1730450046111285</v>
      </c>
      <c r="D166" s="107">
        <v>5.3887670886075938</v>
      </c>
      <c r="E166" s="116">
        <f t="shared" si="34"/>
        <v>2031</v>
      </c>
      <c r="K166" s="18">
        <f t="shared" si="37"/>
        <v>3</v>
      </c>
      <c r="L166" s="139">
        <f t="shared" si="38"/>
        <v>2031</v>
      </c>
      <c r="M166" s="111">
        <f t="shared" si="35"/>
        <v>47908</v>
      </c>
      <c r="N166" s="112">
        <v>47.049939999999999</v>
      </c>
      <c r="O166" s="112">
        <v>45.4236</v>
      </c>
      <c r="P166" s="112">
        <v>45.062750000000001</v>
      </c>
      <c r="Q166" s="113">
        <v>44.106439999999999</v>
      </c>
      <c r="S166" s="136">
        <v>44.843907779273216</v>
      </c>
      <c r="T166" s="138">
        <f t="shared" si="39"/>
        <v>1.0129268890565937</v>
      </c>
      <c r="U166" s="138">
        <f t="shared" si="40"/>
        <v>0.98355478334084712</v>
      </c>
      <c r="AD166" s="320" t="str">
        <f t="shared" si="30"/>
        <v>Summer</v>
      </c>
      <c r="AE166">
        <f t="shared" si="31"/>
        <v>9</v>
      </c>
      <c r="AF166" s="318">
        <v>47727</v>
      </c>
      <c r="AG166" s="319">
        <v>384</v>
      </c>
      <c r="AH166" s="319">
        <v>336</v>
      </c>
      <c r="AI166">
        <f t="shared" si="32"/>
        <v>24</v>
      </c>
      <c r="AJ166">
        <f t="shared" si="33"/>
        <v>6</v>
      </c>
    </row>
    <row r="167" spans="2:36" x14ac:dyDescent="0.2">
      <c r="B167" s="115">
        <f t="shared" si="36"/>
        <v>47939</v>
      </c>
      <c r="C167" s="107">
        <v>4.7765904498411729</v>
      </c>
      <c r="D167" s="107">
        <v>4.8392987341772136</v>
      </c>
      <c r="E167" s="116">
        <f t="shared" si="34"/>
        <v>2031</v>
      </c>
      <c r="K167" s="18">
        <f t="shared" si="37"/>
        <v>4</v>
      </c>
      <c r="L167" s="139">
        <f t="shared" si="38"/>
        <v>2031</v>
      </c>
      <c r="M167" s="111">
        <f t="shared" si="35"/>
        <v>47939</v>
      </c>
      <c r="N167" s="112">
        <v>41.201419999999999</v>
      </c>
      <c r="O167" s="112">
        <v>39.638460000000002</v>
      </c>
      <c r="P167" s="112">
        <v>37.187930000000001</v>
      </c>
      <c r="Q167" s="113">
        <v>36.839820000000003</v>
      </c>
      <c r="S167" s="136">
        <v>38.456812000000006</v>
      </c>
      <c r="T167" s="138">
        <f t="shared" si="39"/>
        <v>1.0307266239333619</v>
      </c>
      <c r="U167" s="138">
        <f t="shared" si="40"/>
        <v>0.95795304093329414</v>
      </c>
      <c r="AD167" s="320" t="str">
        <f t="shared" si="30"/>
        <v>Winter</v>
      </c>
      <c r="AE167">
        <f t="shared" si="31"/>
        <v>10</v>
      </c>
      <c r="AF167" s="318">
        <v>47757</v>
      </c>
      <c r="AG167" s="319">
        <v>432</v>
      </c>
      <c r="AH167" s="319">
        <v>312</v>
      </c>
      <c r="AI167">
        <f t="shared" si="32"/>
        <v>27</v>
      </c>
      <c r="AJ167">
        <f t="shared" si="33"/>
        <v>4</v>
      </c>
    </row>
    <row r="168" spans="2:36" x14ac:dyDescent="0.2">
      <c r="B168" s="115">
        <f t="shared" si="36"/>
        <v>47969</v>
      </c>
      <c r="C168" s="107">
        <v>4.7302742289168975</v>
      </c>
      <c r="D168" s="107">
        <v>4.8241088607594929</v>
      </c>
      <c r="E168" s="116">
        <f t="shared" si="34"/>
        <v>2031</v>
      </c>
      <c r="K168" s="18">
        <f t="shared" si="37"/>
        <v>5</v>
      </c>
      <c r="L168" s="139">
        <f t="shared" si="38"/>
        <v>2031</v>
      </c>
      <c r="M168" s="111">
        <f t="shared" si="35"/>
        <v>47969</v>
      </c>
      <c r="N168" s="112">
        <v>38.367069999999998</v>
      </c>
      <c r="O168" s="112">
        <v>39.780029999999996</v>
      </c>
      <c r="P168" s="112">
        <v>32.223959999999998</v>
      </c>
      <c r="Q168" s="113">
        <v>36.64405</v>
      </c>
      <c r="S168" s="136">
        <v>38.397501182795693</v>
      </c>
      <c r="T168" s="138">
        <f t="shared" si="39"/>
        <v>1.0360056976265881</v>
      </c>
      <c r="U168" s="138">
        <f t="shared" si="40"/>
        <v>0.95433423715652255</v>
      </c>
      <c r="AD168" s="320" t="str">
        <f t="shared" si="30"/>
        <v>Winter</v>
      </c>
      <c r="AE168">
        <f t="shared" si="31"/>
        <v>11</v>
      </c>
      <c r="AF168" s="318">
        <v>47788</v>
      </c>
      <c r="AG168" s="319">
        <v>400</v>
      </c>
      <c r="AH168" s="319">
        <v>320</v>
      </c>
      <c r="AI168">
        <f t="shared" si="32"/>
        <v>25</v>
      </c>
      <c r="AJ168">
        <f t="shared" si="33"/>
        <v>5</v>
      </c>
    </row>
    <row r="169" spans="2:36" x14ac:dyDescent="0.2">
      <c r="B169" s="115">
        <f t="shared" si="36"/>
        <v>48000</v>
      </c>
      <c r="C169" s="107">
        <v>4.7277124910339179</v>
      </c>
      <c r="D169" s="107">
        <v>4.6409189873417711</v>
      </c>
      <c r="E169" s="116">
        <f t="shared" si="34"/>
        <v>2031</v>
      </c>
      <c r="K169" s="18">
        <f t="shared" si="37"/>
        <v>6</v>
      </c>
      <c r="L169" s="139">
        <f t="shared" si="38"/>
        <v>2031</v>
      </c>
      <c r="M169" s="111">
        <f t="shared" si="35"/>
        <v>48000</v>
      </c>
      <c r="N169" s="112">
        <v>40.57103</v>
      </c>
      <c r="O169" s="112">
        <v>41.345660000000002</v>
      </c>
      <c r="P169" s="112">
        <v>32.806429999999999</v>
      </c>
      <c r="Q169" s="113">
        <v>37.38203</v>
      </c>
      <c r="S169" s="136">
        <v>39.584046666666673</v>
      </c>
      <c r="T169" s="138">
        <f t="shared" si="39"/>
        <v>1.0445031137965175</v>
      </c>
      <c r="U169" s="138">
        <f t="shared" si="40"/>
        <v>0.94437110775435273</v>
      </c>
      <c r="AD169" s="320" t="str">
        <f t="shared" si="30"/>
        <v>Winter</v>
      </c>
      <c r="AE169">
        <f t="shared" si="31"/>
        <v>12</v>
      </c>
      <c r="AF169" s="318">
        <v>47818</v>
      </c>
      <c r="AG169" s="319">
        <v>400</v>
      </c>
      <c r="AH169" s="319">
        <v>344</v>
      </c>
      <c r="AI169">
        <f t="shared" si="32"/>
        <v>25</v>
      </c>
      <c r="AJ169">
        <f t="shared" si="33"/>
        <v>6</v>
      </c>
    </row>
    <row r="170" spans="2:36" x14ac:dyDescent="0.2">
      <c r="B170" s="115">
        <f t="shared" si="36"/>
        <v>48030</v>
      </c>
      <c r="C170" s="107">
        <v>4.8537499948765239</v>
      </c>
      <c r="D170" s="107">
        <v>4.6409189873417711</v>
      </c>
      <c r="E170" s="116">
        <f t="shared" si="34"/>
        <v>2031</v>
      </c>
      <c r="K170" s="18">
        <f t="shared" si="37"/>
        <v>7</v>
      </c>
      <c r="L170" s="139">
        <f t="shared" si="38"/>
        <v>2031</v>
      </c>
      <c r="M170" s="111">
        <f t="shared" si="35"/>
        <v>48030</v>
      </c>
      <c r="N170" s="112">
        <v>56.743549999999999</v>
      </c>
      <c r="O170" s="112">
        <v>57.096260000000001</v>
      </c>
      <c r="P170" s="112">
        <v>44.898040000000002</v>
      </c>
      <c r="Q170" s="113">
        <v>46.101759999999999</v>
      </c>
      <c r="S170" s="136">
        <v>52.2492223655914</v>
      </c>
      <c r="T170" s="138">
        <f t="shared" si="39"/>
        <v>1.0927676511717925</v>
      </c>
      <c r="U170" s="138">
        <f t="shared" si="40"/>
        <v>0.88234346680650699</v>
      </c>
      <c r="AD170" s="320" t="str">
        <f t="shared" si="30"/>
        <v>Winter</v>
      </c>
      <c r="AE170">
        <f t="shared" si="31"/>
        <v>1</v>
      </c>
      <c r="AF170" s="318">
        <v>47849</v>
      </c>
      <c r="AG170" s="319">
        <v>416</v>
      </c>
      <c r="AH170" s="319">
        <v>328</v>
      </c>
      <c r="AI170">
        <f t="shared" si="32"/>
        <v>26</v>
      </c>
      <c r="AJ170">
        <f t="shared" si="33"/>
        <v>5</v>
      </c>
    </row>
    <row r="171" spans="2:36" x14ac:dyDescent="0.2">
      <c r="B171" s="115">
        <f t="shared" si="36"/>
        <v>48061</v>
      </c>
      <c r="C171" s="107">
        <v>4.9618553335382725</v>
      </c>
      <c r="D171" s="107">
        <v>4.8392987341772136</v>
      </c>
      <c r="E171" s="116">
        <f t="shared" si="34"/>
        <v>2031</v>
      </c>
      <c r="K171" s="18">
        <f t="shared" si="37"/>
        <v>8</v>
      </c>
      <c r="L171" s="139">
        <f t="shared" si="38"/>
        <v>2031</v>
      </c>
      <c r="M171" s="111">
        <f t="shared" si="35"/>
        <v>48061</v>
      </c>
      <c r="N171" s="112">
        <v>59.730449999999998</v>
      </c>
      <c r="O171" s="112">
        <v>60.285719999999998</v>
      </c>
      <c r="P171" s="112">
        <v>47.915430000000001</v>
      </c>
      <c r="Q171" s="113">
        <v>49.007770000000001</v>
      </c>
      <c r="S171" s="136">
        <v>55.313720537634403</v>
      </c>
      <c r="T171" s="138">
        <f t="shared" si="39"/>
        <v>1.0898872723447113</v>
      </c>
      <c r="U171" s="138">
        <f t="shared" si="40"/>
        <v>0.88599663019695174</v>
      </c>
      <c r="AD171" s="320" t="str">
        <f t="shared" si="30"/>
        <v>Winter</v>
      </c>
      <c r="AE171">
        <f t="shared" si="31"/>
        <v>2</v>
      </c>
      <c r="AF171" s="318">
        <v>47880</v>
      </c>
      <c r="AG171" s="319">
        <v>384</v>
      </c>
      <c r="AH171" s="319">
        <v>288</v>
      </c>
      <c r="AI171">
        <f t="shared" si="32"/>
        <v>24</v>
      </c>
      <c r="AJ171">
        <f t="shared" si="33"/>
        <v>4</v>
      </c>
    </row>
    <row r="172" spans="2:36" x14ac:dyDescent="0.2">
      <c r="B172" s="115">
        <f t="shared" si="36"/>
        <v>48092</v>
      </c>
      <c r="C172" s="107">
        <v>4.9747664924684907</v>
      </c>
      <c r="D172" s="107">
        <v>4.732463291139239</v>
      </c>
      <c r="E172" s="116">
        <f t="shared" si="34"/>
        <v>2031</v>
      </c>
      <c r="K172" s="18">
        <f t="shared" si="37"/>
        <v>9</v>
      </c>
      <c r="L172" s="139">
        <f t="shared" si="38"/>
        <v>2031</v>
      </c>
      <c r="M172" s="111">
        <f t="shared" si="35"/>
        <v>48092</v>
      </c>
      <c r="N172" s="112">
        <v>55.29618</v>
      </c>
      <c r="O172" s="112">
        <v>51.890360000000001</v>
      </c>
      <c r="P172" s="112">
        <v>45.829349999999998</v>
      </c>
      <c r="Q172" s="113">
        <v>44.276769999999999</v>
      </c>
      <c r="S172" s="136">
        <v>48.506542222222222</v>
      </c>
      <c r="T172" s="138">
        <f t="shared" si="39"/>
        <v>1.0697600287044899</v>
      </c>
      <c r="U172" s="138">
        <f t="shared" si="40"/>
        <v>0.91279996411938746</v>
      </c>
      <c r="AD172" s="320" t="str">
        <f t="shared" si="30"/>
        <v>Winter</v>
      </c>
      <c r="AE172">
        <f t="shared" si="31"/>
        <v>3</v>
      </c>
      <c r="AF172" s="318">
        <v>47908</v>
      </c>
      <c r="AG172" s="319">
        <v>416</v>
      </c>
      <c r="AH172" s="319">
        <v>328</v>
      </c>
      <c r="AI172">
        <f t="shared" si="32"/>
        <v>26</v>
      </c>
      <c r="AJ172">
        <f t="shared" si="33"/>
        <v>5</v>
      </c>
    </row>
    <row r="173" spans="2:36" x14ac:dyDescent="0.2">
      <c r="B173" s="115">
        <f t="shared" si="36"/>
        <v>48122</v>
      </c>
      <c r="C173" s="107">
        <v>5.0236444512757465</v>
      </c>
      <c r="D173" s="107">
        <v>4.946134177215189</v>
      </c>
      <c r="E173" s="116">
        <f t="shared" si="34"/>
        <v>2031</v>
      </c>
      <c r="K173" s="18">
        <f t="shared" si="37"/>
        <v>10</v>
      </c>
      <c r="L173" s="139">
        <f t="shared" si="38"/>
        <v>2031</v>
      </c>
      <c r="M173" s="111">
        <f t="shared" si="35"/>
        <v>48122</v>
      </c>
      <c r="N173" s="112">
        <v>51.787590000000002</v>
      </c>
      <c r="O173" s="112">
        <v>49.048029999999997</v>
      </c>
      <c r="P173" s="112">
        <v>45.334470000000003</v>
      </c>
      <c r="Q173" s="113">
        <v>44.84299</v>
      </c>
      <c r="S173" s="136">
        <v>47.284626129032254</v>
      </c>
      <c r="T173" s="138">
        <f t="shared" si="39"/>
        <v>1.0372933872027601</v>
      </c>
      <c r="U173" s="138">
        <f t="shared" si="40"/>
        <v>0.9483630023346401</v>
      </c>
      <c r="AD173" s="320" t="str">
        <f t="shared" si="30"/>
        <v>Winter</v>
      </c>
      <c r="AE173">
        <f t="shared" si="31"/>
        <v>4</v>
      </c>
      <c r="AF173" s="318">
        <v>47939</v>
      </c>
      <c r="AG173" s="319">
        <v>416</v>
      </c>
      <c r="AH173" s="319">
        <v>304</v>
      </c>
      <c r="AI173">
        <f t="shared" si="32"/>
        <v>26</v>
      </c>
      <c r="AJ173">
        <f t="shared" si="33"/>
        <v>4</v>
      </c>
    </row>
    <row r="174" spans="2:36" x14ac:dyDescent="0.2">
      <c r="B174" s="115">
        <f t="shared" si="36"/>
        <v>48153</v>
      </c>
      <c r="C174" s="107">
        <v>5.1447634183830315</v>
      </c>
      <c r="D174" s="107">
        <v>5.251450632911391</v>
      </c>
      <c r="E174" s="116">
        <f t="shared" si="34"/>
        <v>2031</v>
      </c>
      <c r="K174" s="18">
        <f t="shared" si="37"/>
        <v>11</v>
      </c>
      <c r="L174" s="139">
        <f t="shared" si="38"/>
        <v>2031</v>
      </c>
      <c r="M174" s="111">
        <f t="shared" si="35"/>
        <v>48153</v>
      </c>
      <c r="N174" s="112">
        <v>52.133949999999999</v>
      </c>
      <c r="O174" s="112">
        <v>50.35125</v>
      </c>
      <c r="P174" s="112">
        <v>46.884169999999997</v>
      </c>
      <c r="Q174" s="113">
        <v>46.541530000000002</v>
      </c>
      <c r="S174" s="136">
        <v>48.65510558945909</v>
      </c>
      <c r="T174" s="138">
        <f t="shared" si="39"/>
        <v>1.0348605637577399</v>
      </c>
      <c r="U174" s="138">
        <f t="shared" si="40"/>
        <v>0.95656004516169446</v>
      </c>
      <c r="AD174" s="320" t="str">
        <f t="shared" si="30"/>
        <v>Winter</v>
      </c>
      <c r="AE174">
        <f t="shared" si="31"/>
        <v>5</v>
      </c>
      <c r="AF174" s="318">
        <v>47969</v>
      </c>
      <c r="AG174" s="319">
        <v>416</v>
      </c>
      <c r="AH174" s="319">
        <v>328</v>
      </c>
      <c r="AI174">
        <f t="shared" si="32"/>
        <v>26</v>
      </c>
      <c r="AJ174">
        <f t="shared" si="33"/>
        <v>5</v>
      </c>
    </row>
    <row r="175" spans="2:36" x14ac:dyDescent="0.2">
      <c r="B175" s="117">
        <f t="shared" si="36"/>
        <v>48183</v>
      </c>
      <c r="C175" s="118">
        <v>5.3635358335895074</v>
      </c>
      <c r="D175" s="118">
        <v>5.7093746835443024</v>
      </c>
      <c r="E175" s="119">
        <f t="shared" si="34"/>
        <v>2031</v>
      </c>
      <c r="K175" s="18">
        <f t="shared" si="37"/>
        <v>12</v>
      </c>
      <c r="L175" s="139">
        <f t="shared" si="38"/>
        <v>2031</v>
      </c>
      <c r="M175" s="120">
        <f t="shared" si="35"/>
        <v>48183</v>
      </c>
      <c r="N175" s="121">
        <v>54.306669999999997</v>
      </c>
      <c r="O175" s="121">
        <v>52.935929999999999</v>
      </c>
      <c r="P175" s="121">
        <v>49.267690000000002</v>
      </c>
      <c r="Q175" s="122">
        <v>49.907730000000001</v>
      </c>
      <c r="S175" s="136">
        <v>51.666039677419356</v>
      </c>
      <c r="T175" s="138">
        <f t="shared" si="39"/>
        <v>1.0245788206432949</v>
      </c>
      <c r="U175" s="138">
        <f t="shared" si="40"/>
        <v>0.96596778680159179</v>
      </c>
      <c r="AD175" s="320" t="str">
        <f t="shared" si="30"/>
        <v>Summer</v>
      </c>
      <c r="AE175">
        <f t="shared" si="31"/>
        <v>6</v>
      </c>
      <c r="AF175" s="318">
        <v>48000</v>
      </c>
      <c r="AG175" s="319">
        <v>400</v>
      </c>
      <c r="AH175" s="319">
        <v>320</v>
      </c>
      <c r="AI175">
        <f t="shared" si="32"/>
        <v>25</v>
      </c>
      <c r="AJ175">
        <f t="shared" si="33"/>
        <v>5</v>
      </c>
    </row>
    <row r="176" spans="2:36" x14ac:dyDescent="0.2">
      <c r="B176" s="106">
        <f t="shared" si="36"/>
        <v>48214</v>
      </c>
      <c r="C176" s="107">
        <v>5.4968486730197768</v>
      </c>
      <c r="D176" s="107">
        <v>5.9295265822784797</v>
      </c>
      <c r="E176" s="108">
        <f t="shared" si="34"/>
        <v>2032</v>
      </c>
      <c r="K176" s="18">
        <f t="shared" si="37"/>
        <v>1</v>
      </c>
      <c r="L176" s="139">
        <f t="shared" si="38"/>
        <v>2032</v>
      </c>
      <c r="M176" s="111">
        <f t="shared" si="35"/>
        <v>48214</v>
      </c>
      <c r="N176" s="123">
        <v>53.878979999999999</v>
      </c>
      <c r="O176" s="123">
        <v>53.575389999999999</v>
      </c>
      <c r="P176" s="123">
        <v>49.848489999999998</v>
      </c>
      <c r="Q176" s="124">
        <v>50.693280000000001</v>
      </c>
      <c r="S176" s="136">
        <v>52.3047823655914</v>
      </c>
      <c r="T176" s="138">
        <f t="shared" si="39"/>
        <v>1.0242923797202235</v>
      </c>
      <c r="U176" s="138">
        <f t="shared" si="40"/>
        <v>0.96919015254996033</v>
      </c>
      <c r="AD176" s="320" t="str">
        <f t="shared" si="30"/>
        <v>Summer</v>
      </c>
      <c r="AE176">
        <f t="shared" si="31"/>
        <v>7</v>
      </c>
      <c r="AF176" s="318">
        <v>48030</v>
      </c>
      <c r="AG176" s="319">
        <v>416</v>
      </c>
      <c r="AH176" s="319">
        <v>328</v>
      </c>
      <c r="AI176">
        <f t="shared" si="32"/>
        <v>26</v>
      </c>
      <c r="AJ176">
        <f t="shared" si="33"/>
        <v>5</v>
      </c>
    </row>
    <row r="177" spans="2:36" x14ac:dyDescent="0.2">
      <c r="B177" s="115">
        <f t="shared" si="36"/>
        <v>48245</v>
      </c>
      <c r="C177" s="107">
        <v>5.5490056563172461</v>
      </c>
      <c r="D177" s="107">
        <v>5.9295265822784797</v>
      </c>
      <c r="E177" s="116">
        <f t="shared" si="34"/>
        <v>2032</v>
      </c>
      <c r="K177" s="18">
        <f t="shared" si="37"/>
        <v>2</v>
      </c>
      <c r="L177" s="139">
        <f t="shared" si="38"/>
        <v>2032</v>
      </c>
      <c r="M177" s="111">
        <f t="shared" si="35"/>
        <v>48245</v>
      </c>
      <c r="N177" s="112">
        <v>55.496429999999997</v>
      </c>
      <c r="O177" s="112">
        <v>53.039700000000003</v>
      </c>
      <c r="P177" s="112">
        <v>50.802340000000001</v>
      </c>
      <c r="Q177" s="113">
        <v>49.49597</v>
      </c>
      <c r="S177" s="136">
        <v>51.451131379310347</v>
      </c>
      <c r="T177" s="138">
        <f t="shared" si="39"/>
        <v>1.0308752903600571</v>
      </c>
      <c r="U177" s="138">
        <f t="shared" si="40"/>
        <v>0.9619996426337758</v>
      </c>
      <c r="AD177" s="320" t="str">
        <f t="shared" si="30"/>
        <v>Summer</v>
      </c>
      <c r="AE177">
        <f t="shared" si="31"/>
        <v>8</v>
      </c>
      <c r="AF177" s="318">
        <v>48061</v>
      </c>
      <c r="AG177" s="319">
        <v>416</v>
      </c>
      <c r="AH177" s="319">
        <v>328</v>
      </c>
      <c r="AI177">
        <f t="shared" si="32"/>
        <v>26</v>
      </c>
      <c r="AJ177">
        <f t="shared" si="33"/>
        <v>5</v>
      </c>
    </row>
    <row r="178" spans="2:36" x14ac:dyDescent="0.2">
      <c r="B178" s="115">
        <f t="shared" si="36"/>
        <v>48274</v>
      </c>
      <c r="C178" s="107">
        <v>5.3355616559073678</v>
      </c>
      <c r="D178" s="107">
        <v>5.522741772151897</v>
      </c>
      <c r="E178" s="116">
        <f t="shared" si="34"/>
        <v>2032</v>
      </c>
      <c r="K178" s="18">
        <f t="shared" si="37"/>
        <v>3</v>
      </c>
      <c r="L178" s="139">
        <f t="shared" si="38"/>
        <v>2032</v>
      </c>
      <c r="M178" s="111">
        <f t="shared" si="35"/>
        <v>48274</v>
      </c>
      <c r="N178" s="112">
        <v>48.213999999999999</v>
      </c>
      <c r="O178" s="112">
        <v>46.425750000000001</v>
      </c>
      <c r="P178" s="112">
        <v>46.133049999999997</v>
      </c>
      <c r="Q178" s="113">
        <v>45.415950000000002</v>
      </c>
      <c r="S178" s="136">
        <v>46.003074629878874</v>
      </c>
      <c r="T178" s="138">
        <f t="shared" si="39"/>
        <v>1.0091879808800128</v>
      </c>
      <c r="U178" s="138">
        <f t="shared" si="40"/>
        <v>0.98723727414737761</v>
      </c>
      <c r="AD178" s="320" t="str">
        <f t="shared" si="30"/>
        <v>Summer</v>
      </c>
      <c r="AE178">
        <f t="shared" si="31"/>
        <v>9</v>
      </c>
      <c r="AF178" s="318">
        <v>48092</v>
      </c>
      <c r="AG178" s="319">
        <v>400</v>
      </c>
      <c r="AH178" s="319">
        <v>320</v>
      </c>
      <c r="AI178">
        <f t="shared" si="32"/>
        <v>25</v>
      </c>
      <c r="AJ178">
        <f t="shared" si="33"/>
        <v>5</v>
      </c>
    </row>
    <row r="179" spans="2:36" x14ac:dyDescent="0.2">
      <c r="B179" s="115">
        <f t="shared" si="36"/>
        <v>48305</v>
      </c>
      <c r="C179" s="107">
        <v>5.0557174095706534</v>
      </c>
      <c r="D179" s="107">
        <v>5.0533746835443027</v>
      </c>
      <c r="E179" s="116">
        <f t="shared" si="34"/>
        <v>2032</v>
      </c>
      <c r="K179" s="18">
        <f t="shared" si="37"/>
        <v>4</v>
      </c>
      <c r="L179" s="139">
        <f t="shared" si="38"/>
        <v>2032</v>
      </c>
      <c r="M179" s="111">
        <f t="shared" si="35"/>
        <v>48305</v>
      </c>
      <c r="N179" s="112">
        <v>42.726500000000001</v>
      </c>
      <c r="O179" s="112">
        <v>41.721200000000003</v>
      </c>
      <c r="P179" s="112">
        <v>38.450969999999998</v>
      </c>
      <c r="Q179" s="113">
        <v>38.256239999999998</v>
      </c>
      <c r="S179" s="136">
        <v>40.258216888888889</v>
      </c>
      <c r="T179" s="138">
        <f t="shared" si="39"/>
        <v>1.0363399878128952</v>
      </c>
      <c r="U179" s="138">
        <f t="shared" si="40"/>
        <v>0.95027159562445929</v>
      </c>
      <c r="AD179" s="320" t="str">
        <f t="shared" si="30"/>
        <v>Winter</v>
      </c>
      <c r="AE179">
        <f t="shared" si="31"/>
        <v>10</v>
      </c>
      <c r="AF179" s="318">
        <v>48122</v>
      </c>
      <c r="AG179" s="319">
        <v>432</v>
      </c>
      <c r="AH179" s="319">
        <v>312</v>
      </c>
      <c r="AI179">
        <f t="shared" si="32"/>
        <v>27</v>
      </c>
      <c r="AJ179">
        <f t="shared" si="33"/>
        <v>4</v>
      </c>
    </row>
    <row r="180" spans="2:36" x14ac:dyDescent="0.2">
      <c r="B180" s="115">
        <f t="shared" si="36"/>
        <v>48335</v>
      </c>
      <c r="C180" s="107">
        <v>4.9132847832769757</v>
      </c>
      <c r="D180" s="107">
        <v>5.0377797468354419</v>
      </c>
      <c r="E180" s="116">
        <f t="shared" si="34"/>
        <v>2032</v>
      </c>
      <c r="K180" s="18">
        <f t="shared" si="37"/>
        <v>5</v>
      </c>
      <c r="L180" s="139">
        <f t="shared" si="38"/>
        <v>2032</v>
      </c>
      <c r="M180" s="111">
        <f t="shared" si="35"/>
        <v>48335</v>
      </c>
      <c r="N180" s="112">
        <v>38.846939999999996</v>
      </c>
      <c r="O180" s="112">
        <v>41.947040000000001</v>
      </c>
      <c r="P180" s="112">
        <v>32.705970000000001</v>
      </c>
      <c r="Q180" s="113">
        <v>38.491059999999997</v>
      </c>
      <c r="S180" s="136">
        <v>40.349113763440862</v>
      </c>
      <c r="T180" s="138">
        <f t="shared" si="39"/>
        <v>1.0396025113693321</v>
      </c>
      <c r="U180" s="138">
        <f t="shared" si="40"/>
        <v>0.95395056817519519</v>
      </c>
      <c r="AD180" s="320" t="str">
        <f t="shared" si="30"/>
        <v>Winter</v>
      </c>
      <c r="AE180">
        <f t="shared" si="31"/>
        <v>11</v>
      </c>
      <c r="AF180" s="318">
        <v>48153</v>
      </c>
      <c r="AG180" s="319">
        <v>384</v>
      </c>
      <c r="AH180" s="319">
        <v>336</v>
      </c>
      <c r="AI180">
        <f t="shared" si="32"/>
        <v>24</v>
      </c>
      <c r="AJ180">
        <f t="shared" si="33"/>
        <v>6</v>
      </c>
    </row>
    <row r="181" spans="2:36" x14ac:dyDescent="0.2">
      <c r="B181" s="115">
        <f t="shared" si="36"/>
        <v>48366</v>
      </c>
      <c r="C181" s="107">
        <v>4.8948402705195209</v>
      </c>
      <c r="D181" s="107">
        <v>4.8969189873417713</v>
      </c>
      <c r="E181" s="116">
        <f t="shared" si="34"/>
        <v>2032</v>
      </c>
      <c r="K181" s="18">
        <f t="shared" si="37"/>
        <v>6</v>
      </c>
      <c r="L181" s="139">
        <f t="shared" si="38"/>
        <v>2032</v>
      </c>
      <c r="M181" s="111">
        <f t="shared" si="35"/>
        <v>48366</v>
      </c>
      <c r="N181" s="112">
        <v>43.639290000000003</v>
      </c>
      <c r="O181" s="112">
        <v>44.057830000000003</v>
      </c>
      <c r="P181" s="112">
        <v>35.295670000000001</v>
      </c>
      <c r="Q181" s="113">
        <v>39.57779</v>
      </c>
      <c r="S181" s="136">
        <v>42.166257555555561</v>
      </c>
      <c r="T181" s="138">
        <f t="shared" si="39"/>
        <v>1.0448598608010737</v>
      </c>
      <c r="U181" s="138">
        <f t="shared" si="40"/>
        <v>0.9386128220616885</v>
      </c>
      <c r="AD181" s="320" t="str">
        <f t="shared" si="30"/>
        <v>Winter</v>
      </c>
      <c r="AE181">
        <f t="shared" si="31"/>
        <v>12</v>
      </c>
      <c r="AF181" s="318">
        <v>48183</v>
      </c>
      <c r="AG181" s="319">
        <v>416</v>
      </c>
      <c r="AH181" s="319">
        <v>328</v>
      </c>
      <c r="AI181">
        <f t="shared" si="32"/>
        <v>26</v>
      </c>
      <c r="AJ181">
        <f t="shared" si="33"/>
        <v>5</v>
      </c>
    </row>
    <row r="182" spans="2:36" x14ac:dyDescent="0.2">
      <c r="B182" s="115">
        <f t="shared" si="36"/>
        <v>48396</v>
      </c>
      <c r="C182" s="107">
        <v>5.1190435700379142</v>
      </c>
      <c r="D182" s="107">
        <v>4.9126151898734163</v>
      </c>
      <c r="E182" s="116">
        <f t="shared" si="34"/>
        <v>2032</v>
      </c>
      <c r="K182" s="18">
        <f t="shared" si="37"/>
        <v>7</v>
      </c>
      <c r="L182" s="139">
        <f t="shared" si="38"/>
        <v>2032</v>
      </c>
      <c r="M182" s="111">
        <f t="shared" si="35"/>
        <v>48396</v>
      </c>
      <c r="N182" s="112">
        <v>58.894629999999999</v>
      </c>
      <c r="O182" s="112">
        <v>59.566220000000001</v>
      </c>
      <c r="P182" s="112">
        <v>47.18497</v>
      </c>
      <c r="Q182" s="113">
        <v>48.734549999999999</v>
      </c>
      <c r="S182" s="136">
        <v>54.790967634408609</v>
      </c>
      <c r="T182" s="138">
        <f t="shared" si="39"/>
        <v>1.0871540067964147</v>
      </c>
      <c r="U182" s="138">
        <f t="shared" si="40"/>
        <v>0.8894632108923517</v>
      </c>
      <c r="AD182" s="320" t="str">
        <f t="shared" si="30"/>
        <v>Winter</v>
      </c>
      <c r="AE182">
        <f t="shared" si="31"/>
        <v>1</v>
      </c>
      <c r="AF182" s="318">
        <v>48214</v>
      </c>
      <c r="AG182" s="317">
        <v>416</v>
      </c>
      <c r="AH182" s="317">
        <v>328</v>
      </c>
      <c r="AI182">
        <f t="shared" si="32"/>
        <v>26</v>
      </c>
      <c r="AJ182">
        <f t="shared" si="33"/>
        <v>5</v>
      </c>
    </row>
    <row r="183" spans="2:36" x14ac:dyDescent="0.2">
      <c r="B183" s="115">
        <f t="shared" si="36"/>
        <v>48427</v>
      </c>
      <c r="C183" s="107">
        <v>5.3090220514396966</v>
      </c>
      <c r="D183" s="107">
        <v>5.131653164556961</v>
      </c>
      <c r="E183" s="116">
        <f t="shared" si="34"/>
        <v>2032</v>
      </c>
      <c r="K183" s="18">
        <f t="shared" si="37"/>
        <v>8</v>
      </c>
      <c r="L183" s="139">
        <f t="shared" si="38"/>
        <v>2032</v>
      </c>
      <c r="M183" s="111">
        <f t="shared" si="35"/>
        <v>48427</v>
      </c>
      <c r="N183" s="112">
        <v>62.394329999999997</v>
      </c>
      <c r="O183" s="112">
        <v>63.368549999999999</v>
      </c>
      <c r="P183" s="112">
        <v>50.45026</v>
      </c>
      <c r="Q183" s="113">
        <v>51.703029999999998</v>
      </c>
      <c r="S183" s="136">
        <v>58.225686344086022</v>
      </c>
      <c r="T183" s="138">
        <f t="shared" si="39"/>
        <v>1.0883263724110028</v>
      </c>
      <c r="U183" s="138">
        <f t="shared" si="40"/>
        <v>0.88797630816165507</v>
      </c>
      <c r="AD183" s="320" t="str">
        <f t="shared" si="30"/>
        <v>Winter</v>
      </c>
      <c r="AE183">
        <f t="shared" si="31"/>
        <v>2</v>
      </c>
      <c r="AF183" s="318">
        <v>48245</v>
      </c>
      <c r="AG183" s="317">
        <v>384</v>
      </c>
      <c r="AH183" s="317">
        <v>312</v>
      </c>
      <c r="AI183">
        <f t="shared" si="32"/>
        <v>24</v>
      </c>
      <c r="AJ183">
        <f t="shared" si="33"/>
        <v>5</v>
      </c>
    </row>
    <row r="184" spans="2:36" x14ac:dyDescent="0.2">
      <c r="B184" s="115">
        <f t="shared" si="36"/>
        <v>48458</v>
      </c>
      <c r="C184" s="107">
        <v>5.2747972333230866</v>
      </c>
      <c r="D184" s="107">
        <v>5.0690708860759486</v>
      </c>
      <c r="E184" s="116">
        <f t="shared" si="34"/>
        <v>2032</v>
      </c>
      <c r="K184" s="18">
        <f t="shared" si="37"/>
        <v>9</v>
      </c>
      <c r="L184" s="139">
        <f t="shared" si="38"/>
        <v>2032</v>
      </c>
      <c r="M184" s="111">
        <f t="shared" si="35"/>
        <v>48458</v>
      </c>
      <c r="N184" s="112">
        <v>57.424770000000002</v>
      </c>
      <c r="O184" s="112">
        <v>54.521529999999998</v>
      </c>
      <c r="P184" s="112">
        <v>48.449770000000001</v>
      </c>
      <c r="Q184" s="113">
        <v>47.347900000000003</v>
      </c>
      <c r="S184" s="136">
        <v>51.33325</v>
      </c>
      <c r="T184" s="138">
        <f t="shared" si="39"/>
        <v>1.0621094514763822</v>
      </c>
      <c r="U184" s="138">
        <f t="shared" si="40"/>
        <v>0.92236318565452224</v>
      </c>
      <c r="AD184" s="320" t="str">
        <f t="shared" si="30"/>
        <v>Winter</v>
      </c>
      <c r="AE184">
        <f t="shared" si="31"/>
        <v>3</v>
      </c>
      <c r="AF184" s="318">
        <v>48274</v>
      </c>
      <c r="AG184" s="317">
        <v>432</v>
      </c>
      <c r="AH184" s="317">
        <v>312</v>
      </c>
      <c r="AI184">
        <f t="shared" si="32"/>
        <v>27</v>
      </c>
      <c r="AJ184">
        <f t="shared" si="33"/>
        <v>4</v>
      </c>
    </row>
    <row r="185" spans="2:36" x14ac:dyDescent="0.2">
      <c r="B185" s="115">
        <f t="shared" si="36"/>
        <v>48488</v>
      </c>
      <c r="C185" s="107">
        <v>5.340685131673327</v>
      </c>
      <c r="D185" s="107">
        <v>5.4601594936708846</v>
      </c>
      <c r="E185" s="116">
        <f t="shared" si="34"/>
        <v>2032</v>
      </c>
      <c r="K185" s="18">
        <f t="shared" si="37"/>
        <v>10</v>
      </c>
      <c r="L185" s="139">
        <f t="shared" si="38"/>
        <v>2032</v>
      </c>
      <c r="M185" s="111">
        <f t="shared" si="35"/>
        <v>48488</v>
      </c>
      <c r="N185" s="112">
        <v>55.937579999999997</v>
      </c>
      <c r="O185" s="112">
        <v>53.553289999999997</v>
      </c>
      <c r="P185" s="112">
        <v>49.131450000000001</v>
      </c>
      <c r="Q185" s="113">
        <v>48.511569999999999</v>
      </c>
      <c r="S185" s="136">
        <v>51.330596236559138</v>
      </c>
      <c r="T185" s="138">
        <f t="shared" si="39"/>
        <v>1.0433015379988473</v>
      </c>
      <c r="U185" s="138">
        <f t="shared" si="40"/>
        <v>0.94508097619658371</v>
      </c>
      <c r="AD185" s="320" t="str">
        <f t="shared" si="30"/>
        <v>Winter</v>
      </c>
      <c r="AE185">
        <f t="shared" si="31"/>
        <v>4</v>
      </c>
      <c r="AF185" s="318">
        <v>48305</v>
      </c>
      <c r="AG185" s="317">
        <v>416</v>
      </c>
      <c r="AH185" s="317">
        <v>304</v>
      </c>
      <c r="AI185">
        <f t="shared" si="32"/>
        <v>26</v>
      </c>
      <c r="AJ185">
        <f t="shared" si="33"/>
        <v>4</v>
      </c>
    </row>
    <row r="186" spans="2:36" x14ac:dyDescent="0.2">
      <c r="B186" s="115">
        <f t="shared" si="36"/>
        <v>48519</v>
      </c>
      <c r="C186" s="107">
        <v>5.4335225125525159</v>
      </c>
      <c r="D186" s="107">
        <v>5.6479063291139227</v>
      </c>
      <c r="E186" s="116">
        <f t="shared" si="34"/>
        <v>2032</v>
      </c>
      <c r="K186" s="18">
        <f t="shared" si="37"/>
        <v>11</v>
      </c>
      <c r="L186" s="139">
        <f t="shared" si="38"/>
        <v>2032</v>
      </c>
      <c r="M186" s="111">
        <f t="shared" si="35"/>
        <v>48519</v>
      </c>
      <c r="N186" s="112">
        <v>56.03275</v>
      </c>
      <c r="O186" s="112">
        <v>53.008200000000002</v>
      </c>
      <c r="P186" s="112">
        <v>49.70485</v>
      </c>
      <c r="Q186" s="113">
        <v>48.796390000000002</v>
      </c>
      <c r="S186" s="136">
        <v>51.133039098474342</v>
      </c>
      <c r="T186" s="138">
        <f t="shared" si="39"/>
        <v>1.0366721973617565</v>
      </c>
      <c r="U186" s="138">
        <f t="shared" si="40"/>
        <v>0.95430255780466489</v>
      </c>
      <c r="AD186" s="320" t="str">
        <f t="shared" si="30"/>
        <v>Winter</v>
      </c>
      <c r="AE186">
        <f t="shared" si="31"/>
        <v>5</v>
      </c>
      <c r="AF186" s="318">
        <v>48335</v>
      </c>
      <c r="AG186" s="317">
        <v>400</v>
      </c>
      <c r="AH186" s="317">
        <v>344</v>
      </c>
      <c r="AI186">
        <f t="shared" si="32"/>
        <v>25</v>
      </c>
      <c r="AJ186">
        <f t="shared" si="33"/>
        <v>6</v>
      </c>
    </row>
    <row r="187" spans="2:36" x14ac:dyDescent="0.2">
      <c r="B187" s="117">
        <f t="shared" si="36"/>
        <v>48549</v>
      </c>
      <c r="C187" s="118">
        <v>5.6736085869453845</v>
      </c>
      <c r="D187" s="118">
        <v>6.0077037974683529</v>
      </c>
      <c r="E187" s="119">
        <f t="shared" si="34"/>
        <v>2032</v>
      </c>
      <c r="K187" s="18">
        <f t="shared" si="37"/>
        <v>12</v>
      </c>
      <c r="L187" s="139">
        <f t="shared" si="38"/>
        <v>2032</v>
      </c>
      <c r="M187" s="120">
        <f t="shared" si="35"/>
        <v>48549</v>
      </c>
      <c r="N187" s="121">
        <v>56.63982</v>
      </c>
      <c r="O187" s="121">
        <v>55.16957</v>
      </c>
      <c r="P187" s="121">
        <v>51.680889999999998</v>
      </c>
      <c r="Q187" s="122">
        <v>52.491950000000003</v>
      </c>
      <c r="S187" s="136">
        <v>53.989113870967742</v>
      </c>
      <c r="T187" s="138">
        <f t="shared" si="39"/>
        <v>1.0218647065008977</v>
      </c>
      <c r="U187" s="138">
        <f t="shared" si="40"/>
        <v>0.97226915273056869</v>
      </c>
      <c r="AD187" s="320" t="str">
        <f t="shared" si="30"/>
        <v>Summer</v>
      </c>
      <c r="AE187">
        <f t="shared" si="31"/>
        <v>6</v>
      </c>
      <c r="AF187" s="318">
        <v>48366</v>
      </c>
      <c r="AG187" s="317">
        <v>416</v>
      </c>
      <c r="AH187" s="317">
        <v>304</v>
      </c>
      <c r="AI187">
        <f t="shared" si="32"/>
        <v>26</v>
      </c>
      <c r="AJ187">
        <f t="shared" si="33"/>
        <v>4</v>
      </c>
    </row>
    <row r="188" spans="2:36" x14ac:dyDescent="0.2">
      <c r="B188" s="106">
        <f t="shared" si="36"/>
        <v>48580</v>
      </c>
      <c r="C188" s="107">
        <v>5.7660360897632961</v>
      </c>
      <c r="D188" s="107">
        <v>6.2212734177215179</v>
      </c>
      <c r="E188" s="108">
        <f t="shared" si="34"/>
        <v>2033</v>
      </c>
      <c r="K188" s="18">
        <f t="shared" si="37"/>
        <v>1</v>
      </c>
      <c r="L188" s="139">
        <f t="shared" si="38"/>
        <v>2033</v>
      </c>
      <c r="M188" s="111">
        <f t="shared" si="35"/>
        <v>48580</v>
      </c>
      <c r="N188" s="123">
        <v>56.045020000000001</v>
      </c>
      <c r="O188" s="123">
        <v>55.890500000000003</v>
      </c>
      <c r="P188" s="123">
        <v>52.420250000000003</v>
      </c>
      <c r="Q188" s="124">
        <v>53.227910000000001</v>
      </c>
      <c r="S188" s="136">
        <v>54.659410000000001</v>
      </c>
      <c r="T188" s="138">
        <f t="shared" si="39"/>
        <v>1.0225229288058544</v>
      </c>
      <c r="U188" s="138">
        <f t="shared" si="40"/>
        <v>0.97381054790016941</v>
      </c>
      <c r="AD188" s="320" t="str">
        <f t="shared" si="30"/>
        <v>Summer</v>
      </c>
      <c r="AE188">
        <f t="shared" si="31"/>
        <v>7</v>
      </c>
      <c r="AF188" s="318">
        <v>48396</v>
      </c>
      <c r="AG188" s="317">
        <v>416</v>
      </c>
      <c r="AH188" s="317">
        <v>328</v>
      </c>
      <c r="AI188">
        <f t="shared" si="32"/>
        <v>26</v>
      </c>
      <c r="AJ188">
        <f t="shared" si="33"/>
        <v>5</v>
      </c>
    </row>
    <row r="189" spans="2:36" x14ac:dyDescent="0.2">
      <c r="B189" s="115">
        <f t="shared" si="36"/>
        <v>48611</v>
      </c>
      <c r="C189" s="107">
        <v>5.8027201762475675</v>
      </c>
      <c r="D189" s="107">
        <v>6.3976784810126563</v>
      </c>
      <c r="E189" s="116">
        <f t="shared" si="34"/>
        <v>2033</v>
      </c>
      <c r="K189" s="18">
        <f t="shared" si="37"/>
        <v>2</v>
      </c>
      <c r="L189" s="139">
        <f t="shared" si="38"/>
        <v>2033</v>
      </c>
      <c r="M189" s="111">
        <f t="shared" si="35"/>
        <v>48611</v>
      </c>
      <c r="N189" s="112">
        <v>58.967440000000003</v>
      </c>
      <c r="O189" s="112">
        <v>56.756239999999998</v>
      </c>
      <c r="P189" s="112">
        <v>54.185099999999998</v>
      </c>
      <c r="Q189" s="113">
        <v>53.236040000000003</v>
      </c>
      <c r="S189" s="136">
        <v>55.247582857142859</v>
      </c>
      <c r="T189" s="138">
        <f t="shared" si="39"/>
        <v>1.0273072063036344</v>
      </c>
      <c r="U189" s="138">
        <f t="shared" si="40"/>
        <v>0.96359039159515392</v>
      </c>
      <c r="AD189" s="320" t="str">
        <f t="shared" si="30"/>
        <v>Summer</v>
      </c>
      <c r="AE189">
        <f t="shared" si="31"/>
        <v>8</v>
      </c>
      <c r="AF189" s="318">
        <v>48427</v>
      </c>
      <c r="AG189" s="317">
        <v>416</v>
      </c>
      <c r="AH189" s="317">
        <v>328</v>
      </c>
      <c r="AI189">
        <f t="shared" si="32"/>
        <v>26</v>
      </c>
      <c r="AJ189">
        <f t="shared" si="33"/>
        <v>5</v>
      </c>
    </row>
    <row r="190" spans="2:36" x14ac:dyDescent="0.2">
      <c r="B190" s="115">
        <f t="shared" si="36"/>
        <v>48639</v>
      </c>
      <c r="C190" s="107">
        <v>5.6003428834921616</v>
      </c>
      <c r="D190" s="107">
        <v>5.8364632911392391</v>
      </c>
      <c r="E190" s="116">
        <f t="shared" si="34"/>
        <v>2033</v>
      </c>
      <c r="K190" s="18">
        <f t="shared" si="37"/>
        <v>3</v>
      </c>
      <c r="L190" s="139">
        <f t="shared" si="38"/>
        <v>2033</v>
      </c>
      <c r="M190" s="111">
        <f t="shared" si="35"/>
        <v>48639</v>
      </c>
      <c r="N190" s="112">
        <v>50.536659999999998</v>
      </c>
      <c r="O190" s="112">
        <v>48.696150000000003</v>
      </c>
      <c r="P190" s="112">
        <v>48.592869999999998</v>
      </c>
      <c r="Q190" s="113">
        <v>47.81861</v>
      </c>
      <c r="S190" s="136">
        <v>48.328835141318983</v>
      </c>
      <c r="T190" s="138">
        <f t="shared" si="39"/>
        <v>1.0076003250979866</v>
      </c>
      <c r="U190" s="138">
        <f t="shared" si="40"/>
        <v>0.98944263523366482</v>
      </c>
      <c r="AD190" s="320" t="str">
        <f t="shared" si="30"/>
        <v>Summer</v>
      </c>
      <c r="AE190">
        <f t="shared" si="31"/>
        <v>9</v>
      </c>
      <c r="AF190" s="318">
        <v>48458</v>
      </c>
      <c r="AG190" s="317">
        <v>400</v>
      </c>
      <c r="AH190" s="317">
        <v>320</v>
      </c>
      <c r="AI190">
        <f t="shared" si="32"/>
        <v>25</v>
      </c>
      <c r="AJ190">
        <f t="shared" si="33"/>
        <v>5</v>
      </c>
    </row>
    <row r="191" spans="2:36" x14ac:dyDescent="0.2">
      <c r="B191" s="115">
        <f t="shared" si="36"/>
        <v>48670</v>
      </c>
      <c r="C191" s="107">
        <v>5.4107742801516556</v>
      </c>
      <c r="D191" s="107">
        <v>5.4515518987341762</v>
      </c>
      <c r="E191" s="116">
        <f t="shared" si="34"/>
        <v>2033</v>
      </c>
      <c r="K191" s="18">
        <f t="shared" si="37"/>
        <v>4</v>
      </c>
      <c r="L191" s="139">
        <f t="shared" si="38"/>
        <v>2033</v>
      </c>
      <c r="M191" s="111">
        <f t="shared" si="35"/>
        <v>48670</v>
      </c>
      <c r="N191" s="112">
        <v>45.448250000000002</v>
      </c>
      <c r="O191" s="112">
        <v>43.533070000000002</v>
      </c>
      <c r="P191" s="112">
        <v>41.34066</v>
      </c>
      <c r="Q191" s="113">
        <v>40.983040000000003</v>
      </c>
      <c r="S191" s="136">
        <v>42.456390666666671</v>
      </c>
      <c r="T191" s="138">
        <f t="shared" si="39"/>
        <v>1.0253596529621782</v>
      </c>
      <c r="U191" s="138">
        <f t="shared" si="40"/>
        <v>0.96529731699912436</v>
      </c>
      <c r="AD191" s="320" t="str">
        <f t="shared" si="30"/>
        <v>Winter</v>
      </c>
      <c r="AE191">
        <f t="shared" si="31"/>
        <v>10</v>
      </c>
      <c r="AF191" s="318">
        <v>48488</v>
      </c>
      <c r="AG191" s="317">
        <v>416</v>
      </c>
      <c r="AH191" s="317">
        <v>328</v>
      </c>
      <c r="AI191">
        <f t="shared" si="32"/>
        <v>26</v>
      </c>
      <c r="AJ191">
        <f t="shared" si="33"/>
        <v>5</v>
      </c>
    </row>
    <row r="192" spans="2:36" x14ac:dyDescent="0.2">
      <c r="B192" s="115">
        <f t="shared" si="36"/>
        <v>48700</v>
      </c>
      <c r="C192" s="107">
        <v>5.232272384465622</v>
      </c>
      <c r="D192" s="107">
        <v>5.4836531645569613</v>
      </c>
      <c r="E192" s="116">
        <f t="shared" si="34"/>
        <v>2033</v>
      </c>
      <c r="K192" s="18">
        <f t="shared" si="37"/>
        <v>5</v>
      </c>
      <c r="L192" s="139">
        <f t="shared" si="38"/>
        <v>2033</v>
      </c>
      <c r="M192" s="111">
        <f t="shared" si="35"/>
        <v>48700</v>
      </c>
      <c r="N192" s="112">
        <v>42.434379999999997</v>
      </c>
      <c r="O192" s="112">
        <v>45.391469999999998</v>
      </c>
      <c r="P192" s="112">
        <v>36.184399999999997</v>
      </c>
      <c r="Q192" s="113">
        <v>41.772190000000002</v>
      </c>
      <c r="S192" s="136">
        <v>43.718039462365596</v>
      </c>
      <c r="T192" s="138">
        <f t="shared" si="39"/>
        <v>1.038277803813114</v>
      </c>
      <c r="U192" s="138">
        <f t="shared" si="40"/>
        <v>0.95549092579870454</v>
      </c>
      <c r="AD192" s="320" t="str">
        <f t="shared" si="30"/>
        <v>Winter</v>
      </c>
      <c r="AE192">
        <f t="shared" si="31"/>
        <v>11</v>
      </c>
      <c r="AF192" s="318">
        <v>48519</v>
      </c>
      <c r="AG192" s="317">
        <v>400</v>
      </c>
      <c r="AH192" s="317">
        <v>320</v>
      </c>
      <c r="AI192">
        <f t="shared" si="32"/>
        <v>25</v>
      </c>
      <c r="AJ192">
        <f t="shared" si="33"/>
        <v>5</v>
      </c>
    </row>
    <row r="193" spans="2:36" x14ac:dyDescent="0.2">
      <c r="B193" s="115">
        <f t="shared" si="36"/>
        <v>48731</v>
      </c>
      <c r="C193" s="107">
        <v>5.2134179936468898</v>
      </c>
      <c r="D193" s="107">
        <v>5.323248101265821</v>
      </c>
      <c r="E193" s="116">
        <f t="shared" si="34"/>
        <v>2033</v>
      </c>
      <c r="K193" s="18">
        <f t="shared" si="37"/>
        <v>6</v>
      </c>
      <c r="L193" s="139">
        <f t="shared" si="38"/>
        <v>2033</v>
      </c>
      <c r="M193" s="111">
        <f t="shared" si="35"/>
        <v>48731</v>
      </c>
      <c r="N193" s="112">
        <v>46.964910000000003</v>
      </c>
      <c r="O193" s="112">
        <v>47.537559999999999</v>
      </c>
      <c r="P193" s="112">
        <v>38.481610000000003</v>
      </c>
      <c r="Q193" s="113">
        <v>42.259729999999998</v>
      </c>
      <c r="S193" s="136">
        <v>45.309142888888886</v>
      </c>
      <c r="T193" s="138">
        <f t="shared" si="39"/>
        <v>1.0491825042150067</v>
      </c>
      <c r="U193" s="138">
        <f t="shared" si="40"/>
        <v>0.93269762581104365</v>
      </c>
      <c r="AD193" s="320" t="str">
        <f t="shared" si="30"/>
        <v>Winter</v>
      </c>
      <c r="AE193">
        <f t="shared" si="31"/>
        <v>12</v>
      </c>
      <c r="AF193" s="318">
        <v>48549</v>
      </c>
      <c r="AG193" s="317">
        <v>416</v>
      </c>
      <c r="AH193" s="317">
        <v>328</v>
      </c>
      <c r="AI193">
        <f t="shared" si="32"/>
        <v>26</v>
      </c>
      <c r="AJ193">
        <f t="shared" si="33"/>
        <v>5</v>
      </c>
    </row>
    <row r="194" spans="2:36" x14ac:dyDescent="0.2">
      <c r="B194" s="115">
        <f t="shared" si="36"/>
        <v>48761</v>
      </c>
      <c r="C194" s="107">
        <v>5.5243105031253208</v>
      </c>
      <c r="D194" s="107">
        <v>5.3393493670886061</v>
      </c>
      <c r="E194" s="116">
        <f t="shared" si="34"/>
        <v>2033</v>
      </c>
      <c r="K194" s="18">
        <f t="shared" si="37"/>
        <v>7</v>
      </c>
      <c r="L194" s="139">
        <f t="shared" si="38"/>
        <v>2033</v>
      </c>
      <c r="M194" s="111">
        <f t="shared" si="35"/>
        <v>48761</v>
      </c>
      <c r="N194" s="112">
        <v>62.025260000000003</v>
      </c>
      <c r="O194" s="112">
        <v>62.967640000000003</v>
      </c>
      <c r="P194" s="112">
        <v>50.417140000000003</v>
      </c>
      <c r="Q194" s="113">
        <v>52.1096</v>
      </c>
      <c r="S194" s="136">
        <v>57.947255913978488</v>
      </c>
      <c r="T194" s="138">
        <f t="shared" si="39"/>
        <v>1.086637132454972</v>
      </c>
      <c r="U194" s="138">
        <f t="shared" si="40"/>
        <v>0.89925914830817244</v>
      </c>
      <c r="AD194" s="320" t="str">
        <f t="shared" ref="AD194:AD253" si="41">IF(AND(AE194&gt;=6,AE194&lt;=9),"Summer","Winter")</f>
        <v>Winter</v>
      </c>
      <c r="AE194">
        <f t="shared" ref="AE194:AE253" si="42">MONTH(AF194)</f>
        <v>1</v>
      </c>
      <c r="AF194" s="318">
        <v>48580</v>
      </c>
      <c r="AG194" s="317">
        <v>400</v>
      </c>
      <c r="AH194" s="317">
        <v>344</v>
      </c>
      <c r="AI194">
        <f t="shared" ref="AI194:AI253" si="43">AG194/16</f>
        <v>25</v>
      </c>
      <c r="AJ194">
        <f t="shared" ref="AJ194:AJ253" si="44">EDATE(AF194,1)-AF194-AI194</f>
        <v>6</v>
      </c>
    </row>
    <row r="195" spans="2:36" x14ac:dyDescent="0.2">
      <c r="B195" s="115">
        <f t="shared" si="36"/>
        <v>48792</v>
      </c>
      <c r="C195" s="107">
        <v>5.7028123988113544</v>
      </c>
      <c r="D195" s="107">
        <v>5.5317544303797463</v>
      </c>
      <c r="E195" s="116">
        <f t="shared" si="34"/>
        <v>2033</v>
      </c>
      <c r="K195" s="18">
        <f t="shared" si="37"/>
        <v>8</v>
      </c>
      <c r="L195" s="139">
        <f t="shared" si="38"/>
        <v>2033</v>
      </c>
      <c r="M195" s="111">
        <f t="shared" si="35"/>
        <v>48792</v>
      </c>
      <c r="N195" s="112">
        <v>65.283249999999995</v>
      </c>
      <c r="O195" s="112">
        <v>66.903530000000003</v>
      </c>
      <c r="P195" s="112">
        <v>53.325679999999998</v>
      </c>
      <c r="Q195" s="113">
        <v>55.027790000000003</v>
      </c>
      <c r="S195" s="136">
        <v>61.923380967741942</v>
      </c>
      <c r="T195" s="138">
        <f t="shared" si="39"/>
        <v>1.0804243720938365</v>
      </c>
      <c r="U195" s="138">
        <f t="shared" si="40"/>
        <v>0.88864317710084184</v>
      </c>
      <c r="AD195" s="320" t="str">
        <f t="shared" si="41"/>
        <v>Winter</v>
      </c>
      <c r="AE195">
        <f t="shared" si="42"/>
        <v>2</v>
      </c>
      <c r="AF195" s="318">
        <v>48611</v>
      </c>
      <c r="AG195" s="317">
        <v>384</v>
      </c>
      <c r="AH195" s="317">
        <v>288</v>
      </c>
      <c r="AI195">
        <f t="shared" si="43"/>
        <v>24</v>
      </c>
      <c r="AJ195">
        <f t="shared" si="44"/>
        <v>4</v>
      </c>
    </row>
    <row r="196" spans="2:36" x14ac:dyDescent="0.2">
      <c r="B196" s="115">
        <f t="shared" si="36"/>
        <v>48823</v>
      </c>
      <c r="C196" s="107">
        <v>5.651577641151758</v>
      </c>
      <c r="D196" s="107">
        <v>5.4515518987341762</v>
      </c>
      <c r="E196" s="116">
        <f t="shared" si="34"/>
        <v>2033</v>
      </c>
      <c r="K196" s="18">
        <f t="shared" si="37"/>
        <v>9</v>
      </c>
      <c r="L196" s="139">
        <f t="shared" si="38"/>
        <v>2033</v>
      </c>
      <c r="M196" s="111">
        <f t="shared" si="35"/>
        <v>48823</v>
      </c>
      <c r="N196" s="112">
        <v>59.655769999999997</v>
      </c>
      <c r="O196" s="112">
        <v>57.308610000000002</v>
      </c>
      <c r="P196" s="112">
        <v>51.078400000000002</v>
      </c>
      <c r="Q196" s="113">
        <v>50.337069999999997</v>
      </c>
      <c r="S196" s="136">
        <v>54.210147777777777</v>
      </c>
      <c r="T196" s="138">
        <f t="shared" si="39"/>
        <v>1.0571564983538446</v>
      </c>
      <c r="U196" s="138">
        <f t="shared" si="40"/>
        <v>0.92855437705769439</v>
      </c>
      <c r="AD196" s="320" t="str">
        <f t="shared" si="41"/>
        <v>Winter</v>
      </c>
      <c r="AE196">
        <f t="shared" si="42"/>
        <v>3</v>
      </c>
      <c r="AF196" s="318">
        <v>48639</v>
      </c>
      <c r="AG196" s="317">
        <v>432</v>
      </c>
      <c r="AH196" s="317">
        <v>312</v>
      </c>
      <c r="AI196">
        <f t="shared" si="43"/>
        <v>27</v>
      </c>
      <c r="AJ196">
        <f t="shared" si="44"/>
        <v>4</v>
      </c>
    </row>
    <row r="197" spans="2:36" x14ac:dyDescent="0.2">
      <c r="B197" s="115">
        <f t="shared" si="36"/>
        <v>48853</v>
      </c>
      <c r="C197" s="107">
        <v>5.6866222153909209</v>
      </c>
      <c r="D197" s="107">
        <v>5.7081594936708848</v>
      </c>
      <c r="E197" s="116">
        <f t="shared" si="34"/>
        <v>2033</v>
      </c>
      <c r="K197" s="18">
        <f t="shared" si="37"/>
        <v>10</v>
      </c>
      <c r="L197" s="139">
        <f t="shared" si="38"/>
        <v>2033</v>
      </c>
      <c r="M197" s="111">
        <f t="shared" si="35"/>
        <v>48853</v>
      </c>
      <c r="N197" s="112">
        <v>57.752400000000002</v>
      </c>
      <c r="O197" s="112">
        <v>55.425620000000002</v>
      </c>
      <c r="P197" s="112">
        <v>51.366790000000002</v>
      </c>
      <c r="Q197" s="113">
        <v>50.84713</v>
      </c>
      <c r="S197" s="136">
        <v>53.407145913978496</v>
      </c>
      <c r="T197" s="138">
        <f t="shared" si="39"/>
        <v>1.0377940826359193</v>
      </c>
      <c r="U197" s="138">
        <f t="shared" si="40"/>
        <v>0.95206604153493157</v>
      </c>
      <c r="AD197" s="320" t="str">
        <f t="shared" si="41"/>
        <v>Winter</v>
      </c>
      <c r="AE197">
        <f t="shared" si="42"/>
        <v>4</v>
      </c>
      <c r="AF197" s="318">
        <v>48670</v>
      </c>
      <c r="AG197" s="317">
        <v>416</v>
      </c>
      <c r="AH197" s="317">
        <v>304</v>
      </c>
      <c r="AI197">
        <f t="shared" si="43"/>
        <v>26</v>
      </c>
      <c r="AJ197">
        <f t="shared" si="44"/>
        <v>4</v>
      </c>
    </row>
    <row r="198" spans="2:36" x14ac:dyDescent="0.2">
      <c r="B198" s="115">
        <f t="shared" si="36"/>
        <v>48884</v>
      </c>
      <c r="C198" s="107">
        <v>5.7173630699866793</v>
      </c>
      <c r="D198" s="107">
        <v>6.0288683544303785</v>
      </c>
      <c r="E198" s="116">
        <f t="shared" si="34"/>
        <v>2033</v>
      </c>
      <c r="K198" s="18">
        <f t="shared" si="37"/>
        <v>11</v>
      </c>
      <c r="L198" s="139">
        <f t="shared" si="38"/>
        <v>2033</v>
      </c>
      <c r="M198" s="111">
        <f t="shared" si="35"/>
        <v>48884</v>
      </c>
      <c r="N198" s="112">
        <v>58.169229999999999</v>
      </c>
      <c r="O198" s="112">
        <v>55.632739999999998</v>
      </c>
      <c r="P198" s="112">
        <v>52.197139999999997</v>
      </c>
      <c r="Q198" s="113">
        <v>51.636319999999998</v>
      </c>
      <c r="S198" s="136">
        <v>53.853473952843274</v>
      </c>
      <c r="T198" s="138">
        <f t="shared" si="39"/>
        <v>1.0330390208199891</v>
      </c>
      <c r="U198" s="138">
        <f t="shared" si="40"/>
        <v>0.95882988059814445</v>
      </c>
      <c r="AD198" s="320" t="str">
        <f t="shared" si="41"/>
        <v>Winter</v>
      </c>
      <c r="AE198">
        <f t="shared" si="42"/>
        <v>5</v>
      </c>
      <c r="AF198" s="318">
        <v>48700</v>
      </c>
      <c r="AG198" s="317">
        <v>400</v>
      </c>
      <c r="AH198" s="317">
        <v>344</v>
      </c>
      <c r="AI198">
        <f t="shared" si="43"/>
        <v>25</v>
      </c>
      <c r="AJ198">
        <f t="shared" si="44"/>
        <v>6</v>
      </c>
    </row>
    <row r="199" spans="2:36" x14ac:dyDescent="0.2">
      <c r="B199" s="117">
        <f t="shared" si="36"/>
        <v>48914</v>
      </c>
      <c r="C199" s="118">
        <v>6.125601619018342</v>
      </c>
      <c r="D199" s="118">
        <v>6.3816784810126572</v>
      </c>
      <c r="E199" s="119">
        <f t="shared" si="34"/>
        <v>2033</v>
      </c>
      <c r="K199" s="18">
        <f t="shared" si="37"/>
        <v>12</v>
      </c>
      <c r="L199" s="139">
        <f t="shared" si="38"/>
        <v>2033</v>
      </c>
      <c r="M199" s="120">
        <f t="shared" si="35"/>
        <v>48914</v>
      </c>
      <c r="N199" s="121">
        <v>59.322069999999997</v>
      </c>
      <c r="O199" s="121">
        <v>57.094149999999999</v>
      </c>
      <c r="P199" s="121">
        <v>53.989409999999999</v>
      </c>
      <c r="Q199" s="122">
        <v>54.28595</v>
      </c>
      <c r="S199" s="136">
        <v>55.856126344086022</v>
      </c>
      <c r="T199" s="138">
        <f t="shared" si="39"/>
        <v>1.0221645097314389</v>
      </c>
      <c r="U199" s="138">
        <f t="shared" si="40"/>
        <v>0.97188891448695547</v>
      </c>
      <c r="AD199" s="320" t="str">
        <f t="shared" si="41"/>
        <v>Summer</v>
      </c>
      <c r="AE199">
        <f t="shared" si="42"/>
        <v>6</v>
      </c>
      <c r="AF199" s="318">
        <v>48731</v>
      </c>
      <c r="AG199" s="317">
        <v>416</v>
      </c>
      <c r="AH199" s="317">
        <v>304</v>
      </c>
      <c r="AI199">
        <f t="shared" si="43"/>
        <v>26</v>
      </c>
      <c r="AJ199">
        <f t="shared" si="44"/>
        <v>4</v>
      </c>
    </row>
    <row r="200" spans="2:36" x14ac:dyDescent="0.2">
      <c r="B200" s="106">
        <f t="shared" si="36"/>
        <v>48945</v>
      </c>
      <c r="C200" s="107">
        <v>6.2446711958192438</v>
      </c>
      <c r="D200" s="107">
        <v>6.6061848101265817</v>
      </c>
      <c r="E200" s="108">
        <f t="shared" ref="E200:E223" si="45">YEAR(B200)</f>
        <v>2034</v>
      </c>
      <c r="K200" s="18">
        <f t="shared" si="37"/>
        <v>1</v>
      </c>
      <c r="L200" s="139">
        <f t="shared" si="38"/>
        <v>2034</v>
      </c>
      <c r="M200" s="111">
        <f t="shared" ref="M200:M223" si="46">B200</f>
        <v>48945</v>
      </c>
      <c r="N200" s="123">
        <v>58.515540000000001</v>
      </c>
      <c r="O200" s="123">
        <v>58.217489999999998</v>
      </c>
      <c r="P200" s="123">
        <v>54.584589999999999</v>
      </c>
      <c r="Q200" s="124">
        <v>55.122709999999998</v>
      </c>
      <c r="S200" s="136">
        <v>56.786570215053764</v>
      </c>
      <c r="T200" s="138">
        <f t="shared" si="39"/>
        <v>1.0251982075960437</v>
      </c>
      <c r="U200" s="138">
        <f t="shared" si="40"/>
        <v>0.97069975860925151</v>
      </c>
      <c r="AD200" s="320" t="str">
        <f t="shared" si="41"/>
        <v>Summer</v>
      </c>
      <c r="AE200">
        <f t="shared" si="42"/>
        <v>7</v>
      </c>
      <c r="AF200" s="318">
        <v>48761</v>
      </c>
      <c r="AG200" s="317">
        <v>400</v>
      </c>
      <c r="AH200" s="317">
        <v>344</v>
      </c>
      <c r="AI200">
        <f t="shared" si="43"/>
        <v>25</v>
      </c>
      <c r="AJ200">
        <f t="shared" si="44"/>
        <v>6</v>
      </c>
    </row>
    <row r="201" spans="2:36" x14ac:dyDescent="0.2">
      <c r="B201" s="115">
        <f t="shared" ref="B201:B247" si="47">EDATE(B200,1)</f>
        <v>48976</v>
      </c>
      <c r="C201" s="107">
        <v>6.2818676298801117</v>
      </c>
      <c r="D201" s="107">
        <v>6.6883113924050619</v>
      </c>
      <c r="E201" s="116">
        <f t="shared" si="45"/>
        <v>2034</v>
      </c>
      <c r="K201" s="18">
        <f t="shared" ref="K201:K223" si="48">MONTH(M201)</f>
        <v>2</v>
      </c>
      <c r="L201" s="139">
        <f t="shared" ref="L201:L223" si="49">YEAR(M201)</f>
        <v>2034</v>
      </c>
      <c r="M201" s="111">
        <f t="shared" si="46"/>
        <v>48976</v>
      </c>
      <c r="N201" s="112">
        <v>60.844270000000002</v>
      </c>
      <c r="O201" s="112">
        <v>58.2453</v>
      </c>
      <c r="P201" s="112">
        <v>56.236339999999998</v>
      </c>
      <c r="Q201" s="113">
        <v>55.116079999999997</v>
      </c>
      <c r="S201" s="136">
        <v>56.904205714285716</v>
      </c>
      <c r="T201" s="138">
        <f t="shared" ref="T201:T223" si="50">O201/S201</f>
        <v>1.023567577631219</v>
      </c>
      <c r="U201" s="138">
        <f t="shared" ref="U201:U223" si="51">Q201/S201</f>
        <v>0.96857656315837459</v>
      </c>
      <c r="AD201" s="320" t="str">
        <f t="shared" si="41"/>
        <v>Summer</v>
      </c>
      <c r="AE201">
        <f t="shared" si="42"/>
        <v>8</v>
      </c>
      <c r="AF201" s="318">
        <v>48792</v>
      </c>
      <c r="AG201" s="317">
        <v>432</v>
      </c>
      <c r="AH201" s="317">
        <v>312</v>
      </c>
      <c r="AI201">
        <f t="shared" si="43"/>
        <v>27</v>
      </c>
      <c r="AJ201">
        <f t="shared" si="44"/>
        <v>4</v>
      </c>
    </row>
    <row r="202" spans="2:36" x14ac:dyDescent="0.2">
      <c r="B202" s="115">
        <f t="shared" si="47"/>
        <v>49004</v>
      </c>
      <c r="C202" s="107">
        <v>6.0246691464289377</v>
      </c>
      <c r="D202" s="107">
        <v>6.2938810126582263</v>
      </c>
      <c r="E202" s="116">
        <f t="shared" si="45"/>
        <v>2034</v>
      </c>
      <c r="K202" s="18">
        <f t="shared" si="48"/>
        <v>3</v>
      </c>
      <c r="L202" s="139">
        <f t="shared" si="49"/>
        <v>2034</v>
      </c>
      <c r="M202" s="111">
        <f t="shared" si="46"/>
        <v>49004</v>
      </c>
      <c r="N202" s="112">
        <v>53.794890000000002</v>
      </c>
      <c r="O202" s="112">
        <v>52.230670000000003</v>
      </c>
      <c r="P202" s="112">
        <v>51.71913</v>
      </c>
      <c r="Q202" s="113">
        <v>51.093899999999998</v>
      </c>
      <c r="S202" s="136">
        <v>51.754848371467027</v>
      </c>
      <c r="T202" s="138">
        <f t="shared" si="50"/>
        <v>1.0091937594931744</v>
      </c>
      <c r="U202" s="138">
        <f t="shared" si="51"/>
        <v>0.98722924726350048</v>
      </c>
      <c r="AD202" s="320" t="str">
        <f t="shared" si="41"/>
        <v>Summer</v>
      </c>
      <c r="AE202">
        <f t="shared" si="42"/>
        <v>9</v>
      </c>
      <c r="AF202" s="318">
        <v>48823</v>
      </c>
      <c r="AG202" s="317">
        <v>400</v>
      </c>
      <c r="AH202" s="317">
        <v>320</v>
      </c>
      <c r="AI202">
        <f t="shared" si="43"/>
        <v>25</v>
      </c>
      <c r="AJ202">
        <f t="shared" si="44"/>
        <v>5</v>
      </c>
    </row>
    <row r="203" spans="2:36" x14ac:dyDescent="0.2">
      <c r="B203" s="115">
        <f t="shared" si="47"/>
        <v>49035</v>
      </c>
      <c r="C203" s="107">
        <v>5.7470792294292448</v>
      </c>
      <c r="D203" s="107">
        <v>5.8829443037974674</v>
      </c>
      <c r="E203" s="116">
        <f t="shared" si="45"/>
        <v>2034</v>
      </c>
      <c r="K203" s="18">
        <f t="shared" si="48"/>
        <v>4</v>
      </c>
      <c r="L203" s="139">
        <f t="shared" si="49"/>
        <v>2034</v>
      </c>
      <c r="M203" s="111">
        <f t="shared" si="46"/>
        <v>49035</v>
      </c>
      <c r="N203" s="112">
        <v>48.762419999999999</v>
      </c>
      <c r="O203" s="112">
        <v>47.250999999999998</v>
      </c>
      <c r="P203" s="112">
        <v>44.753880000000002</v>
      </c>
      <c r="Q203" s="113">
        <v>44.257109999999997</v>
      </c>
      <c r="S203" s="136">
        <v>45.920382222222223</v>
      </c>
      <c r="T203" s="138">
        <f t="shared" si="50"/>
        <v>1.0289766267915308</v>
      </c>
      <c r="U203" s="138">
        <f t="shared" si="51"/>
        <v>0.96377921651058651</v>
      </c>
      <c r="AD203" s="320" t="str">
        <f t="shared" si="41"/>
        <v>Winter</v>
      </c>
      <c r="AE203">
        <f t="shared" si="42"/>
        <v>10</v>
      </c>
      <c r="AF203" s="318">
        <v>48853</v>
      </c>
      <c r="AG203" s="317">
        <v>416</v>
      </c>
      <c r="AH203" s="317">
        <v>328</v>
      </c>
      <c r="AI203">
        <f t="shared" si="43"/>
        <v>26</v>
      </c>
      <c r="AJ203">
        <f t="shared" si="44"/>
        <v>5</v>
      </c>
    </row>
    <row r="204" spans="2:36" x14ac:dyDescent="0.2">
      <c r="B204" s="115">
        <f t="shared" si="47"/>
        <v>49065</v>
      </c>
      <c r="C204" s="107">
        <v>5.5806687365508765</v>
      </c>
      <c r="D204" s="107">
        <v>5.7513999999999994</v>
      </c>
      <c r="E204" s="116">
        <f t="shared" si="45"/>
        <v>2034</v>
      </c>
      <c r="K204" s="18">
        <f t="shared" si="48"/>
        <v>5</v>
      </c>
      <c r="L204" s="139">
        <f t="shared" si="49"/>
        <v>2034</v>
      </c>
      <c r="M204" s="111">
        <f t="shared" si="46"/>
        <v>49065</v>
      </c>
      <c r="N204" s="112">
        <v>46.287260000000003</v>
      </c>
      <c r="O204" s="112">
        <v>47.921579999999999</v>
      </c>
      <c r="P204" s="112">
        <v>39.653480000000002</v>
      </c>
      <c r="Q204" s="113">
        <v>44.196449999999999</v>
      </c>
      <c r="S204" s="136">
        <v>46.279318387096772</v>
      </c>
      <c r="T204" s="138">
        <f t="shared" si="50"/>
        <v>1.0354858643156055</v>
      </c>
      <c r="U204" s="138">
        <f t="shared" si="51"/>
        <v>0.95499353794118325</v>
      </c>
      <c r="AD204" s="320" t="str">
        <f t="shared" si="41"/>
        <v>Winter</v>
      </c>
      <c r="AE204">
        <f t="shared" si="42"/>
        <v>11</v>
      </c>
      <c r="AF204" s="318">
        <v>48884</v>
      </c>
      <c r="AG204" s="317">
        <v>400</v>
      </c>
      <c r="AH204" s="317">
        <v>320</v>
      </c>
      <c r="AI204">
        <f t="shared" si="43"/>
        <v>25</v>
      </c>
      <c r="AJ204">
        <f t="shared" si="44"/>
        <v>5</v>
      </c>
    </row>
    <row r="205" spans="2:36" x14ac:dyDescent="0.2">
      <c r="B205" s="115">
        <f t="shared" si="47"/>
        <v>49096</v>
      </c>
      <c r="C205" s="107">
        <v>5.5282043447074498</v>
      </c>
      <c r="D205" s="107">
        <v>5.6199569620253156</v>
      </c>
      <c r="E205" s="116">
        <f t="shared" si="45"/>
        <v>2034</v>
      </c>
      <c r="K205" s="18">
        <f t="shared" si="48"/>
        <v>6</v>
      </c>
      <c r="L205" s="139">
        <f t="shared" si="49"/>
        <v>2034</v>
      </c>
      <c r="M205" s="111">
        <f t="shared" si="46"/>
        <v>49096</v>
      </c>
      <c r="N205" s="112">
        <v>49.455489999999998</v>
      </c>
      <c r="O205" s="112">
        <v>49.77111</v>
      </c>
      <c r="P205" s="112">
        <v>40.731549999999999</v>
      </c>
      <c r="Q205" s="113">
        <v>44.651850000000003</v>
      </c>
      <c r="S205" s="136">
        <v>47.609644666666668</v>
      </c>
      <c r="T205" s="138">
        <f t="shared" si="50"/>
        <v>1.0453997367228127</v>
      </c>
      <c r="U205" s="138">
        <f t="shared" si="51"/>
        <v>0.93787404448457201</v>
      </c>
      <c r="AD205" s="320" t="str">
        <f t="shared" si="41"/>
        <v>Winter</v>
      </c>
      <c r="AE205">
        <f t="shared" si="42"/>
        <v>12</v>
      </c>
      <c r="AF205" s="318">
        <v>48914</v>
      </c>
      <c r="AG205" s="317">
        <v>416</v>
      </c>
      <c r="AH205" s="317">
        <v>328</v>
      </c>
      <c r="AI205">
        <f t="shared" si="43"/>
        <v>26</v>
      </c>
      <c r="AJ205">
        <f t="shared" si="44"/>
        <v>5</v>
      </c>
    </row>
    <row r="206" spans="2:36" x14ac:dyDescent="0.2">
      <c r="B206" s="115">
        <f t="shared" si="47"/>
        <v>49126</v>
      </c>
      <c r="C206" s="107">
        <v>5.7303766984322166</v>
      </c>
      <c r="D206" s="107">
        <v>5.4720075949367075</v>
      </c>
      <c r="E206" s="116">
        <f t="shared" si="45"/>
        <v>2034</v>
      </c>
      <c r="K206" s="18">
        <f t="shared" si="48"/>
        <v>7</v>
      </c>
      <c r="L206" s="139">
        <f t="shared" si="49"/>
        <v>2034</v>
      </c>
      <c r="M206" s="111">
        <f t="shared" si="46"/>
        <v>49126</v>
      </c>
      <c r="N206" s="112">
        <v>63.794840000000001</v>
      </c>
      <c r="O206" s="112">
        <v>64.693860000000001</v>
      </c>
      <c r="P206" s="112">
        <v>52.025919999999999</v>
      </c>
      <c r="Q206" s="113">
        <v>53.819090000000003</v>
      </c>
      <c r="S206" s="136">
        <v>59.665740537634406</v>
      </c>
      <c r="T206" s="138">
        <f t="shared" si="50"/>
        <v>1.0842714666248732</v>
      </c>
      <c r="U206" s="138">
        <f t="shared" si="51"/>
        <v>0.90200992252921752</v>
      </c>
      <c r="AD206" s="320" t="str">
        <f t="shared" si="41"/>
        <v>Winter</v>
      </c>
      <c r="AE206">
        <f t="shared" si="42"/>
        <v>1</v>
      </c>
      <c r="AF206" s="318">
        <v>48945</v>
      </c>
      <c r="AG206" s="317">
        <v>400</v>
      </c>
      <c r="AH206" s="317">
        <v>344</v>
      </c>
      <c r="AI206">
        <f t="shared" si="43"/>
        <v>25</v>
      </c>
      <c r="AJ206">
        <f t="shared" si="44"/>
        <v>6</v>
      </c>
    </row>
    <row r="207" spans="2:36" x14ac:dyDescent="0.2">
      <c r="B207" s="115">
        <f t="shared" si="47"/>
        <v>49157</v>
      </c>
      <c r="C207" s="107">
        <v>5.9133872527922948</v>
      </c>
      <c r="D207" s="107">
        <v>5.7020835443037967</v>
      </c>
      <c r="E207" s="116">
        <f t="shared" si="45"/>
        <v>2034</v>
      </c>
      <c r="K207" s="18">
        <f t="shared" si="48"/>
        <v>8</v>
      </c>
      <c r="L207" s="139">
        <f t="shared" si="49"/>
        <v>2034</v>
      </c>
      <c r="M207" s="111">
        <f t="shared" si="46"/>
        <v>49157</v>
      </c>
      <c r="N207" s="112">
        <v>66.772900000000007</v>
      </c>
      <c r="O207" s="112">
        <v>68.509690000000006</v>
      </c>
      <c r="P207" s="112">
        <v>54.782040000000002</v>
      </c>
      <c r="Q207" s="113">
        <v>56.571849999999998</v>
      </c>
      <c r="S207" s="136">
        <v>63.503499032258077</v>
      </c>
      <c r="T207" s="138">
        <f t="shared" si="50"/>
        <v>1.078833309093707</v>
      </c>
      <c r="U207" s="138">
        <f t="shared" si="51"/>
        <v>0.89084618740871291</v>
      </c>
      <c r="AD207" s="320" t="str">
        <f t="shared" si="41"/>
        <v>Winter</v>
      </c>
      <c r="AE207">
        <f t="shared" si="42"/>
        <v>2</v>
      </c>
      <c r="AF207" s="318">
        <v>48976</v>
      </c>
      <c r="AG207" s="317">
        <v>384</v>
      </c>
      <c r="AH207" s="317">
        <v>288</v>
      </c>
      <c r="AI207">
        <f t="shared" si="43"/>
        <v>24</v>
      </c>
      <c r="AJ207">
        <f t="shared" si="44"/>
        <v>4</v>
      </c>
    </row>
    <row r="208" spans="2:36" x14ac:dyDescent="0.2">
      <c r="B208" s="115">
        <f t="shared" si="47"/>
        <v>49188</v>
      </c>
      <c r="C208" s="107">
        <v>5.8110202069884211</v>
      </c>
      <c r="D208" s="107">
        <v>5.5541341772151895</v>
      </c>
      <c r="E208" s="116">
        <f t="shared" si="45"/>
        <v>2034</v>
      </c>
      <c r="K208" s="18">
        <f t="shared" si="48"/>
        <v>9</v>
      </c>
      <c r="L208" s="139">
        <f t="shared" si="49"/>
        <v>2034</v>
      </c>
      <c r="M208" s="111">
        <f t="shared" si="46"/>
        <v>49188</v>
      </c>
      <c r="N208" s="112">
        <v>60.358350000000002</v>
      </c>
      <c r="O208" s="112">
        <v>57.768369999999997</v>
      </c>
      <c r="P208" s="112">
        <v>51.873840000000001</v>
      </c>
      <c r="Q208" s="113">
        <v>51.489800000000002</v>
      </c>
      <c r="S208" s="136">
        <v>54.977894444444445</v>
      </c>
      <c r="T208" s="138">
        <f t="shared" si="50"/>
        <v>1.050756319130689</v>
      </c>
      <c r="U208" s="138">
        <f t="shared" si="51"/>
        <v>0.93655460108663879</v>
      </c>
      <c r="AD208" s="320" t="str">
        <f t="shared" si="41"/>
        <v>Winter</v>
      </c>
      <c r="AE208">
        <f t="shared" si="42"/>
        <v>3</v>
      </c>
      <c r="AF208" s="318">
        <v>49004</v>
      </c>
      <c r="AG208" s="317">
        <v>432</v>
      </c>
      <c r="AH208" s="317">
        <v>312</v>
      </c>
      <c r="AI208">
        <f t="shared" si="43"/>
        <v>27</v>
      </c>
      <c r="AJ208">
        <f t="shared" si="44"/>
        <v>4</v>
      </c>
    </row>
    <row r="209" spans="2:36" x14ac:dyDescent="0.2">
      <c r="B209" s="115">
        <f t="shared" si="47"/>
        <v>49218</v>
      </c>
      <c r="C209" s="107">
        <v>5.8301820063531107</v>
      </c>
      <c r="D209" s="107">
        <v>5.8336278481012647</v>
      </c>
      <c r="E209" s="116">
        <f t="shared" si="45"/>
        <v>2034</v>
      </c>
      <c r="K209" s="18">
        <f t="shared" si="48"/>
        <v>10</v>
      </c>
      <c r="L209" s="139">
        <f t="shared" si="49"/>
        <v>2034</v>
      </c>
      <c r="M209" s="111">
        <f t="shared" si="46"/>
        <v>49218</v>
      </c>
      <c r="N209" s="112">
        <v>58.935299999999998</v>
      </c>
      <c r="O209" s="112">
        <v>55.617229999999999</v>
      </c>
      <c r="P209" s="112">
        <v>52.447290000000002</v>
      </c>
      <c r="Q209" s="113">
        <v>51.454569999999997</v>
      </c>
      <c r="S209" s="136">
        <v>53.782078817204301</v>
      </c>
      <c r="T209" s="138">
        <f t="shared" si="50"/>
        <v>1.0341219830686175</v>
      </c>
      <c r="U209" s="138">
        <f t="shared" si="51"/>
        <v>0.95672333854711922</v>
      </c>
      <c r="AD209" s="320" t="str">
        <f t="shared" si="41"/>
        <v>Winter</v>
      </c>
      <c r="AE209">
        <f t="shared" si="42"/>
        <v>4</v>
      </c>
      <c r="AF209" s="318">
        <v>49035</v>
      </c>
      <c r="AG209" s="317">
        <v>400</v>
      </c>
      <c r="AH209" s="317">
        <v>320</v>
      </c>
      <c r="AI209">
        <f t="shared" si="43"/>
        <v>25</v>
      </c>
      <c r="AJ209">
        <f t="shared" si="44"/>
        <v>5</v>
      </c>
    </row>
    <row r="210" spans="2:36" x14ac:dyDescent="0.2">
      <c r="B210" s="115">
        <f t="shared" si="47"/>
        <v>49249</v>
      </c>
      <c r="C210" s="107">
        <v>5.8787525566144074</v>
      </c>
      <c r="D210" s="107">
        <v>6.2280582278481003</v>
      </c>
      <c r="E210" s="116">
        <f t="shared" si="45"/>
        <v>2034</v>
      </c>
      <c r="K210" s="18">
        <f t="shared" si="48"/>
        <v>11</v>
      </c>
      <c r="L210" s="139">
        <f t="shared" si="49"/>
        <v>2034</v>
      </c>
      <c r="M210" s="111">
        <f t="shared" si="46"/>
        <v>49249</v>
      </c>
      <c r="N210" s="112">
        <v>60.335850000000001</v>
      </c>
      <c r="O210" s="112">
        <v>57.721420000000002</v>
      </c>
      <c r="P210" s="112">
        <v>54.281770000000002</v>
      </c>
      <c r="Q210" s="113">
        <v>53.654969999999999</v>
      </c>
      <c r="S210" s="136">
        <v>55.910975547850207</v>
      </c>
      <c r="T210" s="138">
        <f t="shared" si="50"/>
        <v>1.0323808417651443</v>
      </c>
      <c r="U210" s="138">
        <f t="shared" si="51"/>
        <v>0.95965004141415033</v>
      </c>
      <c r="AD210" s="320" t="str">
        <f t="shared" si="41"/>
        <v>Winter</v>
      </c>
      <c r="AE210">
        <f t="shared" si="42"/>
        <v>5</v>
      </c>
      <c r="AF210" s="318">
        <v>49065</v>
      </c>
      <c r="AG210" s="317">
        <v>416</v>
      </c>
      <c r="AH210" s="317">
        <v>328</v>
      </c>
      <c r="AI210">
        <f t="shared" si="43"/>
        <v>26</v>
      </c>
      <c r="AJ210">
        <f t="shared" si="44"/>
        <v>5</v>
      </c>
    </row>
    <row r="211" spans="2:36" x14ac:dyDescent="0.2">
      <c r="B211" s="117">
        <f t="shared" si="47"/>
        <v>49279</v>
      </c>
      <c r="C211" s="118">
        <v>6.2805355261809614</v>
      </c>
      <c r="D211" s="118">
        <v>6.556868354430379</v>
      </c>
      <c r="E211" s="119">
        <f t="shared" si="45"/>
        <v>2034</v>
      </c>
      <c r="K211" s="18">
        <f t="shared" si="48"/>
        <v>12</v>
      </c>
      <c r="L211" s="139">
        <f t="shared" si="49"/>
        <v>2034</v>
      </c>
      <c r="M211" s="120">
        <f t="shared" si="46"/>
        <v>49279</v>
      </c>
      <c r="N211" s="121">
        <v>60.828420000000001</v>
      </c>
      <c r="O211" s="121">
        <v>58.467509999999997</v>
      </c>
      <c r="P211" s="121">
        <v>55.76876</v>
      </c>
      <c r="Q211" s="122">
        <v>55.986150000000002</v>
      </c>
      <c r="S211" s="136">
        <v>57.32021451612902</v>
      </c>
      <c r="T211" s="138">
        <f t="shared" si="50"/>
        <v>1.0200155476310744</v>
      </c>
      <c r="U211" s="138">
        <f t="shared" si="51"/>
        <v>0.97672610740572796</v>
      </c>
      <c r="AD211" s="320" t="str">
        <f t="shared" si="41"/>
        <v>Summer</v>
      </c>
      <c r="AE211">
        <f t="shared" si="42"/>
        <v>6</v>
      </c>
      <c r="AF211" s="318">
        <v>49096</v>
      </c>
      <c r="AG211" s="317">
        <v>416</v>
      </c>
      <c r="AH211" s="317">
        <v>304</v>
      </c>
      <c r="AI211">
        <f t="shared" si="43"/>
        <v>26</v>
      </c>
      <c r="AJ211">
        <f t="shared" si="44"/>
        <v>4</v>
      </c>
    </row>
    <row r="212" spans="2:36" x14ac:dyDescent="0.2">
      <c r="B212" s="106">
        <f t="shared" si="47"/>
        <v>49310</v>
      </c>
      <c r="C212" s="107">
        <v>6.4197915974997448</v>
      </c>
      <c r="D212" s="107">
        <v>6.7705392405063272</v>
      </c>
      <c r="E212" s="108">
        <f t="shared" si="45"/>
        <v>2035</v>
      </c>
      <c r="K212" s="18">
        <f t="shared" si="48"/>
        <v>1</v>
      </c>
      <c r="L212" s="139">
        <f t="shared" si="49"/>
        <v>2035</v>
      </c>
      <c r="M212" s="111">
        <f t="shared" si="46"/>
        <v>49310</v>
      </c>
      <c r="N212" s="123">
        <v>60.215580000000003</v>
      </c>
      <c r="O212" s="123">
        <v>59.41037</v>
      </c>
      <c r="P212" s="123">
        <v>55.99841</v>
      </c>
      <c r="Q212" s="124">
        <v>56.418219999999998</v>
      </c>
      <c r="S212" s="136">
        <v>58.091250107526875</v>
      </c>
      <c r="T212" s="138">
        <f t="shared" si="50"/>
        <v>1.0227077208707238</v>
      </c>
      <c r="U212" s="138">
        <f t="shared" si="51"/>
        <v>0.97119996377371631</v>
      </c>
      <c r="AD212" s="320" t="str">
        <f t="shared" si="41"/>
        <v>Summer</v>
      </c>
      <c r="AE212">
        <f t="shared" si="42"/>
        <v>7</v>
      </c>
      <c r="AF212" s="318">
        <v>49126</v>
      </c>
      <c r="AG212" s="317">
        <v>400</v>
      </c>
      <c r="AH212" s="317">
        <v>344</v>
      </c>
      <c r="AI212">
        <f t="shared" si="43"/>
        <v>25</v>
      </c>
      <c r="AJ212">
        <f t="shared" si="44"/>
        <v>6</v>
      </c>
    </row>
    <row r="213" spans="2:36" x14ac:dyDescent="0.2">
      <c r="B213" s="115">
        <f t="shared" si="47"/>
        <v>49341</v>
      </c>
      <c r="C213" s="107">
        <v>6.4743053796495547</v>
      </c>
      <c r="D213" s="107">
        <v>6.8884126582278471</v>
      </c>
      <c r="E213" s="116">
        <f t="shared" si="45"/>
        <v>2035</v>
      </c>
      <c r="K213" s="18">
        <f t="shared" si="48"/>
        <v>2</v>
      </c>
      <c r="L213" s="139">
        <f t="shared" si="49"/>
        <v>2035</v>
      </c>
      <c r="M213" s="111">
        <f t="shared" si="46"/>
        <v>49341</v>
      </c>
      <c r="N213" s="112">
        <v>63.073009999999996</v>
      </c>
      <c r="O213" s="112">
        <v>59.89479</v>
      </c>
      <c r="P213" s="112">
        <v>58.050910000000002</v>
      </c>
      <c r="Q213" s="113">
        <v>56.638309999999997</v>
      </c>
      <c r="S213" s="136">
        <v>58.49915571428572</v>
      </c>
      <c r="T213" s="138">
        <f t="shared" si="50"/>
        <v>1.0238573406517295</v>
      </c>
      <c r="U213" s="138">
        <f t="shared" si="51"/>
        <v>0.96819021246436043</v>
      </c>
      <c r="AD213" s="320" t="str">
        <f t="shared" si="41"/>
        <v>Summer</v>
      </c>
      <c r="AE213">
        <f t="shared" si="42"/>
        <v>8</v>
      </c>
      <c r="AF213" s="318">
        <v>49157</v>
      </c>
      <c r="AG213" s="317">
        <v>432</v>
      </c>
      <c r="AH213" s="317">
        <v>312</v>
      </c>
      <c r="AI213">
        <f t="shared" si="43"/>
        <v>27</v>
      </c>
      <c r="AJ213">
        <f t="shared" si="44"/>
        <v>4</v>
      </c>
    </row>
    <row r="214" spans="2:36" x14ac:dyDescent="0.2">
      <c r="B214" s="115">
        <f t="shared" si="47"/>
        <v>49369</v>
      </c>
      <c r="C214" s="107">
        <v>6.2620910134235066</v>
      </c>
      <c r="D214" s="107">
        <v>6.5345898734177199</v>
      </c>
      <c r="E214" s="116">
        <f t="shared" si="45"/>
        <v>2035</v>
      </c>
      <c r="K214" s="18">
        <f t="shared" si="48"/>
        <v>3</v>
      </c>
      <c r="L214" s="139">
        <f t="shared" si="49"/>
        <v>2035</v>
      </c>
      <c r="M214" s="111">
        <f t="shared" si="46"/>
        <v>49369</v>
      </c>
      <c r="N214" s="112">
        <v>56.162350000000004</v>
      </c>
      <c r="O214" s="112">
        <v>54.003079999999997</v>
      </c>
      <c r="P214" s="112">
        <v>53.796529999999997</v>
      </c>
      <c r="Q214" s="113">
        <v>52.886659999999999</v>
      </c>
      <c r="S214" s="136">
        <v>53.535776339165544</v>
      </c>
      <c r="T214" s="138">
        <f t="shared" si="50"/>
        <v>1.0087288107652337</v>
      </c>
      <c r="U214" s="138">
        <f t="shared" si="51"/>
        <v>0.98787509244186178</v>
      </c>
      <c r="AD214" s="320" t="str">
        <f t="shared" si="41"/>
        <v>Summer</v>
      </c>
      <c r="AE214">
        <f t="shared" si="42"/>
        <v>9</v>
      </c>
      <c r="AF214" s="318">
        <v>49188</v>
      </c>
      <c r="AG214" s="317">
        <v>400</v>
      </c>
      <c r="AH214" s="317">
        <v>320</v>
      </c>
      <c r="AI214">
        <f t="shared" si="43"/>
        <v>25</v>
      </c>
      <c r="AJ214">
        <f t="shared" si="44"/>
        <v>5</v>
      </c>
    </row>
    <row r="215" spans="2:36" x14ac:dyDescent="0.2">
      <c r="B215" s="115">
        <f t="shared" si="47"/>
        <v>49400</v>
      </c>
      <c r="C215" s="107">
        <v>6.0455729275540531</v>
      </c>
      <c r="D215" s="107">
        <v>6.1808683544303786</v>
      </c>
      <c r="E215" s="116">
        <f t="shared" si="45"/>
        <v>2035</v>
      </c>
      <c r="K215" s="18">
        <f t="shared" si="48"/>
        <v>4</v>
      </c>
      <c r="L215" s="139">
        <f t="shared" si="49"/>
        <v>2035</v>
      </c>
      <c r="M215" s="111">
        <f t="shared" si="46"/>
        <v>49400</v>
      </c>
      <c r="N215" s="112">
        <v>50.992350000000002</v>
      </c>
      <c r="O215" s="112">
        <v>49.013730000000002</v>
      </c>
      <c r="P215" s="112">
        <v>46.558280000000003</v>
      </c>
      <c r="Q215" s="113">
        <v>45.731859999999998</v>
      </c>
      <c r="S215" s="136">
        <v>47.555121111111113</v>
      </c>
      <c r="T215" s="138">
        <f t="shared" si="50"/>
        <v>1.0306719624471337</v>
      </c>
      <c r="U215" s="138">
        <f t="shared" si="51"/>
        <v>0.96166004694108298</v>
      </c>
      <c r="AD215" s="320" t="str">
        <f t="shared" si="41"/>
        <v>Winter</v>
      </c>
      <c r="AE215">
        <f t="shared" si="42"/>
        <v>10</v>
      </c>
      <c r="AF215" s="318">
        <v>49218</v>
      </c>
      <c r="AG215" s="317">
        <v>416</v>
      </c>
      <c r="AH215" s="317">
        <v>328</v>
      </c>
      <c r="AI215">
        <f t="shared" si="43"/>
        <v>26</v>
      </c>
      <c r="AJ215">
        <f t="shared" si="44"/>
        <v>5</v>
      </c>
    </row>
    <row r="216" spans="2:36" x14ac:dyDescent="0.2">
      <c r="B216" s="115">
        <f t="shared" si="47"/>
        <v>49430</v>
      </c>
      <c r="C216" s="107">
        <v>6.0114505789527621</v>
      </c>
      <c r="D216" s="107">
        <v>6.079703797468353</v>
      </c>
      <c r="E216" s="116">
        <f t="shared" si="45"/>
        <v>2035</v>
      </c>
      <c r="K216" s="18">
        <f t="shared" si="48"/>
        <v>5</v>
      </c>
      <c r="L216" s="139">
        <f t="shared" si="49"/>
        <v>2035</v>
      </c>
      <c r="M216" s="111">
        <f t="shared" si="46"/>
        <v>49430</v>
      </c>
      <c r="N216" s="112">
        <v>47.597740000000002</v>
      </c>
      <c r="O216" s="112">
        <v>50.24147</v>
      </c>
      <c r="P216" s="112">
        <v>40.080460000000002</v>
      </c>
      <c r="Q216" s="113">
        <v>46.751519999999999</v>
      </c>
      <c r="S216" s="136">
        <v>48.702889892473117</v>
      </c>
      <c r="T216" s="138">
        <f t="shared" si="50"/>
        <v>1.0315911460474683</v>
      </c>
      <c r="U216" s="138">
        <f t="shared" si="51"/>
        <v>0.95993318062272326</v>
      </c>
      <c r="AD216" s="320" t="str">
        <f t="shared" si="41"/>
        <v>Winter</v>
      </c>
      <c r="AE216">
        <f t="shared" si="42"/>
        <v>11</v>
      </c>
      <c r="AF216" s="318">
        <v>49249</v>
      </c>
      <c r="AG216" s="317">
        <v>400</v>
      </c>
      <c r="AH216" s="317">
        <v>320</v>
      </c>
      <c r="AI216">
        <f t="shared" si="43"/>
        <v>25</v>
      </c>
      <c r="AJ216">
        <f t="shared" si="44"/>
        <v>5</v>
      </c>
    </row>
    <row r="217" spans="2:36" x14ac:dyDescent="0.2">
      <c r="B217" s="115">
        <f t="shared" si="47"/>
        <v>49461</v>
      </c>
      <c r="C217" s="107">
        <v>5.9066242647812279</v>
      </c>
      <c r="D217" s="107">
        <v>5.8270455696202523</v>
      </c>
      <c r="E217" s="116">
        <f t="shared" si="45"/>
        <v>2035</v>
      </c>
      <c r="K217" s="18">
        <f t="shared" si="48"/>
        <v>6</v>
      </c>
      <c r="L217" s="139">
        <f t="shared" si="49"/>
        <v>2035</v>
      </c>
      <c r="M217" s="111">
        <f t="shared" si="46"/>
        <v>49461</v>
      </c>
      <c r="N217" s="112">
        <v>50.368130000000001</v>
      </c>
      <c r="O217" s="112">
        <v>52.255110000000002</v>
      </c>
      <c r="P217" s="112">
        <v>41.55744</v>
      </c>
      <c r="Q217" s="113">
        <v>47.007089999999998</v>
      </c>
      <c r="S217" s="136">
        <v>50.039279333333333</v>
      </c>
      <c r="T217" s="138">
        <f t="shared" si="50"/>
        <v>1.0442818261211571</v>
      </c>
      <c r="U217" s="138">
        <f t="shared" si="51"/>
        <v>0.93940381688683794</v>
      </c>
      <c r="AD217" s="320" t="str">
        <f t="shared" si="41"/>
        <v>Winter</v>
      </c>
      <c r="AE217">
        <f t="shared" si="42"/>
        <v>12</v>
      </c>
      <c r="AF217" s="318">
        <v>49279</v>
      </c>
      <c r="AG217" s="317">
        <v>400</v>
      </c>
      <c r="AH217" s="317">
        <v>344</v>
      </c>
      <c r="AI217">
        <f t="shared" si="43"/>
        <v>25</v>
      </c>
      <c r="AJ217">
        <f t="shared" si="44"/>
        <v>6</v>
      </c>
    </row>
    <row r="218" spans="2:36" x14ac:dyDescent="0.2">
      <c r="B218" s="115">
        <f t="shared" si="47"/>
        <v>49491</v>
      </c>
      <c r="C218" s="107">
        <v>6.1819598524438986</v>
      </c>
      <c r="D218" s="107">
        <v>5.8101341772151889</v>
      </c>
      <c r="E218" s="116">
        <f t="shared" si="45"/>
        <v>2035</v>
      </c>
      <c r="K218" s="18">
        <f t="shared" si="48"/>
        <v>7</v>
      </c>
      <c r="L218" s="139">
        <f t="shared" si="49"/>
        <v>2035</v>
      </c>
      <c r="M218" s="111">
        <f t="shared" si="46"/>
        <v>49491</v>
      </c>
      <c r="N218" s="112">
        <v>67.65607</v>
      </c>
      <c r="O218" s="112">
        <v>68.513599999999997</v>
      </c>
      <c r="P218" s="112">
        <v>55.221980000000002</v>
      </c>
      <c r="Q218" s="113">
        <v>57.06006</v>
      </c>
      <c r="S218" s="136">
        <v>63.217877204301068</v>
      </c>
      <c r="T218" s="138">
        <f t="shared" si="50"/>
        <v>1.0837693866022227</v>
      </c>
      <c r="U218" s="138">
        <f t="shared" si="51"/>
        <v>0.90259373650904373</v>
      </c>
      <c r="AD218" s="320" t="str">
        <f t="shared" si="41"/>
        <v>Winter</v>
      </c>
      <c r="AE218">
        <f t="shared" si="42"/>
        <v>1</v>
      </c>
      <c r="AF218" s="318">
        <v>49310</v>
      </c>
      <c r="AG218" s="317">
        <v>416</v>
      </c>
      <c r="AH218" s="317">
        <v>328</v>
      </c>
      <c r="AI218">
        <f t="shared" si="43"/>
        <v>26</v>
      </c>
      <c r="AJ218">
        <f t="shared" si="44"/>
        <v>5</v>
      </c>
    </row>
    <row r="219" spans="2:36" x14ac:dyDescent="0.2">
      <c r="B219" s="115">
        <f t="shared" si="47"/>
        <v>49522</v>
      </c>
      <c r="C219" s="107">
        <v>6.3183467773337441</v>
      </c>
      <c r="D219" s="107">
        <v>5.8775772151898726</v>
      </c>
      <c r="E219" s="116">
        <f t="shared" si="45"/>
        <v>2035</v>
      </c>
      <c r="K219" s="18">
        <f t="shared" si="48"/>
        <v>8</v>
      </c>
      <c r="L219" s="139">
        <f t="shared" si="49"/>
        <v>2035</v>
      </c>
      <c r="M219" s="111">
        <f t="shared" si="46"/>
        <v>49522</v>
      </c>
      <c r="N219" s="112">
        <v>70.426320000000004</v>
      </c>
      <c r="O219" s="112">
        <v>71.916880000000006</v>
      </c>
      <c r="P219" s="112">
        <v>57.277209999999997</v>
      </c>
      <c r="Q219" s="113">
        <v>59.006790000000002</v>
      </c>
      <c r="S219" s="136">
        <v>66.502971290322591</v>
      </c>
      <c r="T219" s="138">
        <f t="shared" si="50"/>
        <v>1.0814085236288569</v>
      </c>
      <c r="U219" s="138">
        <f t="shared" si="51"/>
        <v>0.88728050574465955</v>
      </c>
      <c r="AD219" s="320" t="str">
        <f t="shared" si="41"/>
        <v>Winter</v>
      </c>
      <c r="AE219">
        <f t="shared" si="42"/>
        <v>2</v>
      </c>
      <c r="AF219" s="318">
        <v>49341</v>
      </c>
      <c r="AG219" s="317">
        <v>384</v>
      </c>
      <c r="AH219" s="317">
        <v>288</v>
      </c>
      <c r="AI219">
        <f t="shared" si="43"/>
        <v>24</v>
      </c>
      <c r="AJ219">
        <f t="shared" si="44"/>
        <v>4</v>
      </c>
    </row>
    <row r="220" spans="2:36" x14ac:dyDescent="0.2">
      <c r="B220" s="115">
        <f t="shared" si="47"/>
        <v>49553</v>
      </c>
      <c r="C220" s="107">
        <v>6.1623881750179326</v>
      </c>
      <c r="D220" s="107">
        <v>5.9112987341772136</v>
      </c>
      <c r="E220" s="116">
        <f t="shared" si="45"/>
        <v>2035</v>
      </c>
      <c r="K220" s="18">
        <f t="shared" si="48"/>
        <v>9</v>
      </c>
      <c r="L220" s="139">
        <f t="shared" si="49"/>
        <v>2035</v>
      </c>
      <c r="M220" s="111">
        <f t="shared" si="46"/>
        <v>49553</v>
      </c>
      <c r="N220" s="112">
        <v>65.237710000000007</v>
      </c>
      <c r="O220" s="112">
        <v>62.781599999999997</v>
      </c>
      <c r="P220" s="112">
        <v>55.482410000000002</v>
      </c>
      <c r="Q220" s="113">
        <v>55.08184</v>
      </c>
      <c r="S220" s="136">
        <v>59.188378666666665</v>
      </c>
      <c r="T220" s="138">
        <f t="shared" si="50"/>
        <v>1.060708223713466</v>
      </c>
      <c r="U220" s="138">
        <f t="shared" si="51"/>
        <v>0.93061917289889606</v>
      </c>
      <c r="AD220" s="320" t="str">
        <f t="shared" si="41"/>
        <v>Winter</v>
      </c>
      <c r="AE220">
        <f t="shared" si="42"/>
        <v>3</v>
      </c>
      <c r="AF220" s="318">
        <v>49369</v>
      </c>
      <c r="AG220" s="317">
        <v>432</v>
      </c>
      <c r="AH220" s="317">
        <v>312</v>
      </c>
      <c r="AI220">
        <f t="shared" si="43"/>
        <v>27</v>
      </c>
      <c r="AJ220">
        <f t="shared" si="44"/>
        <v>4</v>
      </c>
    </row>
    <row r="221" spans="2:36" x14ac:dyDescent="0.2">
      <c r="B221" s="115">
        <f t="shared" si="47"/>
        <v>49583</v>
      </c>
      <c r="C221" s="107">
        <v>6.1649499129009122</v>
      </c>
      <c r="D221" s="107">
        <v>6.2144886075949355</v>
      </c>
      <c r="E221" s="116">
        <f t="shared" si="45"/>
        <v>2035</v>
      </c>
      <c r="K221" s="18">
        <f t="shared" si="48"/>
        <v>10</v>
      </c>
      <c r="L221" s="139">
        <f t="shared" si="49"/>
        <v>2035</v>
      </c>
      <c r="M221" s="111">
        <f t="shared" si="46"/>
        <v>49583</v>
      </c>
      <c r="N221" s="112">
        <v>62.556789999999999</v>
      </c>
      <c r="O221" s="112">
        <v>59.602760000000004</v>
      </c>
      <c r="P221" s="112">
        <v>54.836689999999997</v>
      </c>
      <c r="Q221" s="113">
        <v>54.310339999999997</v>
      </c>
      <c r="S221" s="136">
        <v>57.383358064516131</v>
      </c>
      <c r="T221" s="138">
        <f t="shared" si="50"/>
        <v>1.0386767524652112</v>
      </c>
      <c r="U221" s="138">
        <f t="shared" si="51"/>
        <v>0.94644757350970754</v>
      </c>
      <c r="AD221" s="320" t="str">
        <f t="shared" si="41"/>
        <v>Winter</v>
      </c>
      <c r="AE221">
        <f t="shared" si="42"/>
        <v>4</v>
      </c>
      <c r="AF221" s="318">
        <v>49400</v>
      </c>
      <c r="AG221" s="317">
        <v>400</v>
      </c>
      <c r="AH221" s="317">
        <v>320</v>
      </c>
      <c r="AI221">
        <f t="shared" si="43"/>
        <v>25</v>
      </c>
      <c r="AJ221">
        <f t="shared" si="44"/>
        <v>5</v>
      </c>
    </row>
    <row r="222" spans="2:36" x14ac:dyDescent="0.2">
      <c r="B222" s="115">
        <f t="shared" si="47"/>
        <v>49614</v>
      </c>
      <c r="C222" s="107">
        <v>6.1981500358643302</v>
      </c>
      <c r="D222" s="107">
        <v>6.5345898734177199</v>
      </c>
      <c r="E222" s="116">
        <f t="shared" si="45"/>
        <v>2035</v>
      </c>
      <c r="K222" s="18">
        <f t="shared" si="48"/>
        <v>11</v>
      </c>
      <c r="L222" s="139">
        <f t="shared" si="49"/>
        <v>2035</v>
      </c>
      <c r="M222" s="111">
        <f t="shared" si="46"/>
        <v>49614</v>
      </c>
      <c r="N222" s="112">
        <v>61.67727</v>
      </c>
      <c r="O222" s="112">
        <v>58.745130000000003</v>
      </c>
      <c r="P222" s="112">
        <v>55.635170000000002</v>
      </c>
      <c r="Q222" s="113">
        <v>54.949779999999997</v>
      </c>
      <c r="S222" s="136">
        <v>57.055383328710128</v>
      </c>
      <c r="T222" s="138">
        <f t="shared" si="50"/>
        <v>1.0296159025267577</v>
      </c>
      <c r="U222" s="138">
        <f t="shared" si="51"/>
        <v>0.96309544856478779</v>
      </c>
      <c r="AD222" s="320" t="str">
        <f t="shared" si="41"/>
        <v>Winter</v>
      </c>
      <c r="AE222">
        <f t="shared" si="42"/>
        <v>5</v>
      </c>
      <c r="AF222" s="318">
        <v>49430</v>
      </c>
      <c r="AG222" s="317">
        <v>416</v>
      </c>
      <c r="AH222" s="317">
        <v>328</v>
      </c>
      <c r="AI222">
        <f t="shared" si="43"/>
        <v>26</v>
      </c>
      <c r="AJ222">
        <f t="shared" si="44"/>
        <v>5</v>
      </c>
    </row>
    <row r="223" spans="2:36" x14ac:dyDescent="0.2">
      <c r="B223" s="117">
        <f t="shared" si="47"/>
        <v>49644</v>
      </c>
      <c r="C223" s="118">
        <v>6.5757501998155554</v>
      </c>
      <c r="D223" s="118">
        <v>6.8547924050632902</v>
      </c>
      <c r="E223" s="119">
        <f t="shared" si="45"/>
        <v>2035</v>
      </c>
      <c r="K223" s="18">
        <f t="shared" si="48"/>
        <v>12</v>
      </c>
      <c r="L223" s="139">
        <f t="shared" si="49"/>
        <v>2035</v>
      </c>
      <c r="M223" s="120">
        <f t="shared" si="46"/>
        <v>49644</v>
      </c>
      <c r="N223" s="121">
        <v>62.86103</v>
      </c>
      <c r="O223" s="121">
        <v>60.426310000000001</v>
      </c>
      <c r="P223" s="121">
        <v>58.068660000000001</v>
      </c>
      <c r="Q223" s="122">
        <v>58.251860000000001</v>
      </c>
      <c r="S223" s="136">
        <v>59.420919139784935</v>
      </c>
      <c r="T223" s="138">
        <f t="shared" si="50"/>
        <v>1.0169198133379582</v>
      </c>
      <c r="U223" s="138">
        <f t="shared" si="51"/>
        <v>0.98032579844423517</v>
      </c>
      <c r="AD223" s="320" t="str">
        <f t="shared" si="41"/>
        <v>Summer</v>
      </c>
      <c r="AE223">
        <f t="shared" si="42"/>
        <v>6</v>
      </c>
      <c r="AF223" s="318">
        <v>49461</v>
      </c>
      <c r="AG223" s="317">
        <v>416</v>
      </c>
      <c r="AH223" s="317">
        <v>304</v>
      </c>
      <c r="AI223">
        <f t="shared" si="43"/>
        <v>26</v>
      </c>
      <c r="AJ223">
        <f t="shared" si="44"/>
        <v>4</v>
      </c>
    </row>
    <row r="224" spans="2:36" x14ac:dyDescent="0.2">
      <c r="B224" s="106">
        <f t="shared" si="47"/>
        <v>49675</v>
      </c>
      <c r="C224" s="107">
        <v>6.8334610308433241</v>
      </c>
      <c r="D224" s="107">
        <v>7.1185898734177195</v>
      </c>
      <c r="E224" s="108">
        <f t="shared" ref="E224:E235" si="52">YEAR(B224)</f>
        <v>2036</v>
      </c>
      <c r="K224" s="18">
        <f t="shared" ref="K224:K235" si="53">MONTH(M224)</f>
        <v>1</v>
      </c>
      <c r="L224" s="139">
        <f t="shared" ref="L224:L235" si="54">YEAR(M224)</f>
        <v>2036</v>
      </c>
      <c r="M224" s="111">
        <f t="shared" ref="M224:M235" si="55">B224</f>
        <v>49675</v>
      </c>
      <c r="N224" s="123">
        <v>62.776400000000002</v>
      </c>
      <c r="O224" s="123">
        <v>62.280419999999999</v>
      </c>
      <c r="P224" s="123">
        <v>58.811019999999999</v>
      </c>
      <c r="Q224" s="124">
        <v>59.451979999999999</v>
      </c>
      <c r="S224" s="136">
        <v>61.033473333333333</v>
      </c>
      <c r="T224" s="138">
        <f t="shared" ref="T224:T235" si="56">O224/S224</f>
        <v>1.0204305375159708</v>
      </c>
      <c r="U224" s="138">
        <f t="shared" ref="U224:U235" si="57">Q224/S224</f>
        <v>0.97408809876023217</v>
      </c>
      <c r="AD224" s="320" t="str">
        <f t="shared" si="41"/>
        <v>Summer</v>
      </c>
      <c r="AE224">
        <f t="shared" si="42"/>
        <v>7</v>
      </c>
      <c r="AF224" s="318">
        <v>49491</v>
      </c>
      <c r="AG224" s="317">
        <v>400</v>
      </c>
      <c r="AH224" s="317">
        <v>344</v>
      </c>
      <c r="AI224">
        <f t="shared" si="43"/>
        <v>25</v>
      </c>
      <c r="AJ224">
        <f t="shared" si="44"/>
        <v>6</v>
      </c>
    </row>
    <row r="225" spans="2:36" x14ac:dyDescent="0.2">
      <c r="B225" s="115">
        <f t="shared" si="47"/>
        <v>49706</v>
      </c>
      <c r="C225" s="107">
        <v>6.8014905420637364</v>
      </c>
      <c r="D225" s="107">
        <v>7.2569189873417708</v>
      </c>
      <c r="E225" s="116">
        <f t="shared" si="52"/>
        <v>2036</v>
      </c>
      <c r="K225" s="18">
        <f t="shared" si="53"/>
        <v>2</v>
      </c>
      <c r="L225" s="139">
        <f t="shared" si="54"/>
        <v>2036</v>
      </c>
      <c r="M225" s="111">
        <f t="shared" si="55"/>
        <v>49706</v>
      </c>
      <c r="N225" s="112">
        <v>65.564970000000002</v>
      </c>
      <c r="O225" s="112">
        <v>62.797370000000001</v>
      </c>
      <c r="P225" s="112">
        <v>60.89425</v>
      </c>
      <c r="Q225" s="113">
        <v>59.575130000000001</v>
      </c>
      <c r="S225" s="136">
        <v>61.426992068965518</v>
      </c>
      <c r="T225" s="138">
        <f t="shared" si="56"/>
        <v>1.0223090515240585</v>
      </c>
      <c r="U225" s="138">
        <f t="shared" si="57"/>
        <v>0.96985263307559666</v>
      </c>
      <c r="AD225" s="320" t="str">
        <f t="shared" si="41"/>
        <v>Summer</v>
      </c>
      <c r="AE225">
        <f t="shared" si="42"/>
        <v>8</v>
      </c>
      <c r="AF225" s="318">
        <v>49522</v>
      </c>
      <c r="AG225" s="317">
        <v>432</v>
      </c>
      <c r="AH225" s="317">
        <v>312</v>
      </c>
      <c r="AI225">
        <f t="shared" si="43"/>
        <v>27</v>
      </c>
      <c r="AJ225">
        <f t="shared" si="44"/>
        <v>4</v>
      </c>
    </row>
    <row r="226" spans="2:36" x14ac:dyDescent="0.2">
      <c r="B226" s="115">
        <f t="shared" si="47"/>
        <v>49735</v>
      </c>
      <c r="C226" s="107">
        <v>6.6713542576083622</v>
      </c>
      <c r="D226" s="107">
        <v>6.9284126582278471</v>
      </c>
      <c r="E226" s="116">
        <f t="shared" si="52"/>
        <v>2036</v>
      </c>
      <c r="K226" s="18">
        <f t="shared" si="53"/>
        <v>3</v>
      </c>
      <c r="L226" s="139">
        <f t="shared" si="54"/>
        <v>2036</v>
      </c>
      <c r="M226" s="111">
        <f t="shared" si="55"/>
        <v>49735</v>
      </c>
      <c r="N226" s="112">
        <v>59.278010000000002</v>
      </c>
      <c r="O226" s="112">
        <v>57.184750000000001</v>
      </c>
      <c r="P226" s="112">
        <v>56.945500000000003</v>
      </c>
      <c r="Q226" s="113">
        <v>56.024700000000003</v>
      </c>
      <c r="S226" s="136">
        <v>56.674203095558553</v>
      </c>
      <c r="T226" s="138">
        <f t="shared" si="56"/>
        <v>1.0090084531683774</v>
      </c>
      <c r="U226" s="138">
        <f t="shared" si="57"/>
        <v>0.98853970483778275</v>
      </c>
      <c r="AD226" s="320" t="str">
        <f t="shared" si="41"/>
        <v>Summer</v>
      </c>
      <c r="AE226">
        <f t="shared" si="42"/>
        <v>9</v>
      </c>
      <c r="AF226" s="318">
        <v>49553</v>
      </c>
      <c r="AG226" s="317">
        <v>384</v>
      </c>
      <c r="AH226" s="317">
        <v>336</v>
      </c>
      <c r="AI226">
        <f t="shared" si="43"/>
        <v>24</v>
      </c>
      <c r="AJ226">
        <f t="shared" si="44"/>
        <v>6</v>
      </c>
    </row>
    <row r="227" spans="2:36" x14ac:dyDescent="0.2">
      <c r="B227" s="115">
        <f t="shared" si="47"/>
        <v>49766</v>
      </c>
      <c r="C227" s="107">
        <v>6.4841424531201977</v>
      </c>
      <c r="D227" s="107">
        <v>6.6691721518987332</v>
      </c>
      <c r="E227" s="116">
        <f t="shared" si="52"/>
        <v>2036</v>
      </c>
      <c r="K227" s="18">
        <f t="shared" si="53"/>
        <v>4</v>
      </c>
      <c r="L227" s="139">
        <f t="shared" si="54"/>
        <v>2036</v>
      </c>
      <c r="M227" s="111">
        <f t="shared" si="55"/>
        <v>49766</v>
      </c>
      <c r="N227" s="112">
        <v>54.57291</v>
      </c>
      <c r="O227" s="112">
        <v>52.560110000000002</v>
      </c>
      <c r="P227" s="112">
        <v>49.705300000000001</v>
      </c>
      <c r="Q227" s="113">
        <v>49.224130000000002</v>
      </c>
      <c r="S227" s="136">
        <v>51.151585111111117</v>
      </c>
      <c r="T227" s="138">
        <f t="shared" si="56"/>
        <v>1.0275362901429017</v>
      </c>
      <c r="U227" s="138">
        <f t="shared" si="57"/>
        <v>0.96231876085708179</v>
      </c>
      <c r="AD227" s="320" t="str">
        <f t="shared" si="41"/>
        <v>Winter</v>
      </c>
      <c r="AE227">
        <f t="shared" si="42"/>
        <v>10</v>
      </c>
      <c r="AF227" s="318">
        <v>49583</v>
      </c>
      <c r="AG227" s="317">
        <v>432</v>
      </c>
      <c r="AH227" s="317">
        <v>312</v>
      </c>
      <c r="AI227">
        <f t="shared" si="43"/>
        <v>27</v>
      </c>
      <c r="AJ227">
        <f t="shared" si="44"/>
        <v>4</v>
      </c>
    </row>
    <row r="228" spans="2:36" x14ac:dyDescent="0.2">
      <c r="B228" s="115">
        <f t="shared" si="47"/>
        <v>49796</v>
      </c>
      <c r="C228" s="107">
        <v>6.4666201660006157</v>
      </c>
      <c r="D228" s="107">
        <v>6.6173240506329094</v>
      </c>
      <c r="E228" s="116">
        <f t="shared" si="52"/>
        <v>2036</v>
      </c>
      <c r="K228" s="18">
        <f t="shared" si="53"/>
        <v>5</v>
      </c>
      <c r="L228" s="139">
        <f t="shared" si="54"/>
        <v>2036</v>
      </c>
      <c r="M228" s="111">
        <f t="shared" si="55"/>
        <v>49796</v>
      </c>
      <c r="N228" s="112">
        <v>50.67991</v>
      </c>
      <c r="O228" s="112">
        <v>54.187899999999999</v>
      </c>
      <c r="P228" s="112">
        <v>43.702599999999997</v>
      </c>
      <c r="Q228" s="113">
        <v>50.64199</v>
      </c>
      <c r="S228" s="136">
        <v>52.624649354838709</v>
      </c>
      <c r="T228" s="138">
        <f t="shared" si="56"/>
        <v>1.0297056733740984</v>
      </c>
      <c r="U228" s="138">
        <f t="shared" si="57"/>
        <v>0.96232451181821688</v>
      </c>
      <c r="AD228" s="320" t="str">
        <f t="shared" si="41"/>
        <v>Winter</v>
      </c>
      <c r="AE228">
        <f t="shared" si="42"/>
        <v>11</v>
      </c>
      <c r="AF228" s="318">
        <v>49614</v>
      </c>
      <c r="AG228" s="317">
        <v>400</v>
      </c>
      <c r="AH228" s="317">
        <v>320</v>
      </c>
      <c r="AI228">
        <f t="shared" si="43"/>
        <v>25</v>
      </c>
      <c r="AJ228">
        <f t="shared" si="44"/>
        <v>5</v>
      </c>
    </row>
    <row r="229" spans="2:36" x14ac:dyDescent="0.2">
      <c r="B229" s="115">
        <f t="shared" si="47"/>
        <v>49827</v>
      </c>
      <c r="C229" s="107">
        <v>6.3766519315503638</v>
      </c>
      <c r="D229" s="107">
        <v>6.3752987341772132</v>
      </c>
      <c r="E229" s="116">
        <f t="shared" si="52"/>
        <v>2036</v>
      </c>
      <c r="K229" s="18">
        <f t="shared" si="53"/>
        <v>6</v>
      </c>
      <c r="L229" s="139">
        <f t="shared" si="54"/>
        <v>2036</v>
      </c>
      <c r="M229" s="111">
        <f t="shared" si="55"/>
        <v>49827</v>
      </c>
      <c r="N229" s="112">
        <v>54.439309999999999</v>
      </c>
      <c r="O229" s="112">
        <v>55.48077</v>
      </c>
      <c r="P229" s="112">
        <v>45.828989999999997</v>
      </c>
      <c r="Q229" s="113">
        <v>50.777500000000003</v>
      </c>
      <c r="S229" s="136">
        <v>53.390427777777781</v>
      </c>
      <c r="T229" s="138">
        <f t="shared" si="56"/>
        <v>1.0391520036311128</v>
      </c>
      <c r="U229" s="138">
        <f t="shared" si="57"/>
        <v>0.95105999546110898</v>
      </c>
      <c r="AD229" s="320" t="str">
        <f t="shared" si="41"/>
        <v>Winter</v>
      </c>
      <c r="AE229">
        <f t="shared" si="42"/>
        <v>12</v>
      </c>
      <c r="AF229" s="318">
        <v>49644</v>
      </c>
      <c r="AG229" s="317">
        <v>400</v>
      </c>
      <c r="AH229" s="317">
        <v>344</v>
      </c>
      <c r="AI229">
        <f t="shared" si="43"/>
        <v>25</v>
      </c>
      <c r="AJ229">
        <f t="shared" si="44"/>
        <v>6</v>
      </c>
    </row>
    <row r="230" spans="2:36" x14ac:dyDescent="0.2">
      <c r="B230" s="115">
        <f t="shared" si="47"/>
        <v>49857</v>
      </c>
      <c r="C230" s="107">
        <v>6.6590579157700587</v>
      </c>
      <c r="D230" s="107">
        <v>6.3407670886075937</v>
      </c>
      <c r="E230" s="116">
        <f t="shared" si="52"/>
        <v>2036</v>
      </c>
      <c r="K230" s="18">
        <f t="shared" si="53"/>
        <v>7</v>
      </c>
      <c r="L230" s="139">
        <f t="shared" si="54"/>
        <v>2036</v>
      </c>
      <c r="M230" s="111">
        <f t="shared" si="55"/>
        <v>49857</v>
      </c>
      <c r="N230" s="112">
        <v>71.922820000000002</v>
      </c>
      <c r="O230" s="112">
        <v>73.051280000000006</v>
      </c>
      <c r="P230" s="112">
        <v>58.488280000000003</v>
      </c>
      <c r="Q230" s="113">
        <v>60.768279999999997</v>
      </c>
      <c r="S230" s="136">
        <v>67.636193978494632</v>
      </c>
      <c r="T230" s="138">
        <f t="shared" si="56"/>
        <v>1.0800619565203082</v>
      </c>
      <c r="U230" s="138">
        <f t="shared" si="57"/>
        <v>0.89845800636448681</v>
      </c>
      <c r="AD230" s="320" t="str">
        <f t="shared" si="41"/>
        <v>Winter</v>
      </c>
      <c r="AE230">
        <f t="shared" si="42"/>
        <v>1</v>
      </c>
      <c r="AF230" s="318">
        <v>49675</v>
      </c>
      <c r="AG230" s="317">
        <v>416</v>
      </c>
      <c r="AH230" s="317">
        <v>328</v>
      </c>
      <c r="AI230">
        <f t="shared" si="43"/>
        <v>26</v>
      </c>
      <c r="AJ230">
        <f t="shared" si="44"/>
        <v>5</v>
      </c>
    </row>
    <row r="231" spans="2:36" x14ac:dyDescent="0.2">
      <c r="B231" s="115">
        <f t="shared" si="47"/>
        <v>49888</v>
      </c>
      <c r="C231" s="107">
        <v>6.8864377702633472</v>
      </c>
      <c r="D231" s="107">
        <v>6.4789949367088591</v>
      </c>
      <c r="E231" s="116">
        <f t="shared" si="52"/>
        <v>2036</v>
      </c>
      <c r="K231" s="18">
        <f t="shared" si="53"/>
        <v>8</v>
      </c>
      <c r="L231" s="139">
        <f t="shared" si="54"/>
        <v>2036</v>
      </c>
      <c r="M231" s="111">
        <f t="shared" si="55"/>
        <v>49888</v>
      </c>
      <c r="N231" s="112">
        <v>74.172200000000004</v>
      </c>
      <c r="O231" s="112">
        <v>76.274150000000006</v>
      </c>
      <c r="P231" s="112">
        <v>61.74024</v>
      </c>
      <c r="Q231" s="113">
        <v>63.739490000000004</v>
      </c>
      <c r="S231" s="136">
        <v>70.748117096774195</v>
      </c>
      <c r="T231" s="138">
        <f t="shared" si="56"/>
        <v>1.0781085508702219</v>
      </c>
      <c r="U231" s="138">
        <f t="shared" si="57"/>
        <v>0.90093549645727955</v>
      </c>
      <c r="AD231" s="320" t="str">
        <f t="shared" si="41"/>
        <v>Winter</v>
      </c>
      <c r="AE231">
        <f t="shared" si="42"/>
        <v>2</v>
      </c>
      <c r="AF231" s="318">
        <v>49706</v>
      </c>
      <c r="AG231" s="317">
        <v>400</v>
      </c>
      <c r="AH231" s="317">
        <v>296</v>
      </c>
      <c r="AI231">
        <f t="shared" si="43"/>
        <v>25</v>
      </c>
      <c r="AJ231">
        <f t="shared" si="44"/>
        <v>4</v>
      </c>
    </row>
    <row r="232" spans="2:36" x14ac:dyDescent="0.2">
      <c r="B232" s="115">
        <f t="shared" si="47"/>
        <v>49919</v>
      </c>
      <c r="C232" s="107">
        <v>6.6914382826109238</v>
      </c>
      <c r="D232" s="107">
        <v>6.4444632911392397</v>
      </c>
      <c r="E232" s="116">
        <f t="shared" si="52"/>
        <v>2036</v>
      </c>
      <c r="K232" s="18">
        <f t="shared" si="53"/>
        <v>9</v>
      </c>
      <c r="L232" s="139">
        <f t="shared" si="54"/>
        <v>2036</v>
      </c>
      <c r="M232" s="111">
        <f t="shared" si="55"/>
        <v>49919</v>
      </c>
      <c r="N232" s="112">
        <v>68.924229999999994</v>
      </c>
      <c r="O232" s="112">
        <v>66.9285</v>
      </c>
      <c r="P232" s="112">
        <v>58.738210000000002</v>
      </c>
      <c r="Q232" s="113">
        <v>58.801090000000002</v>
      </c>
      <c r="S232" s="136">
        <v>63.316317777777776</v>
      </c>
      <c r="T232" s="138">
        <f t="shared" si="56"/>
        <v>1.0570497835155221</v>
      </c>
      <c r="U232" s="138">
        <f t="shared" si="57"/>
        <v>0.92868777060559748</v>
      </c>
      <c r="AD232" s="320" t="str">
        <f t="shared" si="41"/>
        <v>Winter</v>
      </c>
      <c r="AE232">
        <f t="shared" si="42"/>
        <v>3</v>
      </c>
      <c r="AF232" s="318">
        <v>49735</v>
      </c>
      <c r="AG232" s="317">
        <v>416</v>
      </c>
      <c r="AH232" s="317">
        <v>328</v>
      </c>
      <c r="AI232">
        <f t="shared" si="43"/>
        <v>26</v>
      </c>
      <c r="AJ232">
        <f t="shared" si="44"/>
        <v>5</v>
      </c>
    </row>
    <row r="233" spans="2:36" x14ac:dyDescent="0.2">
      <c r="B233" s="115">
        <f t="shared" si="47"/>
        <v>49949</v>
      </c>
      <c r="C233" s="107">
        <v>6.6940000204939034</v>
      </c>
      <c r="D233" s="107">
        <v>6.7555518987341765</v>
      </c>
      <c r="E233" s="116">
        <f t="shared" si="52"/>
        <v>2036</v>
      </c>
      <c r="K233" s="18">
        <f t="shared" si="53"/>
        <v>10</v>
      </c>
      <c r="L233" s="139">
        <f t="shared" si="54"/>
        <v>2036</v>
      </c>
      <c r="M233" s="111">
        <f t="shared" si="55"/>
        <v>49949</v>
      </c>
      <c r="N233" s="112">
        <v>65.868840000000006</v>
      </c>
      <c r="O233" s="112">
        <v>63.105589999999999</v>
      </c>
      <c r="P233" s="112">
        <v>58.326970000000003</v>
      </c>
      <c r="Q233" s="113">
        <v>57.984070000000003</v>
      </c>
      <c r="S233" s="136">
        <v>60.957855806451612</v>
      </c>
      <c r="T233" s="138">
        <f t="shared" si="56"/>
        <v>1.0352330994116279</v>
      </c>
      <c r="U233" s="138">
        <f t="shared" si="57"/>
        <v>0.9512157085069769</v>
      </c>
      <c r="AD233" s="320" t="str">
        <f t="shared" si="41"/>
        <v>Winter</v>
      </c>
      <c r="AE233">
        <f t="shared" si="42"/>
        <v>4</v>
      </c>
      <c r="AF233" s="318">
        <v>49766</v>
      </c>
      <c r="AG233" s="317">
        <v>416</v>
      </c>
      <c r="AH233" s="317">
        <v>304</v>
      </c>
      <c r="AI233">
        <f t="shared" si="43"/>
        <v>26</v>
      </c>
      <c r="AJ233">
        <f t="shared" si="44"/>
        <v>4</v>
      </c>
    </row>
    <row r="234" spans="2:36" x14ac:dyDescent="0.2">
      <c r="B234" s="115">
        <f t="shared" si="47"/>
        <v>49980</v>
      </c>
      <c r="C234" s="107">
        <v>6.7285322471564708</v>
      </c>
      <c r="D234" s="107">
        <v>7.1704379746835434</v>
      </c>
      <c r="E234" s="116">
        <f t="shared" si="52"/>
        <v>2036</v>
      </c>
      <c r="K234" s="18">
        <f t="shared" si="53"/>
        <v>11</v>
      </c>
      <c r="L234" s="139">
        <f t="shared" si="54"/>
        <v>2036</v>
      </c>
      <c r="M234" s="111">
        <f t="shared" si="55"/>
        <v>49980</v>
      </c>
      <c r="N234" s="112">
        <v>65.456789999999998</v>
      </c>
      <c r="O234" s="112">
        <v>63.209710000000001</v>
      </c>
      <c r="P234" s="112">
        <v>59.769210000000001</v>
      </c>
      <c r="Q234" s="113">
        <v>59.443049999999999</v>
      </c>
      <c r="S234" s="136">
        <v>61.449149084604713</v>
      </c>
      <c r="T234" s="138">
        <f t="shared" si="56"/>
        <v>1.0286506964151987</v>
      </c>
      <c r="U234" s="138">
        <f t="shared" si="57"/>
        <v>0.96735350912926932</v>
      </c>
      <c r="AD234" s="320" t="str">
        <f t="shared" si="41"/>
        <v>Winter</v>
      </c>
      <c r="AE234">
        <f t="shared" si="42"/>
        <v>5</v>
      </c>
      <c r="AF234" s="318">
        <v>49796</v>
      </c>
      <c r="AG234" s="317">
        <v>416</v>
      </c>
      <c r="AH234" s="317">
        <v>328</v>
      </c>
      <c r="AI234">
        <f t="shared" si="43"/>
        <v>26</v>
      </c>
      <c r="AJ234">
        <f t="shared" si="44"/>
        <v>5</v>
      </c>
    </row>
    <row r="235" spans="2:36" x14ac:dyDescent="0.2">
      <c r="B235" s="117">
        <f t="shared" si="47"/>
        <v>50010</v>
      </c>
      <c r="C235" s="118">
        <v>7.1333893021826009</v>
      </c>
      <c r="D235" s="118">
        <v>7.4816278481012644</v>
      </c>
      <c r="E235" s="119">
        <f t="shared" si="52"/>
        <v>2036</v>
      </c>
      <c r="K235" s="18">
        <f t="shared" si="53"/>
        <v>12</v>
      </c>
      <c r="L235" s="139">
        <f t="shared" si="54"/>
        <v>2036</v>
      </c>
      <c r="M235" s="120">
        <f t="shared" si="55"/>
        <v>50010</v>
      </c>
      <c r="N235" s="121">
        <v>66.85866</v>
      </c>
      <c r="O235" s="121">
        <v>64.982489999999999</v>
      </c>
      <c r="P235" s="121">
        <v>61.977490000000003</v>
      </c>
      <c r="Q235" s="122">
        <v>62.606200000000001</v>
      </c>
      <c r="S235" s="136">
        <v>63.934878279569894</v>
      </c>
      <c r="T235" s="138">
        <f t="shared" si="56"/>
        <v>1.0163856059262235</v>
      </c>
      <c r="U235" s="138">
        <f t="shared" si="57"/>
        <v>0.97921825589844802</v>
      </c>
      <c r="AD235" s="320" t="str">
        <f t="shared" si="41"/>
        <v>Summer</v>
      </c>
      <c r="AE235">
        <f t="shared" si="42"/>
        <v>6</v>
      </c>
      <c r="AF235" s="318">
        <v>49827</v>
      </c>
      <c r="AG235" s="317">
        <v>400</v>
      </c>
      <c r="AH235" s="317">
        <v>320</v>
      </c>
      <c r="AI235">
        <f t="shared" si="43"/>
        <v>25</v>
      </c>
      <c r="AJ235">
        <f t="shared" si="44"/>
        <v>5</v>
      </c>
    </row>
    <row r="236" spans="2:36" x14ac:dyDescent="0.2">
      <c r="B236" s="106">
        <f t="shared" si="47"/>
        <v>50041</v>
      </c>
      <c r="C236" s="107">
        <v>7.2931392765652223</v>
      </c>
      <c r="D236" s="107">
        <v>7.6678556962025306</v>
      </c>
      <c r="E236" s="108">
        <f t="shared" ref="E236:E247" si="58">YEAR(B236)</f>
        <v>2037</v>
      </c>
      <c r="K236" s="18">
        <f t="shared" ref="K236:K247" si="59">MONTH(M236)</f>
        <v>1</v>
      </c>
      <c r="L236" s="139">
        <f t="shared" ref="L236:L247" si="60">YEAR(M236)</f>
        <v>2037</v>
      </c>
      <c r="M236" s="111">
        <f t="shared" ref="M236:M247" si="61">B236</f>
        <v>50041</v>
      </c>
      <c r="N236" s="123">
        <v>67.681979999999996</v>
      </c>
      <c r="O236" s="123">
        <v>66.804810000000003</v>
      </c>
      <c r="P236" s="123">
        <v>62.94209</v>
      </c>
      <c r="Q236" s="124">
        <v>63.701129999999999</v>
      </c>
      <c r="S236" s="136">
        <v>65.436520967741941</v>
      </c>
      <c r="T236" s="138">
        <f t="shared" ref="T236:T247" si="62">O236/S236</f>
        <v>1.0209101738910078</v>
      </c>
      <c r="U236" s="138">
        <f t="shared" ref="U236:U247" si="63">Q236/S236</f>
        <v>0.97347977945530706</v>
      </c>
      <c r="AD236" s="320" t="str">
        <f t="shared" si="41"/>
        <v>Summer</v>
      </c>
      <c r="AE236">
        <f t="shared" si="42"/>
        <v>7</v>
      </c>
      <c r="AF236" s="318">
        <v>49857</v>
      </c>
      <c r="AG236" s="317">
        <v>416</v>
      </c>
      <c r="AH236" s="317">
        <v>328</v>
      </c>
      <c r="AI236">
        <f t="shared" si="43"/>
        <v>26</v>
      </c>
      <c r="AJ236">
        <f t="shared" si="44"/>
        <v>5</v>
      </c>
    </row>
    <row r="237" spans="2:36" x14ac:dyDescent="0.2">
      <c r="B237" s="115">
        <f t="shared" si="47"/>
        <v>50072</v>
      </c>
      <c r="C237" s="107">
        <v>7.2777688492673436</v>
      </c>
      <c r="D237" s="107">
        <v>7.756463291139239</v>
      </c>
      <c r="E237" s="116">
        <f t="shared" si="58"/>
        <v>2037</v>
      </c>
      <c r="K237" s="18">
        <f t="shared" si="59"/>
        <v>2</v>
      </c>
      <c r="L237" s="139">
        <f t="shared" si="60"/>
        <v>2037</v>
      </c>
      <c r="M237" s="111">
        <f t="shared" si="61"/>
        <v>50072</v>
      </c>
      <c r="N237" s="112">
        <v>69.741100000000003</v>
      </c>
      <c r="O237" s="112">
        <v>66.686260000000004</v>
      </c>
      <c r="P237" s="112">
        <v>64.992980000000003</v>
      </c>
      <c r="Q237" s="113">
        <v>63.747340000000001</v>
      </c>
      <c r="S237" s="136">
        <v>65.426722857142863</v>
      </c>
      <c r="T237" s="138">
        <f t="shared" si="62"/>
        <v>1.0192511115925416</v>
      </c>
      <c r="U237" s="138">
        <f t="shared" si="63"/>
        <v>0.97433185120994459</v>
      </c>
      <c r="AD237" s="320" t="str">
        <f t="shared" si="41"/>
        <v>Summer</v>
      </c>
      <c r="AE237">
        <f t="shared" si="42"/>
        <v>8</v>
      </c>
      <c r="AF237" s="318">
        <v>49888</v>
      </c>
      <c r="AG237" s="317">
        <v>416</v>
      </c>
      <c r="AH237" s="317">
        <v>328</v>
      </c>
      <c r="AI237">
        <f t="shared" si="43"/>
        <v>26</v>
      </c>
      <c r="AJ237">
        <f t="shared" si="44"/>
        <v>5</v>
      </c>
    </row>
    <row r="238" spans="2:36" x14ac:dyDescent="0.2">
      <c r="B238" s="115">
        <f t="shared" si="47"/>
        <v>50100</v>
      </c>
      <c r="C238" s="107">
        <v>6.9831689927246643</v>
      </c>
      <c r="D238" s="107">
        <v>7.4020329113924035</v>
      </c>
      <c r="E238" s="116">
        <f t="shared" si="58"/>
        <v>2037</v>
      </c>
      <c r="K238" s="18">
        <f t="shared" si="59"/>
        <v>3</v>
      </c>
      <c r="L238" s="139">
        <f t="shared" si="60"/>
        <v>2037</v>
      </c>
      <c r="M238" s="111">
        <f t="shared" si="61"/>
        <v>50100</v>
      </c>
      <c r="N238" s="112">
        <v>62.715490000000003</v>
      </c>
      <c r="O238" s="112">
        <v>60.054070000000003</v>
      </c>
      <c r="P238" s="112">
        <v>59.994779999999999</v>
      </c>
      <c r="Q238" s="113">
        <v>58.864899999999999</v>
      </c>
      <c r="S238" s="136">
        <v>59.530707160161505</v>
      </c>
      <c r="T238" s="138">
        <f t="shared" si="62"/>
        <v>1.0087914769503818</v>
      </c>
      <c r="U238" s="138">
        <f t="shared" si="63"/>
        <v>0.98881573574507997</v>
      </c>
      <c r="AD238" s="320" t="str">
        <f t="shared" si="41"/>
        <v>Summer</v>
      </c>
      <c r="AE238">
        <f t="shared" si="42"/>
        <v>9</v>
      </c>
      <c r="AF238" s="318">
        <v>49919</v>
      </c>
      <c r="AG238" s="317">
        <v>400</v>
      </c>
      <c r="AH238" s="317">
        <v>320</v>
      </c>
      <c r="AI238">
        <f t="shared" si="43"/>
        <v>25</v>
      </c>
      <c r="AJ238">
        <f t="shared" si="44"/>
        <v>5</v>
      </c>
    </row>
    <row r="239" spans="2:36" x14ac:dyDescent="0.2">
      <c r="B239" s="115">
        <f t="shared" si="47"/>
        <v>50131</v>
      </c>
      <c r="C239" s="107">
        <v>6.6476837995696281</v>
      </c>
      <c r="D239" s="107">
        <v>6.888210126582277</v>
      </c>
      <c r="E239" s="116">
        <f t="shared" si="58"/>
        <v>2037</v>
      </c>
      <c r="K239" s="18">
        <f t="shared" si="59"/>
        <v>4</v>
      </c>
      <c r="L239" s="139">
        <f t="shared" si="60"/>
        <v>2037</v>
      </c>
      <c r="M239" s="111">
        <f t="shared" si="61"/>
        <v>50131</v>
      </c>
      <c r="N239" s="112">
        <v>57.383789999999998</v>
      </c>
      <c r="O239" s="112">
        <v>55.000979999999998</v>
      </c>
      <c r="P239" s="112">
        <v>52.534520000000001</v>
      </c>
      <c r="Q239" s="113">
        <v>52.076160000000002</v>
      </c>
      <c r="S239" s="136">
        <v>53.766056000000006</v>
      </c>
      <c r="T239" s="138">
        <f t="shared" si="62"/>
        <v>1.0229684691769096</v>
      </c>
      <c r="U239" s="138">
        <f t="shared" si="63"/>
        <v>0.96856946323159721</v>
      </c>
      <c r="AD239" s="320" t="str">
        <f t="shared" si="41"/>
        <v>Winter</v>
      </c>
      <c r="AE239">
        <f t="shared" si="42"/>
        <v>10</v>
      </c>
      <c r="AF239" s="318">
        <v>49949</v>
      </c>
      <c r="AG239" s="317">
        <v>432</v>
      </c>
      <c r="AH239" s="317">
        <v>312</v>
      </c>
      <c r="AI239">
        <f t="shared" si="43"/>
        <v>27</v>
      </c>
      <c r="AJ239">
        <f t="shared" si="44"/>
        <v>4</v>
      </c>
    </row>
    <row r="240" spans="2:36" x14ac:dyDescent="0.2">
      <c r="B240" s="115">
        <f t="shared" si="47"/>
        <v>50161</v>
      </c>
      <c r="C240" s="107">
        <v>6.6476837995696281</v>
      </c>
      <c r="D240" s="107">
        <v>6.7997037974683527</v>
      </c>
      <c r="E240" s="116">
        <f t="shared" si="58"/>
        <v>2037</v>
      </c>
      <c r="K240" s="18">
        <f t="shared" si="59"/>
        <v>5</v>
      </c>
      <c r="L240" s="139">
        <f t="shared" si="60"/>
        <v>2037</v>
      </c>
      <c r="M240" s="111">
        <f t="shared" si="61"/>
        <v>50161</v>
      </c>
      <c r="N240" s="112">
        <v>54.686160000000001</v>
      </c>
      <c r="O240" s="112">
        <v>56.227440000000001</v>
      </c>
      <c r="P240" s="112">
        <v>48.350230000000003</v>
      </c>
      <c r="Q240" s="113">
        <v>52.473199999999999</v>
      </c>
      <c r="S240" s="136">
        <v>54.491608602150542</v>
      </c>
      <c r="T240" s="138">
        <f t="shared" si="62"/>
        <v>1.0318550221286906</v>
      </c>
      <c r="U240" s="138">
        <f t="shared" si="63"/>
        <v>0.9629592765945455</v>
      </c>
      <c r="AD240" s="320" t="str">
        <f t="shared" si="41"/>
        <v>Winter</v>
      </c>
      <c r="AE240">
        <f t="shared" si="42"/>
        <v>11</v>
      </c>
      <c r="AF240" s="318">
        <v>49980</v>
      </c>
      <c r="AG240" s="317">
        <v>384</v>
      </c>
      <c r="AH240" s="317">
        <v>336</v>
      </c>
      <c r="AI240">
        <f t="shared" si="43"/>
        <v>24</v>
      </c>
      <c r="AJ240">
        <f t="shared" si="44"/>
        <v>6</v>
      </c>
    </row>
    <row r="241" spans="2:36" x14ac:dyDescent="0.2">
      <c r="B241" s="115">
        <f t="shared" si="47"/>
        <v>50192</v>
      </c>
      <c r="C241" s="107">
        <v>6.573393400963214</v>
      </c>
      <c r="D241" s="107">
        <v>6.5161594936708847</v>
      </c>
      <c r="E241" s="116">
        <f t="shared" si="58"/>
        <v>2037</v>
      </c>
      <c r="K241" s="18">
        <f t="shared" si="59"/>
        <v>6</v>
      </c>
      <c r="L241" s="139">
        <f t="shared" si="60"/>
        <v>2037</v>
      </c>
      <c r="M241" s="111">
        <f t="shared" si="61"/>
        <v>50192</v>
      </c>
      <c r="N241" s="112">
        <v>58.298290000000001</v>
      </c>
      <c r="O241" s="112">
        <v>58.917319999999997</v>
      </c>
      <c r="P241" s="112">
        <v>48.516039999999997</v>
      </c>
      <c r="Q241" s="113">
        <v>53.451999999999998</v>
      </c>
      <c r="S241" s="136">
        <v>56.609740444444441</v>
      </c>
      <c r="T241" s="138">
        <f t="shared" si="62"/>
        <v>1.0407629418089306</v>
      </c>
      <c r="U241" s="138">
        <f t="shared" si="63"/>
        <v>0.94421913226146337</v>
      </c>
      <c r="AD241" s="320" t="str">
        <f t="shared" si="41"/>
        <v>Winter</v>
      </c>
      <c r="AE241">
        <f t="shared" si="42"/>
        <v>12</v>
      </c>
      <c r="AF241" s="318">
        <v>50010</v>
      </c>
      <c r="AG241" s="317">
        <v>416</v>
      </c>
      <c r="AH241" s="317">
        <v>328</v>
      </c>
      <c r="AI241">
        <f t="shared" si="43"/>
        <v>26</v>
      </c>
      <c r="AJ241">
        <f t="shared" si="44"/>
        <v>5</v>
      </c>
    </row>
    <row r="242" spans="2:36" x14ac:dyDescent="0.2">
      <c r="B242" s="115">
        <f t="shared" si="47"/>
        <v>50222</v>
      </c>
      <c r="C242" s="107">
        <v>6.8090732861973571</v>
      </c>
      <c r="D242" s="107">
        <v>6.4984379746835428</v>
      </c>
      <c r="E242" s="116">
        <f t="shared" si="58"/>
        <v>2037</v>
      </c>
      <c r="K242" s="18">
        <f t="shared" si="59"/>
        <v>7</v>
      </c>
      <c r="L242" s="139">
        <f t="shared" si="60"/>
        <v>2037</v>
      </c>
      <c r="M242" s="111">
        <f t="shared" si="61"/>
        <v>50222</v>
      </c>
      <c r="N242" s="112">
        <v>73.863919999999993</v>
      </c>
      <c r="O242" s="112">
        <v>74.806359999999998</v>
      </c>
      <c r="P242" s="112">
        <v>60.344079999999998</v>
      </c>
      <c r="Q242" s="113">
        <v>62.566009999999999</v>
      </c>
      <c r="S242" s="136">
        <v>69.410076666666669</v>
      </c>
      <c r="T242" s="138">
        <f t="shared" si="62"/>
        <v>1.07774495566758</v>
      </c>
      <c r="U242" s="138">
        <f t="shared" si="63"/>
        <v>0.90139664159233746</v>
      </c>
      <c r="AD242" s="320" t="str">
        <f t="shared" si="41"/>
        <v>Winter</v>
      </c>
      <c r="AE242">
        <f t="shared" si="42"/>
        <v>1</v>
      </c>
      <c r="AF242" s="318">
        <v>50041</v>
      </c>
      <c r="AG242" s="317">
        <v>416</v>
      </c>
      <c r="AH242" s="317">
        <v>328</v>
      </c>
      <c r="AI242">
        <f t="shared" si="43"/>
        <v>26</v>
      </c>
      <c r="AJ242">
        <f t="shared" si="44"/>
        <v>5</v>
      </c>
    </row>
    <row r="243" spans="2:36" x14ac:dyDescent="0.2">
      <c r="B243" s="115">
        <f t="shared" si="47"/>
        <v>50253</v>
      </c>
      <c r="C243" s="107">
        <v>6.9524281381289077</v>
      </c>
      <c r="D243" s="107">
        <v>6.604767088607594</v>
      </c>
      <c r="E243" s="116">
        <f t="shared" si="58"/>
        <v>2037</v>
      </c>
      <c r="K243" s="18">
        <f t="shared" si="59"/>
        <v>8</v>
      </c>
      <c r="L243" s="139">
        <f t="shared" si="60"/>
        <v>2037</v>
      </c>
      <c r="M243" s="111">
        <f t="shared" si="61"/>
        <v>50253</v>
      </c>
      <c r="N243" s="112">
        <v>75.763829999999999</v>
      </c>
      <c r="O243" s="112">
        <v>78.668949999999995</v>
      </c>
      <c r="P243" s="112">
        <v>63.504060000000003</v>
      </c>
      <c r="Q243" s="113">
        <v>65.373390000000001</v>
      </c>
      <c r="S243" s="136">
        <v>72.807466559139783</v>
      </c>
      <c r="T243" s="138">
        <f t="shared" si="62"/>
        <v>1.0805066254585176</v>
      </c>
      <c r="U243" s="138">
        <f t="shared" si="63"/>
        <v>0.89789403600383133</v>
      </c>
      <c r="AD243" s="320" t="str">
        <f t="shared" si="41"/>
        <v>Winter</v>
      </c>
      <c r="AE243">
        <f t="shared" si="42"/>
        <v>2</v>
      </c>
      <c r="AF243" s="318">
        <v>50072</v>
      </c>
      <c r="AG243" s="317">
        <v>384</v>
      </c>
      <c r="AH243" s="317">
        <v>288</v>
      </c>
      <c r="AI243">
        <f t="shared" si="43"/>
        <v>24</v>
      </c>
      <c r="AJ243">
        <f t="shared" si="44"/>
        <v>4</v>
      </c>
    </row>
    <row r="244" spans="2:36" x14ac:dyDescent="0.2">
      <c r="B244" s="115">
        <f t="shared" si="47"/>
        <v>50284</v>
      </c>
      <c r="C244" s="107">
        <v>6.7347828875909421</v>
      </c>
      <c r="D244" s="107">
        <v>6.5693240506329103</v>
      </c>
      <c r="E244" s="116">
        <f t="shared" si="58"/>
        <v>2037</v>
      </c>
      <c r="K244" s="18">
        <f t="shared" si="59"/>
        <v>9</v>
      </c>
      <c r="L244" s="139">
        <f t="shared" si="60"/>
        <v>2037</v>
      </c>
      <c r="M244" s="111">
        <f t="shared" si="61"/>
        <v>50284</v>
      </c>
      <c r="N244" s="112">
        <v>70.090580000000003</v>
      </c>
      <c r="O244" s="112">
        <v>68.147750000000002</v>
      </c>
      <c r="P244" s="112">
        <v>60.124899999999997</v>
      </c>
      <c r="Q244" s="113">
        <v>60.115729999999999</v>
      </c>
      <c r="S244" s="136">
        <v>64.577963333333329</v>
      </c>
      <c r="T244" s="138">
        <f t="shared" si="62"/>
        <v>1.0552787124648146</v>
      </c>
      <c r="U244" s="138">
        <f t="shared" si="63"/>
        <v>0.93090160941898192</v>
      </c>
      <c r="AD244" s="320" t="str">
        <f t="shared" si="41"/>
        <v>Winter</v>
      </c>
      <c r="AE244">
        <f t="shared" si="42"/>
        <v>3</v>
      </c>
      <c r="AF244" s="318">
        <v>50100</v>
      </c>
      <c r="AG244" s="317">
        <v>416</v>
      </c>
      <c r="AH244" s="317">
        <v>328</v>
      </c>
      <c r="AI244">
        <f t="shared" si="43"/>
        <v>26</v>
      </c>
      <c r="AJ244">
        <f t="shared" si="44"/>
        <v>5</v>
      </c>
    </row>
    <row r="245" spans="2:36" x14ac:dyDescent="0.2">
      <c r="B245" s="115">
        <f t="shared" si="47"/>
        <v>50314</v>
      </c>
      <c r="C245" s="107">
        <v>6.8090732861973571</v>
      </c>
      <c r="D245" s="107">
        <v>6.9413746835443026</v>
      </c>
      <c r="E245" s="116">
        <f t="shared" si="58"/>
        <v>2037</v>
      </c>
      <c r="K245" s="18">
        <f t="shared" si="59"/>
        <v>10</v>
      </c>
      <c r="L245" s="139">
        <f t="shared" si="60"/>
        <v>2037</v>
      </c>
      <c r="M245" s="111">
        <f t="shared" si="61"/>
        <v>50314</v>
      </c>
      <c r="N245" s="112">
        <v>66.768230000000003</v>
      </c>
      <c r="O245" s="112">
        <v>63.86795</v>
      </c>
      <c r="P245" s="112">
        <v>59.422960000000003</v>
      </c>
      <c r="Q245" s="113">
        <v>58.925359999999998</v>
      </c>
      <c r="S245" s="136">
        <v>61.795250967741936</v>
      </c>
      <c r="T245" s="138">
        <f t="shared" si="62"/>
        <v>1.033541396786948</v>
      </c>
      <c r="U245" s="138">
        <f t="shared" si="63"/>
        <v>0.95355806598730275</v>
      </c>
      <c r="AD245" s="320" t="str">
        <f t="shared" si="41"/>
        <v>Winter</v>
      </c>
      <c r="AE245">
        <f t="shared" si="42"/>
        <v>4</v>
      </c>
      <c r="AF245" s="318">
        <v>50131</v>
      </c>
      <c r="AG245" s="317">
        <v>416</v>
      </c>
      <c r="AH245" s="317">
        <v>304</v>
      </c>
      <c r="AI245">
        <f t="shared" si="43"/>
        <v>26</v>
      </c>
      <c r="AJ245">
        <f t="shared" si="44"/>
        <v>4</v>
      </c>
    </row>
    <row r="246" spans="2:36" x14ac:dyDescent="0.2">
      <c r="B246" s="115">
        <f t="shared" si="47"/>
        <v>50345</v>
      </c>
      <c r="C246" s="107">
        <v>6.8448351470437547</v>
      </c>
      <c r="D246" s="107">
        <v>7.2426405063291126</v>
      </c>
      <c r="E246" s="116">
        <f t="shared" si="58"/>
        <v>2037</v>
      </c>
      <c r="K246" s="18">
        <f t="shared" si="59"/>
        <v>11</v>
      </c>
      <c r="L246" s="139">
        <f t="shared" si="60"/>
        <v>2037</v>
      </c>
      <c r="M246" s="111">
        <f t="shared" si="61"/>
        <v>50345</v>
      </c>
      <c r="N246" s="112">
        <v>67.707089999999994</v>
      </c>
      <c r="O246" s="112">
        <v>65.020309999999995</v>
      </c>
      <c r="P246" s="112">
        <v>61.245019999999997</v>
      </c>
      <c r="Q246" s="113">
        <v>60.517330000000001</v>
      </c>
      <c r="S246" s="136">
        <v>62.91558841886269</v>
      </c>
      <c r="T246" s="138">
        <f t="shared" si="62"/>
        <v>1.0334531017515889</v>
      </c>
      <c r="U246" s="138">
        <f t="shared" si="63"/>
        <v>0.96188133212875315</v>
      </c>
      <c r="AD246" s="320" t="str">
        <f t="shared" si="41"/>
        <v>Winter</v>
      </c>
      <c r="AE246">
        <f t="shared" si="42"/>
        <v>5</v>
      </c>
      <c r="AF246" s="318">
        <v>50161</v>
      </c>
      <c r="AG246" s="317">
        <v>400</v>
      </c>
      <c r="AH246" s="317">
        <v>344</v>
      </c>
      <c r="AI246">
        <f t="shared" si="43"/>
        <v>25</v>
      </c>
      <c r="AJ246">
        <f t="shared" si="44"/>
        <v>6</v>
      </c>
    </row>
    <row r="247" spans="2:36" x14ac:dyDescent="0.2">
      <c r="B247" s="117">
        <f t="shared" si="47"/>
        <v>50375</v>
      </c>
      <c r="C247" s="118">
        <v>7.2777688492673436</v>
      </c>
      <c r="D247" s="118">
        <v>7.6855772151898725</v>
      </c>
      <c r="E247" s="119">
        <f t="shared" si="58"/>
        <v>2037</v>
      </c>
      <c r="K247" s="18">
        <f t="shared" si="59"/>
        <v>12</v>
      </c>
      <c r="L247" s="139">
        <f t="shared" si="60"/>
        <v>2037</v>
      </c>
      <c r="M247" s="120">
        <f t="shared" si="61"/>
        <v>50375</v>
      </c>
      <c r="N247" s="121">
        <v>68.744709999999998</v>
      </c>
      <c r="O247" s="121">
        <v>65.998919999999998</v>
      </c>
      <c r="P247" s="121">
        <v>63.777079999999998</v>
      </c>
      <c r="Q247" s="122">
        <v>64.082030000000003</v>
      </c>
      <c r="S247" s="136">
        <v>65.153839462365596</v>
      </c>
      <c r="T247" s="138">
        <f t="shared" si="62"/>
        <v>1.0129705408707732</v>
      </c>
      <c r="U247" s="138">
        <f t="shared" si="63"/>
        <v>0.98354955791999499</v>
      </c>
      <c r="AD247" s="320" t="str">
        <f t="shared" si="41"/>
        <v>Summer</v>
      </c>
      <c r="AE247">
        <f t="shared" si="42"/>
        <v>6</v>
      </c>
      <c r="AF247" s="318">
        <v>50192</v>
      </c>
      <c r="AG247" s="317">
        <v>416</v>
      </c>
      <c r="AH247" s="317">
        <v>304</v>
      </c>
      <c r="AI247">
        <f t="shared" si="43"/>
        <v>26</v>
      </c>
      <c r="AJ247">
        <f t="shared" si="44"/>
        <v>4</v>
      </c>
    </row>
    <row r="248" spans="2:36" x14ac:dyDescent="0.2">
      <c r="AD248" s="320" t="str">
        <f t="shared" si="41"/>
        <v>Summer</v>
      </c>
      <c r="AE248">
        <f t="shared" si="42"/>
        <v>7</v>
      </c>
      <c r="AF248" s="318">
        <v>50222</v>
      </c>
      <c r="AG248" s="317">
        <v>416</v>
      </c>
      <c r="AH248" s="317">
        <v>328</v>
      </c>
      <c r="AI248">
        <f t="shared" si="43"/>
        <v>26</v>
      </c>
      <c r="AJ248">
        <f t="shared" si="44"/>
        <v>5</v>
      </c>
    </row>
    <row r="249" spans="2:36" x14ac:dyDescent="0.2">
      <c r="C249" s="129" t="s">
        <v>114</v>
      </c>
      <c r="D249" s="129" t="s">
        <v>205</v>
      </c>
      <c r="N249" s="129" t="s">
        <v>69</v>
      </c>
      <c r="O249" s="129" t="s">
        <v>70</v>
      </c>
      <c r="P249" s="129" t="s">
        <v>69</v>
      </c>
      <c r="Q249" s="129" t="s">
        <v>70</v>
      </c>
      <c r="AD249" s="320" t="str">
        <f t="shared" si="41"/>
        <v>Summer</v>
      </c>
      <c r="AE249">
        <f t="shared" si="42"/>
        <v>8</v>
      </c>
      <c r="AF249" s="318">
        <v>50253</v>
      </c>
      <c r="AG249" s="317">
        <v>416</v>
      </c>
      <c r="AH249" s="317">
        <v>328</v>
      </c>
      <c r="AI249">
        <f t="shared" si="43"/>
        <v>26</v>
      </c>
      <c r="AJ249">
        <f t="shared" si="44"/>
        <v>5</v>
      </c>
    </row>
    <row r="250" spans="2:36" x14ac:dyDescent="0.2">
      <c r="C250" s="131">
        <v>46</v>
      </c>
      <c r="D250" s="131">
        <v>43</v>
      </c>
      <c r="N250" s="131">
        <v>7</v>
      </c>
      <c r="O250" s="131">
        <v>6</v>
      </c>
      <c r="P250" s="131">
        <f>N250+8</f>
        <v>15</v>
      </c>
      <c r="Q250" s="131">
        <f>O250+8</f>
        <v>14</v>
      </c>
      <c r="AD250" s="320" t="str">
        <f t="shared" si="41"/>
        <v>Summer</v>
      </c>
      <c r="AE250">
        <f t="shared" si="42"/>
        <v>9</v>
      </c>
      <c r="AF250" s="318">
        <v>50284</v>
      </c>
      <c r="AG250" s="317">
        <v>400</v>
      </c>
      <c r="AH250" s="317">
        <v>320</v>
      </c>
      <c r="AI250">
        <f t="shared" si="43"/>
        <v>25</v>
      </c>
      <c r="AJ250">
        <f t="shared" si="44"/>
        <v>5</v>
      </c>
    </row>
    <row r="251" spans="2:36" x14ac:dyDescent="0.2">
      <c r="M251" s="132"/>
      <c r="AD251" s="320" t="str">
        <f t="shared" si="41"/>
        <v>Winter</v>
      </c>
      <c r="AE251">
        <f t="shared" si="42"/>
        <v>10</v>
      </c>
      <c r="AF251" s="318">
        <v>50314</v>
      </c>
      <c r="AG251" s="317">
        <v>432</v>
      </c>
      <c r="AH251" s="317">
        <v>312</v>
      </c>
      <c r="AI251">
        <f t="shared" si="43"/>
        <v>27</v>
      </c>
      <c r="AJ251">
        <f t="shared" si="44"/>
        <v>4</v>
      </c>
    </row>
    <row r="252" spans="2:36" x14ac:dyDescent="0.2">
      <c r="B252" s="134" t="s">
        <v>72</v>
      </c>
      <c r="C252" s="82">
        <v>81.732122148438634</v>
      </c>
      <c r="D252" s="82">
        <v>84.561049438764371</v>
      </c>
      <c r="M252" s="130" t="s">
        <v>72</v>
      </c>
      <c r="N252" s="135">
        <v>0</v>
      </c>
      <c r="O252" s="135">
        <v>0</v>
      </c>
      <c r="P252" s="135">
        <v>0</v>
      </c>
      <c r="Q252" s="135">
        <v>0</v>
      </c>
      <c r="AD252" s="320" t="str">
        <f t="shared" si="41"/>
        <v>Winter</v>
      </c>
      <c r="AE252">
        <f t="shared" si="42"/>
        <v>11</v>
      </c>
      <c r="AF252" s="318">
        <v>50345</v>
      </c>
      <c r="AG252" s="317">
        <v>384</v>
      </c>
      <c r="AH252" s="317">
        <v>336</v>
      </c>
      <c r="AI252">
        <f t="shared" si="43"/>
        <v>24</v>
      </c>
      <c r="AJ252">
        <f t="shared" si="44"/>
        <v>6</v>
      </c>
    </row>
    <row r="253" spans="2:36" x14ac:dyDescent="0.2">
      <c r="AD253" s="320" t="str">
        <f t="shared" si="41"/>
        <v>Winter</v>
      </c>
      <c r="AE253">
        <f t="shared" si="42"/>
        <v>12</v>
      </c>
      <c r="AF253" s="318">
        <v>50375</v>
      </c>
      <c r="AG253" s="317">
        <v>416</v>
      </c>
      <c r="AH253" s="317">
        <v>328</v>
      </c>
      <c r="AI253">
        <f t="shared" si="43"/>
        <v>26</v>
      </c>
      <c r="AJ253">
        <f t="shared" si="44"/>
        <v>5</v>
      </c>
    </row>
  </sheetData>
  <printOptions horizontalCentered="1"/>
  <pageMargins left="0.3" right="0.3" top="0.8" bottom="0.4" header="0.5" footer="0.2"/>
  <pageSetup scale="31" fitToHeight="20" orientation="landscape" r:id="rId1"/>
  <headerFooter alignWithMargins="0">
    <oddFooter>&amp;L&amp;8ljh 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view="pageBreakPreview" zoomScale="80" zoomScaleNormal="80" zoomScaleSheetLayoutView="80" workbookViewId="0">
      <selection activeCell="C103" sqref="C103"/>
    </sheetView>
  </sheetViews>
  <sheetFormatPr defaultRowHeight="15" outlineLevelRow="1" x14ac:dyDescent="0.25"/>
  <cols>
    <col min="1" max="1" width="3.33203125" style="225" customWidth="1"/>
    <col min="2" max="2" width="6.5" style="225" customWidth="1"/>
    <col min="3" max="3" width="32.33203125" style="225" customWidth="1"/>
    <col min="4" max="4" width="14.33203125" style="225" customWidth="1"/>
    <col min="5" max="5" width="14.6640625" style="225" customWidth="1"/>
    <col min="6" max="6" width="10.1640625" style="225" customWidth="1"/>
    <col min="7" max="8" width="13.5" style="225" customWidth="1"/>
    <col min="9" max="9" width="2.83203125" style="225" customWidth="1"/>
    <col min="10" max="10" width="16.33203125" style="225" customWidth="1"/>
    <col min="11" max="11" width="9.33203125" style="225"/>
    <col min="12" max="12" width="2" style="225" customWidth="1"/>
    <col min="13" max="13" width="16" style="225" customWidth="1"/>
    <col min="14" max="16384" width="9.33203125" style="225"/>
  </cols>
  <sheetData>
    <row r="1" spans="2:22" s="223" customFormat="1" ht="6" customHeight="1" x14ac:dyDescent="0.25">
      <c r="C1" s="224"/>
      <c r="D1" s="224"/>
      <c r="E1" s="224"/>
      <c r="F1" s="224"/>
      <c r="H1" s="224"/>
      <c r="O1" s="225"/>
      <c r="P1" s="225"/>
      <c r="Q1" s="225"/>
      <c r="R1" s="225"/>
      <c r="S1" s="225"/>
      <c r="T1" s="225"/>
      <c r="U1" s="225"/>
      <c r="V1" s="225"/>
    </row>
    <row r="2" spans="2:22" s="223" customFormat="1" x14ac:dyDescent="0.25">
      <c r="B2" s="375" t="s">
        <v>159</v>
      </c>
      <c r="C2" s="376"/>
      <c r="D2" s="376"/>
      <c r="E2" s="376"/>
      <c r="F2" s="376"/>
      <c r="G2" s="376"/>
      <c r="H2" s="377"/>
      <c r="J2" s="226" t="s">
        <v>33</v>
      </c>
      <c r="K2" s="226"/>
      <c r="L2" s="227"/>
      <c r="M2" s="227"/>
      <c r="N2" s="228"/>
      <c r="O2" s="225"/>
      <c r="P2" s="225"/>
      <c r="Q2" s="225"/>
      <c r="R2" s="225"/>
      <c r="S2" s="225"/>
      <c r="T2" s="225"/>
      <c r="U2" s="225"/>
      <c r="V2" s="225"/>
    </row>
    <row r="3" spans="2:22" s="223" customFormat="1" ht="26.25" x14ac:dyDescent="0.25">
      <c r="B3" s="229" t="s">
        <v>160</v>
      </c>
      <c r="C3" s="230" t="s">
        <v>161</v>
      </c>
      <c r="D3" s="231" t="s">
        <v>162</v>
      </c>
      <c r="E3" s="231" t="s">
        <v>163</v>
      </c>
      <c r="F3" s="230" t="s">
        <v>17</v>
      </c>
      <c r="G3" s="231" t="s">
        <v>33</v>
      </c>
      <c r="H3" s="231" t="s">
        <v>164</v>
      </c>
      <c r="I3" s="223" t="s">
        <v>165</v>
      </c>
      <c r="J3" s="232" t="s">
        <v>166</v>
      </c>
      <c r="K3" s="232" t="s">
        <v>41</v>
      </c>
      <c r="M3" s="232" t="s">
        <v>166</v>
      </c>
      <c r="N3" s="232" t="s">
        <v>46</v>
      </c>
      <c r="O3" s="225"/>
      <c r="P3" s="225"/>
      <c r="Q3" s="225"/>
      <c r="R3" s="225"/>
      <c r="S3" s="225"/>
      <c r="T3" s="225"/>
      <c r="U3" s="225"/>
      <c r="V3" s="225"/>
    </row>
    <row r="4" spans="2:22" s="223" customFormat="1" ht="4.5" customHeight="1" x14ac:dyDescent="0.25">
      <c r="B4" s="233"/>
      <c r="C4" s="234"/>
      <c r="D4" s="233"/>
      <c r="E4" s="233"/>
      <c r="F4" s="235"/>
      <c r="G4" s="233"/>
      <c r="H4" s="236"/>
      <c r="O4" s="225"/>
      <c r="P4" s="225"/>
      <c r="Q4" s="225"/>
      <c r="R4" s="225"/>
      <c r="S4" s="225"/>
      <c r="T4" s="225"/>
      <c r="U4" s="225"/>
      <c r="V4" s="225"/>
    </row>
    <row r="5" spans="2:22" s="223" customFormat="1" ht="12" customHeight="1" x14ac:dyDescent="0.25">
      <c r="B5" s="237">
        <v>1</v>
      </c>
      <c r="C5" s="238" t="s">
        <v>237</v>
      </c>
      <c r="D5" s="239">
        <v>12.64</v>
      </c>
      <c r="E5" s="239">
        <v>80</v>
      </c>
      <c r="F5" s="240">
        <v>0.40697345890410958</v>
      </c>
      <c r="G5" s="241">
        <v>0.158</v>
      </c>
      <c r="H5" s="242">
        <v>43465</v>
      </c>
      <c r="I5" s="243"/>
      <c r="J5" s="244" t="s">
        <v>167</v>
      </c>
      <c r="K5" s="245">
        <v>0.158</v>
      </c>
      <c r="M5" s="244" t="str">
        <f>"CC_W_"&amp;J5</f>
        <v xml:space="preserve">CC_W_Wind </v>
      </c>
      <c r="N5" s="245">
        <v>0.11776428835036618</v>
      </c>
      <c r="O5" s="225"/>
      <c r="P5" s="225"/>
      <c r="Q5" s="225"/>
      <c r="R5" s="225"/>
      <c r="S5" s="225"/>
      <c r="T5" s="225"/>
      <c r="U5" s="225"/>
      <c r="V5" s="225"/>
    </row>
    <row r="6" spans="2:22" s="223" customFormat="1" ht="12" customHeight="1" x14ac:dyDescent="0.25">
      <c r="B6" s="237">
        <v>2</v>
      </c>
      <c r="C6" s="238" t="s">
        <v>238</v>
      </c>
      <c r="D6" s="239">
        <v>12.64</v>
      </c>
      <c r="E6" s="239">
        <v>80</v>
      </c>
      <c r="F6" s="240">
        <v>0.40697345890410958</v>
      </c>
      <c r="G6" s="241">
        <v>0.158</v>
      </c>
      <c r="H6" s="242">
        <v>43465</v>
      </c>
      <c r="I6" s="243"/>
      <c r="J6" s="244" t="s">
        <v>15</v>
      </c>
      <c r="K6" s="245">
        <v>0.37912293315598289</v>
      </c>
      <c r="M6" s="244" t="str">
        <f>"CC_W_"&amp;J6</f>
        <v>CC_W_Fixed</v>
      </c>
      <c r="N6" s="245">
        <v>0.53861399146353772</v>
      </c>
      <c r="O6" s="225"/>
      <c r="P6" s="225"/>
      <c r="Q6" s="225"/>
      <c r="R6" s="225"/>
      <c r="S6" s="225"/>
      <c r="T6" s="225"/>
      <c r="U6" s="225"/>
      <c r="V6" s="225"/>
    </row>
    <row r="7" spans="2:22" s="223" customFormat="1" ht="12" customHeight="1" x14ac:dyDescent="0.25">
      <c r="B7" s="237">
        <v>3</v>
      </c>
      <c r="C7" s="238" t="s">
        <v>239</v>
      </c>
      <c r="D7" s="239">
        <v>12.64</v>
      </c>
      <c r="E7" s="239">
        <v>80</v>
      </c>
      <c r="F7" s="240">
        <v>0.40697345890410958</v>
      </c>
      <c r="G7" s="241">
        <v>0.158</v>
      </c>
      <c r="H7" s="242">
        <v>43465</v>
      </c>
      <c r="I7" s="243"/>
      <c r="J7" s="244" t="s">
        <v>168</v>
      </c>
      <c r="K7" s="245">
        <v>0.59672377662708742</v>
      </c>
      <c r="M7" s="244" t="str">
        <f>"CC_W_"&amp;J7</f>
        <v>CC_W_Tracking</v>
      </c>
      <c r="N7" s="245">
        <v>0.64803174039612643</v>
      </c>
      <c r="O7" s="225"/>
      <c r="P7" s="225"/>
      <c r="Q7" s="225"/>
      <c r="R7" s="225"/>
      <c r="S7" s="225"/>
      <c r="T7" s="225"/>
      <c r="U7" s="225"/>
      <c r="V7" s="225"/>
    </row>
    <row r="8" spans="2:22" s="223" customFormat="1" ht="12" customHeight="1" x14ac:dyDescent="0.25">
      <c r="B8" s="237">
        <v>4</v>
      </c>
      <c r="C8" s="238" t="s">
        <v>240</v>
      </c>
      <c r="D8" s="239">
        <v>12.64</v>
      </c>
      <c r="E8" s="239">
        <v>80</v>
      </c>
      <c r="F8" s="240">
        <v>0.40697345890410958</v>
      </c>
      <c r="G8" s="241">
        <v>0.158</v>
      </c>
      <c r="H8" s="242">
        <v>43465</v>
      </c>
      <c r="I8" s="243"/>
      <c r="J8" s="244" t="s">
        <v>169</v>
      </c>
      <c r="K8" s="245">
        <v>1</v>
      </c>
      <c r="M8" s="244" t="str">
        <f>"CC_W_"&amp;J8</f>
        <v xml:space="preserve">CC_W_Gas </v>
      </c>
      <c r="N8" s="245">
        <v>1</v>
      </c>
      <c r="O8" s="225"/>
      <c r="P8" s="225"/>
      <c r="Q8" s="225"/>
      <c r="R8" s="225"/>
      <c r="S8" s="225"/>
      <c r="T8" s="225"/>
      <c r="U8" s="225"/>
      <c r="V8" s="225"/>
    </row>
    <row r="9" spans="2:22" s="223" customFormat="1" ht="12" customHeight="1" x14ac:dyDescent="0.25">
      <c r="B9" s="237">
        <v>5</v>
      </c>
      <c r="C9" s="246" t="s">
        <v>241</v>
      </c>
      <c r="D9" s="239">
        <v>44.177999999999997</v>
      </c>
      <c r="E9" s="239">
        <v>74</v>
      </c>
      <c r="F9" s="240">
        <v>0.32198105639886465</v>
      </c>
      <c r="G9" s="241">
        <v>0.59699999999999998</v>
      </c>
      <c r="H9" s="242">
        <v>43737</v>
      </c>
      <c r="J9" s="244" t="s">
        <v>170</v>
      </c>
      <c r="K9" s="245">
        <v>1</v>
      </c>
      <c r="M9" s="244" t="str">
        <f>"CC_W_"&amp;J9</f>
        <v xml:space="preserve">CC_W_Hydro </v>
      </c>
      <c r="N9" s="245">
        <v>1</v>
      </c>
      <c r="O9" s="225"/>
      <c r="P9" s="225"/>
      <c r="Q9" s="225"/>
      <c r="R9" s="225"/>
      <c r="S9" s="225"/>
      <c r="T9" s="225"/>
      <c r="U9" s="225"/>
      <c r="V9" s="225"/>
    </row>
    <row r="10" spans="2:22" s="223" customFormat="1" ht="12" customHeight="1" x14ac:dyDescent="0.25">
      <c r="B10" s="237">
        <v>6</v>
      </c>
      <c r="C10" s="246" t="s">
        <v>242</v>
      </c>
      <c r="D10" s="239">
        <v>12.536999999999999</v>
      </c>
      <c r="E10" s="239">
        <v>21</v>
      </c>
      <c r="F10" s="240">
        <v>0.3490215264187867</v>
      </c>
      <c r="G10" s="241">
        <v>0.59699999999999998</v>
      </c>
      <c r="H10" s="242">
        <v>43770</v>
      </c>
      <c r="O10" s="225"/>
      <c r="P10" s="225"/>
      <c r="Q10" s="225"/>
      <c r="R10" s="225"/>
      <c r="S10" s="225"/>
      <c r="T10" s="225"/>
      <c r="U10" s="225"/>
      <c r="V10" s="225"/>
    </row>
    <row r="11" spans="2:22" s="223" customFormat="1" ht="12" customHeight="1" x14ac:dyDescent="0.25">
      <c r="B11" s="237">
        <v>7</v>
      </c>
      <c r="C11" s="246" t="s">
        <v>243</v>
      </c>
      <c r="D11" s="239">
        <v>11.94</v>
      </c>
      <c r="E11" s="239">
        <v>20</v>
      </c>
      <c r="F11" s="240">
        <v>0.28240833333333337</v>
      </c>
      <c r="G11" s="241">
        <v>0.59699999999999998</v>
      </c>
      <c r="H11" s="242">
        <v>43739</v>
      </c>
      <c r="O11" s="225"/>
      <c r="P11" s="225"/>
      <c r="Q11" s="225"/>
      <c r="R11" s="225"/>
      <c r="S11" s="225"/>
      <c r="T11" s="225"/>
      <c r="U11" s="225"/>
      <c r="V11" s="225"/>
    </row>
    <row r="12" spans="2:22" s="223" customFormat="1" ht="12" customHeight="1" x14ac:dyDescent="0.25">
      <c r="B12" s="237">
        <v>8</v>
      </c>
      <c r="C12" s="246" t="s">
        <v>244</v>
      </c>
      <c r="D12" s="239">
        <v>11.94</v>
      </c>
      <c r="E12" s="239">
        <v>20</v>
      </c>
      <c r="F12" s="240">
        <v>0.28240833333333337</v>
      </c>
      <c r="G12" s="241">
        <v>0.59699999999999998</v>
      </c>
      <c r="H12" s="242">
        <v>43739</v>
      </c>
      <c r="J12" s="244" t="s">
        <v>15</v>
      </c>
      <c r="K12" s="245">
        <v>0.34100000000000003</v>
      </c>
      <c r="M12" s="244" t="str">
        <f>"CC_W_"&amp;J12</f>
        <v>CC_W_Fixed</v>
      </c>
      <c r="N12" s="245">
        <v>0.32200000000000001</v>
      </c>
      <c r="O12" s="225"/>
      <c r="P12" s="225"/>
      <c r="Q12" s="225"/>
      <c r="R12" s="225"/>
      <c r="S12" s="225"/>
      <c r="T12" s="225"/>
      <c r="U12" s="225"/>
      <c r="V12" s="225"/>
    </row>
    <row r="13" spans="2:22" s="223" customFormat="1" ht="12" customHeight="1" x14ac:dyDescent="0.25">
      <c r="B13" s="237">
        <v>9</v>
      </c>
      <c r="C13" s="246" t="s">
        <v>245</v>
      </c>
      <c r="D13" s="239">
        <v>4.1952887591895331</v>
      </c>
      <c r="E13" s="239">
        <v>5.6</v>
      </c>
      <c r="F13" s="240">
        <v>0.78991356816699287</v>
      </c>
      <c r="G13" s="241">
        <v>0.74915870699813092</v>
      </c>
      <c r="H13" s="242">
        <v>43007</v>
      </c>
      <c r="O13" s="225"/>
      <c r="P13" s="225"/>
      <c r="Q13" s="225"/>
      <c r="R13" s="225"/>
      <c r="S13" s="225"/>
      <c r="T13" s="225"/>
      <c r="U13" s="225"/>
      <c r="V13" s="225"/>
    </row>
    <row r="14" spans="2:22" s="223" customFormat="1" ht="12" customHeight="1" x14ac:dyDescent="0.25">
      <c r="B14" s="237">
        <v>10</v>
      </c>
      <c r="C14" s="246" t="s">
        <v>246</v>
      </c>
      <c r="D14" s="239">
        <v>-3.24</v>
      </c>
      <c r="E14" s="239">
        <v>-5</v>
      </c>
      <c r="F14" s="240"/>
      <c r="G14" s="241">
        <v>0.64800000000000002</v>
      </c>
      <c r="H14" s="242">
        <v>42705</v>
      </c>
      <c r="O14" s="225"/>
      <c r="P14" s="225"/>
      <c r="Q14" s="225"/>
      <c r="R14" s="225"/>
      <c r="S14" s="225"/>
      <c r="T14" s="225"/>
      <c r="U14" s="225"/>
      <c r="V14" s="225"/>
    </row>
    <row r="15" spans="2:22" s="223" customFormat="1" ht="12" customHeight="1" x14ac:dyDescent="0.25">
      <c r="B15" s="237"/>
      <c r="C15" s="246"/>
      <c r="D15" s="239"/>
      <c r="E15" s="239"/>
      <c r="F15" s="240"/>
      <c r="G15" s="241"/>
      <c r="H15" s="242"/>
      <c r="O15" s="225"/>
      <c r="P15" s="225"/>
      <c r="Q15" s="225"/>
      <c r="R15" s="225"/>
      <c r="S15" s="225"/>
      <c r="T15" s="225"/>
      <c r="U15" s="225"/>
      <c r="V15" s="225"/>
    </row>
    <row r="16" spans="2:22" s="223" customFormat="1" ht="12" customHeight="1" x14ac:dyDescent="0.25">
      <c r="B16" s="237"/>
      <c r="C16" s="246"/>
      <c r="D16" s="239"/>
      <c r="E16" s="239"/>
      <c r="F16" s="240"/>
      <c r="G16" s="241"/>
      <c r="H16" s="242"/>
      <c r="O16" s="225"/>
      <c r="P16" s="225"/>
      <c r="Q16" s="225"/>
      <c r="R16" s="225"/>
      <c r="S16" s="225"/>
      <c r="T16" s="225"/>
      <c r="U16" s="225"/>
      <c r="V16" s="225"/>
    </row>
    <row r="17" spans="1:22" s="223" customFormat="1" ht="12" customHeight="1" x14ac:dyDescent="0.25">
      <c r="B17" s="237"/>
      <c r="C17" s="246"/>
      <c r="D17" s="239"/>
      <c r="E17" s="239"/>
      <c r="F17" s="240"/>
      <c r="G17" s="241"/>
      <c r="H17" s="242"/>
      <c r="O17" s="225"/>
      <c r="P17" s="225"/>
      <c r="Q17" s="225"/>
      <c r="R17" s="225"/>
      <c r="S17" s="225"/>
      <c r="T17" s="225"/>
      <c r="U17" s="225"/>
      <c r="V17" s="225"/>
    </row>
    <row r="18" spans="1:22" s="223" customFormat="1" ht="12" customHeight="1" x14ac:dyDescent="0.25">
      <c r="B18" s="237"/>
      <c r="C18" s="246"/>
      <c r="D18" s="239"/>
      <c r="E18" s="239"/>
      <c r="F18" s="240"/>
      <c r="G18" s="247"/>
      <c r="H18" s="242"/>
      <c r="O18" s="225"/>
      <c r="P18" s="225"/>
      <c r="Q18" s="225"/>
      <c r="R18" s="225"/>
      <c r="S18" s="225"/>
      <c r="T18" s="225"/>
      <c r="U18" s="225"/>
      <c r="V18" s="225"/>
    </row>
    <row r="19" spans="1:22" s="223" customFormat="1" ht="12" customHeight="1" x14ac:dyDescent="0.25">
      <c r="B19" s="237"/>
      <c r="C19" s="246"/>
      <c r="D19" s="239"/>
      <c r="E19" s="239"/>
      <c r="F19" s="240"/>
      <c r="G19" s="247"/>
      <c r="H19" s="242"/>
      <c r="O19" s="225"/>
      <c r="P19" s="225"/>
      <c r="Q19" s="225"/>
      <c r="R19" s="225"/>
      <c r="S19" s="225"/>
      <c r="T19" s="225"/>
      <c r="U19" s="225"/>
      <c r="V19" s="225"/>
    </row>
    <row r="20" spans="1:22" s="223" customFormat="1" ht="12" customHeight="1" x14ac:dyDescent="0.25">
      <c r="B20" s="237"/>
      <c r="C20" s="246"/>
      <c r="D20" s="239"/>
      <c r="E20" s="239"/>
      <c r="F20" s="240"/>
      <c r="G20" s="247"/>
      <c r="H20" s="242"/>
      <c r="O20" s="225"/>
      <c r="P20" s="225"/>
      <c r="Q20" s="225"/>
      <c r="R20" s="225"/>
      <c r="S20" s="225"/>
      <c r="T20" s="225"/>
      <c r="U20" s="225"/>
      <c r="V20" s="225"/>
    </row>
    <row r="21" spans="1:22" s="223" customFormat="1" ht="12" customHeight="1" x14ac:dyDescent="0.25">
      <c r="B21" s="237"/>
      <c r="C21" s="246"/>
      <c r="D21" s="239"/>
      <c r="E21" s="239"/>
      <c r="F21" s="240"/>
      <c r="G21" s="241"/>
      <c r="H21" s="242"/>
      <c r="O21" s="225"/>
      <c r="P21" s="225"/>
      <c r="Q21" s="225"/>
      <c r="R21" s="225"/>
      <c r="S21" s="225"/>
      <c r="T21" s="225"/>
      <c r="U21" s="225"/>
      <c r="V21" s="225"/>
    </row>
    <row r="22" spans="1:22" s="223" customFormat="1" ht="12" customHeight="1" x14ac:dyDescent="0.25">
      <c r="B22" s="237"/>
      <c r="C22" s="246"/>
      <c r="D22" s="239"/>
      <c r="E22" s="239"/>
      <c r="F22" s="240"/>
      <c r="G22" s="241"/>
      <c r="H22" s="242"/>
      <c r="O22" s="225"/>
      <c r="P22" s="225"/>
      <c r="Q22" s="225"/>
      <c r="R22" s="225"/>
      <c r="S22" s="225"/>
      <c r="T22" s="225"/>
      <c r="U22" s="225"/>
      <c r="V22" s="225"/>
    </row>
    <row r="23" spans="1:22" s="223" customFormat="1" ht="12" customHeight="1" x14ac:dyDescent="0.25">
      <c r="B23" s="237"/>
      <c r="C23" s="246"/>
      <c r="D23" s="239"/>
      <c r="E23" s="239"/>
      <c r="F23" s="240"/>
      <c r="G23" s="247"/>
      <c r="H23" s="242"/>
      <c r="O23" s="225"/>
      <c r="P23" s="225"/>
      <c r="Q23" s="225"/>
      <c r="R23" s="225"/>
      <c r="S23" s="225"/>
      <c r="T23" s="225"/>
      <c r="U23" s="225"/>
      <c r="V23" s="225"/>
    </row>
    <row r="24" spans="1:22" s="223" customFormat="1" ht="12" customHeight="1" x14ac:dyDescent="0.25">
      <c r="B24" s="237"/>
      <c r="C24" s="246"/>
      <c r="D24" s="239"/>
      <c r="E24" s="239"/>
      <c r="F24" s="240"/>
      <c r="G24" s="241"/>
      <c r="H24" s="242"/>
      <c r="O24" s="225"/>
      <c r="P24" s="225"/>
      <c r="Q24" s="225"/>
      <c r="R24" s="225"/>
      <c r="S24" s="225"/>
      <c r="T24" s="225"/>
      <c r="U24" s="225"/>
      <c r="V24" s="225"/>
    </row>
    <row r="25" spans="1:22" s="223" customFormat="1" ht="12" customHeight="1" x14ac:dyDescent="0.25">
      <c r="B25" s="237"/>
      <c r="C25" s="246"/>
      <c r="D25" s="239"/>
      <c r="E25" s="239"/>
      <c r="F25" s="240"/>
      <c r="G25" s="241"/>
      <c r="H25" s="242"/>
      <c r="O25" s="225"/>
      <c r="P25" s="225"/>
      <c r="Q25" s="225"/>
      <c r="R25" s="225"/>
      <c r="S25" s="225"/>
      <c r="T25" s="225"/>
      <c r="U25" s="225"/>
      <c r="V25" s="225"/>
    </row>
    <row r="26" spans="1:22" s="223" customFormat="1" ht="3.75" customHeight="1" x14ac:dyDescent="0.25">
      <c r="B26" s="248"/>
      <c r="C26" s="249"/>
      <c r="D26" s="250"/>
      <c r="E26" s="250"/>
      <c r="F26" s="251"/>
      <c r="G26" s="252"/>
      <c r="H26" s="253"/>
      <c r="O26" s="225"/>
      <c r="P26" s="225"/>
      <c r="Q26" s="225"/>
      <c r="R26" s="225"/>
      <c r="S26" s="225"/>
      <c r="T26" s="225"/>
      <c r="U26" s="225"/>
      <c r="V26" s="225"/>
    </row>
    <row r="27" spans="1:22" s="223" customFormat="1" ht="15" customHeight="1" x14ac:dyDescent="0.25">
      <c r="B27" s="378" t="s">
        <v>171</v>
      </c>
      <c r="C27" s="379"/>
      <c r="D27" s="254">
        <v>50.56</v>
      </c>
      <c r="E27" s="254">
        <v>320</v>
      </c>
      <c r="F27" s="255"/>
      <c r="G27" s="256"/>
      <c r="H27" s="257"/>
      <c r="O27" s="225"/>
      <c r="P27" s="225"/>
      <c r="Q27" s="225"/>
      <c r="R27" s="225"/>
      <c r="S27" s="225"/>
      <c r="T27" s="225"/>
      <c r="U27" s="225"/>
      <c r="V27" s="225"/>
    </row>
    <row r="28" spans="1:22" s="223" customFormat="1" ht="6.75" customHeight="1" x14ac:dyDescent="0.25">
      <c r="A28" s="258"/>
      <c r="B28" s="259"/>
      <c r="C28" s="260"/>
      <c r="D28" s="261"/>
      <c r="E28" s="261"/>
      <c r="F28" s="262"/>
      <c r="G28" s="263"/>
      <c r="H28" s="264"/>
      <c r="O28" s="225"/>
      <c r="P28" s="225"/>
      <c r="Q28" s="225"/>
      <c r="R28" s="225"/>
      <c r="S28" s="225"/>
      <c r="T28" s="225"/>
      <c r="U28" s="225"/>
      <c r="V28" s="225"/>
    </row>
    <row r="29" spans="1:22" s="223" customFormat="1" ht="4.5" customHeight="1" x14ac:dyDescent="0.25">
      <c r="B29" s="233"/>
      <c r="C29" s="234"/>
      <c r="D29" s="265"/>
      <c r="E29" s="265"/>
      <c r="F29" s="235"/>
      <c r="G29" s="266"/>
      <c r="H29" s="236"/>
      <c r="O29" s="225"/>
      <c r="P29" s="225"/>
      <c r="Q29" s="225"/>
      <c r="R29" s="225"/>
      <c r="S29" s="225"/>
      <c r="T29" s="225"/>
      <c r="U29" s="225"/>
      <c r="V29" s="225"/>
    </row>
    <row r="30" spans="1:22" s="223" customFormat="1" ht="12" customHeight="1" x14ac:dyDescent="0.25">
      <c r="B30" s="237">
        <v>1</v>
      </c>
      <c r="C30" s="246" t="s">
        <v>172</v>
      </c>
      <c r="D30" s="239">
        <v>12.64</v>
      </c>
      <c r="E30" s="239">
        <v>80</v>
      </c>
      <c r="F30" s="240">
        <v>0.44888198039544075</v>
      </c>
      <c r="G30" s="241">
        <v>0.158</v>
      </c>
      <c r="H30" s="242">
        <v>43405</v>
      </c>
      <c r="I30" s="243"/>
      <c r="J30" s="243"/>
      <c r="K30" s="243"/>
      <c r="L30" s="243"/>
      <c r="M30" s="243"/>
      <c r="N30" s="243"/>
      <c r="O30" s="225"/>
      <c r="P30" s="225"/>
      <c r="Q30" s="225"/>
      <c r="R30" s="225"/>
      <c r="S30" s="225"/>
      <c r="T30" s="225"/>
      <c r="U30" s="225"/>
      <c r="V30" s="225"/>
    </row>
    <row r="31" spans="1:22" s="223" customFormat="1" ht="12" customHeight="1" outlineLevel="1" x14ac:dyDescent="0.25">
      <c r="B31" s="237">
        <v>2</v>
      </c>
      <c r="C31" s="246" t="s">
        <v>173</v>
      </c>
      <c r="D31" s="239">
        <v>12.64</v>
      </c>
      <c r="E31" s="239">
        <v>80</v>
      </c>
      <c r="F31" s="240">
        <v>0.4201085121019501</v>
      </c>
      <c r="G31" s="241">
        <v>0.158</v>
      </c>
      <c r="H31" s="242">
        <v>43405</v>
      </c>
      <c r="I31" s="243"/>
      <c r="J31" s="243"/>
      <c r="K31" s="243"/>
      <c r="L31" s="243"/>
      <c r="M31" s="243"/>
      <c r="N31" s="243"/>
      <c r="O31" s="225"/>
      <c r="P31" s="225"/>
      <c r="Q31" s="225"/>
      <c r="R31" s="225"/>
      <c r="S31" s="225"/>
      <c r="T31" s="225"/>
      <c r="U31" s="225"/>
      <c r="V31" s="225"/>
    </row>
    <row r="32" spans="1:22" s="223" customFormat="1" ht="12" customHeight="1" outlineLevel="1" x14ac:dyDescent="0.25">
      <c r="B32" s="237">
        <v>3</v>
      </c>
      <c r="C32" s="246" t="s">
        <v>174</v>
      </c>
      <c r="D32" s="239">
        <v>12.64</v>
      </c>
      <c r="E32" s="239">
        <v>80</v>
      </c>
      <c r="F32" s="240">
        <v>0.37412840039383594</v>
      </c>
      <c r="G32" s="241">
        <v>0.158</v>
      </c>
      <c r="H32" s="242">
        <v>43405</v>
      </c>
      <c r="I32" s="243"/>
      <c r="J32" s="243"/>
      <c r="K32" s="243"/>
      <c r="L32" s="243"/>
      <c r="M32" s="243"/>
      <c r="N32" s="243"/>
      <c r="O32" s="225"/>
      <c r="P32" s="225"/>
      <c r="Q32" s="225"/>
      <c r="R32" s="225"/>
      <c r="S32" s="225"/>
      <c r="T32" s="225"/>
      <c r="U32" s="225"/>
      <c r="V32" s="225"/>
    </row>
    <row r="33" spans="2:22" s="223" customFormat="1" ht="12" customHeight="1" outlineLevel="1" x14ac:dyDescent="0.25">
      <c r="B33" s="237">
        <v>4</v>
      </c>
      <c r="C33" s="246" t="s">
        <v>175</v>
      </c>
      <c r="D33" s="239">
        <v>25.92</v>
      </c>
      <c r="E33" s="239">
        <v>40</v>
      </c>
      <c r="F33" s="240">
        <v>0.2910375939428741</v>
      </c>
      <c r="G33" s="241">
        <v>0.64800000000000002</v>
      </c>
      <c r="H33" s="242">
        <v>43100</v>
      </c>
      <c r="I33" s="243"/>
      <c r="J33" s="243"/>
      <c r="K33" s="243"/>
      <c r="L33" s="243"/>
      <c r="M33" s="243"/>
      <c r="N33" s="243"/>
      <c r="O33" s="225"/>
      <c r="P33" s="225"/>
      <c r="Q33" s="225"/>
      <c r="R33" s="225"/>
      <c r="S33" s="225"/>
      <c r="T33" s="225"/>
      <c r="U33" s="225"/>
      <c r="V33" s="225"/>
    </row>
    <row r="34" spans="2:22" s="223" customFormat="1" ht="12" customHeight="1" outlineLevel="1" x14ac:dyDescent="0.25">
      <c r="B34" s="237">
        <v>5</v>
      </c>
      <c r="C34" s="246" t="s">
        <v>176</v>
      </c>
      <c r="D34" s="239">
        <v>25.92</v>
      </c>
      <c r="E34" s="239">
        <v>40</v>
      </c>
      <c r="F34" s="240">
        <v>0.30979547153000708</v>
      </c>
      <c r="G34" s="241">
        <v>0.64800000000000002</v>
      </c>
      <c r="H34" s="242">
        <v>43281</v>
      </c>
      <c r="I34" s="243"/>
      <c r="J34" s="243"/>
      <c r="K34" s="243"/>
      <c r="L34" s="243"/>
      <c r="M34" s="243"/>
      <c r="N34" s="243"/>
      <c r="O34" s="225"/>
      <c r="P34" s="225"/>
      <c r="Q34" s="225"/>
      <c r="R34" s="225"/>
      <c r="S34" s="225"/>
      <c r="T34" s="225"/>
      <c r="U34" s="225"/>
      <c r="V34" s="225"/>
    </row>
    <row r="35" spans="2:22" s="223" customFormat="1" ht="12" customHeight="1" outlineLevel="1" x14ac:dyDescent="0.25">
      <c r="B35" s="237">
        <v>6</v>
      </c>
      <c r="C35" s="246" t="s">
        <v>177</v>
      </c>
      <c r="D35" s="239">
        <v>25.92</v>
      </c>
      <c r="E35" s="239">
        <v>40</v>
      </c>
      <c r="F35" s="240">
        <v>0.27912510422478393</v>
      </c>
      <c r="G35" s="241">
        <v>0.64800000000000002</v>
      </c>
      <c r="H35" s="242">
        <v>43435</v>
      </c>
      <c r="I35" s="243"/>
      <c r="J35" s="243"/>
      <c r="K35" s="243"/>
      <c r="L35" s="243"/>
      <c r="M35" s="243"/>
      <c r="N35" s="243"/>
      <c r="O35" s="225"/>
      <c r="P35" s="225"/>
      <c r="Q35" s="225"/>
      <c r="R35" s="225"/>
      <c r="S35" s="225"/>
      <c r="T35" s="225"/>
      <c r="U35" s="225"/>
      <c r="V35" s="225"/>
    </row>
    <row r="36" spans="2:22" s="223" customFormat="1" ht="12" customHeight="1" outlineLevel="1" x14ac:dyDescent="0.25">
      <c r="B36" s="237">
        <v>7</v>
      </c>
      <c r="C36" s="246" t="s">
        <v>178</v>
      </c>
      <c r="D36" s="239">
        <v>25.92</v>
      </c>
      <c r="E36" s="239">
        <v>40</v>
      </c>
      <c r="F36" s="240">
        <v>0.24543000283966182</v>
      </c>
      <c r="G36" s="241">
        <v>0.64800000000000002</v>
      </c>
      <c r="H36" s="242">
        <v>43435</v>
      </c>
      <c r="I36" s="243"/>
      <c r="J36" s="243"/>
      <c r="K36" s="243"/>
      <c r="L36" s="243"/>
      <c r="M36" s="243"/>
      <c r="N36" s="243"/>
      <c r="O36" s="225"/>
      <c r="P36" s="225"/>
      <c r="Q36" s="225"/>
      <c r="R36" s="225"/>
      <c r="S36" s="225"/>
      <c r="T36" s="225"/>
      <c r="U36" s="225"/>
      <c r="V36" s="225"/>
    </row>
    <row r="37" spans="2:22" s="223" customFormat="1" ht="12" customHeight="1" outlineLevel="1" x14ac:dyDescent="0.25">
      <c r="B37" s="237">
        <v>8</v>
      </c>
      <c r="C37" s="246" t="s">
        <v>179</v>
      </c>
      <c r="D37" s="239">
        <v>9.5500000000000007</v>
      </c>
      <c r="E37" s="239">
        <v>16</v>
      </c>
      <c r="F37" s="240">
        <v>0.29317208904109587</v>
      </c>
      <c r="G37" s="241">
        <v>0.59699999999999998</v>
      </c>
      <c r="H37" s="242">
        <v>43739</v>
      </c>
      <c r="I37" s="243"/>
      <c r="J37" s="243"/>
      <c r="K37" s="243"/>
      <c r="L37" s="243"/>
      <c r="M37" s="243"/>
      <c r="N37" s="243"/>
      <c r="O37" s="225"/>
      <c r="P37" s="225"/>
      <c r="Q37" s="225"/>
      <c r="R37" s="225"/>
      <c r="S37" s="225"/>
      <c r="T37" s="225"/>
      <c r="U37" s="225"/>
      <c r="V37" s="225"/>
    </row>
    <row r="38" spans="2:22" s="223" customFormat="1" ht="12" customHeight="1" outlineLevel="1" x14ac:dyDescent="0.25">
      <c r="B38" s="237">
        <v>9</v>
      </c>
      <c r="C38" s="246" t="s">
        <v>180</v>
      </c>
      <c r="D38" s="239">
        <v>29.81</v>
      </c>
      <c r="E38" s="239">
        <v>46</v>
      </c>
      <c r="F38" s="240">
        <v>0.28746024050774271</v>
      </c>
      <c r="G38" s="241">
        <v>0.64800000000000002</v>
      </c>
      <c r="H38" s="242">
        <v>43435</v>
      </c>
      <c r="I38" s="243"/>
      <c r="J38" s="243"/>
      <c r="K38" s="243"/>
      <c r="L38" s="243"/>
      <c r="M38" s="243"/>
      <c r="N38" s="243"/>
      <c r="O38" s="225"/>
      <c r="P38" s="225"/>
      <c r="Q38" s="225"/>
      <c r="R38" s="225"/>
      <c r="S38" s="225"/>
      <c r="T38" s="225"/>
      <c r="U38" s="225"/>
      <c r="V38" s="225"/>
    </row>
    <row r="39" spans="2:22" s="223" customFormat="1" ht="12" customHeight="1" outlineLevel="1" x14ac:dyDescent="0.25">
      <c r="B39" s="237">
        <v>10</v>
      </c>
      <c r="C39" s="246" t="s">
        <v>181</v>
      </c>
      <c r="D39" s="239">
        <v>34.61</v>
      </c>
      <c r="E39" s="239">
        <v>58</v>
      </c>
      <c r="F39" s="240">
        <v>0.33872457399925676</v>
      </c>
      <c r="G39" s="241">
        <v>0.59699999999999998</v>
      </c>
      <c r="H39" s="242">
        <v>43282</v>
      </c>
      <c r="I39" s="243"/>
      <c r="J39" s="243"/>
      <c r="K39" s="243"/>
      <c r="L39" s="243"/>
      <c r="M39" s="243"/>
      <c r="N39" s="243"/>
      <c r="O39" s="225"/>
      <c r="P39" s="225"/>
      <c r="Q39" s="225"/>
      <c r="R39" s="225"/>
      <c r="S39" s="225"/>
      <c r="T39" s="225"/>
      <c r="U39" s="225"/>
      <c r="V39" s="225"/>
    </row>
    <row r="40" spans="2:22" s="223" customFormat="1" ht="12" customHeight="1" outlineLevel="1" x14ac:dyDescent="0.25">
      <c r="B40" s="237">
        <v>11</v>
      </c>
      <c r="C40" s="246" t="s">
        <v>182</v>
      </c>
      <c r="D40" s="239">
        <v>35.64</v>
      </c>
      <c r="E40" s="239">
        <v>55</v>
      </c>
      <c r="F40" s="240">
        <v>0.28014826190630915</v>
      </c>
      <c r="G40" s="241">
        <v>0.64800000000000002</v>
      </c>
      <c r="H40" s="242">
        <v>43466</v>
      </c>
      <c r="I40" s="243"/>
      <c r="J40" s="243"/>
      <c r="K40" s="243"/>
      <c r="L40" s="243"/>
      <c r="M40" s="243"/>
      <c r="N40" s="243"/>
      <c r="O40" s="225"/>
      <c r="P40" s="225"/>
      <c r="Q40" s="225"/>
      <c r="R40" s="225"/>
      <c r="S40" s="225"/>
      <c r="T40" s="225"/>
      <c r="U40" s="225"/>
      <c r="V40" s="225"/>
    </row>
    <row r="41" spans="2:22" s="223" customFormat="1" ht="12" customHeight="1" outlineLevel="1" x14ac:dyDescent="0.25">
      <c r="B41" s="237">
        <v>12</v>
      </c>
      <c r="C41" s="246" t="s">
        <v>183</v>
      </c>
      <c r="D41" s="239">
        <v>35.64</v>
      </c>
      <c r="E41" s="239">
        <v>55</v>
      </c>
      <c r="F41" s="240">
        <v>0.24561402833410487</v>
      </c>
      <c r="G41" s="241">
        <v>0.64800000000000002</v>
      </c>
      <c r="H41" s="242">
        <v>44196</v>
      </c>
      <c r="I41" s="243"/>
      <c r="J41" s="243"/>
      <c r="K41" s="243"/>
      <c r="L41" s="243"/>
      <c r="M41" s="243"/>
      <c r="N41" s="243"/>
      <c r="O41" s="225"/>
      <c r="P41" s="225"/>
      <c r="Q41" s="225"/>
      <c r="R41" s="225"/>
      <c r="S41" s="225"/>
      <c r="T41" s="225"/>
      <c r="U41" s="225"/>
      <c r="V41" s="225"/>
    </row>
    <row r="42" spans="2:22" s="223" customFormat="1" ht="12" customHeight="1" outlineLevel="1" x14ac:dyDescent="0.25">
      <c r="B42" s="237">
        <v>13</v>
      </c>
      <c r="C42" s="246" t="s">
        <v>184</v>
      </c>
      <c r="D42" s="239">
        <v>23.87</v>
      </c>
      <c r="E42" s="239">
        <v>40</v>
      </c>
      <c r="F42" s="240">
        <v>0.27404972065068489</v>
      </c>
      <c r="G42" s="241">
        <v>0.59699999999999998</v>
      </c>
      <c r="H42" s="242">
        <v>43646</v>
      </c>
      <c r="I42" s="243"/>
      <c r="J42" s="243"/>
      <c r="K42" s="243"/>
      <c r="L42" s="243"/>
      <c r="M42" s="243"/>
      <c r="N42" s="243"/>
      <c r="O42" s="225"/>
      <c r="P42" s="225"/>
      <c r="Q42" s="225"/>
      <c r="R42" s="225"/>
      <c r="S42" s="225"/>
      <c r="T42" s="225"/>
      <c r="U42" s="225"/>
      <c r="V42" s="225"/>
    </row>
    <row r="43" spans="2:22" s="223" customFormat="1" ht="12" customHeight="1" outlineLevel="1" x14ac:dyDescent="0.25">
      <c r="B43" s="237">
        <v>14</v>
      </c>
      <c r="C43" s="246" t="s">
        <v>185</v>
      </c>
      <c r="D43" s="239">
        <v>32.4</v>
      </c>
      <c r="E43" s="239">
        <v>50</v>
      </c>
      <c r="F43" s="240">
        <v>0.25810705273620738</v>
      </c>
      <c r="G43" s="241">
        <v>0.64800000000000002</v>
      </c>
      <c r="H43" s="242">
        <v>43466</v>
      </c>
      <c r="I43" s="243"/>
      <c r="J43" s="243"/>
      <c r="K43" s="243"/>
      <c r="L43" s="243"/>
      <c r="M43" s="243"/>
      <c r="N43" s="243"/>
      <c r="O43" s="225"/>
      <c r="P43" s="225"/>
      <c r="Q43" s="225"/>
      <c r="R43" s="225"/>
      <c r="S43" s="225"/>
      <c r="T43" s="225"/>
      <c r="U43" s="225"/>
      <c r="V43" s="225"/>
    </row>
    <row r="44" spans="2:22" s="223" customFormat="1" ht="12" customHeight="1" outlineLevel="1" x14ac:dyDescent="0.25">
      <c r="B44" s="237">
        <v>15</v>
      </c>
      <c r="C44" s="246" t="s">
        <v>186</v>
      </c>
      <c r="D44" s="239">
        <v>51.84</v>
      </c>
      <c r="E44" s="239">
        <v>80</v>
      </c>
      <c r="F44" s="240">
        <v>0.29331050228310507</v>
      </c>
      <c r="G44" s="241">
        <v>0.64800000000000002</v>
      </c>
      <c r="H44" s="242">
        <v>44197</v>
      </c>
      <c r="I44" s="243"/>
      <c r="J44" s="243"/>
      <c r="K44" s="243"/>
      <c r="L44" s="243"/>
      <c r="M44" s="243"/>
      <c r="N44" s="243"/>
      <c r="O44" s="225"/>
      <c r="P44" s="225"/>
      <c r="Q44" s="225"/>
      <c r="R44" s="225"/>
      <c r="S44" s="225"/>
      <c r="T44" s="225"/>
      <c r="U44" s="225"/>
      <c r="V44" s="225"/>
    </row>
    <row r="45" spans="2:22" s="223" customFormat="1" ht="12" customHeight="1" outlineLevel="1" x14ac:dyDescent="0.25">
      <c r="B45" s="237">
        <v>16</v>
      </c>
      <c r="C45" s="246" t="s">
        <v>247</v>
      </c>
      <c r="D45" s="239">
        <v>12.96</v>
      </c>
      <c r="E45" s="239">
        <v>20</v>
      </c>
      <c r="F45" s="240">
        <v>0.29271689497716891</v>
      </c>
      <c r="G45" s="241">
        <v>0.64800000000000002</v>
      </c>
      <c r="H45" s="242">
        <v>44197</v>
      </c>
      <c r="I45" s="243"/>
      <c r="J45" s="243"/>
      <c r="K45" s="243"/>
      <c r="L45" s="243"/>
      <c r="M45" s="243"/>
      <c r="N45" s="243"/>
      <c r="O45" s="225"/>
      <c r="P45" s="225"/>
      <c r="Q45" s="225"/>
      <c r="R45" s="225"/>
      <c r="S45" s="225"/>
      <c r="T45" s="225"/>
      <c r="U45" s="225"/>
      <c r="V45" s="225"/>
    </row>
    <row r="46" spans="2:22" s="223" customFormat="1" ht="12" customHeight="1" outlineLevel="1" x14ac:dyDescent="0.25">
      <c r="B46" s="237">
        <v>17</v>
      </c>
      <c r="C46" s="246" t="s">
        <v>187</v>
      </c>
      <c r="D46" s="239">
        <v>47.74</v>
      </c>
      <c r="E46" s="239">
        <v>80</v>
      </c>
      <c r="F46" s="240">
        <v>0.31495847602739729</v>
      </c>
      <c r="G46" s="241">
        <v>0.59699999999999998</v>
      </c>
      <c r="H46" s="242">
        <v>43983</v>
      </c>
      <c r="I46" s="243"/>
      <c r="J46" s="243"/>
      <c r="K46" s="243"/>
      <c r="L46" s="243"/>
      <c r="M46" s="243"/>
      <c r="N46" s="243"/>
      <c r="O46" s="225"/>
      <c r="P46" s="225"/>
      <c r="Q46" s="225"/>
      <c r="R46" s="225"/>
      <c r="S46" s="225"/>
      <c r="T46" s="225"/>
      <c r="U46" s="225"/>
      <c r="V46" s="225"/>
    </row>
    <row r="47" spans="2:22" s="223" customFormat="1" ht="12" customHeight="1" outlineLevel="1" x14ac:dyDescent="0.25">
      <c r="B47" s="237">
        <v>18</v>
      </c>
      <c r="C47" s="246" t="s">
        <v>188</v>
      </c>
      <c r="D47" s="239">
        <v>51.84</v>
      </c>
      <c r="E47" s="239">
        <v>80</v>
      </c>
      <c r="F47" s="240">
        <v>0.28007577169377862</v>
      </c>
      <c r="G47" s="241">
        <v>0.64800000000000002</v>
      </c>
      <c r="H47" s="242">
        <v>43800</v>
      </c>
      <c r="I47" s="243"/>
      <c r="J47" s="243"/>
      <c r="K47" s="243"/>
      <c r="L47" s="243"/>
      <c r="M47" s="243"/>
      <c r="N47" s="243"/>
      <c r="O47" s="225"/>
      <c r="P47" s="225"/>
      <c r="Q47" s="225"/>
      <c r="R47" s="225"/>
      <c r="S47" s="225"/>
      <c r="T47" s="225"/>
      <c r="U47" s="225"/>
      <c r="V47" s="225"/>
    </row>
    <row r="48" spans="2:22" s="223" customFormat="1" ht="12" customHeight="1" outlineLevel="1" x14ac:dyDescent="0.25">
      <c r="B48" s="237">
        <v>19</v>
      </c>
      <c r="C48" s="246" t="s">
        <v>189</v>
      </c>
      <c r="D48" s="239">
        <v>51.84</v>
      </c>
      <c r="E48" s="239">
        <v>80</v>
      </c>
      <c r="F48" s="240">
        <v>0.28007577169377862</v>
      </c>
      <c r="G48" s="241">
        <v>0.64800000000000002</v>
      </c>
      <c r="H48" s="242">
        <v>43800</v>
      </c>
      <c r="I48" s="243"/>
      <c r="J48" s="243"/>
      <c r="K48" s="243"/>
      <c r="L48" s="243"/>
      <c r="M48" s="243"/>
      <c r="N48" s="243"/>
      <c r="O48" s="225"/>
      <c r="P48" s="225"/>
      <c r="Q48" s="225"/>
      <c r="R48" s="225"/>
      <c r="S48" s="225"/>
      <c r="T48" s="225"/>
      <c r="U48" s="225"/>
      <c r="V48" s="225"/>
    </row>
    <row r="49" spans="2:22" s="223" customFormat="1" ht="12" customHeight="1" outlineLevel="1" x14ac:dyDescent="0.25">
      <c r="B49" s="237">
        <v>20</v>
      </c>
      <c r="C49" s="246" t="s">
        <v>190</v>
      </c>
      <c r="D49" s="239">
        <v>51.84</v>
      </c>
      <c r="E49" s="239">
        <v>80</v>
      </c>
      <c r="F49" s="240">
        <v>0.28007577169377862</v>
      </c>
      <c r="G49" s="241">
        <v>0.64800000000000002</v>
      </c>
      <c r="H49" s="242">
        <v>43800</v>
      </c>
      <c r="I49" s="243"/>
      <c r="J49" s="243"/>
      <c r="K49" s="243"/>
      <c r="L49" s="243"/>
      <c r="M49" s="243"/>
      <c r="N49" s="243"/>
      <c r="O49" s="225"/>
      <c r="P49" s="225"/>
      <c r="Q49" s="225"/>
      <c r="R49" s="225"/>
      <c r="S49" s="225"/>
      <c r="T49" s="225"/>
      <c r="U49" s="225"/>
      <c r="V49" s="225"/>
    </row>
    <row r="50" spans="2:22" s="223" customFormat="1" ht="12" customHeight="1" outlineLevel="1" collapsed="1" x14ac:dyDescent="0.25">
      <c r="B50" s="237">
        <v>21</v>
      </c>
      <c r="C50" s="246" t="s">
        <v>191</v>
      </c>
      <c r="D50" s="239">
        <v>47.74</v>
      </c>
      <c r="E50" s="239">
        <v>80</v>
      </c>
      <c r="F50" s="240">
        <v>0.3081600327731705</v>
      </c>
      <c r="G50" s="241">
        <v>0.59699999999999998</v>
      </c>
      <c r="H50" s="242">
        <v>44012</v>
      </c>
      <c r="I50" s="243"/>
      <c r="J50" s="243"/>
      <c r="K50" s="243"/>
      <c r="L50" s="243"/>
      <c r="M50" s="243"/>
      <c r="N50" s="243"/>
      <c r="O50" s="225"/>
      <c r="P50" s="225"/>
      <c r="Q50" s="225"/>
      <c r="R50" s="225"/>
      <c r="S50" s="225"/>
      <c r="T50" s="225"/>
      <c r="U50" s="225"/>
      <c r="V50" s="225"/>
    </row>
    <row r="51" spans="2:22" s="223" customFormat="1" ht="12" customHeight="1" outlineLevel="1" x14ac:dyDescent="0.25">
      <c r="B51" s="237">
        <v>22</v>
      </c>
      <c r="C51" s="246" t="s">
        <v>192</v>
      </c>
      <c r="D51" s="239">
        <v>47.74</v>
      </c>
      <c r="E51" s="239">
        <v>80</v>
      </c>
      <c r="F51" s="240">
        <v>0.2962957744202418</v>
      </c>
      <c r="G51" s="241">
        <v>0.59699999999999998</v>
      </c>
      <c r="H51" s="242">
        <v>43800</v>
      </c>
      <c r="I51" s="243"/>
      <c r="J51" s="243"/>
      <c r="K51" s="243"/>
      <c r="L51" s="243"/>
      <c r="M51" s="243"/>
      <c r="N51" s="243"/>
      <c r="O51" s="225"/>
      <c r="P51" s="225"/>
      <c r="Q51" s="225"/>
      <c r="R51" s="225"/>
      <c r="S51" s="225"/>
      <c r="T51" s="225"/>
      <c r="U51" s="225"/>
      <c r="V51" s="225"/>
    </row>
    <row r="52" spans="2:22" s="223" customFormat="1" ht="12" customHeight="1" outlineLevel="1" x14ac:dyDescent="0.25">
      <c r="B52" s="237"/>
      <c r="C52" s="246"/>
      <c r="D52" s="239"/>
      <c r="E52" s="239"/>
      <c r="F52" s="240"/>
      <c r="G52" s="241"/>
      <c r="H52" s="242"/>
      <c r="I52" s="243"/>
      <c r="J52" s="243"/>
      <c r="K52" s="243"/>
      <c r="L52" s="243"/>
      <c r="M52" s="243"/>
      <c r="N52" s="243"/>
      <c r="O52" s="225"/>
      <c r="P52" s="225"/>
      <c r="Q52" s="225"/>
      <c r="R52" s="225"/>
      <c r="S52" s="225"/>
      <c r="T52" s="225"/>
      <c r="U52" s="225"/>
      <c r="V52" s="225"/>
    </row>
    <row r="53" spans="2:22" s="223" customFormat="1" ht="12" customHeight="1" outlineLevel="1" x14ac:dyDescent="0.25">
      <c r="B53" s="237"/>
      <c r="C53" s="246"/>
      <c r="D53" s="239"/>
      <c r="E53" s="239"/>
      <c r="F53" s="240"/>
      <c r="G53" s="241"/>
      <c r="H53" s="242"/>
      <c r="I53" s="243"/>
      <c r="J53" s="243"/>
      <c r="K53" s="243"/>
      <c r="L53" s="243"/>
      <c r="M53" s="243"/>
      <c r="N53" s="243"/>
      <c r="O53" s="225"/>
      <c r="P53" s="225"/>
      <c r="Q53" s="225"/>
      <c r="R53" s="225"/>
      <c r="S53" s="225"/>
      <c r="T53" s="225"/>
      <c r="U53" s="225"/>
      <c r="V53" s="225"/>
    </row>
    <row r="54" spans="2:22" s="223" customFormat="1" ht="12" hidden="1" customHeight="1" outlineLevel="1" x14ac:dyDescent="0.25">
      <c r="B54" s="237"/>
      <c r="C54" s="246"/>
      <c r="D54" s="239"/>
      <c r="E54" s="239"/>
      <c r="F54" s="240"/>
      <c r="G54" s="241"/>
      <c r="H54" s="242"/>
      <c r="I54" s="243"/>
      <c r="J54" s="243"/>
      <c r="K54" s="243"/>
      <c r="L54" s="243"/>
      <c r="M54" s="243"/>
      <c r="N54" s="243"/>
      <c r="O54" s="225"/>
      <c r="P54" s="225"/>
      <c r="Q54" s="225"/>
      <c r="R54" s="225"/>
      <c r="S54" s="225"/>
      <c r="T54" s="225"/>
      <c r="U54" s="225"/>
      <c r="V54" s="225"/>
    </row>
    <row r="55" spans="2:22" s="223" customFormat="1" ht="12" hidden="1" customHeight="1" outlineLevel="1" x14ac:dyDescent="0.25">
      <c r="B55" s="237"/>
      <c r="C55" s="246"/>
      <c r="D55" s="239"/>
      <c r="E55" s="239"/>
      <c r="F55" s="240"/>
      <c r="G55" s="241"/>
      <c r="H55" s="242"/>
      <c r="I55" s="243"/>
      <c r="J55" s="243"/>
      <c r="K55" s="243"/>
      <c r="L55" s="243"/>
      <c r="M55" s="243"/>
      <c r="N55" s="243"/>
      <c r="O55" s="225"/>
      <c r="P55" s="225"/>
      <c r="Q55" s="225"/>
      <c r="R55" s="225"/>
      <c r="S55" s="225"/>
      <c r="T55" s="225"/>
      <c r="U55" s="225"/>
      <c r="V55" s="225"/>
    </row>
    <row r="56" spans="2:22" s="223" customFormat="1" ht="12" hidden="1" customHeight="1" outlineLevel="1" x14ac:dyDescent="0.25">
      <c r="B56" s="237"/>
      <c r="C56" s="246"/>
      <c r="D56" s="239"/>
      <c r="E56" s="239"/>
      <c r="F56" s="240"/>
      <c r="G56" s="241"/>
      <c r="H56" s="242"/>
      <c r="I56" s="243"/>
      <c r="J56" s="243"/>
      <c r="K56" s="243"/>
      <c r="L56" s="243"/>
      <c r="M56" s="243"/>
      <c r="N56" s="243"/>
      <c r="O56" s="225"/>
      <c r="P56" s="225"/>
      <c r="Q56" s="225"/>
      <c r="R56" s="225"/>
      <c r="S56" s="225"/>
      <c r="T56" s="225"/>
      <c r="U56" s="225"/>
      <c r="V56" s="225"/>
    </row>
    <row r="57" spans="2:22" s="223" customFormat="1" ht="12" hidden="1" customHeight="1" outlineLevel="1" x14ac:dyDescent="0.25">
      <c r="B57" s="237"/>
      <c r="C57" s="246"/>
      <c r="D57" s="239"/>
      <c r="E57" s="239"/>
      <c r="F57" s="240"/>
      <c r="G57" s="241"/>
      <c r="H57" s="242"/>
      <c r="I57" s="243"/>
      <c r="J57" s="243"/>
      <c r="K57" s="243"/>
      <c r="L57" s="243"/>
      <c r="M57" s="243"/>
      <c r="N57" s="243"/>
      <c r="O57" s="225"/>
      <c r="P57" s="225"/>
      <c r="Q57" s="225"/>
      <c r="R57" s="225"/>
      <c r="S57" s="225"/>
      <c r="T57" s="225"/>
      <c r="U57" s="225"/>
      <c r="V57" s="225"/>
    </row>
    <row r="58" spans="2:22" s="223" customFormat="1" ht="12" hidden="1" customHeight="1" outlineLevel="1" collapsed="1" x14ac:dyDescent="0.25">
      <c r="B58" s="237"/>
      <c r="C58" s="246"/>
      <c r="D58" s="239"/>
      <c r="E58" s="239"/>
      <c r="F58" s="240"/>
      <c r="G58" s="241"/>
      <c r="H58" s="242"/>
      <c r="I58" s="243"/>
      <c r="J58" s="243"/>
      <c r="K58" s="243"/>
      <c r="L58" s="243"/>
      <c r="M58" s="243"/>
      <c r="N58" s="243"/>
      <c r="O58" s="225"/>
      <c r="P58" s="225"/>
      <c r="Q58" s="225"/>
      <c r="R58" s="225"/>
      <c r="S58" s="225"/>
      <c r="T58" s="225"/>
      <c r="U58" s="225"/>
      <c r="V58" s="225"/>
    </row>
    <row r="59" spans="2:22" s="223" customFormat="1" ht="12" hidden="1" customHeight="1" outlineLevel="1" x14ac:dyDescent="0.25">
      <c r="B59" s="237"/>
      <c r="C59" s="246"/>
      <c r="D59" s="239"/>
      <c r="E59" s="239"/>
      <c r="F59" s="240"/>
      <c r="G59" s="241"/>
      <c r="H59" s="242"/>
      <c r="I59" s="243"/>
      <c r="J59" s="243"/>
      <c r="K59" s="243"/>
      <c r="L59" s="243"/>
      <c r="M59" s="243"/>
      <c r="N59" s="243"/>
      <c r="O59" s="225"/>
      <c r="P59" s="225"/>
      <c r="Q59" s="225"/>
      <c r="R59" s="225"/>
      <c r="S59" s="225"/>
      <c r="T59" s="225"/>
      <c r="U59" s="225"/>
      <c r="V59" s="225"/>
    </row>
    <row r="60" spans="2:22" s="223" customFormat="1" ht="12" hidden="1" customHeight="1" outlineLevel="1" x14ac:dyDescent="0.25">
      <c r="B60" s="237"/>
      <c r="C60" s="246"/>
      <c r="D60" s="239"/>
      <c r="E60" s="239"/>
      <c r="F60" s="240"/>
      <c r="G60" s="241"/>
      <c r="H60" s="242"/>
      <c r="I60" s="243"/>
      <c r="J60" s="243"/>
      <c r="K60" s="243"/>
      <c r="L60" s="243"/>
      <c r="M60" s="243"/>
      <c r="N60" s="243"/>
      <c r="O60" s="225"/>
      <c r="P60" s="225"/>
      <c r="Q60" s="225"/>
      <c r="R60" s="225"/>
      <c r="S60" s="225"/>
      <c r="T60" s="225"/>
      <c r="U60" s="225"/>
      <c r="V60" s="225"/>
    </row>
    <row r="61" spans="2:22" s="223" customFormat="1" ht="12" hidden="1" customHeight="1" outlineLevel="1" x14ac:dyDescent="0.25">
      <c r="B61" s="237"/>
      <c r="C61" s="246"/>
      <c r="D61" s="239"/>
      <c r="E61" s="239"/>
      <c r="F61" s="240"/>
      <c r="G61" s="241"/>
      <c r="H61" s="242"/>
      <c r="I61" s="243"/>
      <c r="J61" s="243"/>
      <c r="K61" s="243"/>
      <c r="L61" s="243"/>
      <c r="M61" s="243"/>
      <c r="N61" s="243"/>
      <c r="O61" s="225"/>
      <c r="P61" s="225"/>
      <c r="Q61" s="225"/>
      <c r="R61" s="225"/>
      <c r="S61" s="225"/>
      <c r="T61" s="225"/>
      <c r="U61" s="225"/>
      <c r="V61" s="225"/>
    </row>
    <row r="62" spans="2:22" s="223" customFormat="1" ht="12" hidden="1" customHeight="1" outlineLevel="1" x14ac:dyDescent="0.25">
      <c r="B62" s="237"/>
      <c r="C62" s="246"/>
      <c r="D62" s="239"/>
      <c r="E62" s="239"/>
      <c r="F62" s="240"/>
      <c r="G62" s="241"/>
      <c r="H62" s="242"/>
      <c r="I62" s="243"/>
      <c r="J62" s="243"/>
      <c r="K62" s="243"/>
      <c r="L62" s="243"/>
      <c r="M62" s="243"/>
      <c r="N62" s="243"/>
      <c r="O62" s="225"/>
      <c r="P62" s="225"/>
      <c r="Q62" s="225"/>
      <c r="R62" s="225"/>
      <c r="S62" s="225"/>
      <c r="T62" s="225"/>
      <c r="U62" s="225"/>
      <c r="V62" s="225"/>
    </row>
    <row r="63" spans="2:22" s="223" customFormat="1" ht="12" hidden="1" customHeight="1" outlineLevel="1" x14ac:dyDescent="0.25">
      <c r="B63" s="237"/>
      <c r="C63" s="246"/>
      <c r="D63" s="239"/>
      <c r="E63" s="239"/>
      <c r="F63" s="240"/>
      <c r="G63" s="241"/>
      <c r="H63" s="242"/>
      <c r="I63" s="243"/>
      <c r="J63" s="243"/>
      <c r="K63" s="243"/>
      <c r="L63" s="243"/>
      <c r="M63" s="243"/>
      <c r="N63" s="243"/>
      <c r="O63" s="225"/>
      <c r="P63" s="225"/>
      <c r="Q63" s="225"/>
      <c r="R63" s="225"/>
      <c r="S63" s="225"/>
      <c r="T63" s="225"/>
      <c r="U63" s="225"/>
      <c r="V63" s="225"/>
    </row>
    <row r="64" spans="2:22" s="223" customFormat="1" ht="12" hidden="1" customHeight="1" outlineLevel="1" x14ac:dyDescent="0.25">
      <c r="B64" s="237"/>
      <c r="C64" s="246"/>
      <c r="D64" s="239"/>
      <c r="E64" s="239"/>
      <c r="F64" s="240"/>
      <c r="G64" s="241"/>
      <c r="H64" s="242"/>
      <c r="I64" s="243"/>
      <c r="J64" s="243"/>
      <c r="K64" s="243"/>
      <c r="L64" s="243"/>
      <c r="M64" s="243"/>
      <c r="N64" s="243"/>
      <c r="O64" s="225"/>
      <c r="P64" s="225"/>
      <c r="Q64" s="225"/>
      <c r="R64" s="225"/>
      <c r="S64" s="225"/>
      <c r="T64" s="225"/>
      <c r="U64" s="225"/>
      <c r="V64" s="225"/>
    </row>
    <row r="65" spans="2:22" s="223" customFormat="1" ht="12" hidden="1" customHeight="1" outlineLevel="1" x14ac:dyDescent="0.25">
      <c r="B65" s="237"/>
      <c r="C65" s="246"/>
      <c r="D65" s="239"/>
      <c r="E65" s="239"/>
      <c r="F65" s="240"/>
      <c r="G65" s="241"/>
      <c r="H65" s="242"/>
      <c r="I65" s="243"/>
      <c r="J65" s="243"/>
      <c r="K65" s="243"/>
      <c r="L65" s="243"/>
      <c r="M65" s="243"/>
      <c r="N65" s="243"/>
      <c r="O65" s="225"/>
      <c r="P65" s="225"/>
      <c r="Q65" s="225"/>
      <c r="R65" s="225"/>
      <c r="S65" s="225"/>
      <c r="T65" s="225"/>
      <c r="U65" s="225"/>
      <c r="V65" s="225"/>
    </row>
    <row r="66" spans="2:22" s="223" customFormat="1" ht="12" hidden="1" customHeight="1" x14ac:dyDescent="0.25">
      <c r="B66" s="237"/>
      <c r="C66" s="246"/>
      <c r="D66" s="239"/>
      <c r="E66" s="239"/>
      <c r="F66" s="240"/>
      <c r="G66" s="241"/>
      <c r="H66" s="242"/>
      <c r="I66" s="243"/>
      <c r="J66" s="243"/>
      <c r="K66" s="243"/>
      <c r="L66" s="243"/>
      <c r="M66" s="243"/>
      <c r="N66" s="243"/>
      <c r="O66" s="225"/>
      <c r="P66" s="225"/>
      <c r="Q66" s="225"/>
      <c r="R66" s="225"/>
      <c r="S66" s="225"/>
      <c r="T66" s="225"/>
      <c r="U66" s="225"/>
      <c r="V66" s="225"/>
    </row>
    <row r="67" spans="2:22" s="223" customFormat="1" ht="12" hidden="1" customHeight="1" x14ac:dyDescent="0.25">
      <c r="B67" s="237"/>
      <c r="C67" s="246"/>
      <c r="D67" s="239"/>
      <c r="E67" s="239"/>
      <c r="F67" s="240"/>
      <c r="G67" s="241"/>
      <c r="H67" s="242"/>
      <c r="I67" s="243"/>
      <c r="J67" s="243"/>
      <c r="K67" s="243"/>
      <c r="L67" s="243"/>
      <c r="M67" s="243"/>
      <c r="N67" s="243"/>
      <c r="O67" s="225"/>
      <c r="P67" s="225"/>
      <c r="Q67" s="225"/>
      <c r="R67" s="225"/>
      <c r="S67" s="225"/>
      <c r="T67" s="225"/>
      <c r="U67" s="225"/>
      <c r="V67" s="225"/>
    </row>
    <row r="68" spans="2:22" s="223" customFormat="1" ht="12" hidden="1" customHeight="1" x14ac:dyDescent="0.25">
      <c r="B68" s="237"/>
      <c r="C68" s="246"/>
      <c r="D68" s="239"/>
      <c r="E68" s="239"/>
      <c r="F68" s="240"/>
      <c r="G68" s="241"/>
      <c r="H68" s="242"/>
      <c r="I68" s="243"/>
      <c r="J68" s="243"/>
      <c r="K68" s="243"/>
      <c r="L68" s="243"/>
      <c r="M68" s="243"/>
      <c r="N68" s="243"/>
      <c r="O68" s="225"/>
      <c r="P68" s="225"/>
      <c r="Q68" s="225"/>
      <c r="R68" s="225"/>
      <c r="S68" s="225"/>
      <c r="T68" s="225"/>
      <c r="U68" s="225"/>
      <c r="V68" s="225"/>
    </row>
    <row r="69" spans="2:22" s="223" customFormat="1" ht="12" hidden="1" customHeight="1" x14ac:dyDescent="0.25">
      <c r="B69" s="237"/>
      <c r="C69" s="246"/>
      <c r="D69" s="239"/>
      <c r="E69" s="239"/>
      <c r="F69" s="240"/>
      <c r="G69" s="241"/>
      <c r="H69" s="242"/>
      <c r="I69" s="243"/>
      <c r="J69" s="243"/>
      <c r="K69" s="243"/>
      <c r="L69" s="243"/>
      <c r="M69" s="243"/>
      <c r="N69" s="243"/>
      <c r="O69" s="225"/>
      <c r="P69" s="225"/>
      <c r="Q69" s="225"/>
      <c r="R69" s="225"/>
      <c r="S69" s="225"/>
      <c r="T69" s="225"/>
      <c r="U69" s="225"/>
      <c r="V69" s="225"/>
    </row>
    <row r="70" spans="2:22" s="223" customFormat="1" ht="12" hidden="1" customHeight="1" x14ac:dyDescent="0.25">
      <c r="B70" s="237"/>
      <c r="C70" s="246"/>
      <c r="D70" s="239"/>
      <c r="E70" s="239"/>
      <c r="F70" s="240"/>
      <c r="G70" s="241"/>
      <c r="H70" s="242"/>
      <c r="I70" s="243"/>
      <c r="J70" s="243"/>
      <c r="K70" s="243"/>
      <c r="L70" s="243"/>
      <c r="M70" s="243"/>
      <c r="N70" s="243"/>
      <c r="O70" s="225"/>
      <c r="P70" s="225"/>
      <c r="Q70" s="225"/>
      <c r="R70" s="225"/>
      <c r="S70" s="225"/>
      <c r="T70" s="225"/>
      <c r="U70" s="225"/>
      <c r="V70" s="225"/>
    </row>
    <row r="71" spans="2:22" s="223" customFormat="1" ht="12" hidden="1" customHeight="1" x14ac:dyDescent="0.25">
      <c r="B71" s="237"/>
      <c r="C71" s="246"/>
      <c r="D71" s="239"/>
      <c r="E71" s="239"/>
      <c r="F71" s="240"/>
      <c r="G71" s="241"/>
      <c r="H71" s="242"/>
      <c r="I71" s="243"/>
      <c r="J71" s="243"/>
      <c r="K71" s="243"/>
      <c r="L71" s="243"/>
      <c r="M71" s="243"/>
      <c r="N71" s="243"/>
      <c r="O71" s="225"/>
      <c r="P71" s="225"/>
      <c r="Q71" s="225"/>
      <c r="R71" s="225"/>
      <c r="S71" s="225"/>
      <c r="T71" s="225"/>
      <c r="U71" s="225"/>
      <c r="V71" s="225"/>
    </row>
    <row r="72" spans="2:22" s="223" customFormat="1" ht="12" hidden="1" customHeight="1" x14ac:dyDescent="0.25">
      <c r="B72" s="237"/>
      <c r="C72" s="246"/>
      <c r="D72" s="239"/>
      <c r="E72" s="239"/>
      <c r="F72" s="240"/>
      <c r="G72" s="241"/>
      <c r="H72" s="242"/>
      <c r="I72" s="243"/>
      <c r="J72" s="243"/>
      <c r="K72" s="243"/>
      <c r="L72" s="243"/>
      <c r="M72" s="243"/>
      <c r="N72" s="243"/>
      <c r="O72" s="225"/>
      <c r="P72" s="225"/>
      <c r="Q72" s="225"/>
      <c r="R72" s="225"/>
      <c r="S72" s="225"/>
      <c r="T72" s="225"/>
      <c r="U72" s="225"/>
      <c r="V72" s="225"/>
    </row>
    <row r="73" spans="2:22" s="223" customFormat="1" ht="12" hidden="1" customHeight="1" x14ac:dyDescent="0.25">
      <c r="B73" s="237"/>
      <c r="C73" s="246"/>
      <c r="D73" s="239"/>
      <c r="E73" s="239"/>
      <c r="F73" s="240"/>
      <c r="G73" s="241"/>
      <c r="H73" s="242"/>
      <c r="I73" s="243"/>
      <c r="J73" s="243"/>
      <c r="K73" s="243"/>
      <c r="L73" s="243"/>
      <c r="M73" s="243"/>
      <c r="N73" s="243"/>
      <c r="O73" s="225"/>
      <c r="P73" s="225"/>
      <c r="Q73" s="225"/>
      <c r="R73" s="225"/>
      <c r="S73" s="225"/>
      <c r="T73" s="225"/>
      <c r="U73" s="225"/>
      <c r="V73" s="225"/>
    </row>
    <row r="74" spans="2:22" s="223" customFormat="1" ht="12" hidden="1" customHeight="1" outlineLevel="1" x14ac:dyDescent="0.25">
      <c r="B74" s="237"/>
      <c r="C74" s="246"/>
      <c r="D74" s="239"/>
      <c r="E74" s="239"/>
      <c r="F74" s="240"/>
      <c r="G74" s="241"/>
      <c r="H74" s="242"/>
      <c r="I74" s="243"/>
      <c r="J74" s="243"/>
      <c r="K74" s="243"/>
      <c r="L74" s="243"/>
      <c r="M74" s="243"/>
      <c r="N74" s="243"/>
      <c r="O74" s="225"/>
      <c r="P74" s="225"/>
      <c r="Q74" s="225"/>
      <c r="R74" s="225"/>
      <c r="S74" s="225"/>
      <c r="T74" s="225"/>
      <c r="U74" s="225"/>
      <c r="V74" s="225"/>
    </row>
    <row r="75" spans="2:22" s="223" customFormat="1" ht="12" hidden="1" customHeight="1" outlineLevel="1" x14ac:dyDescent="0.25">
      <c r="B75" s="237"/>
      <c r="C75" s="246"/>
      <c r="D75" s="239"/>
      <c r="E75" s="239"/>
      <c r="F75" s="240"/>
      <c r="G75" s="241"/>
      <c r="H75" s="242"/>
      <c r="I75" s="243"/>
      <c r="J75" s="243"/>
      <c r="K75" s="243"/>
      <c r="L75" s="243"/>
      <c r="M75" s="243"/>
      <c r="N75" s="243"/>
      <c r="O75" s="225"/>
      <c r="P75" s="225"/>
      <c r="Q75" s="225"/>
      <c r="R75" s="225"/>
      <c r="S75" s="225"/>
      <c r="T75" s="225"/>
      <c r="U75" s="225"/>
      <c r="V75" s="225"/>
    </row>
    <row r="76" spans="2:22" s="223" customFormat="1" ht="12" hidden="1" customHeight="1" outlineLevel="1" x14ac:dyDescent="0.25">
      <c r="B76" s="237"/>
      <c r="C76" s="246"/>
      <c r="D76" s="239"/>
      <c r="E76" s="239"/>
      <c r="F76" s="240"/>
      <c r="G76" s="241"/>
      <c r="H76" s="242"/>
      <c r="I76" s="243"/>
      <c r="J76" s="243"/>
      <c r="K76" s="243"/>
      <c r="L76" s="243"/>
      <c r="M76" s="243"/>
      <c r="N76" s="243"/>
      <c r="O76" s="225"/>
      <c r="P76" s="225"/>
      <c r="Q76" s="225"/>
      <c r="R76" s="225"/>
      <c r="S76" s="225"/>
      <c r="T76" s="225"/>
      <c r="U76" s="225"/>
      <c r="V76" s="225"/>
    </row>
    <row r="77" spans="2:22" s="223" customFormat="1" ht="12" hidden="1" customHeight="1" outlineLevel="1" x14ac:dyDescent="0.25">
      <c r="B77" s="237"/>
      <c r="C77" s="246"/>
      <c r="D77" s="239"/>
      <c r="E77" s="239"/>
      <c r="F77" s="240"/>
      <c r="G77" s="241"/>
      <c r="H77" s="242"/>
      <c r="I77" s="243"/>
      <c r="J77" s="243"/>
      <c r="K77" s="243"/>
      <c r="L77" s="243"/>
      <c r="M77" s="243"/>
      <c r="N77" s="243"/>
      <c r="O77" s="225"/>
      <c r="P77" s="225"/>
      <c r="Q77" s="225"/>
      <c r="R77" s="225"/>
      <c r="S77" s="225"/>
      <c r="T77" s="225"/>
      <c r="U77" s="225"/>
      <c r="V77" s="225"/>
    </row>
    <row r="78" spans="2:22" s="223" customFormat="1" ht="12" hidden="1" customHeight="1" outlineLevel="1" x14ac:dyDescent="0.25">
      <c r="B78" s="237"/>
      <c r="C78" s="246"/>
      <c r="D78" s="239"/>
      <c r="E78" s="239"/>
      <c r="F78" s="240"/>
      <c r="G78" s="241"/>
      <c r="H78" s="242"/>
      <c r="I78" s="243"/>
      <c r="J78" s="243"/>
      <c r="K78" s="243"/>
      <c r="L78" s="243"/>
      <c r="M78" s="243"/>
      <c r="N78" s="243"/>
      <c r="O78" s="225"/>
      <c r="P78" s="225"/>
      <c r="Q78" s="225"/>
      <c r="R78" s="225"/>
      <c r="S78" s="225"/>
      <c r="T78" s="225"/>
      <c r="U78" s="225"/>
      <c r="V78" s="225"/>
    </row>
    <row r="79" spans="2:22" s="223" customFormat="1" ht="12" hidden="1" customHeight="1" outlineLevel="1" x14ac:dyDescent="0.25">
      <c r="B79" s="237"/>
      <c r="C79" s="246"/>
      <c r="D79" s="239"/>
      <c r="E79" s="239"/>
      <c r="F79" s="240"/>
      <c r="G79" s="241"/>
      <c r="H79" s="242"/>
      <c r="I79" s="243"/>
      <c r="J79" s="243"/>
      <c r="K79" s="243"/>
      <c r="L79" s="243"/>
      <c r="M79" s="243"/>
      <c r="N79" s="243"/>
      <c r="O79" s="225"/>
      <c r="P79" s="225"/>
      <c r="Q79" s="225"/>
      <c r="R79" s="225"/>
      <c r="S79" s="225"/>
      <c r="T79" s="225"/>
      <c r="U79" s="225"/>
      <c r="V79" s="225"/>
    </row>
    <row r="80" spans="2:22" s="267" customFormat="1" ht="12" hidden="1" customHeight="1" x14ac:dyDescent="0.2">
      <c r="B80" s="237"/>
      <c r="C80" s="246"/>
      <c r="D80" s="239"/>
      <c r="E80" s="239"/>
      <c r="F80" s="240"/>
      <c r="G80" s="241"/>
      <c r="H80" s="242"/>
      <c r="J80" s="268"/>
      <c r="K80" s="243"/>
      <c r="L80" s="264"/>
    </row>
    <row r="81" spans="2:22" s="223" customFormat="1" ht="12" hidden="1" customHeight="1" outlineLevel="1" x14ac:dyDescent="0.25">
      <c r="B81" s="237"/>
      <c r="C81" s="246"/>
      <c r="D81" s="239"/>
      <c r="E81" s="239"/>
      <c r="F81" s="240"/>
      <c r="G81" s="241"/>
      <c r="H81" s="242"/>
      <c r="I81" s="243"/>
      <c r="J81" s="243"/>
      <c r="K81" s="243"/>
      <c r="L81" s="243"/>
      <c r="M81" s="243"/>
      <c r="N81" s="243"/>
      <c r="O81" s="225"/>
      <c r="P81" s="225"/>
      <c r="Q81" s="225"/>
      <c r="R81" s="225"/>
      <c r="S81" s="225"/>
      <c r="T81" s="225"/>
      <c r="U81" s="225"/>
      <c r="V81" s="225"/>
    </row>
    <row r="82" spans="2:22" s="223" customFormat="1" ht="12" hidden="1" customHeight="1" outlineLevel="1" x14ac:dyDescent="0.25">
      <c r="B82" s="237"/>
      <c r="C82" s="246"/>
      <c r="D82" s="239"/>
      <c r="E82" s="239"/>
      <c r="F82" s="240"/>
      <c r="G82" s="241"/>
      <c r="H82" s="242"/>
      <c r="I82" s="243"/>
      <c r="J82" s="243"/>
      <c r="K82" s="243"/>
      <c r="L82" s="243"/>
      <c r="M82" s="243"/>
      <c r="N82" s="243"/>
      <c r="O82" s="225"/>
      <c r="P82" s="225"/>
      <c r="Q82" s="225"/>
      <c r="R82" s="225"/>
      <c r="S82" s="225"/>
      <c r="T82" s="225"/>
      <c r="U82" s="225"/>
      <c r="V82" s="225"/>
    </row>
    <row r="83" spans="2:22" s="223" customFormat="1" ht="12" hidden="1" customHeight="1" outlineLevel="1" x14ac:dyDescent="0.25">
      <c r="B83" s="237"/>
      <c r="C83" s="246"/>
      <c r="D83" s="239"/>
      <c r="E83" s="239"/>
      <c r="F83" s="240"/>
      <c r="G83" s="241"/>
      <c r="H83" s="242"/>
      <c r="I83" s="243"/>
      <c r="J83" s="243"/>
      <c r="K83" s="243"/>
      <c r="L83" s="243"/>
      <c r="M83" s="243"/>
      <c r="N83" s="243"/>
      <c r="O83" s="225"/>
      <c r="P83" s="225"/>
      <c r="Q83" s="225"/>
      <c r="R83" s="225"/>
      <c r="S83" s="225"/>
      <c r="T83" s="225"/>
      <c r="U83" s="225"/>
      <c r="V83" s="225"/>
    </row>
    <row r="84" spans="2:22" s="223" customFormat="1" ht="12" hidden="1" customHeight="1" outlineLevel="1" x14ac:dyDescent="0.25">
      <c r="B84" s="237"/>
      <c r="C84" s="246"/>
      <c r="D84" s="239"/>
      <c r="E84" s="239"/>
      <c r="F84" s="240"/>
      <c r="G84" s="241"/>
      <c r="H84" s="242"/>
      <c r="I84" s="243"/>
      <c r="J84" s="243"/>
      <c r="K84" s="243"/>
      <c r="L84" s="243"/>
      <c r="M84" s="243"/>
      <c r="N84" s="243"/>
      <c r="O84" s="225"/>
      <c r="P84" s="225"/>
      <c r="Q84" s="225"/>
      <c r="R84" s="225"/>
      <c r="S84" s="225"/>
      <c r="T84" s="225"/>
      <c r="U84" s="225"/>
      <c r="V84" s="225"/>
    </row>
    <row r="85" spans="2:22" s="223" customFormat="1" ht="12" hidden="1" customHeight="1" outlineLevel="1" x14ac:dyDescent="0.25">
      <c r="B85" s="237"/>
      <c r="C85" s="246"/>
      <c r="D85" s="239"/>
      <c r="E85" s="239"/>
      <c r="F85" s="240"/>
      <c r="G85" s="241"/>
      <c r="H85" s="242"/>
      <c r="I85" s="243"/>
      <c r="J85" s="243"/>
      <c r="K85" s="243"/>
      <c r="L85" s="243"/>
      <c r="M85" s="243"/>
      <c r="N85" s="243"/>
      <c r="O85" s="225"/>
      <c r="P85" s="225"/>
      <c r="Q85" s="225"/>
      <c r="R85" s="225"/>
      <c r="S85" s="225"/>
      <c r="T85" s="225"/>
      <c r="U85" s="225"/>
      <c r="V85" s="225"/>
    </row>
    <row r="86" spans="2:22" s="223" customFormat="1" ht="12" hidden="1" customHeight="1" outlineLevel="1" x14ac:dyDescent="0.25">
      <c r="B86" s="237"/>
      <c r="C86" s="246"/>
      <c r="D86" s="239"/>
      <c r="E86" s="239"/>
      <c r="F86" s="240"/>
      <c r="G86" s="241"/>
      <c r="H86" s="242"/>
      <c r="I86" s="243"/>
      <c r="J86" s="243"/>
      <c r="K86" s="243"/>
      <c r="L86" s="243"/>
      <c r="M86" s="243"/>
      <c r="N86" s="243"/>
      <c r="O86" s="225"/>
      <c r="P86" s="225"/>
      <c r="Q86" s="225"/>
      <c r="R86" s="225"/>
      <c r="S86" s="225"/>
      <c r="T86" s="225"/>
      <c r="U86" s="225"/>
      <c r="V86" s="225"/>
    </row>
    <row r="87" spans="2:22" s="223" customFormat="1" ht="12" hidden="1" customHeight="1" outlineLevel="1" x14ac:dyDescent="0.25">
      <c r="B87" s="237"/>
      <c r="C87" s="246"/>
      <c r="D87" s="239"/>
      <c r="E87" s="239"/>
      <c r="F87" s="240"/>
      <c r="G87" s="241"/>
      <c r="H87" s="242"/>
      <c r="I87" s="243"/>
      <c r="J87" s="243"/>
      <c r="K87" s="243"/>
      <c r="L87" s="243"/>
      <c r="M87" s="243"/>
      <c r="N87" s="243"/>
      <c r="O87" s="225"/>
      <c r="P87" s="225"/>
      <c r="Q87" s="225"/>
      <c r="R87" s="225"/>
      <c r="S87" s="225"/>
      <c r="T87" s="225"/>
      <c r="U87" s="225"/>
      <c r="V87" s="225"/>
    </row>
    <row r="88" spans="2:22" s="223" customFormat="1" ht="12" hidden="1" customHeight="1" outlineLevel="1" x14ac:dyDescent="0.25">
      <c r="B88" s="237"/>
      <c r="C88" s="246"/>
      <c r="D88" s="239"/>
      <c r="E88" s="239"/>
      <c r="F88" s="240"/>
      <c r="G88" s="241"/>
      <c r="H88" s="242"/>
      <c r="I88" s="243"/>
      <c r="J88" s="243"/>
      <c r="K88" s="243"/>
      <c r="L88" s="243"/>
      <c r="M88" s="243"/>
      <c r="N88" s="243"/>
      <c r="O88" s="225"/>
      <c r="P88" s="225"/>
      <c r="Q88" s="225"/>
      <c r="R88" s="225"/>
      <c r="S88" s="225"/>
      <c r="T88" s="225"/>
      <c r="U88" s="225"/>
      <c r="V88" s="225"/>
    </row>
    <row r="89" spans="2:22" s="223" customFormat="1" ht="12" hidden="1" customHeight="1" outlineLevel="1" x14ac:dyDescent="0.25">
      <c r="B89" s="237"/>
      <c r="C89" s="246"/>
      <c r="D89" s="239"/>
      <c r="E89" s="239"/>
      <c r="F89" s="240"/>
      <c r="G89" s="241"/>
      <c r="H89" s="242"/>
      <c r="I89" s="243"/>
      <c r="J89" s="243"/>
      <c r="K89" s="243"/>
      <c r="L89" s="243"/>
      <c r="M89" s="243"/>
      <c r="N89" s="243"/>
      <c r="O89" s="225"/>
      <c r="P89" s="225"/>
      <c r="Q89" s="225"/>
      <c r="R89" s="225"/>
      <c r="S89" s="225"/>
      <c r="T89" s="225"/>
      <c r="U89" s="225"/>
      <c r="V89" s="225"/>
    </row>
    <row r="90" spans="2:22" s="223" customFormat="1" ht="12" hidden="1" customHeight="1" outlineLevel="1" x14ac:dyDescent="0.25">
      <c r="B90" s="237"/>
      <c r="C90" s="246"/>
      <c r="D90" s="239"/>
      <c r="E90" s="239"/>
      <c r="F90" s="240"/>
      <c r="G90" s="241"/>
      <c r="H90" s="242"/>
      <c r="I90" s="243"/>
      <c r="J90" s="243"/>
      <c r="K90" s="243"/>
      <c r="L90" s="243"/>
      <c r="M90" s="243"/>
      <c r="N90" s="243"/>
      <c r="O90" s="225"/>
      <c r="P90" s="225"/>
      <c r="Q90" s="225"/>
      <c r="R90" s="225"/>
      <c r="S90" s="225"/>
      <c r="T90" s="225"/>
      <c r="U90" s="225"/>
      <c r="V90" s="225"/>
    </row>
    <row r="91" spans="2:22" s="223" customFormat="1" ht="12" hidden="1" customHeight="1" outlineLevel="1" x14ac:dyDescent="0.25">
      <c r="B91" s="237"/>
      <c r="C91" s="246"/>
      <c r="D91" s="239"/>
      <c r="E91" s="239"/>
      <c r="F91" s="240"/>
      <c r="G91" s="241"/>
      <c r="H91" s="242"/>
      <c r="I91" s="243"/>
      <c r="J91" s="243"/>
      <c r="K91" s="243"/>
      <c r="L91" s="243"/>
      <c r="M91" s="243"/>
      <c r="N91" s="243"/>
      <c r="O91" s="225"/>
      <c r="P91" s="225"/>
      <c r="Q91" s="225"/>
      <c r="R91" s="225"/>
      <c r="S91" s="225"/>
      <c r="T91" s="225"/>
      <c r="U91" s="225"/>
      <c r="V91" s="225"/>
    </row>
    <row r="92" spans="2:22" s="223" customFormat="1" ht="12" hidden="1" customHeight="1" outlineLevel="1" x14ac:dyDescent="0.25">
      <c r="B92" s="237"/>
      <c r="C92" s="246"/>
      <c r="D92" s="239"/>
      <c r="E92" s="239"/>
      <c r="F92" s="240"/>
      <c r="G92" s="241"/>
      <c r="H92" s="242"/>
      <c r="I92" s="243"/>
      <c r="J92" s="243"/>
      <c r="K92" s="243"/>
      <c r="L92" s="243"/>
      <c r="M92" s="243"/>
      <c r="N92" s="243"/>
      <c r="O92" s="225"/>
      <c r="P92" s="225"/>
      <c r="Q92" s="225"/>
      <c r="R92" s="225"/>
      <c r="S92" s="225"/>
      <c r="T92" s="225"/>
      <c r="U92" s="225"/>
      <c r="V92" s="225"/>
    </row>
    <row r="93" spans="2:22" s="223" customFormat="1" ht="12" hidden="1" customHeight="1" outlineLevel="1" x14ac:dyDescent="0.25">
      <c r="B93" s="237"/>
      <c r="C93" s="246"/>
      <c r="D93" s="239"/>
      <c r="E93" s="239"/>
      <c r="F93" s="240"/>
      <c r="G93" s="241"/>
      <c r="H93" s="242"/>
      <c r="I93" s="243"/>
      <c r="J93" s="243"/>
      <c r="K93" s="243"/>
      <c r="L93" s="243"/>
      <c r="M93" s="243"/>
      <c r="N93" s="243"/>
      <c r="O93" s="225"/>
      <c r="P93" s="225"/>
      <c r="Q93" s="225"/>
      <c r="R93" s="225"/>
      <c r="S93" s="225"/>
      <c r="T93" s="225"/>
      <c r="U93" s="225"/>
      <c r="V93" s="225"/>
    </row>
    <row r="94" spans="2:22" s="223" customFormat="1" ht="12" hidden="1" customHeight="1" outlineLevel="1" x14ac:dyDescent="0.25">
      <c r="B94" s="237"/>
      <c r="C94" s="246"/>
      <c r="D94" s="239"/>
      <c r="E94" s="239"/>
      <c r="F94" s="240"/>
      <c r="G94" s="241"/>
      <c r="H94" s="242"/>
      <c r="I94" s="243"/>
      <c r="J94" s="243"/>
      <c r="K94" s="243"/>
      <c r="L94" s="243"/>
      <c r="M94" s="243"/>
      <c r="N94" s="243"/>
      <c r="O94" s="225"/>
      <c r="P94" s="225"/>
      <c r="Q94" s="225"/>
      <c r="R94" s="225"/>
      <c r="S94" s="225"/>
      <c r="T94" s="225"/>
      <c r="U94" s="225"/>
      <c r="V94" s="225"/>
    </row>
    <row r="95" spans="2:22" s="223" customFormat="1" ht="12" hidden="1" customHeight="1" outlineLevel="1" x14ac:dyDescent="0.25">
      <c r="B95" s="237"/>
      <c r="C95" s="246"/>
      <c r="D95" s="239"/>
      <c r="E95" s="239"/>
      <c r="F95" s="240"/>
      <c r="G95" s="241"/>
      <c r="H95" s="242"/>
      <c r="I95" s="243"/>
      <c r="J95" s="243"/>
      <c r="K95" s="243"/>
      <c r="L95" s="243"/>
      <c r="M95" s="243"/>
      <c r="N95" s="243"/>
      <c r="O95" s="225"/>
      <c r="P95" s="225"/>
      <c r="Q95" s="225"/>
      <c r="R95" s="225"/>
      <c r="S95" s="225"/>
      <c r="T95" s="225"/>
      <c r="U95" s="225"/>
      <c r="V95" s="225"/>
    </row>
    <row r="96" spans="2:22" s="223" customFormat="1" ht="12" hidden="1" customHeight="1" outlineLevel="1" x14ac:dyDescent="0.25">
      <c r="B96" s="237"/>
      <c r="C96" s="246"/>
      <c r="D96" s="239"/>
      <c r="E96" s="239"/>
      <c r="F96" s="240"/>
      <c r="G96" s="241"/>
      <c r="H96" s="242"/>
      <c r="I96" s="243"/>
      <c r="J96" s="243"/>
      <c r="K96" s="243"/>
      <c r="L96" s="243"/>
      <c r="M96" s="243"/>
      <c r="N96" s="243"/>
      <c r="O96" s="225"/>
      <c r="P96" s="225"/>
      <c r="Q96" s="225"/>
      <c r="R96" s="225"/>
      <c r="S96" s="225"/>
      <c r="T96" s="225"/>
      <c r="U96" s="225"/>
      <c r="V96" s="225"/>
    </row>
    <row r="97" spans="1:22" s="223" customFormat="1" ht="3.75" customHeight="1" collapsed="1" x14ac:dyDescent="0.25">
      <c r="A97" s="225"/>
      <c r="B97" s="269"/>
      <c r="C97" s="270"/>
      <c r="D97" s="271"/>
      <c r="E97" s="271"/>
      <c r="F97" s="272"/>
      <c r="G97" s="273"/>
      <c r="H97" s="253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</row>
    <row r="98" spans="1:22" s="223" customFormat="1" ht="11.25" customHeight="1" x14ac:dyDescent="0.25">
      <c r="A98" s="225"/>
      <c r="B98" s="378" t="s">
        <v>193</v>
      </c>
      <c r="C98" s="379"/>
      <c r="D98" s="254">
        <f>SUM(D29:D97)</f>
        <v>706.66000000000008</v>
      </c>
      <c r="E98" s="254">
        <f>SUM(E29:E97)</f>
        <v>1300</v>
      </c>
      <c r="F98" s="255"/>
      <c r="G98" s="274"/>
      <c r="H98" s="257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</row>
    <row r="99" spans="1:22" s="223" customFormat="1" ht="7.5" customHeight="1" x14ac:dyDescent="0.25">
      <c r="A99" s="225"/>
      <c r="B99" s="224"/>
      <c r="C99" s="224"/>
      <c r="D99" s="275"/>
      <c r="E99" s="276"/>
      <c r="F99" s="224"/>
      <c r="G99" s="263"/>
      <c r="H99" s="224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</row>
    <row r="100" spans="1:22" s="223" customFormat="1" ht="12" customHeight="1" x14ac:dyDescent="0.25">
      <c r="A100" s="225"/>
      <c r="B100" s="380" t="s">
        <v>194</v>
      </c>
      <c r="C100" s="381"/>
      <c r="D100" s="277">
        <f>ROUND(D27+D98,2)</f>
        <v>757.22</v>
      </c>
      <c r="E100" s="277">
        <f>E27+E98</f>
        <v>1620</v>
      </c>
      <c r="F100" s="278"/>
      <c r="G100" s="279"/>
      <c r="H100" s="280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</row>
    <row r="101" spans="1:22" s="223" customFormat="1" ht="6" customHeight="1" x14ac:dyDescent="0.25">
      <c r="A101" s="225"/>
      <c r="B101" s="281"/>
      <c r="C101" s="281"/>
      <c r="D101" s="282"/>
      <c r="E101" s="283"/>
      <c r="F101" s="281"/>
      <c r="G101" s="284"/>
      <c r="H101" s="281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</row>
    <row r="102" spans="1:22" x14ac:dyDescent="0.25">
      <c r="D102" s="285"/>
    </row>
  </sheetData>
  <mergeCells count="4">
    <mergeCell ref="B2:H2"/>
    <mergeCell ref="B27:C27"/>
    <mergeCell ref="B98:C98"/>
    <mergeCell ref="B100:C100"/>
  </mergeCells>
  <conditionalFormatting sqref="E12">
    <cfRule type="expression" dxfId="11" priority="9">
      <formula>AND(ISLOGICAL(#REF!),#REF!=FALSE)</formula>
    </cfRule>
  </conditionalFormatting>
  <conditionalFormatting sqref="H13">
    <cfRule type="expression" dxfId="10" priority="8">
      <formula>AND(ISLOGICAL(#REF!),#REF!=FALSE)</formula>
    </cfRule>
  </conditionalFormatting>
  <conditionalFormatting sqref="H13">
    <cfRule type="expression" dxfId="9" priority="7">
      <formula>AND(ISLOGICAL(#REF!),#REF!=FALSE)</formula>
    </cfRule>
  </conditionalFormatting>
  <conditionalFormatting sqref="E9">
    <cfRule type="expression" dxfId="8" priority="5">
      <formula>AND(ISLOGICAL(#REF!),#REF!=FALSE)</formula>
    </cfRule>
  </conditionalFormatting>
  <conditionalFormatting sqref="H9">
    <cfRule type="expression" dxfId="7" priority="6">
      <formula>AND(ISLOGICAL(#REF!),#REF!=FALSE)</formula>
    </cfRule>
  </conditionalFormatting>
  <conditionalFormatting sqref="L80">
    <cfRule type="expression" dxfId="6" priority="4">
      <formula>AND(ISLOGICAL(AA81),AA81=FALSE)</formula>
    </cfRule>
  </conditionalFormatting>
  <conditionalFormatting sqref="L80">
    <cfRule type="expression" dxfId="5" priority="3">
      <formula>AND(ISLOGICAL(AA40),AA40=FALSE)</formula>
    </cfRule>
  </conditionalFormatting>
  <conditionalFormatting sqref="L80">
    <cfRule type="expression" dxfId="4" priority="2">
      <formula>AND(ISLOGICAL(AA40),AA40=FALSE)</formula>
    </cfRule>
  </conditionalFormatting>
  <conditionalFormatting sqref="L80">
    <cfRule type="expression" dxfId="3" priority="1">
      <formula>AND(ISLOGICAL(AA40),AA40=FALSE)</formula>
    </cfRule>
  </conditionalFormatting>
  <conditionalFormatting sqref="L80">
    <cfRule type="expression" dxfId="2" priority="10">
      <formula>AND(ISLOGICAL(AA51),AA51=FALSE)</formula>
    </cfRule>
  </conditionalFormatting>
  <conditionalFormatting sqref="H10:H12">
    <cfRule type="expression" dxfId="1" priority="11">
      <formula>AND(ISLOGICAL(#REF!),#REF!=FALSE)</formula>
    </cfRule>
  </conditionalFormatting>
  <conditionalFormatting sqref="B5:B8 B30:B96">
    <cfRule type="expression" dxfId="0" priority="12">
      <formula>AND($E5&gt;0,#REF!=1)</formula>
    </cfRule>
  </conditionalFormatting>
  <printOptions horizontalCentered="1"/>
  <pageMargins left="0.25" right="0.25" top="0.75" bottom="0.75" header="0.3" footer="0.3"/>
  <pageSetup scale="65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58"/>
  <sheetViews>
    <sheetView zoomScale="85" zoomScaleNormal="85" zoomScaleSheetLayoutView="90" workbookViewId="0">
      <pane xSplit="2" ySplit="8" topLeftCell="C9" activePane="bottomRight" state="frozen"/>
      <selection activeCell="C103" sqref="C103"/>
      <selection pane="topRight" activeCell="C103" sqref="C103"/>
      <selection pane="bottomLeft" activeCell="C103" sqref="C103"/>
      <selection pane="bottomRight" activeCell="C103" sqref="C103"/>
    </sheetView>
  </sheetViews>
  <sheetFormatPr defaultColWidth="9.33203125" defaultRowHeight="12.75" x14ac:dyDescent="0.2"/>
  <cols>
    <col min="1" max="1" width="1.6640625" style="82" customWidth="1"/>
    <col min="2" max="2" width="14.6640625" style="82" customWidth="1"/>
    <col min="3" max="3" width="14.5" style="82" customWidth="1"/>
    <col min="4" max="4" width="13.83203125" style="82" customWidth="1"/>
    <col min="5" max="5" width="12.1640625" style="82" customWidth="1"/>
    <col min="6" max="14" width="15.33203125" style="82" customWidth="1"/>
    <col min="15" max="15" width="4.5" style="82" customWidth="1"/>
    <col min="16" max="16384" width="9.33203125" style="82"/>
  </cols>
  <sheetData>
    <row r="1" spans="2:19" s="4" customFormat="1" ht="15.75" x14ac:dyDescent="0.25">
      <c r="B1" s="1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7"/>
    </row>
    <row r="2" spans="2:19" s="6" customFormat="1" ht="15" x14ac:dyDescent="0.25"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7"/>
    </row>
    <row r="3" spans="2:19" s="6" customFormat="1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7"/>
    </row>
    <row r="4" spans="2:19" x14ac:dyDescent="0.2">
      <c r="C4" s="189" t="s">
        <v>78</v>
      </c>
      <c r="D4" s="190"/>
      <c r="E4" s="190"/>
      <c r="F4" s="189" t="s">
        <v>79</v>
      </c>
      <c r="G4" s="190"/>
      <c r="H4" s="190"/>
      <c r="I4" s="189" t="s">
        <v>80</v>
      </c>
      <c r="J4" s="190"/>
      <c r="K4" s="190"/>
      <c r="L4" s="189" t="s">
        <v>81</v>
      </c>
      <c r="M4" s="190"/>
      <c r="N4" s="190"/>
      <c r="O4" s="47"/>
    </row>
    <row r="5" spans="2:19" x14ac:dyDescent="0.2">
      <c r="B5" s="4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47"/>
    </row>
    <row r="6" spans="2:19" ht="25.5" x14ac:dyDescent="0.2">
      <c r="B6" s="188"/>
      <c r="C6" s="127" t="s">
        <v>222</v>
      </c>
      <c r="D6" s="326" t="s">
        <v>12</v>
      </c>
      <c r="E6" s="325" t="s">
        <v>223</v>
      </c>
      <c r="F6" s="127" t="s">
        <v>222</v>
      </c>
      <c r="G6" s="326" t="s">
        <v>12</v>
      </c>
      <c r="H6" s="325" t="s">
        <v>223</v>
      </c>
      <c r="I6" s="127" t="s">
        <v>222</v>
      </c>
      <c r="J6" s="326" t="s">
        <v>12</v>
      </c>
      <c r="K6" s="325" t="s">
        <v>223</v>
      </c>
      <c r="L6" s="127" t="s">
        <v>222</v>
      </c>
      <c r="M6" s="326" t="s">
        <v>12</v>
      </c>
      <c r="N6" s="325" t="s">
        <v>223</v>
      </c>
      <c r="O6" s="47"/>
    </row>
    <row r="7" spans="2:19" x14ac:dyDescent="0.2">
      <c r="B7" s="140" t="s">
        <v>0</v>
      </c>
      <c r="C7" s="327" t="s">
        <v>13</v>
      </c>
      <c r="D7" s="328" t="s">
        <v>13</v>
      </c>
      <c r="E7" s="326"/>
      <c r="F7" s="327" t="s">
        <v>13</v>
      </c>
      <c r="G7" s="328" t="s">
        <v>13</v>
      </c>
      <c r="H7" s="326"/>
      <c r="I7" s="327" t="s">
        <v>13</v>
      </c>
      <c r="J7" s="328" t="s">
        <v>13</v>
      </c>
      <c r="K7" s="326"/>
      <c r="L7" s="327" t="s">
        <v>13</v>
      </c>
      <c r="M7" s="328" t="s">
        <v>13</v>
      </c>
      <c r="N7" s="326"/>
      <c r="O7" s="47"/>
    </row>
    <row r="8" spans="2:19" x14ac:dyDescent="0.2">
      <c r="B8" s="141"/>
      <c r="C8" s="127" t="s">
        <v>20</v>
      </c>
      <c r="D8" s="326" t="s">
        <v>20</v>
      </c>
      <c r="E8" s="326" t="s">
        <v>20</v>
      </c>
      <c r="F8" s="127" t="s">
        <v>20</v>
      </c>
      <c r="G8" s="326" t="s">
        <v>20</v>
      </c>
      <c r="H8" s="326" t="s">
        <v>20</v>
      </c>
      <c r="I8" s="127" t="s">
        <v>20</v>
      </c>
      <c r="J8" s="326" t="s">
        <v>20</v>
      </c>
      <c r="K8" s="326" t="s">
        <v>20</v>
      </c>
      <c r="L8" s="127" t="s">
        <v>20</v>
      </c>
      <c r="M8" s="326" t="s">
        <v>20</v>
      </c>
      <c r="N8" s="326" t="s">
        <v>20</v>
      </c>
      <c r="O8" s="47"/>
    </row>
    <row r="9" spans="2:19" x14ac:dyDescent="0.2">
      <c r="B9" s="345"/>
      <c r="C9" s="346" t="s">
        <v>2</v>
      </c>
      <c r="D9" s="347" t="s">
        <v>3</v>
      </c>
      <c r="E9" s="347" t="s">
        <v>4</v>
      </c>
      <c r="F9" s="344" t="s">
        <v>5</v>
      </c>
      <c r="G9" s="347" t="s">
        <v>214</v>
      </c>
      <c r="H9" s="347" t="s">
        <v>215</v>
      </c>
      <c r="I9" s="344" t="s">
        <v>216</v>
      </c>
      <c r="J9" s="344" t="s">
        <v>217</v>
      </c>
      <c r="K9" s="344" t="s">
        <v>218</v>
      </c>
      <c r="L9" s="344" t="s">
        <v>219</v>
      </c>
      <c r="M9" s="344" t="s">
        <v>220</v>
      </c>
      <c r="N9" s="344" t="s">
        <v>221</v>
      </c>
      <c r="O9" s="47"/>
    </row>
    <row r="10" spans="2:19" s="18" customFormat="1" x14ac:dyDescent="0.2">
      <c r="B10" s="333"/>
      <c r="C10" s="329"/>
      <c r="D10" s="329"/>
      <c r="E10" s="336" t="str">
        <f>C9&amp;" - "&amp;D9</f>
        <v>(a) - (b)</v>
      </c>
      <c r="F10" s="330"/>
      <c r="G10" s="329"/>
      <c r="H10" s="336" t="str">
        <f>F9&amp;" - "&amp;G9</f>
        <v>(d) - (e)</v>
      </c>
      <c r="I10" s="330"/>
      <c r="J10" s="329"/>
      <c r="K10" s="336" t="str">
        <f>I9&amp;" - "&amp;J9</f>
        <v>(g) - (h)</v>
      </c>
      <c r="L10" s="330"/>
      <c r="M10" s="329"/>
      <c r="N10" s="336" t="str">
        <f>L9&amp;" - "&amp;M9</f>
        <v>(j) - (k)</v>
      </c>
      <c r="O10" s="331"/>
    </row>
    <row r="11" spans="2:19" x14ac:dyDescent="0.2">
      <c r="B11" s="332"/>
      <c r="C11" s="142"/>
      <c r="D11" s="142"/>
      <c r="E11" s="142"/>
      <c r="F11" s="143"/>
      <c r="G11" s="142"/>
      <c r="H11" s="142"/>
      <c r="I11" s="143"/>
      <c r="J11" s="142"/>
      <c r="K11" s="142"/>
      <c r="L11" s="143"/>
      <c r="M11" s="142"/>
      <c r="N11" s="142"/>
      <c r="O11" s="47"/>
    </row>
    <row r="12" spans="2:19" x14ac:dyDescent="0.2">
      <c r="B12" s="334">
        <v>2018</v>
      </c>
      <c r="C12" s="145">
        <f>($D$47*INDEX('Tariff Page'!$D$9:$D$30,MATCH($B12,'Tariff Page'!$B$9:$B$30,0))+$D$48*INDEX('Tariff Page'!$C$9:$C$30,MATCH($B12,'Tariff Page'!$B$9:$B$30,0))+$D$49*INDEX('Tariff Page'!$F$9:$F$30,MATCH($B12,'Tariff Page'!$B$9:$B$30,0))+$D$50*INDEX('Tariff Page'!$E$9:$E$30,MATCH($B12,'Tariff Page'!$B$9:$B$30,0)))*10</f>
        <v>20.058456671749383</v>
      </c>
      <c r="D12" s="145">
        <f>($D$47*INDEX('[17]Tariff Page'!$D$10:$D$29,MATCH($B12,'[17]Tariff Page'!$B$10:$B$29,0))+$D$48*INDEX('[17]Tariff Page'!$C$10:$C$29,MATCH($B12,'[17]Tariff Page'!$B$10:$B$29,0))+$D$49*INDEX('[17]Tariff Page'!$F$10:$F$29,MATCH($B12,'[17]Tariff Page'!$B$10:$B$29,0))+$D$50*INDEX('[17]Tariff Page'!$E$10:$E$29,MATCH($B12,'[17]Tariff Page'!$B$10:$B$29,0)))*10</f>
        <v>20.39053281182095</v>
      </c>
      <c r="E12" s="146">
        <f t="shared" ref="E12:E29" si="0">C12-D12</f>
        <v>-0.33207614007156749</v>
      </c>
      <c r="F12" s="147">
        <f>($G$47*INDEX('Tariff Page Wind'!$D$9:$D$32,MATCH($B12,'Tariff Page Wind'!$B$9:$B$32,0))+$G$48*INDEX('Tariff Page Wind'!$C$9:$C$32,MATCH($B12,'Tariff Page Wind'!$B$9:$B$32,0))+$G$49*INDEX('Tariff Page Wind'!$F$9:$F$32,MATCH($B12,'Tariff Page Wind'!$B$9:$B$32,0))+$G$50*INDEX('Tariff Page Wind'!$E$9:$E$32,MATCH($B12,'Tariff Page Wind'!$B$9:$B$32,0)))*10</f>
        <v>18.156479478345737</v>
      </c>
      <c r="G12" s="145">
        <f>($G$47*INDEX('[17]Tariff Page Wind'!$D$10:$D$29,MATCH($B12,'[17]Tariff Page Wind'!$B$10:$B$29,0))+$G$48*INDEX('[17]Tariff Page Wind'!$C$10:$C$29,MATCH($B12,'[17]Tariff Page Wind'!$B$10:$B$29,0))+$G$49*INDEX('[17]Tariff Page Wind'!$F$10:$F$29,MATCH($B12,'[17]Tariff Page Wind'!$B$10:$B$29,0))+$G$50*INDEX('[17]Tariff Page Wind'!$E$10:$E$29,MATCH($B12,'[17]Tariff Page Wind'!$B$10:$B$29,0)))*10</f>
        <v>18.993416244971144</v>
      </c>
      <c r="H12" s="146">
        <f t="shared" ref="H12:H29" si="1">F12-G12</f>
        <v>-0.83693676662540639</v>
      </c>
      <c r="I12" s="147">
        <f>($J$47*INDEX('Tariff Page Solar Fixed'!$D$9:$D$31,MATCH($B12,'Tariff Page Solar Fixed'!$B$9:$B$31,0))+$J$48*INDEX('Tariff Page Solar Fixed'!$C$9:$C$31,MATCH($B12,'Tariff Page Solar Fixed'!$B$9:$B$31,0))+$J$49*INDEX('Tariff Page Solar Fixed'!$F$9:$F$31,MATCH($B12,'Tariff Page Solar Fixed'!$B$9:$B$31,0))+$J$50*INDEX('Tariff Page Solar Fixed'!$E$9:$E$31,MATCH($B12,'Tariff Page Solar Fixed'!$B$9:$B$31,0)))*10</f>
        <v>19.588102791057342</v>
      </c>
      <c r="J12" s="145">
        <f>($J$47*INDEX('[17]Tariff Page Solar Fixed'!$D$10:$D$29,MATCH($B12,'[17]Tariff Page Solar Fixed'!$B$10:$B$29,0))+$J$48*INDEX('[17]Tariff Page Solar Fixed'!$C$10:$C$29,MATCH($B12,'[17]Tariff Page Solar Fixed'!$B$10:$B$29,0))+$J$49*INDEX('[17]Tariff Page Solar Fixed'!$F$10:$F$29,MATCH($B12,'[17]Tariff Page Solar Fixed'!$B$10:$B$29,0))+$J$50*INDEX('[17]Tariff Page Solar Fixed'!$E$10:$E$29,MATCH($B12,'[17]Tariff Page Solar Fixed'!$B$10:$B$29,0)))*10</f>
        <v>20.731718793174572</v>
      </c>
      <c r="K12" s="146">
        <f t="shared" ref="K12:K29" si="2">I12-J12</f>
        <v>-1.1436160021172306</v>
      </c>
      <c r="L12" s="147">
        <f>($M$47*INDEX('Tariff Page Solar Tracking'!$D$9:$D$31,MATCH($B12,'Tariff Page Solar Tracking'!$B$9:$B$31,0))+$M$48*INDEX('Tariff Page Solar Tracking'!$C$9:$C$31,MATCH($B12,'Tariff Page Solar Tracking'!$B$9:$B$31,0))+$M$49*INDEX('Tariff Page Solar Tracking'!$F$9:$F$31,MATCH($B12,'Tariff Page Solar Tracking'!$B$9:$B$31,0))+$M$50*INDEX('Tariff Page Solar Tracking'!$E$9:$E$31,MATCH($B12,'Tariff Page Solar Tracking'!$B$9:$B$31,0)))*10</f>
        <v>19.3461453585406</v>
      </c>
      <c r="M12" s="145">
        <f>($M$47*INDEX('[17]Tariff Page Solar Tracking'!$D$10:$D$29,MATCH($B12,'[17]Tariff Page Solar Tracking'!$B$10:$B$29,0))+$M$48*INDEX('[17]Tariff Page Solar Tracking'!$C$10:$C$29,MATCH($B12,'[17]Tariff Page Solar Tracking'!$B$10:$B$29,0))+$M$49*INDEX('[17]Tariff Page Solar Tracking'!$F$10:$F$29,MATCH($B12,'[17]Tariff Page Solar Tracking'!$B$10:$B$29,0))+$M$50*INDEX('[17]Tariff Page Solar Tracking'!$E$10:$E$29,MATCH($B12,'[17]Tariff Page Solar Tracking'!$B$10:$B$29,0)))*10</f>
        <v>20.514395618336671</v>
      </c>
      <c r="N12" s="146">
        <f t="shared" ref="N12:N29" si="3">L12-M12</f>
        <v>-1.1682502597960713</v>
      </c>
      <c r="O12" s="47"/>
      <c r="Q12" s="138"/>
      <c r="R12" s="138"/>
    </row>
    <row r="13" spans="2:19" s="47" customFormat="1" x14ac:dyDescent="0.2">
      <c r="B13" s="334">
        <f>B12+1</f>
        <v>2019</v>
      </c>
      <c r="C13" s="145">
        <f>($D$47*INDEX('Tariff Page'!$D$9:$D$30,MATCH($B13,'Tariff Page'!$B$9:$B$30,0))+$D$48*INDEX('Tariff Page'!$C$9:$C$30,MATCH($B13,'Tariff Page'!$B$9:$B$30,0))+$D$49*INDEX('Tariff Page'!$F$9:$F$30,MATCH($B13,'Tariff Page'!$B$9:$B$30,0))+$D$50*INDEX('Tariff Page'!$E$9:$E$30,MATCH($B13,'Tariff Page'!$B$9:$B$30,0)))*10</f>
        <v>18.885954286851124</v>
      </c>
      <c r="D13" s="145">
        <f>($D$47*INDEX('[17]Tariff Page'!$D$10:$D$29,MATCH($B13,'[17]Tariff Page'!$B$10:$B$29,0))+$D$48*INDEX('[17]Tariff Page'!$C$10:$C$29,MATCH($B13,'[17]Tariff Page'!$B$10:$B$29,0))+$D$49*INDEX('[17]Tariff Page'!$F$10:$F$29,MATCH($B13,'[17]Tariff Page'!$B$10:$B$29,0))+$D$50*INDEX('[17]Tariff Page'!$E$10:$E$29,MATCH($B13,'[17]Tariff Page'!$B$10:$B$29,0)))*10</f>
        <v>19.587320295523686</v>
      </c>
      <c r="E13" s="146">
        <f t="shared" si="0"/>
        <v>-0.70136600867256149</v>
      </c>
      <c r="F13" s="147">
        <f>($G$47*INDEX('Tariff Page Wind'!$D$9:$D$32,MATCH($B13,'Tariff Page Wind'!$B$9:$B$32,0))+$G$48*INDEX('Tariff Page Wind'!$C$9:$C$32,MATCH($B13,'Tariff Page Wind'!$B$9:$B$32,0))+$G$49*INDEX('Tariff Page Wind'!$F$9:$F$32,MATCH($B13,'Tariff Page Wind'!$B$9:$B$32,0))+$G$50*INDEX('Tariff Page Wind'!$E$9:$E$32,MATCH($B13,'Tariff Page Wind'!$B$9:$B$32,0)))*10</f>
        <v>16.69172723822712</v>
      </c>
      <c r="G13" s="145">
        <f>($G$47*INDEX('[17]Tariff Page Wind'!$D$10:$D$29,MATCH($B13,'[17]Tariff Page Wind'!$B$10:$B$29,0))+$G$48*INDEX('[17]Tariff Page Wind'!$C$10:$C$29,MATCH($B13,'[17]Tariff Page Wind'!$B$10:$B$29,0))+$G$49*INDEX('[17]Tariff Page Wind'!$F$10:$F$29,MATCH($B13,'[17]Tariff Page Wind'!$B$10:$B$29,0))+$G$50*INDEX('[17]Tariff Page Wind'!$E$10:$E$29,MATCH($B13,'[17]Tariff Page Wind'!$B$10:$B$29,0)))*10</f>
        <v>18.081182394652217</v>
      </c>
      <c r="H13" s="146">
        <f t="shared" si="1"/>
        <v>-1.3894551564250968</v>
      </c>
      <c r="I13" s="147">
        <f>($J$47*INDEX('Tariff Page Solar Fixed'!$D$9:$D$31,MATCH($B13,'Tariff Page Solar Fixed'!$B$9:$B$31,0))+$J$48*INDEX('Tariff Page Solar Fixed'!$C$9:$C$31,MATCH($B13,'Tariff Page Solar Fixed'!$B$9:$B$31,0))+$J$49*INDEX('Tariff Page Solar Fixed'!$F$9:$F$31,MATCH($B13,'Tariff Page Solar Fixed'!$B$9:$B$31,0))+$J$50*INDEX('Tariff Page Solar Fixed'!$E$9:$E$31,MATCH($B13,'Tariff Page Solar Fixed'!$B$9:$B$31,0)))*10</f>
        <v>17.742058367011403</v>
      </c>
      <c r="J13" s="145">
        <f>($J$47*INDEX('[17]Tariff Page Solar Fixed'!$D$10:$D$29,MATCH($B13,'[17]Tariff Page Solar Fixed'!$B$10:$B$29,0))+$J$48*INDEX('[17]Tariff Page Solar Fixed'!$C$10:$C$29,MATCH($B13,'[17]Tariff Page Solar Fixed'!$B$10:$B$29,0))+$J$49*INDEX('[17]Tariff Page Solar Fixed'!$F$10:$F$29,MATCH($B13,'[17]Tariff Page Solar Fixed'!$B$10:$B$29,0))+$J$50*INDEX('[17]Tariff Page Solar Fixed'!$E$10:$E$29,MATCH($B13,'[17]Tariff Page Solar Fixed'!$B$10:$B$29,0)))*10</f>
        <v>20.379728055682428</v>
      </c>
      <c r="K13" s="146">
        <f t="shared" si="2"/>
        <v>-2.6376696886710249</v>
      </c>
      <c r="L13" s="147">
        <f>($M$47*INDEX('Tariff Page Solar Tracking'!$D$9:$D$31,MATCH($B13,'Tariff Page Solar Tracking'!$B$9:$B$31,0))+$M$48*INDEX('Tariff Page Solar Tracking'!$C$9:$C$31,MATCH($B13,'Tariff Page Solar Tracking'!$B$9:$B$31,0))+$M$49*INDEX('Tariff Page Solar Tracking'!$F$9:$F$31,MATCH($B13,'Tariff Page Solar Tracking'!$B$9:$B$31,0))+$M$50*INDEX('Tariff Page Solar Tracking'!$E$9:$E$31,MATCH($B13,'Tariff Page Solar Tracking'!$B$9:$B$31,0)))*10</f>
        <v>17.696065002693654</v>
      </c>
      <c r="M13" s="145">
        <f>($M$47*INDEX('[17]Tariff Page Solar Tracking'!$D$10:$D$29,MATCH($B13,'[17]Tariff Page Solar Tracking'!$B$10:$B$29,0))+$M$48*INDEX('[17]Tariff Page Solar Tracking'!$C$10:$C$29,MATCH($B13,'[17]Tariff Page Solar Tracking'!$B$10:$B$29,0))+$M$49*INDEX('[17]Tariff Page Solar Tracking'!$F$10:$F$29,MATCH($B13,'[17]Tariff Page Solar Tracking'!$B$10:$B$29,0))+$M$50*INDEX('[17]Tariff Page Solar Tracking'!$E$10:$E$29,MATCH($B13,'[17]Tariff Page Solar Tracking'!$B$10:$B$29,0)))*10</f>
        <v>20.304919990723299</v>
      </c>
      <c r="N13" s="146">
        <f t="shared" si="3"/>
        <v>-2.6088549880296448</v>
      </c>
      <c r="S13" s="148"/>
    </row>
    <row r="14" spans="2:19" x14ac:dyDescent="0.2">
      <c r="B14" s="334">
        <f t="shared" ref="B14:B28" si="4">B13+1</f>
        <v>2020</v>
      </c>
      <c r="C14" s="145">
        <f>($D$47*INDEX('Tariff Page'!$D$9:$D$30,MATCH($B14,'Tariff Page'!$B$9:$B$30,0))+$D$48*INDEX('Tariff Page'!$C$9:$C$30,MATCH($B14,'Tariff Page'!$B$9:$B$30,0))+$D$49*INDEX('Tariff Page'!$F$9:$F$30,MATCH($B14,'Tariff Page'!$B$9:$B$30,0))+$D$50*INDEX('Tariff Page'!$E$9:$E$30,MATCH($B14,'Tariff Page'!$B$9:$B$30,0)))*10</f>
        <v>17.776870127321484</v>
      </c>
      <c r="D14" s="145">
        <f>($D$47*INDEX('[17]Tariff Page'!$D$10:$D$29,MATCH($B14,'[17]Tariff Page'!$B$10:$B$29,0))+$D$48*INDEX('[17]Tariff Page'!$C$10:$C$29,MATCH($B14,'[17]Tariff Page'!$B$10:$B$29,0))+$D$49*INDEX('[17]Tariff Page'!$F$10:$F$29,MATCH($B14,'[17]Tariff Page'!$B$10:$B$29,0))+$D$50*INDEX('[17]Tariff Page'!$E$10:$E$29,MATCH($B14,'[17]Tariff Page'!$B$10:$B$29,0)))*10</f>
        <v>18.485562798783143</v>
      </c>
      <c r="E14" s="146">
        <f t="shared" si="0"/>
        <v>-0.70869267146165882</v>
      </c>
      <c r="F14" s="147">
        <f>($G$47*INDEX('Tariff Page Wind'!$D$9:$D$32,MATCH($B14,'Tariff Page Wind'!$B$9:$B$32,0))+$G$48*INDEX('Tariff Page Wind'!$C$9:$C$32,MATCH($B14,'Tariff Page Wind'!$B$9:$B$32,0))+$G$49*INDEX('Tariff Page Wind'!$F$9:$F$32,MATCH($B14,'Tariff Page Wind'!$B$9:$B$32,0))+$G$50*INDEX('Tariff Page Wind'!$E$9:$E$32,MATCH($B14,'Tariff Page Wind'!$B$9:$B$32,0)))*10</f>
        <v>16.470603139142192</v>
      </c>
      <c r="G14" s="145">
        <f>($G$47*INDEX('[17]Tariff Page Wind'!$D$10:$D$29,MATCH($B14,'[17]Tariff Page Wind'!$B$10:$B$29,0))+$G$48*INDEX('[17]Tariff Page Wind'!$C$10:$C$29,MATCH($B14,'[17]Tariff Page Wind'!$B$10:$B$29,0))+$G$49*INDEX('[17]Tariff Page Wind'!$F$10:$F$29,MATCH($B14,'[17]Tariff Page Wind'!$B$10:$B$29,0))+$G$50*INDEX('[17]Tariff Page Wind'!$E$10:$E$29,MATCH($B14,'[17]Tariff Page Wind'!$B$10:$B$29,0)))*10</f>
        <v>16.919119226568988</v>
      </c>
      <c r="H14" s="146">
        <f t="shared" si="1"/>
        <v>-0.44851608742679616</v>
      </c>
      <c r="I14" s="147">
        <f>($J$47*INDEX('Tariff Page Solar Fixed'!$D$9:$D$31,MATCH($B14,'Tariff Page Solar Fixed'!$B$9:$B$31,0))+$J$48*INDEX('Tariff Page Solar Fixed'!$C$9:$C$31,MATCH($B14,'Tariff Page Solar Fixed'!$B$9:$B$31,0))+$J$49*INDEX('Tariff Page Solar Fixed'!$F$9:$F$31,MATCH($B14,'Tariff Page Solar Fixed'!$B$9:$B$31,0))+$J$50*INDEX('Tariff Page Solar Fixed'!$E$9:$E$31,MATCH($B14,'Tariff Page Solar Fixed'!$B$9:$B$31,0)))*10</f>
        <v>16.739444804824124</v>
      </c>
      <c r="J14" s="145">
        <f>($J$47*INDEX('[17]Tariff Page Solar Fixed'!$D$10:$D$29,MATCH($B14,'[17]Tariff Page Solar Fixed'!$B$10:$B$29,0))+$J$48*INDEX('[17]Tariff Page Solar Fixed'!$C$10:$C$29,MATCH($B14,'[17]Tariff Page Solar Fixed'!$B$10:$B$29,0))+$J$49*INDEX('[17]Tariff Page Solar Fixed'!$F$10:$F$29,MATCH($B14,'[17]Tariff Page Solar Fixed'!$B$10:$B$29,0))+$J$50*INDEX('[17]Tariff Page Solar Fixed'!$E$10:$E$29,MATCH($B14,'[17]Tariff Page Solar Fixed'!$B$10:$B$29,0)))*10</f>
        <v>19.410053091735676</v>
      </c>
      <c r="K14" s="146">
        <f t="shared" si="2"/>
        <v>-2.6706082869115519</v>
      </c>
      <c r="L14" s="147">
        <f>($M$47*INDEX('Tariff Page Solar Tracking'!$D$9:$D$31,MATCH($B14,'Tariff Page Solar Tracking'!$B$9:$B$31,0))+$M$48*INDEX('Tariff Page Solar Tracking'!$C$9:$C$31,MATCH($B14,'Tariff Page Solar Tracking'!$B$9:$B$31,0))+$M$49*INDEX('Tariff Page Solar Tracking'!$F$9:$F$31,MATCH($B14,'Tariff Page Solar Tracking'!$B$9:$B$31,0))+$M$50*INDEX('Tariff Page Solar Tracking'!$E$9:$E$31,MATCH($B14,'Tariff Page Solar Tracking'!$B$9:$B$31,0)))*10</f>
        <v>16.654065118174284</v>
      </c>
      <c r="M14" s="145">
        <f>($M$47*INDEX('[17]Tariff Page Solar Tracking'!$D$10:$D$29,MATCH($B14,'[17]Tariff Page Solar Tracking'!$B$10:$B$29,0))+$M$48*INDEX('[17]Tariff Page Solar Tracking'!$C$10:$C$29,MATCH($B14,'[17]Tariff Page Solar Tracking'!$B$10:$B$29,0))+$M$49*INDEX('[17]Tariff Page Solar Tracking'!$F$10:$F$29,MATCH($B14,'[17]Tariff Page Solar Tracking'!$B$10:$B$29,0))+$M$50*INDEX('[17]Tariff Page Solar Tracking'!$E$10:$E$29,MATCH($B14,'[17]Tariff Page Solar Tracking'!$B$10:$B$29,0)))*10</f>
        <v>19.383705001771503</v>
      </c>
      <c r="N14" s="146">
        <f t="shared" si="3"/>
        <v>-2.7296398835972191</v>
      </c>
      <c r="S14" s="138"/>
    </row>
    <row r="15" spans="2:19" x14ac:dyDescent="0.2">
      <c r="B15" s="334">
        <f t="shared" si="4"/>
        <v>2021</v>
      </c>
      <c r="C15" s="145">
        <f>($D$47*INDEX('Tariff Page'!$D$9:$D$30,MATCH($B15,'Tariff Page'!$B$9:$B$30,0))+$D$48*INDEX('Tariff Page'!$C$9:$C$30,MATCH($B15,'Tariff Page'!$B$9:$B$30,0))+$D$49*INDEX('Tariff Page'!$F$9:$F$30,MATCH($B15,'Tariff Page'!$B$9:$B$30,0))+$D$50*INDEX('Tariff Page'!$E$9:$E$30,MATCH($B15,'Tariff Page'!$B$9:$B$30,0)))*10</f>
        <v>16.997631707333028</v>
      </c>
      <c r="D15" s="145">
        <f>($D$47*INDEX('[17]Tariff Page'!$D$10:$D$29,MATCH($B15,'[17]Tariff Page'!$B$10:$B$29,0))+$D$48*INDEX('[17]Tariff Page'!$C$10:$C$29,MATCH($B15,'[17]Tariff Page'!$B$10:$B$29,0))+$D$49*INDEX('[17]Tariff Page'!$F$10:$F$29,MATCH($B15,'[17]Tariff Page'!$B$10:$B$29,0))+$D$50*INDEX('[17]Tariff Page'!$E$10:$E$29,MATCH($B15,'[17]Tariff Page'!$B$10:$B$29,0)))*10</f>
        <v>18.787240330291176</v>
      </c>
      <c r="E15" s="146">
        <f t="shared" si="0"/>
        <v>-1.7896086229581485</v>
      </c>
      <c r="F15" s="147">
        <f>($G$47*INDEX('Tariff Page Wind'!$D$9:$D$32,MATCH($B15,'Tariff Page Wind'!$B$9:$B$32,0))+$G$48*INDEX('Tariff Page Wind'!$C$9:$C$32,MATCH($B15,'Tariff Page Wind'!$B$9:$B$32,0))+$G$49*INDEX('Tariff Page Wind'!$F$9:$F$32,MATCH($B15,'Tariff Page Wind'!$B$9:$B$32,0))+$G$50*INDEX('Tariff Page Wind'!$E$9:$E$32,MATCH($B15,'Tariff Page Wind'!$B$9:$B$32,0)))*10</f>
        <v>16.665181220087241</v>
      </c>
      <c r="G15" s="145">
        <f>($G$47*INDEX('[17]Tariff Page Wind'!$D$10:$D$29,MATCH($B15,'[17]Tariff Page Wind'!$B$10:$B$29,0))+$G$48*INDEX('[17]Tariff Page Wind'!$C$10:$C$29,MATCH($B15,'[17]Tariff Page Wind'!$B$10:$B$29,0))+$G$49*INDEX('[17]Tariff Page Wind'!$F$10:$F$29,MATCH($B15,'[17]Tariff Page Wind'!$B$10:$B$29,0))+$G$50*INDEX('[17]Tariff Page Wind'!$E$10:$E$29,MATCH($B15,'[17]Tariff Page Wind'!$B$10:$B$29,0)))*10</f>
        <v>17.272315798027069</v>
      </c>
      <c r="H15" s="146">
        <f t="shared" si="1"/>
        <v>-0.60713457793982784</v>
      </c>
      <c r="I15" s="147">
        <f>($J$47*INDEX('Tariff Page Solar Fixed'!$D$9:$D$31,MATCH($B15,'Tariff Page Solar Fixed'!$B$9:$B$31,0))+$J$48*INDEX('Tariff Page Solar Fixed'!$C$9:$C$31,MATCH($B15,'Tariff Page Solar Fixed'!$B$9:$B$31,0))+$J$49*INDEX('Tariff Page Solar Fixed'!$F$9:$F$31,MATCH($B15,'Tariff Page Solar Fixed'!$B$9:$B$31,0))+$J$50*INDEX('Tariff Page Solar Fixed'!$E$9:$E$31,MATCH($B15,'Tariff Page Solar Fixed'!$B$9:$B$31,0)))*10</f>
        <v>15.629244259839796</v>
      </c>
      <c r="J15" s="145">
        <f>($J$47*INDEX('[17]Tariff Page Solar Fixed'!$D$10:$D$29,MATCH($B15,'[17]Tariff Page Solar Fixed'!$B$10:$B$29,0))+$J$48*INDEX('[17]Tariff Page Solar Fixed'!$C$10:$C$29,MATCH($B15,'[17]Tariff Page Solar Fixed'!$B$10:$B$29,0))+$J$49*INDEX('[17]Tariff Page Solar Fixed'!$F$10:$F$29,MATCH($B15,'[17]Tariff Page Solar Fixed'!$B$10:$B$29,0))+$J$50*INDEX('[17]Tariff Page Solar Fixed'!$E$10:$E$29,MATCH($B15,'[17]Tariff Page Solar Fixed'!$B$10:$B$29,0)))*10</f>
        <v>19.494490579106724</v>
      </c>
      <c r="K15" s="146">
        <f t="shared" si="2"/>
        <v>-3.8652463192669284</v>
      </c>
      <c r="L15" s="147">
        <f>($M$47*INDEX('Tariff Page Solar Tracking'!$D$9:$D$31,MATCH($B15,'Tariff Page Solar Tracking'!$B$9:$B$31,0))+$M$48*INDEX('Tariff Page Solar Tracking'!$C$9:$C$31,MATCH($B15,'Tariff Page Solar Tracking'!$B$9:$B$31,0))+$M$49*INDEX('Tariff Page Solar Tracking'!$F$9:$F$31,MATCH($B15,'Tariff Page Solar Tracking'!$B$9:$B$31,0))+$M$50*INDEX('Tariff Page Solar Tracking'!$E$9:$E$31,MATCH($B15,'Tariff Page Solar Tracking'!$B$9:$B$31,0)))*10</f>
        <v>15.494278864926232</v>
      </c>
      <c r="M15" s="145">
        <f>($M$47*INDEX('[17]Tariff Page Solar Tracking'!$D$10:$D$29,MATCH($B15,'[17]Tariff Page Solar Tracking'!$B$10:$B$29,0))+$M$48*INDEX('[17]Tariff Page Solar Tracking'!$C$10:$C$29,MATCH($B15,'[17]Tariff Page Solar Tracking'!$B$10:$B$29,0))+$M$49*INDEX('[17]Tariff Page Solar Tracking'!$F$10:$F$29,MATCH($B15,'[17]Tariff Page Solar Tracking'!$B$10:$B$29,0))+$M$50*INDEX('[17]Tariff Page Solar Tracking'!$E$10:$E$29,MATCH($B15,'[17]Tariff Page Solar Tracking'!$B$10:$B$29,0)))*10</f>
        <v>19.435707742681874</v>
      </c>
      <c r="N15" s="146">
        <f t="shared" si="3"/>
        <v>-3.9414288777556425</v>
      </c>
      <c r="S15" s="138"/>
    </row>
    <row r="16" spans="2:19" x14ac:dyDescent="0.2">
      <c r="B16" s="334">
        <f t="shared" si="4"/>
        <v>2022</v>
      </c>
      <c r="C16" s="145">
        <f>($D$47*INDEX('Tariff Page'!$D$9:$D$30,MATCH($B16,'Tariff Page'!$B$9:$B$30,0))+$D$48*INDEX('Tariff Page'!$C$9:$C$30,MATCH($B16,'Tariff Page'!$B$9:$B$30,0))+$D$49*INDEX('Tariff Page'!$F$9:$F$30,MATCH($B16,'Tariff Page'!$B$9:$B$30,0))+$D$50*INDEX('Tariff Page'!$E$9:$E$30,MATCH($B16,'Tariff Page'!$B$9:$B$30,0)))*10</f>
        <v>19.186836511275537</v>
      </c>
      <c r="D16" s="145">
        <f>($D$47*INDEX('[17]Tariff Page'!$D$10:$D$29,MATCH($B16,'[17]Tariff Page'!$B$10:$B$29,0))+$D$48*INDEX('[17]Tariff Page'!$C$10:$C$29,MATCH($B16,'[17]Tariff Page'!$B$10:$B$29,0))+$D$49*INDEX('[17]Tariff Page'!$F$10:$F$29,MATCH($B16,'[17]Tariff Page'!$B$10:$B$29,0))+$D$50*INDEX('[17]Tariff Page'!$E$10:$E$29,MATCH($B16,'[17]Tariff Page'!$B$10:$B$29,0)))*10</f>
        <v>20.431158626684049</v>
      </c>
      <c r="E16" s="146">
        <f t="shared" si="0"/>
        <v>-1.2443221154085116</v>
      </c>
      <c r="F16" s="147">
        <f>($G$47*INDEX('Tariff Page Wind'!$D$9:$D$32,MATCH($B16,'Tariff Page Wind'!$B$9:$B$32,0))+$G$48*INDEX('Tariff Page Wind'!$C$9:$C$32,MATCH($B16,'Tariff Page Wind'!$B$9:$B$32,0))+$G$49*INDEX('Tariff Page Wind'!$F$9:$F$32,MATCH($B16,'Tariff Page Wind'!$B$9:$B$32,0))+$G$50*INDEX('Tariff Page Wind'!$E$9:$E$32,MATCH($B16,'Tariff Page Wind'!$B$9:$B$32,0)))*10</f>
        <v>17.702308319104066</v>
      </c>
      <c r="G16" s="145">
        <f>($G$47*INDEX('[17]Tariff Page Wind'!$D$10:$D$29,MATCH($B16,'[17]Tariff Page Wind'!$B$10:$B$29,0))+$G$48*INDEX('[17]Tariff Page Wind'!$C$10:$C$29,MATCH($B16,'[17]Tariff Page Wind'!$B$10:$B$29,0))+$G$49*INDEX('[17]Tariff Page Wind'!$F$10:$F$29,MATCH($B16,'[17]Tariff Page Wind'!$B$10:$B$29,0))+$G$50*INDEX('[17]Tariff Page Wind'!$E$10:$E$29,MATCH($B16,'[17]Tariff Page Wind'!$B$10:$B$29,0)))*10</f>
        <v>18.990243471757893</v>
      </c>
      <c r="H16" s="146">
        <f t="shared" si="1"/>
        <v>-1.2879351526538265</v>
      </c>
      <c r="I16" s="147">
        <f>($J$47*INDEX('Tariff Page Solar Fixed'!$D$9:$D$31,MATCH($B16,'Tariff Page Solar Fixed'!$B$9:$B$31,0))+$J$48*INDEX('Tariff Page Solar Fixed'!$C$9:$C$31,MATCH($B16,'Tariff Page Solar Fixed'!$B$9:$B$31,0))+$J$49*INDEX('Tariff Page Solar Fixed'!$F$9:$F$31,MATCH($B16,'Tariff Page Solar Fixed'!$B$9:$B$31,0))+$J$50*INDEX('Tariff Page Solar Fixed'!$E$9:$E$31,MATCH($B16,'Tariff Page Solar Fixed'!$B$9:$B$31,0)))*10</f>
        <v>16.399789982753102</v>
      </c>
      <c r="J16" s="145">
        <f>($J$47*INDEX('[17]Tariff Page Solar Fixed'!$D$10:$D$29,MATCH($B16,'[17]Tariff Page Solar Fixed'!$B$10:$B$29,0))+$J$48*INDEX('[17]Tariff Page Solar Fixed'!$C$10:$C$29,MATCH($B16,'[17]Tariff Page Solar Fixed'!$B$10:$B$29,0))+$J$49*INDEX('[17]Tariff Page Solar Fixed'!$F$10:$F$29,MATCH($B16,'[17]Tariff Page Solar Fixed'!$B$10:$B$29,0))+$J$50*INDEX('[17]Tariff Page Solar Fixed'!$E$10:$E$29,MATCH($B16,'[17]Tariff Page Solar Fixed'!$B$10:$B$29,0)))*10</f>
        <v>21.048555696625357</v>
      </c>
      <c r="K16" s="146">
        <f t="shared" si="2"/>
        <v>-4.6487657138722547</v>
      </c>
      <c r="L16" s="147">
        <f>($M$47*INDEX('Tariff Page Solar Tracking'!$D$9:$D$31,MATCH($B16,'Tariff Page Solar Tracking'!$B$9:$B$31,0))+$M$48*INDEX('Tariff Page Solar Tracking'!$C$9:$C$31,MATCH($B16,'Tariff Page Solar Tracking'!$B$9:$B$31,0))+$M$49*INDEX('Tariff Page Solar Tracking'!$F$9:$F$31,MATCH($B16,'Tariff Page Solar Tracking'!$B$9:$B$31,0))+$M$50*INDEX('Tariff Page Solar Tracking'!$E$9:$E$31,MATCH($B16,'Tariff Page Solar Tracking'!$B$9:$B$31,0)))*10</f>
        <v>16.36747634282359</v>
      </c>
      <c r="M16" s="145">
        <f>($M$47*INDEX('[17]Tariff Page Solar Tracking'!$D$10:$D$29,MATCH($B16,'[17]Tariff Page Solar Tracking'!$B$10:$B$29,0))+$M$48*INDEX('[17]Tariff Page Solar Tracking'!$C$10:$C$29,MATCH($B16,'[17]Tariff Page Solar Tracking'!$B$10:$B$29,0))+$M$49*INDEX('[17]Tariff Page Solar Tracking'!$F$10:$F$29,MATCH($B16,'[17]Tariff Page Solar Tracking'!$B$10:$B$29,0))+$M$50*INDEX('[17]Tariff Page Solar Tracking'!$E$10:$E$29,MATCH($B16,'[17]Tariff Page Solar Tracking'!$B$10:$B$29,0)))*10</f>
        <v>21.031595245789426</v>
      </c>
      <c r="N16" s="146">
        <f t="shared" si="3"/>
        <v>-4.6641189029658356</v>
      </c>
      <c r="S16" s="138"/>
    </row>
    <row r="17" spans="1:19" x14ac:dyDescent="0.2">
      <c r="B17" s="334">
        <f t="shared" si="4"/>
        <v>2023</v>
      </c>
      <c r="C17" s="145">
        <f>($D$47*INDEX('Tariff Page'!$D$9:$D$30,MATCH($B17,'Tariff Page'!$B$9:$B$30,0))+$D$48*INDEX('Tariff Page'!$C$9:$C$30,MATCH($B17,'Tariff Page'!$B$9:$B$30,0))+$D$49*INDEX('Tariff Page'!$F$9:$F$30,MATCH($B17,'Tariff Page'!$B$9:$B$30,0))+$D$50*INDEX('Tariff Page'!$E$9:$E$30,MATCH($B17,'Tariff Page'!$B$9:$B$30,0)))*10</f>
        <v>20.60596313682078</v>
      </c>
      <c r="D17" s="145">
        <f>($D$47*INDEX('[17]Tariff Page'!$D$10:$D$29,MATCH($B17,'[17]Tariff Page'!$B$10:$B$29,0))+$D$48*INDEX('[17]Tariff Page'!$C$10:$C$29,MATCH($B17,'[17]Tariff Page'!$B$10:$B$29,0))+$D$49*INDEX('[17]Tariff Page'!$F$10:$F$29,MATCH($B17,'[17]Tariff Page'!$B$10:$B$29,0))+$D$50*INDEX('[17]Tariff Page'!$E$10:$E$29,MATCH($B17,'[17]Tariff Page'!$B$10:$B$29,0)))*10</f>
        <v>21.863472403302914</v>
      </c>
      <c r="E17" s="146">
        <f t="shared" si="0"/>
        <v>-1.2575092664821348</v>
      </c>
      <c r="F17" s="147">
        <f>($G$47*INDEX('Tariff Page Wind'!$D$9:$D$32,MATCH($B17,'Tariff Page Wind'!$B$9:$B$32,0))+$G$48*INDEX('Tariff Page Wind'!$C$9:$C$32,MATCH($B17,'Tariff Page Wind'!$B$9:$B$32,0))+$G$49*INDEX('Tariff Page Wind'!$F$9:$F$32,MATCH($B17,'Tariff Page Wind'!$B$9:$B$32,0))+$G$50*INDEX('Tariff Page Wind'!$E$9:$E$32,MATCH($B17,'Tariff Page Wind'!$B$9:$B$32,0)))*10</f>
        <v>19.196100007436048</v>
      </c>
      <c r="G17" s="145">
        <f>($G$47*INDEX('[17]Tariff Page Wind'!$D$10:$D$29,MATCH($B17,'[17]Tariff Page Wind'!$B$10:$B$29,0))+$G$48*INDEX('[17]Tariff Page Wind'!$C$10:$C$29,MATCH($B17,'[17]Tariff Page Wind'!$B$10:$B$29,0))+$G$49*INDEX('[17]Tariff Page Wind'!$F$10:$F$29,MATCH($B17,'[17]Tariff Page Wind'!$B$10:$B$29,0))+$G$50*INDEX('[17]Tariff Page Wind'!$E$10:$E$29,MATCH($B17,'[17]Tariff Page Wind'!$B$10:$B$29,0)))*10</f>
        <v>20.560082363005108</v>
      </c>
      <c r="H17" s="146">
        <f t="shared" si="1"/>
        <v>-1.3639823555690604</v>
      </c>
      <c r="I17" s="147">
        <f>($J$47*INDEX('Tariff Page Solar Fixed'!$D$9:$D$31,MATCH($B17,'Tariff Page Solar Fixed'!$B$9:$B$31,0))+$J$48*INDEX('Tariff Page Solar Fixed'!$C$9:$C$31,MATCH($B17,'Tariff Page Solar Fixed'!$B$9:$B$31,0))+$J$49*INDEX('Tariff Page Solar Fixed'!$F$9:$F$31,MATCH($B17,'Tariff Page Solar Fixed'!$B$9:$B$31,0))+$J$50*INDEX('Tariff Page Solar Fixed'!$E$9:$E$31,MATCH($B17,'Tariff Page Solar Fixed'!$B$9:$B$31,0)))*10</f>
        <v>17.902373800683865</v>
      </c>
      <c r="J17" s="145">
        <f>($J$47*INDEX('[17]Tariff Page Solar Fixed'!$D$10:$D$29,MATCH($B17,'[17]Tariff Page Solar Fixed'!$B$10:$B$29,0))+$J$48*INDEX('[17]Tariff Page Solar Fixed'!$C$10:$C$29,MATCH($B17,'[17]Tariff Page Solar Fixed'!$B$10:$B$29,0))+$J$49*INDEX('[17]Tariff Page Solar Fixed'!$F$10:$F$29,MATCH($B17,'[17]Tariff Page Solar Fixed'!$B$10:$B$29,0))+$J$50*INDEX('[17]Tariff Page Solar Fixed'!$E$10:$E$29,MATCH($B17,'[17]Tariff Page Solar Fixed'!$B$10:$B$29,0)))*10</f>
        <v>22.365790966757334</v>
      </c>
      <c r="K17" s="146">
        <f t="shared" si="2"/>
        <v>-4.4634171660734694</v>
      </c>
      <c r="L17" s="147">
        <f>($M$47*INDEX('Tariff Page Solar Tracking'!$D$9:$D$31,MATCH($B17,'Tariff Page Solar Tracking'!$B$9:$B$31,0))+$M$48*INDEX('Tariff Page Solar Tracking'!$C$9:$C$31,MATCH($B17,'Tariff Page Solar Tracking'!$B$9:$B$31,0))+$M$49*INDEX('Tariff Page Solar Tracking'!$F$9:$F$31,MATCH($B17,'Tariff Page Solar Tracking'!$B$9:$B$31,0))+$M$50*INDEX('Tariff Page Solar Tracking'!$E$9:$E$31,MATCH($B17,'Tariff Page Solar Tracking'!$B$9:$B$31,0)))*10</f>
        <v>17.998697940227903</v>
      </c>
      <c r="M17" s="145">
        <f>($M$47*INDEX('[17]Tariff Page Solar Tracking'!$D$10:$D$29,MATCH($B17,'[17]Tariff Page Solar Tracking'!$B$10:$B$29,0))+$M$48*INDEX('[17]Tariff Page Solar Tracking'!$C$10:$C$29,MATCH($B17,'[17]Tariff Page Solar Tracking'!$B$10:$B$29,0))+$M$49*INDEX('[17]Tariff Page Solar Tracking'!$F$10:$F$29,MATCH($B17,'[17]Tariff Page Solar Tracking'!$B$10:$B$29,0))+$M$50*INDEX('[17]Tariff Page Solar Tracking'!$E$10:$E$29,MATCH($B17,'[17]Tariff Page Solar Tracking'!$B$10:$B$29,0)))*10</f>
        <v>22.424711007946804</v>
      </c>
      <c r="N17" s="146">
        <f t="shared" si="3"/>
        <v>-4.4260130677189018</v>
      </c>
      <c r="S17" s="138"/>
    </row>
    <row r="18" spans="1:19" x14ac:dyDescent="0.2">
      <c r="B18" s="334">
        <f t="shared" si="4"/>
        <v>2024</v>
      </c>
      <c r="C18" s="145">
        <f>($D$47*INDEX('Tariff Page'!$D$9:$D$30,MATCH($B18,'Tariff Page'!$B$9:$B$30,0))+$D$48*INDEX('Tariff Page'!$C$9:$C$30,MATCH($B18,'Tariff Page'!$B$9:$B$30,0))+$D$49*INDEX('Tariff Page'!$F$9:$F$30,MATCH($B18,'Tariff Page'!$B$9:$B$30,0))+$D$50*INDEX('Tariff Page'!$E$9:$E$30,MATCH($B18,'Tariff Page'!$B$9:$B$30,0)))*10</f>
        <v>23.34612791056238</v>
      </c>
      <c r="D18" s="145">
        <f>($D$47*INDEX('[17]Tariff Page'!$D$10:$D$29,MATCH($B18,'[17]Tariff Page'!$B$10:$B$29,0))+$D$48*INDEX('[17]Tariff Page'!$C$10:$C$29,MATCH($B18,'[17]Tariff Page'!$B$10:$B$29,0))+$D$49*INDEX('[17]Tariff Page'!$F$10:$F$29,MATCH($B18,'[17]Tariff Page'!$B$10:$B$29,0))+$D$50*INDEX('[17]Tariff Page'!$E$10:$E$29,MATCH($B18,'[17]Tariff Page'!$B$10:$B$29,0)))*10</f>
        <v>24.971003911342894</v>
      </c>
      <c r="E18" s="146">
        <f t="shared" si="0"/>
        <v>-1.6248760007805139</v>
      </c>
      <c r="F18" s="147">
        <f>($G$47*INDEX('Tariff Page Wind'!$D$9:$D$32,MATCH($B18,'Tariff Page Wind'!$B$9:$B$32,0))+$G$48*INDEX('Tariff Page Wind'!$C$9:$C$32,MATCH($B18,'Tariff Page Wind'!$B$9:$B$32,0))+$G$49*INDEX('Tariff Page Wind'!$F$9:$F$32,MATCH($B18,'Tariff Page Wind'!$B$9:$B$32,0))+$G$50*INDEX('Tariff Page Wind'!$E$9:$E$32,MATCH($B18,'Tariff Page Wind'!$B$9:$B$32,0)))*10</f>
        <v>22.577812016993178</v>
      </c>
      <c r="G18" s="145">
        <f>($G$47*INDEX('[17]Tariff Page Wind'!$D$10:$D$29,MATCH($B18,'[17]Tariff Page Wind'!$B$10:$B$29,0))+$G$48*INDEX('[17]Tariff Page Wind'!$C$10:$C$29,MATCH($B18,'[17]Tariff Page Wind'!$B$10:$B$29,0))+$G$49*INDEX('[17]Tariff Page Wind'!$F$10:$F$29,MATCH($B18,'[17]Tariff Page Wind'!$B$10:$B$29,0))+$G$50*INDEX('[17]Tariff Page Wind'!$E$10:$E$29,MATCH($B18,'[17]Tariff Page Wind'!$B$10:$B$29,0)))*10</f>
        <v>23.714932041244477</v>
      </c>
      <c r="H18" s="146">
        <f t="shared" si="1"/>
        <v>-1.1371200242512991</v>
      </c>
      <c r="I18" s="147">
        <f>($J$47*INDEX('Tariff Page Solar Fixed'!$D$9:$D$31,MATCH($B18,'Tariff Page Solar Fixed'!$B$9:$B$31,0))+$J$48*INDEX('Tariff Page Solar Fixed'!$C$9:$C$31,MATCH($B18,'Tariff Page Solar Fixed'!$B$9:$B$31,0))+$J$49*INDEX('Tariff Page Solar Fixed'!$F$9:$F$31,MATCH($B18,'Tariff Page Solar Fixed'!$B$9:$B$31,0))+$J$50*INDEX('Tariff Page Solar Fixed'!$E$9:$E$31,MATCH($B18,'Tariff Page Solar Fixed'!$B$9:$B$31,0)))*10</f>
        <v>17.083043366684706</v>
      </c>
      <c r="J18" s="145">
        <f>($J$47*INDEX('[17]Tariff Page Solar Fixed'!$D$10:$D$29,MATCH($B18,'[17]Tariff Page Solar Fixed'!$B$10:$B$29,0))+$J$48*INDEX('[17]Tariff Page Solar Fixed'!$C$10:$C$29,MATCH($B18,'[17]Tariff Page Solar Fixed'!$B$10:$B$29,0))+$J$49*INDEX('[17]Tariff Page Solar Fixed'!$F$10:$F$29,MATCH($B18,'[17]Tariff Page Solar Fixed'!$B$10:$B$29,0))+$J$50*INDEX('[17]Tariff Page Solar Fixed'!$E$10:$E$29,MATCH($B18,'[17]Tariff Page Solar Fixed'!$B$10:$B$29,0)))*10</f>
        <v>25.364468657549747</v>
      </c>
      <c r="K18" s="146">
        <f t="shared" si="2"/>
        <v>-8.281425290865041</v>
      </c>
      <c r="L18" s="147">
        <f>($M$47*INDEX('Tariff Page Solar Tracking'!$D$9:$D$31,MATCH($B18,'Tariff Page Solar Tracking'!$B$9:$B$31,0))+$M$48*INDEX('Tariff Page Solar Tracking'!$C$9:$C$31,MATCH($B18,'Tariff Page Solar Tracking'!$B$9:$B$31,0))+$M$49*INDEX('Tariff Page Solar Tracking'!$F$9:$F$31,MATCH($B18,'Tariff Page Solar Tracking'!$B$9:$B$31,0))+$M$50*INDEX('Tariff Page Solar Tracking'!$E$9:$E$31,MATCH($B18,'Tariff Page Solar Tracking'!$B$9:$B$31,0)))*10</f>
        <v>17.750656102783882</v>
      </c>
      <c r="M18" s="145">
        <f>($M$47*INDEX('[17]Tariff Page Solar Tracking'!$D$10:$D$29,MATCH($B18,'[17]Tariff Page Solar Tracking'!$B$10:$B$29,0))+$M$48*INDEX('[17]Tariff Page Solar Tracking'!$C$10:$C$29,MATCH($B18,'[17]Tariff Page Solar Tracking'!$B$10:$B$29,0))+$M$49*INDEX('[17]Tariff Page Solar Tracking'!$F$10:$F$29,MATCH($B18,'[17]Tariff Page Solar Tracking'!$B$10:$B$29,0))+$M$50*INDEX('[17]Tariff Page Solar Tracking'!$E$10:$E$29,MATCH($B18,'[17]Tariff Page Solar Tracking'!$B$10:$B$29,0)))*10</f>
        <v>25.414029620340258</v>
      </c>
      <c r="N18" s="146">
        <f t="shared" si="3"/>
        <v>-7.6633735175563764</v>
      </c>
      <c r="S18" s="138"/>
    </row>
    <row r="19" spans="1:19" x14ac:dyDescent="0.2">
      <c r="B19" s="334">
        <f t="shared" si="4"/>
        <v>2025</v>
      </c>
      <c r="C19" s="145">
        <f>($D$47*INDEX('Tariff Page'!$D$9:$D$30,MATCH($B19,'Tariff Page'!$B$9:$B$30,0))+$D$48*INDEX('Tariff Page'!$C$9:$C$30,MATCH($B19,'Tariff Page'!$B$9:$B$30,0))+$D$49*INDEX('Tariff Page'!$F$9:$F$30,MATCH($B19,'Tariff Page'!$B$9:$B$30,0))+$D$50*INDEX('Tariff Page'!$E$9:$E$30,MATCH($B19,'Tariff Page'!$B$9:$B$30,0)))*10</f>
        <v>24.918982779928118</v>
      </c>
      <c r="D19" s="145">
        <f>($D$47*INDEX('[17]Tariff Page'!$D$10:$D$29,MATCH($B19,'[17]Tariff Page'!$B$10:$B$29,0))+$D$48*INDEX('[17]Tariff Page'!$C$10:$C$29,MATCH($B19,'[17]Tariff Page'!$B$10:$B$29,0))+$D$49*INDEX('[17]Tariff Page'!$F$10:$F$29,MATCH($B19,'[17]Tariff Page'!$B$10:$B$29,0))+$D$50*INDEX('[17]Tariff Page'!$E$10:$E$29,MATCH($B19,'[17]Tariff Page'!$B$10:$B$29,0)))*10</f>
        <v>27.426653628857018</v>
      </c>
      <c r="E19" s="146">
        <f t="shared" si="0"/>
        <v>-2.5076708489288997</v>
      </c>
      <c r="F19" s="147">
        <f>($G$47*INDEX('Tariff Page Wind'!$D$9:$D$32,MATCH($B19,'Tariff Page Wind'!$B$9:$B$32,0))+$G$48*INDEX('Tariff Page Wind'!$C$9:$C$32,MATCH($B19,'Tariff Page Wind'!$B$9:$B$32,0))+$G$49*INDEX('Tariff Page Wind'!$F$9:$F$32,MATCH($B19,'Tariff Page Wind'!$B$9:$B$32,0))+$G$50*INDEX('Tariff Page Wind'!$E$9:$E$32,MATCH($B19,'Tariff Page Wind'!$B$9:$B$32,0)))*10</f>
        <v>22.926002453336917</v>
      </c>
      <c r="G19" s="145">
        <f>($G$47*INDEX('[17]Tariff Page Wind'!$D$10:$D$29,MATCH($B19,'[17]Tariff Page Wind'!$B$10:$B$29,0))+$G$48*INDEX('[17]Tariff Page Wind'!$C$10:$C$29,MATCH($B19,'[17]Tariff Page Wind'!$B$10:$B$29,0))+$G$49*INDEX('[17]Tariff Page Wind'!$F$10:$F$29,MATCH($B19,'[17]Tariff Page Wind'!$B$10:$B$29,0))+$G$50*INDEX('[17]Tariff Page Wind'!$E$10:$E$29,MATCH($B19,'[17]Tariff Page Wind'!$B$10:$B$29,0)))*10</f>
        <v>26.096016971674707</v>
      </c>
      <c r="H19" s="146">
        <f t="shared" si="1"/>
        <v>-3.1700145183377906</v>
      </c>
      <c r="I19" s="147">
        <f>($J$47*INDEX('Tariff Page Solar Fixed'!$D$9:$D$31,MATCH($B19,'Tariff Page Solar Fixed'!$B$9:$B$31,0))+$J$48*INDEX('Tariff Page Solar Fixed'!$C$9:$C$31,MATCH($B19,'Tariff Page Solar Fixed'!$B$9:$B$31,0))+$J$49*INDEX('Tariff Page Solar Fixed'!$F$9:$F$31,MATCH($B19,'Tariff Page Solar Fixed'!$B$9:$B$31,0))+$J$50*INDEX('Tariff Page Solar Fixed'!$E$9:$E$31,MATCH($B19,'Tariff Page Solar Fixed'!$B$9:$B$31,0)))*10</f>
        <v>21.095957404745779</v>
      </c>
      <c r="J19" s="145">
        <f>($J$47*INDEX('[17]Tariff Page Solar Fixed'!$D$10:$D$29,MATCH($B19,'[17]Tariff Page Solar Fixed'!$B$10:$B$29,0))+$J$48*INDEX('[17]Tariff Page Solar Fixed'!$C$10:$C$29,MATCH($B19,'[17]Tariff Page Solar Fixed'!$B$10:$B$29,0))+$J$49*INDEX('[17]Tariff Page Solar Fixed'!$F$10:$F$29,MATCH($B19,'[17]Tariff Page Solar Fixed'!$B$10:$B$29,0))+$J$50*INDEX('[17]Tariff Page Solar Fixed'!$E$10:$E$29,MATCH($B19,'[17]Tariff Page Solar Fixed'!$B$10:$B$29,0)))*10</f>
        <v>28.059633364248462</v>
      </c>
      <c r="K19" s="146">
        <f t="shared" si="2"/>
        <v>-6.9636759595026838</v>
      </c>
      <c r="L19" s="147">
        <f>($M$47*INDEX('Tariff Page Solar Tracking'!$D$9:$D$31,MATCH($B19,'Tariff Page Solar Tracking'!$B$9:$B$31,0))+$M$48*INDEX('Tariff Page Solar Tracking'!$C$9:$C$31,MATCH($B19,'Tariff Page Solar Tracking'!$B$9:$B$31,0))+$M$49*INDEX('Tariff Page Solar Tracking'!$F$9:$F$31,MATCH($B19,'Tariff Page Solar Tracking'!$B$9:$B$31,0))+$M$50*INDEX('Tariff Page Solar Tracking'!$E$9:$E$31,MATCH($B19,'Tariff Page Solar Tracking'!$B$9:$B$31,0)))*10</f>
        <v>21.453874070981659</v>
      </c>
      <c r="M19" s="145">
        <f>($M$47*INDEX('[17]Tariff Page Solar Tracking'!$D$10:$D$29,MATCH($B19,'[17]Tariff Page Solar Tracking'!$B$10:$B$29,0))+$M$48*INDEX('[17]Tariff Page Solar Tracking'!$C$10:$C$29,MATCH($B19,'[17]Tariff Page Solar Tracking'!$B$10:$B$29,0))+$M$49*INDEX('[17]Tariff Page Solar Tracking'!$F$10:$F$29,MATCH($B19,'[17]Tariff Page Solar Tracking'!$B$10:$B$29,0))+$M$50*INDEX('[17]Tariff Page Solar Tracking'!$E$10:$E$29,MATCH($B19,'[17]Tariff Page Solar Tracking'!$B$10:$B$29,0)))*10</f>
        <v>28.195985831681881</v>
      </c>
      <c r="N19" s="146">
        <f t="shared" si="3"/>
        <v>-6.7421117607002223</v>
      </c>
      <c r="S19" s="138"/>
    </row>
    <row r="20" spans="1:19" x14ac:dyDescent="0.2">
      <c r="B20" s="334">
        <f t="shared" si="4"/>
        <v>2026</v>
      </c>
      <c r="C20" s="145">
        <f>($D$47*INDEX('Tariff Page'!$D$9:$D$30,MATCH($B20,'Tariff Page'!$B$9:$B$30,0))+$D$48*INDEX('Tariff Page'!$C$9:$C$30,MATCH($B20,'Tariff Page'!$B$9:$B$30,0))+$D$49*INDEX('Tariff Page'!$F$9:$F$30,MATCH($B20,'Tariff Page'!$B$9:$B$30,0))+$D$50*INDEX('Tariff Page'!$E$9:$E$30,MATCH($B20,'Tariff Page'!$B$9:$B$30,0)))*10</f>
        <v>25.542633701175752</v>
      </c>
      <c r="D20" s="145">
        <f>($D$47*INDEX('[17]Tariff Page'!$D$10:$D$29,MATCH($B20,'[17]Tariff Page'!$B$10:$B$29,0))+$D$48*INDEX('[17]Tariff Page'!$C$10:$C$29,MATCH($B20,'[17]Tariff Page'!$B$10:$B$29,0))+$D$49*INDEX('[17]Tariff Page'!$F$10:$F$29,MATCH($B20,'[17]Tariff Page'!$B$10:$B$29,0))+$D$50*INDEX('[17]Tariff Page'!$E$10:$E$29,MATCH($B20,'[17]Tariff Page'!$B$10:$B$29,0)))*10</f>
        <v>30.443229900043463</v>
      </c>
      <c r="E20" s="146">
        <f t="shared" si="0"/>
        <v>-4.90059619886771</v>
      </c>
      <c r="F20" s="147">
        <f>($G$47*INDEX('Tariff Page Wind'!$D$9:$D$32,MATCH($B20,'Tariff Page Wind'!$B$9:$B$32,0))+$G$48*INDEX('Tariff Page Wind'!$C$9:$C$32,MATCH($B20,'Tariff Page Wind'!$B$9:$B$32,0))+$G$49*INDEX('Tariff Page Wind'!$F$9:$F$32,MATCH($B20,'Tariff Page Wind'!$B$9:$B$32,0))+$G$50*INDEX('Tariff Page Wind'!$E$9:$E$32,MATCH($B20,'Tariff Page Wind'!$B$9:$B$32,0)))*10</f>
        <v>24.915867394501042</v>
      </c>
      <c r="G20" s="145">
        <f>($G$47*INDEX('[17]Tariff Page Wind'!$D$10:$D$29,MATCH($B20,'[17]Tariff Page Wind'!$B$10:$B$29,0))+$G$48*INDEX('[17]Tariff Page Wind'!$C$10:$C$29,MATCH($B20,'[17]Tariff Page Wind'!$B$10:$B$29,0))+$G$49*INDEX('[17]Tariff Page Wind'!$F$10:$F$29,MATCH($B20,'[17]Tariff Page Wind'!$B$10:$B$29,0))+$G$50*INDEX('[17]Tariff Page Wind'!$E$10:$E$29,MATCH($B20,'[17]Tariff Page Wind'!$B$10:$B$29,0)))*10</f>
        <v>28.861503019810193</v>
      </c>
      <c r="H20" s="146">
        <f t="shared" si="1"/>
        <v>-3.9456356253091514</v>
      </c>
      <c r="I20" s="147">
        <f>($J$47*INDEX('Tariff Page Solar Fixed'!$D$9:$D$31,MATCH($B20,'Tariff Page Solar Fixed'!$B$9:$B$31,0))+$J$48*INDEX('Tariff Page Solar Fixed'!$C$9:$C$31,MATCH($B20,'Tariff Page Solar Fixed'!$B$9:$B$31,0))+$J$49*INDEX('Tariff Page Solar Fixed'!$F$9:$F$31,MATCH($B20,'Tariff Page Solar Fixed'!$B$9:$B$31,0))+$J$50*INDEX('Tariff Page Solar Fixed'!$E$9:$E$31,MATCH($B20,'Tariff Page Solar Fixed'!$B$9:$B$31,0)))*10</f>
        <v>22.24282656898189</v>
      </c>
      <c r="J20" s="145">
        <f>($J$47*INDEX('[17]Tariff Page Solar Fixed'!$D$10:$D$29,MATCH($B20,'[17]Tariff Page Solar Fixed'!$B$10:$B$29,0))+$J$48*INDEX('[17]Tariff Page Solar Fixed'!$C$10:$C$29,MATCH($B20,'[17]Tariff Page Solar Fixed'!$B$10:$B$29,0))+$J$49*INDEX('[17]Tariff Page Solar Fixed'!$F$10:$F$29,MATCH($B20,'[17]Tariff Page Solar Fixed'!$B$10:$B$29,0))+$J$50*INDEX('[17]Tariff Page Solar Fixed'!$E$10:$E$29,MATCH($B20,'[17]Tariff Page Solar Fixed'!$B$10:$B$29,0)))*10</f>
        <v>30.86173890364638</v>
      </c>
      <c r="K20" s="146">
        <f t="shared" si="2"/>
        <v>-8.6189123346644898</v>
      </c>
      <c r="L20" s="147">
        <f>($M$47*INDEX('Tariff Page Solar Tracking'!$D$9:$D$31,MATCH($B20,'Tariff Page Solar Tracking'!$B$9:$B$31,0))+$M$48*INDEX('Tariff Page Solar Tracking'!$C$9:$C$31,MATCH($B20,'Tariff Page Solar Tracking'!$B$9:$B$31,0))+$M$49*INDEX('Tariff Page Solar Tracking'!$F$9:$F$31,MATCH($B20,'Tariff Page Solar Tracking'!$B$9:$B$31,0))+$M$50*INDEX('Tariff Page Solar Tracking'!$E$9:$E$31,MATCH($B20,'Tariff Page Solar Tracking'!$B$9:$B$31,0)))*10</f>
        <v>22.495107817853377</v>
      </c>
      <c r="M20" s="145">
        <f>($M$47*INDEX('[17]Tariff Page Solar Tracking'!$D$10:$D$29,MATCH($B20,'[17]Tariff Page Solar Tracking'!$B$10:$B$29,0))+$M$48*INDEX('[17]Tariff Page Solar Tracking'!$C$10:$C$29,MATCH($B20,'[17]Tariff Page Solar Tracking'!$B$10:$B$29,0))+$M$49*INDEX('[17]Tariff Page Solar Tracking'!$F$10:$F$29,MATCH($B20,'[17]Tariff Page Solar Tracking'!$B$10:$B$29,0))+$M$50*INDEX('[17]Tariff Page Solar Tracking'!$E$10:$E$29,MATCH($B20,'[17]Tariff Page Solar Tracking'!$B$10:$B$29,0)))*10</f>
        <v>30.675905378729546</v>
      </c>
      <c r="N20" s="146">
        <f t="shared" si="3"/>
        <v>-8.1807975608761687</v>
      </c>
      <c r="S20" s="138"/>
    </row>
    <row r="21" spans="1:19" x14ac:dyDescent="0.2">
      <c r="B21" s="334">
        <f t="shared" si="4"/>
        <v>2027</v>
      </c>
      <c r="C21" s="145">
        <f>($D$47*INDEX('Tariff Page'!$D$9:$D$30,MATCH($B21,'Tariff Page'!$B$9:$B$30,0))+$D$48*INDEX('Tariff Page'!$C$9:$C$30,MATCH($B21,'Tariff Page'!$B$9:$B$30,0))+$D$49*INDEX('Tariff Page'!$F$9:$F$30,MATCH($B21,'Tariff Page'!$B$9:$B$30,0))+$D$50*INDEX('Tariff Page'!$E$9:$E$30,MATCH($B21,'Tariff Page'!$B$9:$B$30,0)))*10</f>
        <v>26.33680809780115</v>
      </c>
      <c r="D21" s="145">
        <f>($D$47*INDEX('[17]Tariff Page'!$D$10:$D$29,MATCH($B21,'[17]Tariff Page'!$B$10:$B$29,0))+$D$48*INDEX('[17]Tariff Page'!$C$10:$C$29,MATCH($B21,'[17]Tariff Page'!$B$10:$B$29,0))+$D$49*INDEX('[17]Tariff Page'!$F$10:$F$29,MATCH($B21,'[17]Tariff Page'!$B$10:$B$29,0))+$D$50*INDEX('[17]Tariff Page'!$E$10:$E$29,MATCH($B21,'[17]Tariff Page'!$B$10:$B$29,0)))*10</f>
        <v>28.289538461538459</v>
      </c>
      <c r="E21" s="146">
        <f t="shared" si="0"/>
        <v>-1.9527303637373095</v>
      </c>
      <c r="F21" s="147">
        <f>($G$47*INDEX('Tariff Page Wind'!$D$9:$D$32,MATCH($B21,'Tariff Page Wind'!$B$9:$B$32,0))+$G$48*INDEX('Tariff Page Wind'!$C$9:$C$32,MATCH($B21,'Tariff Page Wind'!$B$9:$B$32,0))+$G$49*INDEX('Tariff Page Wind'!$F$9:$F$32,MATCH($B21,'Tariff Page Wind'!$B$9:$B$32,0))+$G$50*INDEX('Tariff Page Wind'!$E$9:$E$32,MATCH($B21,'Tariff Page Wind'!$B$9:$B$32,0)))*10</f>
        <v>25.16582333289314</v>
      </c>
      <c r="G21" s="145">
        <f>($G$47*INDEX('[17]Tariff Page Wind'!$D$10:$D$29,MATCH($B21,'[17]Tariff Page Wind'!$B$10:$B$29,0))+$G$48*INDEX('[17]Tariff Page Wind'!$C$10:$C$29,MATCH($B21,'[17]Tariff Page Wind'!$B$10:$B$29,0))+$G$49*INDEX('[17]Tariff Page Wind'!$F$10:$F$29,MATCH($B21,'[17]Tariff Page Wind'!$B$10:$B$29,0))+$G$50*INDEX('[17]Tariff Page Wind'!$E$10:$E$29,MATCH($B21,'[17]Tariff Page Wind'!$B$10:$B$29,0)))*10</f>
        <v>26.964712040418547</v>
      </c>
      <c r="H21" s="146">
        <f t="shared" si="1"/>
        <v>-1.798888707525407</v>
      </c>
      <c r="I21" s="147">
        <f>($J$47*INDEX('Tariff Page Solar Fixed'!$D$9:$D$31,MATCH($B21,'Tariff Page Solar Fixed'!$B$9:$B$31,0))+$J$48*INDEX('Tariff Page Solar Fixed'!$C$9:$C$31,MATCH($B21,'Tariff Page Solar Fixed'!$B$9:$B$31,0))+$J$49*INDEX('Tariff Page Solar Fixed'!$F$9:$F$31,MATCH($B21,'Tariff Page Solar Fixed'!$B$9:$B$31,0))+$J$50*INDEX('Tariff Page Solar Fixed'!$E$9:$E$31,MATCH($B21,'Tariff Page Solar Fixed'!$B$9:$B$31,0)))*10</f>
        <v>21.282034023476704</v>
      </c>
      <c r="J21" s="145">
        <f>($J$47*INDEX('[17]Tariff Page Solar Fixed'!$D$10:$D$29,MATCH($B21,'[17]Tariff Page Solar Fixed'!$B$10:$B$29,0))+$J$48*INDEX('[17]Tariff Page Solar Fixed'!$C$10:$C$29,MATCH($B21,'[17]Tariff Page Solar Fixed'!$B$10:$B$29,0))+$J$49*INDEX('[17]Tariff Page Solar Fixed'!$F$10:$F$29,MATCH($B21,'[17]Tariff Page Solar Fixed'!$B$10:$B$29,0))+$J$50*INDEX('[17]Tariff Page Solar Fixed'!$E$10:$E$29,MATCH($B21,'[17]Tariff Page Solar Fixed'!$B$10:$B$29,0)))*10</f>
        <v>28.790842158546823</v>
      </c>
      <c r="K21" s="146">
        <f t="shared" si="2"/>
        <v>-7.5088081350701188</v>
      </c>
      <c r="L21" s="147">
        <f>($M$47*INDEX('Tariff Page Solar Tracking'!$D$9:$D$31,MATCH($B21,'Tariff Page Solar Tracking'!$B$9:$B$31,0))+$M$48*INDEX('Tariff Page Solar Tracking'!$C$9:$C$31,MATCH($B21,'Tariff Page Solar Tracking'!$B$9:$B$31,0))+$M$49*INDEX('Tariff Page Solar Tracking'!$F$9:$F$31,MATCH($B21,'Tariff Page Solar Tracking'!$B$9:$B$31,0))+$M$50*INDEX('Tariff Page Solar Tracking'!$E$9:$E$31,MATCH($B21,'Tariff Page Solar Tracking'!$B$9:$B$31,0)))*10</f>
        <v>21.85314769072761</v>
      </c>
      <c r="M21" s="145">
        <f>($M$47*INDEX('[17]Tariff Page Solar Tracking'!$D$10:$D$29,MATCH($B21,'[17]Tariff Page Solar Tracking'!$B$10:$B$29,0))+$M$48*INDEX('[17]Tariff Page Solar Tracking'!$C$10:$C$29,MATCH($B21,'[17]Tariff Page Solar Tracking'!$B$10:$B$29,0))+$M$49*INDEX('[17]Tariff Page Solar Tracking'!$F$10:$F$29,MATCH($B21,'[17]Tariff Page Solar Tracking'!$B$10:$B$29,0))+$M$50*INDEX('[17]Tariff Page Solar Tracking'!$E$10:$E$29,MATCH($B21,'[17]Tariff Page Solar Tracking'!$B$10:$B$29,0)))*10</f>
        <v>28.911526393939717</v>
      </c>
      <c r="N21" s="146">
        <f t="shared" si="3"/>
        <v>-7.0583787032121066</v>
      </c>
      <c r="S21" s="138"/>
    </row>
    <row r="22" spans="1:19" x14ac:dyDescent="0.2">
      <c r="B22" s="334">
        <f t="shared" si="4"/>
        <v>2028</v>
      </c>
      <c r="C22" s="145">
        <f>($D$47*INDEX('Tariff Page'!$D$9:$D$30,MATCH($B22,'Tariff Page'!$B$9:$B$30,0))+$D$48*INDEX('Tariff Page'!$C$9:$C$30,MATCH($B22,'Tariff Page'!$B$9:$B$30,0))+$D$49*INDEX('Tariff Page'!$F$9:$F$30,MATCH($B22,'Tariff Page'!$B$9:$B$30,0))+$D$50*INDEX('Tariff Page'!$E$9:$E$30,MATCH($B22,'Tariff Page'!$B$9:$B$30,0)))*10</f>
        <v>32.432369027840402</v>
      </c>
      <c r="D22" s="145">
        <f>($D$47*INDEX('[17]Tariff Page'!$D$10:$D$29,MATCH($B22,'[17]Tariff Page'!$B$10:$B$29,0))+$D$48*INDEX('[17]Tariff Page'!$C$10:$C$29,MATCH($B22,'[17]Tariff Page'!$B$10:$B$29,0))+$D$49*INDEX('[17]Tariff Page'!$F$10:$F$29,MATCH($B22,'[17]Tariff Page'!$B$10:$B$29,0))+$D$50*INDEX('[17]Tariff Page'!$E$10:$E$29,MATCH($B22,'[17]Tariff Page'!$B$10:$B$29,0)))*10</f>
        <v>34.403171664493698</v>
      </c>
      <c r="E22" s="146">
        <f t="shared" si="0"/>
        <v>-1.9708026366532962</v>
      </c>
      <c r="F22" s="147">
        <f>($G$47*INDEX('Tariff Page Wind'!$D$9:$D$32,MATCH($B22,'Tariff Page Wind'!$B$9:$B$32,0))+$G$48*INDEX('Tariff Page Wind'!$C$9:$C$32,MATCH($B22,'Tariff Page Wind'!$B$9:$B$32,0))+$G$49*INDEX('Tariff Page Wind'!$F$9:$F$32,MATCH($B22,'Tariff Page Wind'!$B$9:$B$32,0))+$G$50*INDEX('Tariff Page Wind'!$E$9:$E$32,MATCH($B22,'Tariff Page Wind'!$B$9:$B$32,0)))*10</f>
        <v>30.593078069897217</v>
      </c>
      <c r="G22" s="145">
        <f>($G$47*INDEX('[17]Tariff Page Wind'!$D$10:$D$29,MATCH($B22,'[17]Tariff Page Wind'!$B$10:$B$29,0))+$G$48*INDEX('[17]Tariff Page Wind'!$C$10:$C$29,MATCH($B22,'[17]Tariff Page Wind'!$B$10:$B$29,0))+$G$49*INDEX('[17]Tariff Page Wind'!$F$10:$F$29,MATCH($B22,'[17]Tariff Page Wind'!$B$10:$B$29,0))+$G$50*INDEX('[17]Tariff Page Wind'!$E$10:$E$29,MATCH($B22,'[17]Tariff Page Wind'!$B$10:$B$29,0)))*10</f>
        <v>32.9636036517471</v>
      </c>
      <c r="H22" s="146">
        <f t="shared" si="1"/>
        <v>-2.3705255818498827</v>
      </c>
      <c r="I22" s="147">
        <f>($J$47*INDEX('Tariff Page Solar Fixed'!$D$9:$D$31,MATCH($B22,'Tariff Page Solar Fixed'!$B$9:$B$31,0))+$J$48*INDEX('Tariff Page Solar Fixed'!$C$9:$C$31,MATCH($B22,'Tariff Page Solar Fixed'!$B$9:$B$31,0))+$J$49*INDEX('Tariff Page Solar Fixed'!$F$9:$F$31,MATCH($B22,'Tariff Page Solar Fixed'!$B$9:$B$31,0))+$J$50*INDEX('Tariff Page Solar Fixed'!$E$9:$E$31,MATCH($B22,'Tariff Page Solar Fixed'!$B$9:$B$31,0)))*10</f>
        <v>29.822881666976116</v>
      </c>
      <c r="J22" s="145">
        <f>($J$47*INDEX('[17]Tariff Page Solar Fixed'!$D$10:$D$29,MATCH($B22,'[17]Tariff Page Solar Fixed'!$B$10:$B$29,0))+$J$48*INDEX('[17]Tariff Page Solar Fixed'!$C$10:$C$29,MATCH($B22,'[17]Tariff Page Solar Fixed'!$B$10:$B$29,0))+$J$49*INDEX('[17]Tariff Page Solar Fixed'!$F$10:$F$29,MATCH($B22,'[17]Tariff Page Solar Fixed'!$B$10:$B$29,0))+$J$50*INDEX('[17]Tariff Page Solar Fixed'!$E$10:$E$29,MATCH($B22,'[17]Tariff Page Solar Fixed'!$B$10:$B$29,0)))*10</f>
        <v>35.078346142781939</v>
      </c>
      <c r="K22" s="146">
        <f t="shared" si="2"/>
        <v>-5.2554644758058231</v>
      </c>
      <c r="L22" s="147">
        <f>($M$47*INDEX('Tariff Page Solar Tracking'!$D$9:$D$31,MATCH($B22,'Tariff Page Solar Tracking'!$B$9:$B$31,0))+$M$48*INDEX('Tariff Page Solar Tracking'!$C$9:$C$31,MATCH($B22,'Tariff Page Solar Tracking'!$B$9:$B$31,0))+$M$49*INDEX('Tariff Page Solar Tracking'!$F$9:$F$31,MATCH($B22,'Tariff Page Solar Tracking'!$B$9:$B$31,0))+$M$50*INDEX('Tariff Page Solar Tracking'!$E$9:$E$31,MATCH($B22,'Tariff Page Solar Tracking'!$B$9:$B$31,0)))*10</f>
        <v>30.407703304221169</v>
      </c>
      <c r="M22" s="145">
        <f>($M$47*INDEX('[17]Tariff Page Solar Tracking'!$D$10:$D$29,MATCH($B22,'[17]Tariff Page Solar Tracking'!$B$10:$B$29,0))+$M$48*INDEX('[17]Tariff Page Solar Tracking'!$C$10:$C$29,MATCH($B22,'[17]Tariff Page Solar Tracking'!$B$10:$B$29,0))+$M$49*INDEX('[17]Tariff Page Solar Tracking'!$F$10:$F$29,MATCH($B22,'[17]Tariff Page Solar Tracking'!$B$10:$B$29,0))+$M$50*INDEX('[17]Tariff Page Solar Tracking'!$E$10:$E$29,MATCH($B22,'[17]Tariff Page Solar Tracking'!$B$10:$B$29,0)))*10</f>
        <v>35.208712773049285</v>
      </c>
      <c r="N22" s="146">
        <f t="shared" si="3"/>
        <v>-4.8010094688281164</v>
      </c>
      <c r="S22" s="138"/>
    </row>
    <row r="23" spans="1:19" x14ac:dyDescent="0.2">
      <c r="B23" s="334">
        <f t="shared" si="4"/>
        <v>2029</v>
      </c>
      <c r="C23" s="145">
        <f>($D$47*INDEX('Tariff Page'!$D$9:$D$30,MATCH($B23,'Tariff Page'!$B$9:$B$30,0))+$D$48*INDEX('Tariff Page'!$C$9:$C$30,MATCH($B23,'Tariff Page'!$B$9:$B$30,0))+$D$49*INDEX('Tariff Page'!$F$9:$F$30,MATCH($B23,'Tariff Page'!$B$9:$B$30,0))+$D$50*INDEX('Tariff Page'!$E$9:$E$30,MATCH($B23,'Tariff Page'!$B$9:$B$30,0)))*10</f>
        <v>37.286797165311334</v>
      </c>
      <c r="D23" s="145">
        <f>($D$47*INDEX('[17]Tariff Page'!$D$10:$D$29,MATCH($B23,'[17]Tariff Page'!$B$10:$B$29,0))+$D$48*INDEX('[17]Tariff Page'!$C$10:$C$29,MATCH($B23,'[17]Tariff Page'!$B$10:$B$29,0))+$D$49*INDEX('[17]Tariff Page'!$F$10:$F$29,MATCH($B23,'[17]Tariff Page'!$B$10:$B$29,0))+$D$50*INDEX('[17]Tariff Page'!$E$10:$E$29,MATCH($B23,'[17]Tariff Page'!$B$10:$B$29,0)))*10</f>
        <v>54.198350282485883</v>
      </c>
      <c r="E23" s="146">
        <f t="shared" si="0"/>
        <v>-16.911553117174549</v>
      </c>
      <c r="F23" s="147">
        <f>($G$47*INDEX('Tariff Page Wind'!$D$9:$D$32,MATCH($B23,'Tariff Page Wind'!$B$9:$B$32,0))+$G$48*INDEX('Tariff Page Wind'!$C$9:$C$32,MATCH($B23,'Tariff Page Wind'!$B$9:$B$32,0))+$G$49*INDEX('Tariff Page Wind'!$F$9:$F$32,MATCH($B23,'Tariff Page Wind'!$B$9:$B$32,0))+$G$50*INDEX('Tariff Page Wind'!$E$9:$E$32,MATCH($B23,'Tariff Page Wind'!$B$9:$B$32,0)))*10</f>
        <v>35.359005413396353</v>
      </c>
      <c r="G23" s="145">
        <f>($G$47*INDEX('[17]Tariff Page Wind'!$D$10:$D$29,MATCH($B23,'[17]Tariff Page Wind'!$B$10:$B$29,0))+$G$48*INDEX('[17]Tariff Page Wind'!$C$10:$C$29,MATCH($B23,'[17]Tariff Page Wind'!$B$10:$B$29,0))+$G$49*INDEX('[17]Tariff Page Wind'!$F$10:$F$29,MATCH($B23,'[17]Tariff Page Wind'!$B$10:$B$29,0))+$G$50*INDEX('[17]Tariff Page Wind'!$E$10:$E$29,MATCH($B23,'[17]Tariff Page Wind'!$B$10:$B$29,0)))*10</f>
        <v>35.705037104769971</v>
      </c>
      <c r="H23" s="146">
        <f t="shared" si="1"/>
        <v>-0.34603169137361789</v>
      </c>
      <c r="I23" s="147">
        <f>($J$47*INDEX('Tariff Page Solar Fixed'!$D$9:$D$31,MATCH($B23,'Tariff Page Solar Fixed'!$B$9:$B$31,0))+$J$48*INDEX('Tariff Page Solar Fixed'!$C$9:$C$31,MATCH($B23,'Tariff Page Solar Fixed'!$B$9:$B$31,0))+$J$49*INDEX('Tariff Page Solar Fixed'!$F$9:$F$31,MATCH($B23,'Tariff Page Solar Fixed'!$B$9:$B$31,0))+$J$50*INDEX('Tariff Page Solar Fixed'!$E$9:$E$31,MATCH($B23,'Tariff Page Solar Fixed'!$B$9:$B$31,0)))*10</f>
        <v>34.633244127411132</v>
      </c>
      <c r="J23" s="145">
        <f>($J$47*INDEX('[17]Tariff Page Solar Fixed'!$D$10:$D$29,MATCH($B23,'[17]Tariff Page Solar Fixed'!$B$10:$B$29,0))+$J$48*INDEX('[17]Tariff Page Solar Fixed'!$C$10:$C$29,MATCH($B23,'[17]Tariff Page Solar Fixed'!$B$10:$B$29,0))+$J$49*INDEX('[17]Tariff Page Solar Fixed'!$F$10:$F$29,MATCH($B23,'[17]Tariff Page Solar Fixed'!$B$10:$B$29,0))+$J$50*INDEX('[17]Tariff Page Solar Fixed'!$E$10:$E$29,MATCH($B23,'[17]Tariff Page Solar Fixed'!$B$10:$B$29,0)))*10</f>
        <v>44.793718257869692</v>
      </c>
      <c r="K23" s="146">
        <f t="shared" si="2"/>
        <v>-10.16047413045856</v>
      </c>
      <c r="L23" s="147">
        <f>($M$47*INDEX('Tariff Page Solar Tracking'!$D$9:$D$31,MATCH($B23,'Tariff Page Solar Tracking'!$B$9:$B$31,0))+$M$48*INDEX('Tariff Page Solar Tracking'!$C$9:$C$31,MATCH($B23,'Tariff Page Solar Tracking'!$B$9:$B$31,0))+$M$49*INDEX('Tariff Page Solar Tracking'!$F$9:$F$31,MATCH($B23,'Tariff Page Solar Tracking'!$B$9:$B$31,0))+$M$50*INDEX('Tariff Page Solar Tracking'!$E$9:$E$31,MATCH($B23,'Tariff Page Solar Tracking'!$B$9:$B$31,0)))*10</f>
        <v>35.081442981109873</v>
      </c>
      <c r="M23" s="145">
        <f>($M$47*INDEX('[17]Tariff Page Solar Tracking'!$D$10:$D$29,MATCH($B23,'[17]Tariff Page Solar Tracking'!$B$10:$B$29,0))+$M$48*INDEX('[17]Tariff Page Solar Tracking'!$C$10:$C$29,MATCH($B23,'[17]Tariff Page Solar Tracking'!$B$10:$B$29,0))+$M$49*INDEX('[17]Tariff Page Solar Tracking'!$F$10:$F$29,MATCH($B23,'[17]Tariff Page Solar Tracking'!$B$10:$B$29,0))+$M$50*INDEX('[17]Tariff Page Solar Tracking'!$E$10:$E$29,MATCH($B23,'[17]Tariff Page Solar Tracking'!$B$10:$B$29,0)))*10</f>
        <v>50.236230477455493</v>
      </c>
      <c r="N23" s="146">
        <f t="shared" si="3"/>
        <v>-15.15478749634562</v>
      </c>
      <c r="S23" s="138"/>
    </row>
    <row r="24" spans="1:19" x14ac:dyDescent="0.2">
      <c r="B24" s="334">
        <f t="shared" si="4"/>
        <v>2030</v>
      </c>
      <c r="C24" s="145">
        <f>($D$47*INDEX('Tariff Page'!$D$9:$D$30,MATCH($B24,'Tariff Page'!$B$9:$B$30,0))+$D$48*INDEX('Tariff Page'!$C$9:$C$30,MATCH($B24,'Tariff Page'!$B$9:$B$30,0))+$D$49*INDEX('Tariff Page'!$F$9:$F$30,MATCH($B24,'Tariff Page'!$B$9:$B$30,0))+$D$50*INDEX('Tariff Page'!$E$9:$E$30,MATCH($B24,'Tariff Page'!$B$9:$B$30,0)))*10</f>
        <v>56.378623470024536</v>
      </c>
      <c r="D24" s="145">
        <f>($D$47*INDEX('[17]Tariff Page'!$D$10:$D$29,MATCH($B24,'[17]Tariff Page'!$B$10:$B$29,0))+$D$48*INDEX('[17]Tariff Page'!$C$10:$C$29,MATCH($B24,'[17]Tariff Page'!$B$10:$B$29,0))+$D$49*INDEX('[17]Tariff Page'!$F$10:$F$29,MATCH($B24,'[17]Tariff Page'!$B$10:$B$29,0))+$D$50*INDEX('[17]Tariff Page'!$E$10:$E$29,MATCH($B24,'[17]Tariff Page'!$B$10:$B$29,0)))*10</f>
        <v>57.163525423728814</v>
      </c>
      <c r="E24" s="146">
        <f t="shared" si="0"/>
        <v>-0.78490195370427784</v>
      </c>
      <c r="F24" s="147">
        <f>($G$47*INDEX('Tariff Page Wind'!$D$9:$D$32,MATCH($B24,'Tariff Page Wind'!$B$9:$B$32,0))+$G$48*INDEX('Tariff Page Wind'!$C$9:$C$32,MATCH($B24,'Tariff Page Wind'!$B$9:$B$32,0))+$G$49*INDEX('Tariff Page Wind'!$F$9:$F$32,MATCH($B24,'Tariff Page Wind'!$B$9:$B$32,0))+$G$50*INDEX('Tariff Page Wind'!$E$9:$E$32,MATCH($B24,'Tariff Page Wind'!$B$9:$B$32,0)))*10</f>
        <v>39.433391120052576</v>
      </c>
      <c r="G24" s="145">
        <f>($G$47*INDEX('[17]Tariff Page Wind'!$D$10:$D$29,MATCH($B24,'[17]Tariff Page Wind'!$B$10:$B$29,0))+$G$48*INDEX('[17]Tariff Page Wind'!$C$10:$C$29,MATCH($B24,'[17]Tariff Page Wind'!$B$10:$B$29,0))+$G$49*INDEX('[17]Tariff Page Wind'!$F$10:$F$29,MATCH($B24,'[17]Tariff Page Wind'!$B$10:$B$29,0))+$G$50*INDEX('[17]Tariff Page Wind'!$E$10:$E$29,MATCH($B24,'[17]Tariff Page Wind'!$B$10:$B$29,0)))*10</f>
        <v>38.239231451109113</v>
      </c>
      <c r="H24" s="146">
        <f t="shared" si="1"/>
        <v>1.1941596689434633</v>
      </c>
      <c r="I24" s="147">
        <f>($J$47*INDEX('Tariff Page Solar Fixed'!$D$9:$D$31,MATCH($B24,'Tariff Page Solar Fixed'!$B$9:$B$31,0))+$J$48*INDEX('Tariff Page Solar Fixed'!$C$9:$C$31,MATCH($B24,'Tariff Page Solar Fixed'!$B$9:$B$31,0))+$J$49*INDEX('Tariff Page Solar Fixed'!$F$9:$F$31,MATCH($B24,'Tariff Page Solar Fixed'!$B$9:$B$31,0))+$J$50*INDEX('Tariff Page Solar Fixed'!$E$9:$E$31,MATCH($B24,'Tariff Page Solar Fixed'!$B$9:$B$31,0)))*10</f>
        <v>38.607103295441256</v>
      </c>
      <c r="J24" s="145">
        <f>($J$47*INDEX('[17]Tariff Page Solar Fixed'!$D$10:$D$29,MATCH($B24,'[17]Tariff Page Solar Fixed'!$B$10:$B$29,0))+$J$48*INDEX('[17]Tariff Page Solar Fixed'!$C$10:$C$29,MATCH($B24,'[17]Tariff Page Solar Fixed'!$B$10:$B$29,0))+$J$49*INDEX('[17]Tariff Page Solar Fixed'!$F$10:$F$29,MATCH($B24,'[17]Tariff Page Solar Fixed'!$B$10:$B$29,0))+$J$50*INDEX('[17]Tariff Page Solar Fixed'!$E$10:$E$29,MATCH($B24,'[17]Tariff Page Solar Fixed'!$B$10:$B$29,0)))*10</f>
        <v>47.542832806445141</v>
      </c>
      <c r="K24" s="146">
        <f t="shared" si="2"/>
        <v>-8.9357295110038848</v>
      </c>
      <c r="L24" s="147">
        <f>($M$47*INDEX('Tariff Page Solar Tracking'!$D$9:$D$31,MATCH($B24,'Tariff Page Solar Tracking'!$B$9:$B$31,0))+$M$48*INDEX('Tariff Page Solar Tracking'!$C$9:$C$31,MATCH($B24,'Tariff Page Solar Tracking'!$B$9:$B$31,0))+$M$49*INDEX('Tariff Page Solar Tracking'!$F$9:$F$31,MATCH($B24,'Tariff Page Solar Tracking'!$B$9:$B$31,0))+$M$50*INDEX('Tariff Page Solar Tracking'!$E$9:$E$31,MATCH($B24,'Tariff Page Solar Tracking'!$B$9:$B$31,0)))*10</f>
        <v>38.995403801280439</v>
      </c>
      <c r="M24" s="145">
        <f>($M$47*INDEX('[17]Tariff Page Solar Tracking'!$D$10:$D$29,MATCH($B24,'[17]Tariff Page Solar Tracking'!$B$10:$B$29,0))+$M$48*INDEX('[17]Tariff Page Solar Tracking'!$C$10:$C$29,MATCH($B24,'[17]Tariff Page Solar Tracking'!$B$10:$B$29,0))+$M$49*INDEX('[17]Tariff Page Solar Tracking'!$F$10:$F$29,MATCH($B24,'[17]Tariff Page Solar Tracking'!$B$10:$B$29,0))+$M$50*INDEX('[17]Tariff Page Solar Tracking'!$E$10:$E$29,MATCH($B24,'[17]Tariff Page Solar Tracking'!$B$10:$B$29,0)))*10</f>
        <v>53.113070597776158</v>
      </c>
      <c r="N24" s="146">
        <f t="shared" si="3"/>
        <v>-14.117666796495719</v>
      </c>
      <c r="P24" s="198"/>
      <c r="S24" s="138"/>
    </row>
    <row r="25" spans="1:19" x14ac:dyDescent="0.2">
      <c r="B25" s="334">
        <f t="shared" si="4"/>
        <v>2031</v>
      </c>
      <c r="C25" s="145">
        <f>($D$47*INDEX('Tariff Page'!$D$9:$D$30,MATCH($B25,'Tariff Page'!$B$9:$B$30,0))+$D$48*INDEX('Tariff Page'!$C$9:$C$30,MATCH($B25,'Tariff Page'!$B$9:$B$30,0))+$D$49*INDEX('Tariff Page'!$F$9:$F$30,MATCH($B25,'Tariff Page'!$B$9:$B$30,0))+$D$50*INDEX('Tariff Page'!$E$9:$E$30,MATCH($B25,'Tariff Page'!$B$9:$B$30,0)))*10</f>
        <v>58.403012923270701</v>
      </c>
      <c r="D25" s="145">
        <f>($D$47*INDEX('[17]Tariff Page'!$D$10:$D$29,MATCH($B25,'[17]Tariff Page'!$B$10:$B$29,0))+$D$48*INDEX('[17]Tariff Page'!$C$10:$C$29,MATCH($B25,'[17]Tariff Page'!$B$10:$B$29,0))+$D$49*INDEX('[17]Tariff Page'!$F$10:$F$29,MATCH($B25,'[17]Tariff Page'!$B$10:$B$29,0))+$D$50*INDEX('[17]Tariff Page'!$E$10:$E$29,MATCH($B25,'[17]Tariff Page'!$B$10:$B$29,0)))*10</f>
        <v>59.276723163841808</v>
      </c>
      <c r="E25" s="146">
        <f t="shared" si="0"/>
        <v>-0.87371024057110702</v>
      </c>
      <c r="F25" s="147">
        <f>($G$47*INDEX('Tariff Page Wind'!$D$9:$D$32,MATCH($B25,'Tariff Page Wind'!$B$9:$B$32,0))+$G$48*INDEX('Tariff Page Wind'!$C$9:$C$32,MATCH($B25,'Tariff Page Wind'!$B$9:$B$32,0))+$G$49*INDEX('Tariff Page Wind'!$F$9:$F$32,MATCH($B25,'Tariff Page Wind'!$B$9:$B$32,0))+$G$50*INDEX('Tariff Page Wind'!$E$9:$E$32,MATCH($B25,'Tariff Page Wind'!$B$9:$B$32,0)))*10</f>
        <v>67.034730673474471</v>
      </c>
      <c r="G25" s="145">
        <f>($G$47*INDEX('[17]Tariff Page Wind'!$D$10:$D$29,MATCH($B25,'[17]Tariff Page Wind'!$B$10:$B$29,0))+$G$48*INDEX('[17]Tariff Page Wind'!$C$10:$C$29,MATCH($B25,'[17]Tariff Page Wind'!$B$10:$B$29,0))+$G$49*INDEX('[17]Tariff Page Wind'!$F$10:$F$29,MATCH($B25,'[17]Tariff Page Wind'!$B$10:$B$29,0))+$G$50*INDEX('[17]Tariff Page Wind'!$E$10:$E$29,MATCH($B25,'[17]Tariff Page Wind'!$B$10:$B$29,0)))*10</f>
        <v>39.884474384033034</v>
      </c>
      <c r="H25" s="146">
        <f t="shared" si="1"/>
        <v>27.150256289441437</v>
      </c>
      <c r="I25" s="147">
        <f>($J$47*INDEX('Tariff Page Solar Fixed'!$D$9:$D$31,MATCH($B25,'Tariff Page Solar Fixed'!$B$9:$B$31,0))+$J$48*INDEX('Tariff Page Solar Fixed'!$C$9:$C$31,MATCH($B25,'Tariff Page Solar Fixed'!$B$9:$B$31,0))+$J$49*INDEX('Tariff Page Solar Fixed'!$F$9:$F$31,MATCH($B25,'Tariff Page Solar Fixed'!$B$9:$B$31,0))+$J$50*INDEX('Tariff Page Solar Fixed'!$E$9:$E$31,MATCH($B25,'Tariff Page Solar Fixed'!$B$9:$B$31,0)))*10</f>
        <v>39.620167399254086</v>
      </c>
      <c r="J25" s="145">
        <f>($J$47*INDEX('[17]Tariff Page Solar Fixed'!$D$10:$D$29,MATCH($B25,'[17]Tariff Page Solar Fixed'!$B$10:$B$29,0))+$J$48*INDEX('[17]Tariff Page Solar Fixed'!$C$10:$C$29,MATCH($B25,'[17]Tariff Page Solar Fixed'!$B$10:$B$29,0))+$J$49*INDEX('[17]Tariff Page Solar Fixed'!$F$10:$F$29,MATCH($B25,'[17]Tariff Page Solar Fixed'!$B$10:$B$29,0))+$J$50*INDEX('[17]Tariff Page Solar Fixed'!$E$10:$E$29,MATCH($B25,'[17]Tariff Page Solar Fixed'!$B$10:$B$29,0)))*10</f>
        <v>49.417022956495636</v>
      </c>
      <c r="K25" s="146">
        <f t="shared" si="2"/>
        <v>-9.7968555572415497</v>
      </c>
      <c r="L25" s="147">
        <f>($M$47*INDEX('Tariff Page Solar Tracking'!$D$9:$D$31,MATCH($B25,'Tariff Page Solar Tracking'!$B$9:$B$31,0))+$M$48*INDEX('Tariff Page Solar Tracking'!$C$9:$C$31,MATCH($B25,'Tariff Page Solar Tracking'!$B$9:$B$31,0))+$M$49*INDEX('Tariff Page Solar Tracking'!$F$9:$F$31,MATCH($B25,'Tariff Page Solar Tracking'!$B$9:$B$31,0))+$M$50*INDEX('Tariff Page Solar Tracking'!$E$9:$E$31,MATCH($B25,'Tariff Page Solar Tracking'!$B$9:$B$31,0)))*10</f>
        <v>40.147302212837197</v>
      </c>
      <c r="M25" s="145">
        <f>($M$47*INDEX('[17]Tariff Page Solar Tracking'!$D$10:$D$29,MATCH($B25,'[17]Tariff Page Solar Tracking'!$B$10:$B$29,0))+$M$48*INDEX('[17]Tariff Page Solar Tracking'!$C$10:$C$29,MATCH($B25,'[17]Tariff Page Solar Tracking'!$B$10:$B$29,0))+$M$49*INDEX('[17]Tariff Page Solar Tracking'!$F$10:$F$29,MATCH($B25,'[17]Tariff Page Solar Tracking'!$B$10:$B$29,0))+$M$50*INDEX('[17]Tariff Page Solar Tracking'!$E$10:$E$29,MATCH($B25,'[17]Tariff Page Solar Tracking'!$B$10:$B$29,0)))*10</f>
        <v>55.121489503429132</v>
      </c>
      <c r="N25" s="146">
        <f t="shared" si="3"/>
        <v>-14.974187290591935</v>
      </c>
      <c r="P25" s="198"/>
      <c r="S25" s="138"/>
    </row>
    <row r="26" spans="1:19" x14ac:dyDescent="0.2">
      <c r="B26" s="334">
        <f t="shared" si="4"/>
        <v>2032</v>
      </c>
      <c r="C26" s="145">
        <f>($D$47*INDEX('Tariff Page'!$D$9:$D$30,MATCH($B26,'Tariff Page'!$B$9:$B$30,0))+$D$48*INDEX('Tariff Page'!$C$9:$C$30,MATCH($B26,'Tariff Page'!$B$9:$B$30,0))+$D$49*INDEX('Tariff Page'!$F$9:$F$30,MATCH($B26,'Tariff Page'!$B$9:$B$30,0))+$D$50*INDEX('Tariff Page'!$E$9:$E$30,MATCH($B26,'Tariff Page'!$B$9:$B$30,0)))*10</f>
        <v>60.725974898320203</v>
      </c>
      <c r="D26" s="145">
        <f>($D$47*INDEX('[17]Tariff Page'!$D$10:$D$29,MATCH($B26,'[17]Tariff Page'!$B$10:$B$29,0))+$D$48*INDEX('[17]Tariff Page'!$C$10:$C$29,MATCH($B26,'[17]Tariff Page'!$B$10:$B$29,0))+$D$49*INDEX('[17]Tariff Page'!$F$10:$F$29,MATCH($B26,'[17]Tariff Page'!$B$10:$B$29,0))+$D$50*INDEX('[17]Tariff Page'!$E$10:$E$29,MATCH($B26,'[17]Tariff Page'!$B$10:$B$29,0)))*10</f>
        <v>61.64552542372882</v>
      </c>
      <c r="E26" s="146">
        <f t="shared" si="0"/>
        <v>-0.91955052540861715</v>
      </c>
      <c r="F26" s="147">
        <f>($G$47*INDEX('Tariff Page Wind'!$D$9:$D$32,MATCH($B26,'Tariff Page Wind'!$B$9:$B$32,0))+$G$48*INDEX('Tariff Page Wind'!$C$9:$C$32,MATCH($B26,'Tariff Page Wind'!$B$9:$B$32,0))+$G$49*INDEX('Tariff Page Wind'!$F$9:$F$32,MATCH($B26,'Tariff Page Wind'!$B$9:$B$32,0))+$G$50*INDEX('Tariff Page Wind'!$E$9:$E$32,MATCH($B26,'Tariff Page Wind'!$B$9:$B$32,0)))*10</f>
        <v>68.361323020197872</v>
      </c>
      <c r="G26" s="145">
        <f>($G$47*INDEX('[17]Tariff Page Wind'!$D$10:$D$29,MATCH($B26,'[17]Tariff Page Wind'!$B$10:$B$29,0))+$G$48*INDEX('[17]Tariff Page Wind'!$C$10:$C$29,MATCH($B26,'[17]Tariff Page Wind'!$B$10:$B$29,0))+$G$49*INDEX('[17]Tariff Page Wind'!$F$10:$F$29,MATCH($B26,'[17]Tariff Page Wind'!$B$10:$B$29,0))+$G$50*INDEX('[17]Tariff Page Wind'!$E$10:$E$29,MATCH($B26,'[17]Tariff Page Wind'!$B$10:$B$29,0)))*10</f>
        <v>41.786034454762031</v>
      </c>
      <c r="H26" s="146">
        <f t="shared" si="1"/>
        <v>26.575288565435841</v>
      </c>
      <c r="I26" s="147">
        <f>($J$47*INDEX('Tariff Page Solar Fixed'!$D$9:$D$31,MATCH($B26,'Tariff Page Solar Fixed'!$B$9:$B$31,0))+$J$48*INDEX('Tariff Page Solar Fixed'!$C$9:$C$31,MATCH($B26,'Tariff Page Solar Fixed'!$B$9:$B$31,0))+$J$49*INDEX('Tariff Page Solar Fixed'!$F$9:$F$31,MATCH($B26,'Tariff Page Solar Fixed'!$B$9:$B$31,0))+$J$50*INDEX('Tariff Page Solar Fixed'!$E$9:$E$31,MATCH($B26,'Tariff Page Solar Fixed'!$B$9:$B$31,0)))*10</f>
        <v>42.668079472750584</v>
      </c>
      <c r="J26" s="145">
        <f>($J$47*INDEX('[17]Tariff Page Solar Fixed'!$D$10:$D$29,MATCH($B26,'[17]Tariff Page Solar Fixed'!$B$10:$B$29,0))+$J$48*INDEX('[17]Tariff Page Solar Fixed'!$C$10:$C$29,MATCH($B26,'[17]Tariff Page Solar Fixed'!$B$10:$B$29,0))+$J$49*INDEX('[17]Tariff Page Solar Fixed'!$F$10:$F$29,MATCH($B26,'[17]Tariff Page Solar Fixed'!$B$10:$B$29,0))+$J$50*INDEX('[17]Tariff Page Solar Fixed'!$E$10:$E$29,MATCH($B26,'[17]Tariff Page Solar Fixed'!$B$10:$B$29,0)))*10</f>
        <v>51.551213106546143</v>
      </c>
      <c r="K26" s="146">
        <f t="shared" si="2"/>
        <v>-8.8831336337955591</v>
      </c>
      <c r="L26" s="147">
        <f>($M$47*INDEX('Tariff Page Solar Tracking'!$D$9:$D$31,MATCH($B26,'Tariff Page Solar Tracking'!$B$9:$B$31,0))+$M$48*INDEX('Tariff Page Solar Tracking'!$C$9:$C$31,MATCH($B26,'Tariff Page Solar Tracking'!$B$9:$B$31,0))+$M$49*INDEX('Tariff Page Solar Tracking'!$F$9:$F$31,MATCH($B26,'Tariff Page Solar Tracking'!$B$9:$B$31,0))+$M$50*INDEX('Tariff Page Solar Tracking'!$E$9:$E$31,MATCH($B26,'Tariff Page Solar Tracking'!$B$9:$B$31,0)))*10</f>
        <v>43.39418963690072</v>
      </c>
      <c r="M26" s="145">
        <f>($M$47*INDEX('[17]Tariff Page Solar Tracking'!$D$10:$D$29,MATCH($B26,'[17]Tariff Page Solar Tracking'!$B$10:$B$29,0))+$M$48*INDEX('[17]Tariff Page Solar Tracking'!$C$10:$C$29,MATCH($B26,'[17]Tariff Page Solar Tracking'!$B$10:$B$29,0))+$M$49*INDEX('[17]Tariff Page Solar Tracking'!$F$10:$F$29,MATCH($B26,'[17]Tariff Page Solar Tracking'!$B$10:$B$29,0))+$M$50*INDEX('[17]Tariff Page Solar Tracking'!$E$10:$E$29,MATCH($B26,'[17]Tariff Page Solar Tracking'!$B$10:$B$29,0)))*10</f>
        <v>57.389908409082089</v>
      </c>
      <c r="N26" s="146">
        <f t="shared" si="3"/>
        <v>-13.99571877218137</v>
      </c>
      <c r="P26" s="198"/>
      <c r="S26" s="138"/>
    </row>
    <row r="27" spans="1:19" x14ac:dyDescent="0.2">
      <c r="B27" s="334">
        <f t="shared" si="4"/>
        <v>2033</v>
      </c>
      <c r="C27" s="145">
        <f>($D$47*INDEX('Tariff Page'!$D$9:$D$30,MATCH($B27,'Tariff Page'!$B$9:$B$30,0))+$D$48*INDEX('Tariff Page'!$C$9:$C$30,MATCH($B27,'Tariff Page'!$B$9:$B$30,0))+$D$49*INDEX('Tariff Page'!$F$9:$F$30,MATCH($B27,'Tariff Page'!$B$9:$B$30,0))+$D$50*INDEX('Tariff Page'!$E$9:$E$30,MATCH($B27,'Tariff Page'!$B$9:$B$30,0)))*10</f>
        <v>63.869299956618377</v>
      </c>
      <c r="D27" s="145">
        <f>($D$47*INDEX('[17]Tariff Page'!$D$10:$D$29,MATCH($B27,'[17]Tariff Page'!$B$10:$B$29,0))+$D$48*INDEX('[17]Tariff Page'!$C$10:$C$29,MATCH($B27,'[17]Tariff Page'!$B$10:$B$29,0))+$D$49*INDEX('[17]Tariff Page'!$F$10:$F$29,MATCH($B27,'[17]Tariff Page'!$B$10:$B$29,0))+$D$50*INDEX('[17]Tariff Page'!$E$10:$E$29,MATCH($B27,'[17]Tariff Page'!$B$10:$B$29,0)))*10</f>
        <v>64.725536723163856</v>
      </c>
      <c r="E27" s="146">
        <f t="shared" si="0"/>
        <v>-0.85623676654547864</v>
      </c>
      <c r="F27" s="147">
        <f>($G$47*INDEX('Tariff Page Wind'!$D$9:$D$32,MATCH($B27,'Tariff Page Wind'!$B$9:$B$32,0))+$G$48*INDEX('Tariff Page Wind'!$C$9:$C$32,MATCH($B27,'Tariff Page Wind'!$B$9:$B$32,0))+$G$49*INDEX('Tariff Page Wind'!$F$9:$F$32,MATCH($B27,'Tariff Page Wind'!$B$9:$B$32,0))+$G$50*INDEX('Tariff Page Wind'!$E$9:$E$32,MATCH($B27,'Tariff Page Wind'!$B$9:$B$32,0)))*10</f>
        <v>72.593904392555132</v>
      </c>
      <c r="G27" s="145">
        <f>($G$47*INDEX('[17]Tariff Page Wind'!$D$10:$D$29,MATCH($B27,'[17]Tariff Page Wind'!$B$10:$B$29,0))+$G$48*INDEX('[17]Tariff Page Wind'!$C$10:$C$29,MATCH($B27,'[17]Tariff Page Wind'!$B$10:$B$29,0))+$G$49*INDEX('[17]Tariff Page Wind'!$F$10:$F$29,MATCH($B27,'[17]Tariff Page Wind'!$B$10:$B$29,0))+$G$50*INDEX('[17]Tariff Page Wind'!$E$10:$E$29,MATCH($B27,'[17]Tariff Page Wind'!$B$10:$B$29,0)))*10</f>
        <v>44.39759452549103</v>
      </c>
      <c r="H27" s="146">
        <f t="shared" si="1"/>
        <v>28.196309867064102</v>
      </c>
      <c r="I27" s="147">
        <f>($J$47*INDEX('Tariff Page Solar Fixed'!$D$9:$D$31,MATCH($B27,'Tariff Page Solar Fixed'!$B$9:$B$31,0))+$J$48*INDEX('Tariff Page Solar Fixed'!$C$9:$C$31,MATCH($B27,'Tariff Page Solar Fixed'!$B$9:$B$31,0))+$J$49*INDEX('Tariff Page Solar Fixed'!$F$9:$F$31,MATCH($B27,'Tariff Page Solar Fixed'!$B$9:$B$31,0))+$J$50*INDEX('Tariff Page Solar Fixed'!$E$9:$E$31,MATCH($B27,'Tariff Page Solar Fixed'!$B$9:$B$31,0)))*10</f>
        <v>71.765075123565424</v>
      </c>
      <c r="J27" s="145">
        <f>($J$47*INDEX('[17]Tariff Page Solar Fixed'!$D$10:$D$29,MATCH($B27,'[17]Tariff Page Solar Fixed'!$B$10:$B$29,0))+$J$48*INDEX('[17]Tariff Page Solar Fixed'!$C$10:$C$29,MATCH($B27,'[17]Tariff Page Solar Fixed'!$B$10:$B$29,0))+$J$49*INDEX('[17]Tariff Page Solar Fixed'!$F$10:$F$29,MATCH($B27,'[17]Tariff Page Solar Fixed'!$B$10:$B$29,0))+$J$50*INDEX('[17]Tariff Page Solar Fixed'!$E$10:$E$29,MATCH($B27,'[17]Tariff Page Solar Fixed'!$B$10:$B$29,0)))*10</f>
        <v>54.395403256596644</v>
      </c>
      <c r="K27" s="146">
        <f t="shared" si="2"/>
        <v>17.36967186696878</v>
      </c>
      <c r="L27" s="147">
        <f>($M$47*INDEX('Tariff Page Solar Tracking'!$D$9:$D$31,MATCH($B27,'Tariff Page Solar Tracking'!$B$9:$B$31,0))+$M$48*INDEX('Tariff Page Solar Tracking'!$C$9:$C$31,MATCH($B27,'Tariff Page Solar Tracking'!$B$9:$B$31,0))+$M$49*INDEX('Tariff Page Solar Tracking'!$F$9:$F$31,MATCH($B27,'Tariff Page Solar Tracking'!$B$9:$B$31,0))+$M$50*INDEX('Tariff Page Solar Tracking'!$E$9:$E$31,MATCH($B27,'Tariff Page Solar Tracking'!$B$9:$B$31,0)))*10</f>
        <v>82.141371159840503</v>
      </c>
      <c r="M27" s="145">
        <f>($M$47*INDEX('[17]Tariff Page Solar Tracking'!$D$10:$D$29,MATCH($B27,'[17]Tariff Page Solar Tracking'!$B$10:$B$29,0))+$M$48*INDEX('[17]Tariff Page Solar Tracking'!$C$10:$C$29,MATCH($B27,'[17]Tariff Page Solar Tracking'!$B$10:$B$29,0))+$M$49*INDEX('[17]Tariff Page Solar Tracking'!$F$10:$F$29,MATCH($B27,'[17]Tariff Page Solar Tracking'!$B$10:$B$29,0))+$M$50*INDEX('[17]Tariff Page Solar Tracking'!$E$10:$E$29,MATCH($B27,'[17]Tariff Page Solar Tracking'!$B$10:$B$29,0)))*10</f>
        <v>60.37622201106813</v>
      </c>
      <c r="N27" s="146">
        <f t="shared" si="3"/>
        <v>21.765149148772373</v>
      </c>
      <c r="P27" s="198"/>
      <c r="S27" s="138"/>
    </row>
    <row r="28" spans="1:19" x14ac:dyDescent="0.2">
      <c r="B28" s="334">
        <f t="shared" si="4"/>
        <v>2034</v>
      </c>
      <c r="C28" s="145">
        <f>($D$47*INDEX('Tariff Page'!$D$9:$D$30,MATCH($B28,'Tariff Page'!$B$9:$B$30,0))+$D$48*INDEX('Tariff Page'!$C$9:$C$30,MATCH($B28,'Tariff Page'!$B$9:$B$30,0))+$D$49*INDEX('Tariff Page'!$F$9:$F$30,MATCH($B28,'Tariff Page'!$B$9:$B$30,0))+$D$50*INDEX('Tariff Page'!$E$9:$E$30,MATCH($B28,'Tariff Page'!$B$9:$B$30,0)))*10</f>
        <v>66.240743028576816</v>
      </c>
      <c r="D28" s="145">
        <f>($D$47*INDEX('[17]Tariff Page'!$D$10:$D$29,MATCH($B28,'[17]Tariff Page'!$B$10:$B$29,0))+$D$48*INDEX('[17]Tariff Page'!$C$10:$C$29,MATCH($B28,'[17]Tariff Page'!$B$10:$B$29,0))+$D$49*INDEX('[17]Tariff Page'!$F$10:$F$29,MATCH($B28,'[17]Tariff Page'!$B$10:$B$29,0))+$D$50*INDEX('[17]Tariff Page'!$E$10:$E$29,MATCH($B28,'[17]Tariff Page'!$B$10:$B$29,0)))*10</f>
        <v>67.072361581920916</v>
      </c>
      <c r="E28" s="146">
        <f t="shared" si="0"/>
        <v>-0.83161855334410006</v>
      </c>
      <c r="F28" s="147">
        <f>($G$47*INDEX('Tariff Page Wind'!$D$9:$D$32,MATCH($B28,'Tariff Page Wind'!$B$9:$B$32,0))+$G$48*INDEX('Tariff Page Wind'!$C$9:$C$32,MATCH($B28,'Tariff Page Wind'!$B$9:$B$32,0))+$G$49*INDEX('Tariff Page Wind'!$F$9:$F$32,MATCH($B28,'Tariff Page Wind'!$B$9:$B$32,0))+$G$50*INDEX('Tariff Page Wind'!$E$9:$E$32,MATCH($B28,'Tariff Page Wind'!$B$9:$B$32,0)))*10</f>
        <v>76.113648123078178</v>
      </c>
      <c r="G28" s="145">
        <f>($G$47*INDEX('[17]Tariff Page Wind'!$D$10:$D$29,MATCH($B28,'[17]Tariff Page Wind'!$B$10:$B$29,0))+$G$48*INDEX('[17]Tariff Page Wind'!$C$10:$C$29,MATCH($B28,'[17]Tariff Page Wind'!$B$10:$B$29,0))+$G$49*INDEX('[17]Tariff Page Wind'!$F$10:$F$29,MATCH($B28,'[17]Tariff Page Wind'!$B$10:$B$29,0))+$G$50*INDEX('[17]Tariff Page Wind'!$E$10:$E$29,MATCH($B28,'[17]Tariff Page Wind'!$B$10:$B$29,0)))*10</f>
        <v>46.249154596220023</v>
      </c>
      <c r="H28" s="146">
        <f t="shared" si="1"/>
        <v>29.864493526858155</v>
      </c>
      <c r="I28" s="147">
        <f>($J$47*INDEX('Tariff Page Solar Fixed'!$D$9:$D$31,MATCH($B28,'Tariff Page Solar Fixed'!$B$9:$B$31,0))+$J$48*INDEX('Tariff Page Solar Fixed'!$C$9:$C$31,MATCH($B28,'Tariff Page Solar Fixed'!$B$9:$B$31,0))+$J$49*INDEX('Tariff Page Solar Fixed'!$F$9:$F$31,MATCH($B28,'Tariff Page Solar Fixed'!$B$9:$B$31,0))+$J$50*INDEX('Tariff Page Solar Fixed'!$E$9:$E$31,MATCH($B28,'Tariff Page Solar Fixed'!$B$9:$B$31,0)))*10</f>
        <v>74.510066360759794</v>
      </c>
      <c r="J28" s="145">
        <f>($J$47*INDEX('[17]Tariff Page Solar Fixed'!$D$10:$D$29,MATCH($B28,'[17]Tariff Page Solar Fixed'!$B$10:$B$29,0))+$J$48*INDEX('[17]Tariff Page Solar Fixed'!$C$10:$C$29,MATCH($B28,'[17]Tariff Page Solar Fixed'!$B$10:$B$29,0))+$J$49*INDEX('[17]Tariff Page Solar Fixed'!$F$10:$F$29,MATCH($B28,'[17]Tariff Page Solar Fixed'!$B$10:$B$29,0))+$J$50*INDEX('[17]Tariff Page Solar Fixed'!$E$10:$E$29,MATCH($B28,'[17]Tariff Page Solar Fixed'!$B$10:$B$29,0)))*10</f>
        <v>56.48631047429717</v>
      </c>
      <c r="K28" s="146">
        <f t="shared" si="2"/>
        <v>18.023755886462624</v>
      </c>
      <c r="L28" s="147">
        <f>($M$47*INDEX('Tariff Page Solar Tracking'!$D$9:$D$31,MATCH($B28,'Tariff Page Solar Tracking'!$B$9:$B$31,0))+$M$48*INDEX('Tariff Page Solar Tracking'!$C$9:$C$31,MATCH($B28,'Tariff Page Solar Tracking'!$B$9:$B$31,0))+$M$49*INDEX('Tariff Page Solar Tracking'!$F$9:$F$31,MATCH($B28,'Tariff Page Solar Tracking'!$B$9:$B$31,0))+$M$50*INDEX('Tariff Page Solar Tracking'!$E$9:$E$31,MATCH($B28,'Tariff Page Solar Tracking'!$B$9:$B$31,0)))*10</f>
        <v>84.656852121862002</v>
      </c>
      <c r="M28" s="145">
        <f>($M$47*INDEX('[17]Tariff Page Solar Tracking'!$D$10:$D$29,MATCH($B28,'[17]Tariff Page Solar Tracking'!$B$10:$B$29,0))+$M$48*INDEX('[17]Tariff Page Solar Tracking'!$C$10:$C$29,MATCH($B28,'[17]Tariff Page Solar Tracking'!$B$10:$B$29,0))+$M$49*INDEX('[17]Tariff Page Solar Tracking'!$F$10:$F$29,MATCH($B28,'[17]Tariff Page Solar Tracking'!$B$10:$B$29,0))+$M$50*INDEX('[17]Tariff Page Solar Tracking'!$E$10:$E$29,MATCH($B28,'[17]Tariff Page Solar Tracking'!$B$10:$B$29,0)))*10</f>
        <v>62.616219702053392</v>
      </c>
      <c r="N28" s="146">
        <f t="shared" si="3"/>
        <v>22.04063241980861</v>
      </c>
      <c r="O28" s="47"/>
      <c r="S28" s="138"/>
    </row>
    <row r="29" spans="1:19" x14ac:dyDescent="0.2">
      <c r="B29" s="334">
        <v>2035</v>
      </c>
      <c r="C29" s="145">
        <f>($D$47*INDEX('Tariff Page'!$D$9:$D$30,MATCH($B29,'Tariff Page'!$B$9:$B$30,0))+$D$48*INDEX('Tariff Page'!$C$9:$C$30,MATCH($B29,'Tariff Page'!$B$9:$B$30,0))+$D$49*INDEX('Tariff Page'!$F$9:$F$30,MATCH($B29,'Tariff Page'!$B$9:$B$30,0))+$D$50*INDEX('Tariff Page'!$E$9:$E$30,MATCH($B29,'Tariff Page'!$B$9:$B$30,0)))*10</f>
        <v>68.716783907761382</v>
      </c>
      <c r="D29" s="145">
        <f>($D$47*INDEX('[17]Tariff Page'!$D$10:$D$29,MATCH($B29,'[17]Tariff Page'!$B$10:$B$29,0))+$D$48*INDEX('[17]Tariff Page'!$C$10:$C$29,MATCH($B29,'[17]Tariff Page'!$B$10:$B$29,0))+$D$49*INDEX('[17]Tariff Page'!$F$10:$F$29,MATCH($B29,'[17]Tariff Page'!$B$10:$B$29,0))+$D$50*INDEX('[17]Tariff Page'!$E$10:$E$29,MATCH($B29,'[17]Tariff Page'!$B$10:$B$29,0)))*10</f>
        <v>69.490395480225985</v>
      </c>
      <c r="E29" s="146">
        <f t="shared" si="0"/>
        <v>-0.77361157246460266</v>
      </c>
      <c r="F29" s="147">
        <f>($G$47*INDEX('Tariff Page Wind'!$D$9:$D$32,MATCH($B29,'Tariff Page Wind'!$B$9:$B$32,0))+$G$48*INDEX('Tariff Page Wind'!$C$9:$C$32,MATCH($B29,'Tariff Page Wind'!$B$9:$B$32,0))+$G$49*INDEX('Tariff Page Wind'!$F$9:$F$32,MATCH($B29,'Tariff Page Wind'!$B$9:$B$32,0))+$G$50*INDEX('Tariff Page Wind'!$E$9:$E$32,MATCH($B29,'Tariff Page Wind'!$B$9:$B$32,0)))*10</f>
        <v>76.666247734380164</v>
      </c>
      <c r="G29" s="145">
        <f>($G$47*INDEX('[17]Tariff Page Wind'!$D$10:$D$29,MATCH($B29,'[17]Tariff Page Wind'!$B$10:$B$29,0))+$G$48*INDEX('[17]Tariff Page Wind'!$C$10:$C$29,MATCH($B29,'[17]Tariff Page Wind'!$B$10:$B$29,0))+$G$49*INDEX('[17]Tariff Page Wind'!$F$10:$F$29,MATCH($B29,'[17]Tariff Page Wind'!$B$10:$B$29,0))+$G$50*INDEX('[17]Tariff Page Wind'!$E$10:$E$29,MATCH($B29,'[17]Tariff Page Wind'!$B$10:$B$29,0)))*10</f>
        <v>48.168080391338876</v>
      </c>
      <c r="H29" s="146">
        <f t="shared" si="1"/>
        <v>28.498167343041288</v>
      </c>
      <c r="I29" s="147">
        <f>($J$47*INDEX('Tariff Page Solar Fixed'!$D$9:$D$31,MATCH($B29,'Tariff Page Solar Fixed'!$B$9:$B$31,0))+$J$48*INDEX('Tariff Page Solar Fixed'!$C$9:$C$31,MATCH($B29,'Tariff Page Solar Fixed'!$B$9:$B$31,0))+$J$49*INDEX('Tariff Page Solar Fixed'!$F$9:$F$31,MATCH($B29,'Tariff Page Solar Fixed'!$B$9:$B$31,0))+$J$50*INDEX('Tariff Page Solar Fixed'!$E$9:$E$31,MATCH($B29,'Tariff Page Solar Fixed'!$B$9:$B$31,0)))*10</f>
        <v>76.882735495422608</v>
      </c>
      <c r="J29" s="145">
        <f>($J$47*INDEX('[17]Tariff Page Solar Fixed'!$D$10:$D$29,MATCH($B29,'[17]Tariff Page Solar Fixed'!$B$10:$B$29,0))+$J$48*INDEX('[17]Tariff Page Solar Fixed'!$C$10:$C$29,MATCH($B29,'[17]Tariff Page Solar Fixed'!$B$10:$B$29,0))+$J$49*INDEX('[17]Tariff Page Solar Fixed'!$F$10:$F$29,MATCH($B29,'[17]Tariff Page Solar Fixed'!$B$10:$B$29,0))+$J$50*INDEX('[17]Tariff Page Solar Fixed'!$E$10:$E$29,MATCH($B29,'[17]Tariff Page Solar Fixed'!$B$10:$B$29,0)))*10</f>
        <v>58.647217691997717</v>
      </c>
      <c r="K29" s="146">
        <f t="shared" si="2"/>
        <v>18.235517803424891</v>
      </c>
      <c r="L29" s="147">
        <f>($M$47*INDEX('Tariff Page Solar Tracking'!$D$9:$D$31,MATCH($B29,'Tariff Page Solar Tracking'!$B$9:$B$31,0))+$M$48*INDEX('Tariff Page Solar Tracking'!$C$9:$C$31,MATCH($B29,'Tariff Page Solar Tracking'!$B$9:$B$31,0))+$M$49*INDEX('Tariff Page Solar Tracking'!$F$9:$F$31,MATCH($B29,'Tariff Page Solar Tracking'!$B$9:$B$31,0))+$M$50*INDEX('Tariff Page Solar Tracking'!$E$9:$E$31,MATCH($B29,'Tariff Page Solar Tracking'!$B$9:$B$31,0)))*10</f>
        <v>87.046227639858927</v>
      </c>
      <c r="M29" s="145">
        <f>($M$47*INDEX('[17]Tariff Page Solar Tracking'!$D$10:$D$29,MATCH($B29,'[17]Tariff Page Solar Tracking'!$B$10:$B$29,0))+$M$48*INDEX('[17]Tariff Page Solar Tracking'!$C$10:$C$29,MATCH($B29,'[17]Tariff Page Solar Tracking'!$B$10:$B$29,0))+$M$49*INDEX('[17]Tariff Page Solar Tracking'!$F$10:$F$29,MATCH($B29,'[17]Tariff Page Solar Tracking'!$B$10:$B$29,0))+$M$50*INDEX('[17]Tariff Page Solar Tracking'!$E$10:$E$29,MATCH($B29,'[17]Tariff Page Solar Tracking'!$B$10:$B$29,0)))*10</f>
        <v>64.926217393038655</v>
      </c>
      <c r="N29" s="146">
        <f t="shared" si="3"/>
        <v>22.120010246820272</v>
      </c>
      <c r="O29" s="47"/>
      <c r="S29" s="138"/>
    </row>
    <row r="30" spans="1:19" x14ac:dyDescent="0.2">
      <c r="A30" s="47"/>
      <c r="B30" s="337">
        <v>2036</v>
      </c>
      <c r="C30" s="338">
        <f>($D$47*INDEX('Tariff Page'!$D$9:$D$30,MATCH($B30,'Tariff Page'!$B$9:$B$30,0))+$D$48*INDEX('Tariff Page'!$C$9:$C$30,MATCH($B30,'Tariff Page'!$B$9:$B$30,0))+$D$49*INDEX('Tariff Page'!$F$9:$F$30,MATCH($B30,'Tariff Page'!$B$9:$B$30,0))+$D$50*INDEX('Tariff Page'!$E$9:$E$30,MATCH($B30,'Tariff Page'!$B$9:$B$30,0)))*10</f>
        <v>72.333365987182191</v>
      </c>
      <c r="D30" s="338">
        <f>($D$47*INDEX('[17]Tariff Page'!$D$10:$D$29,MATCH($B30,'[17]Tariff Page'!$B$10:$B$29,0))+$D$48*INDEX('[17]Tariff Page'!$C$10:$C$29,MATCH($B30,'[17]Tariff Page'!$B$10:$B$29,0))+$D$49*INDEX('[17]Tariff Page'!$F$10:$F$29,MATCH($B30,'[17]Tariff Page'!$B$10:$B$29,0))+$D$50*INDEX('[17]Tariff Page'!$E$10:$E$29,MATCH($B30,'[17]Tariff Page'!$B$10:$B$29,0)))*10</f>
        <v>73.465242937853105</v>
      </c>
      <c r="E30" s="339">
        <f t="shared" ref="E30" si="5">C30-D30</f>
        <v>-1.1318769506709145</v>
      </c>
      <c r="F30" s="340">
        <f>($G$47*INDEX('Tariff Page Wind'!$D$9:$D$32,MATCH($B30,'Tariff Page Wind'!$B$9:$B$32,0))+$G$48*INDEX('Tariff Page Wind'!$C$9:$C$32,MATCH($B30,'Tariff Page Wind'!$B$9:$B$32,0))+$G$49*INDEX('Tariff Page Wind'!$F$9:$F$32,MATCH($B30,'Tariff Page Wind'!$B$9:$B$32,0))+$G$50*INDEX('Tariff Page Wind'!$E$9:$E$32,MATCH($B30,'Tariff Page Wind'!$B$9:$B$32,0)))*10</f>
        <v>76.959635163871496</v>
      </c>
      <c r="G30" s="338">
        <f>($G$47*INDEX('[17]Tariff Page Wind'!$D$10:$D$29,MATCH($B30,'[17]Tariff Page Wind'!$B$10:$B$29,0))+$G$48*INDEX('[17]Tariff Page Wind'!$C$10:$C$29,MATCH($B30,'[17]Tariff Page Wind'!$B$10:$B$29,0))+$G$49*INDEX('[17]Tariff Page Wind'!$F$10:$F$29,MATCH($B30,'[17]Tariff Page Wind'!$B$10:$B$29,0))+$G$50*INDEX('[17]Tariff Page Wind'!$E$10:$E$29,MATCH($B30,'[17]Tariff Page Wind'!$B$10:$B$29,0)))*10</f>
        <v>51.617006186457729</v>
      </c>
      <c r="H30" s="339">
        <f t="shared" ref="H30" si="6">F30-G30</f>
        <v>25.342628977413767</v>
      </c>
      <c r="I30" s="340">
        <f>($J$47*INDEX('Tariff Page Solar Fixed'!$D$9:$D$31,MATCH($B30,'Tariff Page Solar Fixed'!$B$9:$B$31,0))+$J$48*INDEX('Tariff Page Solar Fixed'!$C$9:$C$31,MATCH($B30,'Tariff Page Solar Fixed'!$B$9:$B$31,0))+$J$49*INDEX('Tariff Page Solar Fixed'!$F$9:$F$31,MATCH($B30,'Tariff Page Solar Fixed'!$B$9:$B$31,0))+$J$50*INDEX('Tariff Page Solar Fixed'!$E$9:$E$31,MATCH($B30,'Tariff Page Solar Fixed'!$B$9:$B$31,0)))*10</f>
        <v>79.736871039777213</v>
      </c>
      <c r="J30" s="338">
        <f>($J$47*INDEX('[17]Tariff Page Solar Fixed'!$D$10:$D$29,MATCH($B30,'[17]Tariff Page Solar Fixed'!$B$10:$B$29,0))+$J$48*INDEX('[17]Tariff Page Solar Fixed'!$C$10:$C$29,MATCH($B30,'[17]Tariff Page Solar Fixed'!$B$10:$B$29,0))+$J$49*INDEX('[17]Tariff Page Solar Fixed'!$F$10:$F$29,MATCH($B30,'[17]Tariff Page Solar Fixed'!$B$10:$B$29,0))+$J$50*INDEX('[17]Tariff Page Solar Fixed'!$E$10:$E$29,MATCH($B30,'[17]Tariff Page Solar Fixed'!$B$10:$B$29,0)))*10</f>
        <v>62.35648344352326</v>
      </c>
      <c r="K30" s="339">
        <f t="shared" ref="K30" si="7">I30-J30</f>
        <v>17.380387596253954</v>
      </c>
      <c r="L30" s="340">
        <f>($M$47*INDEX('Tariff Page Solar Tracking'!$D$9:$D$31,MATCH($B30,'Tariff Page Solar Tracking'!$B$9:$B$31,0))+$M$48*INDEX('Tariff Page Solar Tracking'!$C$9:$C$31,MATCH($B30,'Tariff Page Solar Tracking'!$B$9:$B$31,0))+$M$49*INDEX('Tariff Page Solar Tracking'!$F$9:$F$31,MATCH($B30,'Tariff Page Solar Tracking'!$B$9:$B$31,0))+$M$50*INDEX('Tariff Page Solar Tracking'!$E$9:$E$31,MATCH($B30,'Tariff Page Solar Tracking'!$B$9:$B$31,0)))*10</f>
        <v>89.333040708489705</v>
      </c>
      <c r="M30" s="338">
        <f>($M$47*INDEX('[17]Tariff Page Solar Tracking'!$D$10:$D$29,MATCH($B30,'[17]Tariff Page Solar Tracking'!$B$10:$B$29,0))+$M$48*INDEX('[17]Tariff Page Solar Tracking'!$C$10:$C$29,MATCH($B30,'[17]Tariff Page Solar Tracking'!$B$10:$B$29,0))+$M$49*INDEX('[17]Tariff Page Solar Tracking'!$F$10:$F$29,MATCH($B30,'[17]Tariff Page Solar Tracking'!$B$10:$B$29,0))+$M$50*INDEX('[17]Tariff Page Solar Tracking'!$E$10:$E$29,MATCH($B30,'[17]Tariff Page Solar Tracking'!$B$10:$B$29,0)))*10</f>
        <v>68.784109780356999</v>
      </c>
      <c r="N30" s="339">
        <f t="shared" ref="N30" si="8">L30-M30</f>
        <v>20.548930928132705</v>
      </c>
      <c r="O30" s="47"/>
      <c r="S30" s="138"/>
    </row>
    <row r="31" spans="1:19" x14ac:dyDescent="0.2">
      <c r="A31" s="47"/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47"/>
      <c r="S31" s="138"/>
    </row>
    <row r="32" spans="1:19" x14ac:dyDescent="0.2">
      <c r="A32" s="47"/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47"/>
    </row>
    <row r="33" spans="1:22" x14ac:dyDescent="0.2">
      <c r="A33" s="47"/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47"/>
    </row>
    <row r="34" spans="1:22" x14ac:dyDescent="0.2">
      <c r="A34" s="47"/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47"/>
    </row>
    <row r="35" spans="1:22" x14ac:dyDescent="0.2">
      <c r="A35" s="47"/>
      <c r="B35" t="s">
        <v>236</v>
      </c>
      <c r="C35" s="341"/>
      <c r="D35" s="47"/>
      <c r="E35" s="47"/>
      <c r="F35" s="341"/>
      <c r="G35" s="47"/>
      <c r="H35" s="47"/>
      <c r="I35" s="341"/>
      <c r="J35" s="47"/>
      <c r="K35" s="47"/>
      <c r="L35" s="341"/>
      <c r="M35" s="47"/>
      <c r="N35" s="47"/>
      <c r="O35" s="47"/>
    </row>
    <row r="36" spans="1:22" x14ac:dyDescent="0.2">
      <c r="A36" s="47"/>
      <c r="B36" s="342" t="str">
        <f>"15 Year ("&amp;B12&amp;" to "&amp;B26&amp;") Levelized Prices (Nominal) @ "&amp;TEXT($P$37,"?.000%")&amp;" Discount Rate"</f>
        <v>15 Year (2018 to 2032) Levelized Prices (Nominal) @ 6.570% Discount Rate</v>
      </c>
      <c r="C36" s="341"/>
      <c r="D36" s="47"/>
      <c r="E36" s="47"/>
      <c r="F36" s="341"/>
      <c r="G36" s="47"/>
      <c r="H36" s="47"/>
      <c r="I36" s="341"/>
      <c r="J36" s="47"/>
      <c r="K36" s="47"/>
      <c r="L36" s="341"/>
      <c r="M36" s="47"/>
      <c r="N36" s="47"/>
      <c r="O36" s="335"/>
      <c r="P36" s="18" t="s">
        <v>116</v>
      </c>
    </row>
    <row r="37" spans="1:22" x14ac:dyDescent="0.2">
      <c r="A37" s="47"/>
      <c r="B37" s="343" t="s">
        <v>8</v>
      </c>
      <c r="C37" s="145">
        <f t="shared" ref="C37:N37" si="9">-PMT($P$37,COUNT(C12:C26),NPV($P$37,C12:C26))</f>
        <v>27.252273004112801</v>
      </c>
      <c r="D37" s="145">
        <f t="shared" si="9"/>
        <v>29.487879381066257</v>
      </c>
      <c r="E37" s="146">
        <f t="shared" si="9"/>
        <v>-2.2356063769534527</v>
      </c>
      <c r="F37" s="145">
        <f>-PMT($P$37,COUNT(F12:F26),NPV($P$37,F12:F26))</f>
        <v>25.916945479773076</v>
      </c>
      <c r="G37" s="145">
        <f t="shared" si="9"/>
        <v>24.845827039988972</v>
      </c>
      <c r="H37" s="146">
        <f t="shared" si="9"/>
        <v>1.0711184397840987</v>
      </c>
      <c r="I37" s="145">
        <f t="shared" si="9"/>
        <v>22.65335544994057</v>
      </c>
      <c r="J37" s="145">
        <f t="shared" si="9"/>
        <v>28.21337375527181</v>
      </c>
      <c r="K37" s="146">
        <f t="shared" si="9"/>
        <v>-5.5600183053312335</v>
      </c>
      <c r="L37" s="145">
        <f t="shared" si="9"/>
        <v>22.851183103335377</v>
      </c>
      <c r="M37" s="145">
        <f t="shared" si="9"/>
        <v>29.216379563135515</v>
      </c>
      <c r="N37" s="146">
        <f t="shared" si="9"/>
        <v>-6.3651964598001385</v>
      </c>
      <c r="O37" s="151"/>
      <c r="P37" s="27">
        <v>6.5699999999999995E-2</v>
      </c>
    </row>
    <row r="38" spans="1:22" hidden="1" x14ac:dyDescent="0.2">
      <c r="B38" s="150"/>
      <c r="C38" s="145"/>
      <c r="D38" s="145"/>
      <c r="E38" s="146"/>
      <c r="F38" s="145"/>
      <c r="G38" s="145"/>
      <c r="H38" s="146"/>
      <c r="I38" s="145"/>
      <c r="J38" s="145"/>
      <c r="K38" s="146"/>
      <c r="L38" s="145"/>
      <c r="M38" s="145"/>
      <c r="N38" s="146"/>
      <c r="O38" s="151"/>
      <c r="P38" s="27"/>
    </row>
    <row r="39" spans="1:22" hidden="1" x14ac:dyDescent="0.2">
      <c r="B39" s="92" t="str">
        <f>"15 Year ("&amp;B13&amp;" to "&amp;B27&amp;") Levelized Prices (Nominal) @ "&amp;TEXT($P$37,"?.000%")&amp;" Discount Rate"</f>
        <v>15 Year (2019 to 2033) Levelized Prices (Nominal) @ 6.570% Discount Rate</v>
      </c>
      <c r="C39" s="129"/>
      <c r="F39" s="129"/>
      <c r="I39" s="129"/>
      <c r="L39" s="129"/>
      <c r="O39" s="149"/>
      <c r="P39" s="18"/>
    </row>
    <row r="40" spans="1:22" hidden="1" x14ac:dyDescent="0.2">
      <c r="B40" s="150" t="s">
        <v>8</v>
      </c>
      <c r="C40" s="145">
        <f t="shared" ref="C40:N40" si="10">-PMT($P$37,COUNT(C13:C27),NPV($P$37,C13:C27))</f>
        <v>29.526914406432208</v>
      </c>
      <c r="D40" s="145">
        <f t="shared" si="10"/>
        <v>31.90914225631062</v>
      </c>
      <c r="E40" s="146">
        <f t="shared" si="10"/>
        <v>-2.3822278498784151</v>
      </c>
      <c r="F40" s="145">
        <f t="shared" si="10"/>
        <v>28.665903485159927</v>
      </c>
      <c r="G40" s="145">
        <f t="shared" si="10"/>
        <v>26.275243529744948</v>
      </c>
      <c r="H40" s="146">
        <f t="shared" si="10"/>
        <v>2.3906599554149861</v>
      </c>
      <c r="I40" s="145">
        <f t="shared" si="10"/>
        <v>25.000862031780915</v>
      </c>
      <c r="J40" s="145">
        <f t="shared" si="10"/>
        <v>30.089557836521276</v>
      </c>
      <c r="K40" s="146">
        <f t="shared" si="10"/>
        <v>-5.0886958047403645</v>
      </c>
      <c r="L40" s="145">
        <f t="shared" si="10"/>
        <v>25.664328735020227</v>
      </c>
      <c r="M40" s="145">
        <f t="shared" si="10"/>
        <v>31.427678411837469</v>
      </c>
      <c r="N40" s="146">
        <f t="shared" si="10"/>
        <v>-5.763349676817251</v>
      </c>
    </row>
    <row r="41" spans="1:22" hidden="1" x14ac:dyDescent="0.2">
      <c r="B41" s="150"/>
      <c r="C41" s="145"/>
      <c r="D41" s="145"/>
      <c r="E41" s="146"/>
      <c r="F41" s="145"/>
      <c r="G41" s="145"/>
      <c r="H41" s="146"/>
      <c r="I41" s="145"/>
      <c r="J41" s="145"/>
      <c r="K41" s="146"/>
      <c r="L41" s="145"/>
      <c r="M41" s="145"/>
      <c r="N41" s="146"/>
    </row>
    <row r="42" spans="1:22" hidden="1" x14ac:dyDescent="0.2">
      <c r="B42" s="92" t="str">
        <f>"15 Year ("&amp;B14&amp;" to "&amp;B28&amp;") Levelized Prices (Nominal) @ "&amp;TEXT($P$37,"?.000%")&amp;" Discount Rate"</f>
        <v>15 Year (2020 to 2034) Levelized Prices (Nominal) @ 6.570% Discount Rate</v>
      </c>
      <c r="C42" s="129"/>
      <c r="F42" s="129"/>
      <c r="I42" s="129"/>
      <c r="L42" s="129"/>
      <c r="O42" s="149"/>
      <c r="P42" s="18"/>
    </row>
    <row r="43" spans="1:22" hidden="1" x14ac:dyDescent="0.2">
      <c r="B43" s="150" t="s">
        <v>8</v>
      </c>
      <c r="C43" s="146">
        <f t="shared" ref="C43:N43" si="11">-PMT($P$37,COUNT(C14:C28),NPV($P$37,C14:C28))</f>
        <v>32.173801107383476</v>
      </c>
      <c r="D43" s="146">
        <f t="shared" si="11"/>
        <v>34.671819068623371</v>
      </c>
      <c r="E43" s="146">
        <f t="shared" si="11"/>
        <v>-2.4980179612399072</v>
      </c>
      <c r="F43" s="146">
        <f t="shared" si="11"/>
        <v>31.896722273679377</v>
      </c>
      <c r="G43" s="146">
        <f t="shared" si="11"/>
        <v>27.972185560702986</v>
      </c>
      <c r="H43" s="146">
        <f t="shared" si="11"/>
        <v>3.9245367129763888</v>
      </c>
      <c r="I43" s="146">
        <f t="shared" si="11"/>
        <v>27.81272130431395</v>
      </c>
      <c r="J43" s="146">
        <f t="shared" si="11"/>
        <v>32.212613170381687</v>
      </c>
      <c r="K43" s="146">
        <f t="shared" si="11"/>
        <v>-4.3998918660677306</v>
      </c>
      <c r="L43" s="146">
        <f t="shared" si="11"/>
        <v>28.942044286618078</v>
      </c>
      <c r="M43" s="146">
        <f t="shared" si="11"/>
        <v>33.898772765508348</v>
      </c>
      <c r="N43" s="146">
        <f t="shared" si="11"/>
        <v>-4.9567284788902688</v>
      </c>
    </row>
    <row r="44" spans="1:22" x14ac:dyDescent="0.2">
      <c r="B44" s="150"/>
    </row>
    <row r="45" spans="1:22" x14ac:dyDescent="0.2">
      <c r="B45"/>
      <c r="C45"/>
      <c r="D45"/>
      <c r="E45"/>
      <c r="F45" s="79"/>
      <c r="G45"/>
      <c r="H45"/>
      <c r="I45" s="79"/>
      <c r="J45"/>
      <c r="K45"/>
      <c r="L45" s="79"/>
      <c r="M45"/>
      <c r="N45"/>
    </row>
    <row r="46" spans="1:22" x14ac:dyDescent="0.2">
      <c r="B46"/>
      <c r="C46"/>
      <c r="D46" t="s">
        <v>61</v>
      </c>
      <c r="E46"/>
      <c r="F46" s="79"/>
      <c r="G46" s="374" t="s">
        <v>62</v>
      </c>
      <c r="I46" s="79"/>
      <c r="J46" s="374" t="s">
        <v>102</v>
      </c>
      <c r="L46" s="80"/>
      <c r="M46" s="374" t="s">
        <v>103</v>
      </c>
      <c r="O46" s="152"/>
      <c r="P46" s="152"/>
      <c r="Q46" s="152"/>
      <c r="R46" s="152"/>
      <c r="S46" s="153"/>
      <c r="T46" s="153"/>
      <c r="U46" s="153"/>
      <c r="V46" s="153"/>
    </row>
    <row r="47" spans="1:22" x14ac:dyDescent="0.2">
      <c r="B47" s="66" t="s">
        <v>57</v>
      </c>
      <c r="C47" s="66"/>
      <c r="D47" s="48">
        <f>'OFPC Source'!$AN$19</f>
        <v>0.18722294654498045</v>
      </c>
      <c r="E47" s="48"/>
      <c r="F47" s="80"/>
      <c r="G47" s="170">
        <v>0.12623449640840365</v>
      </c>
      <c r="H47" s="48"/>
      <c r="I47" s="80"/>
      <c r="J47" s="170">
        <v>0.31113275152605013</v>
      </c>
      <c r="K47" s="48"/>
      <c r="L47" s="80"/>
      <c r="M47" s="170">
        <v>0.32920509548889204</v>
      </c>
      <c r="N47" s="48"/>
    </row>
    <row r="48" spans="1:22" x14ac:dyDescent="0.2">
      <c r="B48" s="66" t="s">
        <v>58</v>
      </c>
      <c r="C48" s="66"/>
      <c r="D48" s="48">
        <f>'OFPC Source'!$AN$20</f>
        <v>0.3732290308561495</v>
      </c>
      <c r="E48" s="48"/>
      <c r="F48" s="80"/>
      <c r="G48" s="170">
        <v>0.24205172308442247</v>
      </c>
      <c r="H48" s="48"/>
      <c r="I48" s="80"/>
      <c r="J48" s="170">
        <v>0.52472063097542176</v>
      </c>
      <c r="K48" s="48"/>
      <c r="L48" s="80"/>
      <c r="M48" s="170">
        <v>0.46026453781858651</v>
      </c>
      <c r="N48" s="48"/>
    </row>
    <row r="49" spans="2:14" x14ac:dyDescent="0.2">
      <c r="B49" s="66" t="s">
        <v>59</v>
      </c>
      <c r="C49" s="66"/>
      <c r="D49" s="48">
        <f>'OFPC Source'!$AN$21</f>
        <v>0.1468057366362451</v>
      </c>
      <c r="E49" s="48"/>
      <c r="F49" s="80"/>
      <c r="G49" s="170">
        <v>0.24648094053086955</v>
      </c>
      <c r="H49" s="48"/>
      <c r="I49" s="80"/>
      <c r="J49" s="170">
        <v>6.5066986914763897E-2</v>
      </c>
      <c r="K49" s="48"/>
      <c r="L49" s="80"/>
      <c r="M49" s="170">
        <v>0.10285010302070161</v>
      </c>
      <c r="N49" s="48"/>
    </row>
    <row r="50" spans="2:14" x14ac:dyDescent="0.2">
      <c r="B50" s="66" t="s">
        <v>60</v>
      </c>
      <c r="C50" s="66"/>
      <c r="D50" s="48">
        <f>'OFPC Source'!$AN$22</f>
        <v>0.29274228596262497</v>
      </c>
      <c r="E50" s="48"/>
      <c r="F50" s="80"/>
      <c r="G50" s="170">
        <v>0.38523283997630436</v>
      </c>
      <c r="H50" s="66"/>
      <c r="I50" s="80"/>
      <c r="J50" s="170">
        <v>9.9079630583764081E-2</v>
      </c>
      <c r="K50" s="66"/>
      <c r="L50" s="80"/>
      <c r="M50" s="170">
        <v>0.10768026367181986</v>
      </c>
      <c r="N50" s="66"/>
    </row>
    <row r="51" spans="2:14" x14ac:dyDescent="0.2">
      <c r="B51"/>
      <c r="C51"/>
      <c r="D51"/>
      <c r="E51"/>
      <c r="F51" s="79"/>
      <c r="G51"/>
      <c r="H51"/>
      <c r="I51" s="79"/>
      <c r="J51"/>
      <c r="K51"/>
      <c r="L51" s="79"/>
      <c r="M51"/>
      <c r="N51"/>
    </row>
    <row r="53" spans="2:14" x14ac:dyDescent="0.2">
      <c r="F53" s="154"/>
      <c r="I53" s="154"/>
      <c r="J53" s="154"/>
      <c r="K53" s="154"/>
      <c r="L53" s="154"/>
    </row>
    <row r="58" spans="2:14" ht="24.75" customHeight="1" x14ac:dyDescent="0.2"/>
  </sheetData>
  <phoneticPr fontId="9" type="noConversion"/>
  <printOptions horizontalCentered="1"/>
  <pageMargins left="0.25" right="0.25" top="0.75" bottom="0.75" header="0.3" footer="0.3"/>
  <pageSetup scale="51" orientation="portrait" r:id="rId1"/>
  <headerFooter alignWithMargins="0">
    <oddFooter>&amp;L&amp;8NPC Group -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37"/>
  <sheetViews>
    <sheetView view="pageBreakPreview" zoomScale="60" zoomScaleNormal="100" workbookViewId="0">
      <selection activeCell="C103" sqref="C103"/>
    </sheetView>
  </sheetViews>
  <sheetFormatPr defaultRowHeight="12.75" x14ac:dyDescent="0.2"/>
  <cols>
    <col min="1" max="1" width="2" style="17" customWidth="1"/>
    <col min="2" max="2" width="24.5" style="17" customWidth="1"/>
    <col min="3" max="4" width="19.6640625" style="17" customWidth="1"/>
    <col min="5" max="5" width="2.1640625" style="17" customWidth="1"/>
    <col min="6" max="16384" width="9.33203125" style="17"/>
  </cols>
  <sheetData>
    <row r="1" spans="2:4" ht="15.75" x14ac:dyDescent="0.25">
      <c r="B1" s="7" t="s">
        <v>7</v>
      </c>
      <c r="C1" s="10"/>
      <c r="D1" s="10"/>
    </row>
    <row r="2" spans="2:4" ht="15.75" x14ac:dyDescent="0.25">
      <c r="B2" s="7" t="s">
        <v>19</v>
      </c>
      <c r="C2" s="10"/>
      <c r="D2" s="10"/>
    </row>
    <row r="3" spans="2:4" ht="15.75" x14ac:dyDescent="0.25">
      <c r="B3" s="7" t="s">
        <v>9</v>
      </c>
      <c r="C3" s="20"/>
      <c r="D3" s="20"/>
    </row>
    <row r="4" spans="2:4" ht="15.75" x14ac:dyDescent="0.25">
      <c r="B4" s="194"/>
      <c r="C4" s="20"/>
      <c r="D4" s="195"/>
    </row>
    <row r="5" spans="2:4" x14ac:dyDescent="0.2">
      <c r="B5" s="8"/>
      <c r="C5" s="8"/>
      <c r="D5" s="8"/>
    </row>
    <row r="6" spans="2:4" x14ac:dyDescent="0.2">
      <c r="B6" s="12" t="s">
        <v>0</v>
      </c>
      <c r="C6" s="12" t="str">
        <f>'OFPC Source'!D249</f>
        <v>Pacific NW</v>
      </c>
      <c r="D6" s="12" t="str">
        <f>'OFPC Source'!C249</f>
        <v>IRP - Wyo NE</v>
      </c>
    </row>
    <row r="7" spans="2:4" x14ac:dyDescent="0.2">
      <c r="B7" s="21"/>
      <c r="C7" s="13"/>
      <c r="D7" s="13"/>
    </row>
    <row r="8" spans="2:4" x14ac:dyDescent="0.2">
      <c r="C8" s="26" t="s">
        <v>2</v>
      </c>
      <c r="D8" s="26" t="s">
        <v>3</v>
      </c>
    </row>
    <row r="9" spans="2:4" x14ac:dyDescent="0.2">
      <c r="C9" s="22"/>
      <c r="D9" s="22"/>
    </row>
    <row r="10" spans="2:4" x14ac:dyDescent="0.2">
      <c r="B10" s="23">
        <v>2018</v>
      </c>
      <c r="C10" s="24">
        <f>VLOOKUP(B10,'OFPC Source'!$G$8:$J$33,3,FALSE)</f>
        <v>2.72</v>
      </c>
      <c r="D10" s="24">
        <f>VLOOKUP(B10,'OFPC Source'!$G$8:$H$30,2,FALSE)</f>
        <v>2.7</v>
      </c>
    </row>
    <row r="11" spans="2:4" x14ac:dyDescent="0.2">
      <c r="B11" s="23">
        <f>B10+1</f>
        <v>2019</v>
      </c>
      <c r="C11" s="24">
        <f>VLOOKUP(B11,'OFPC Source'!$G$8:$J$33,3,FALSE)</f>
        <v>2.5</v>
      </c>
      <c r="D11" s="24">
        <f>VLOOKUP(B11,'OFPC Source'!$G$8:$H$30,2,FALSE)</f>
        <v>2.48</v>
      </c>
    </row>
    <row r="12" spans="2:4" x14ac:dyDescent="0.2">
      <c r="B12" s="23">
        <f t="shared" ref="B12:B29" si="0">B11+1</f>
        <v>2020</v>
      </c>
      <c r="C12" s="24">
        <f>VLOOKUP(B12,'OFPC Source'!$G$8:$J$33,3,FALSE)</f>
        <v>2.5</v>
      </c>
      <c r="D12" s="24">
        <f>VLOOKUP(B12,'OFPC Source'!$G$8:$H$30,2,FALSE)</f>
        <v>2.48</v>
      </c>
    </row>
    <row r="13" spans="2:4" x14ac:dyDescent="0.2">
      <c r="B13" s="23">
        <f t="shared" si="0"/>
        <v>2021</v>
      </c>
      <c r="C13" s="24">
        <f>VLOOKUP(B13,'OFPC Source'!$G$8:$J$33,3,FALSE)</f>
        <v>2.52</v>
      </c>
      <c r="D13" s="24">
        <f>VLOOKUP(B13,'OFPC Source'!$G$8:$H$30,2,FALSE)</f>
        <v>2.5299999999999998</v>
      </c>
    </row>
    <row r="14" spans="2:4" x14ac:dyDescent="0.2">
      <c r="B14" s="23">
        <f t="shared" si="0"/>
        <v>2022</v>
      </c>
      <c r="C14" s="24">
        <f>VLOOKUP(B14,'OFPC Source'!$G$8:$J$33,3,FALSE)</f>
        <v>2.5299999999999998</v>
      </c>
      <c r="D14" s="24">
        <f>VLOOKUP(B14,'OFPC Source'!$G$8:$H$30,2,FALSE)</f>
        <v>2.5499999999999998</v>
      </c>
    </row>
    <row r="15" spans="2:4" x14ac:dyDescent="0.2">
      <c r="B15" s="23">
        <f t="shared" si="0"/>
        <v>2023</v>
      </c>
      <c r="C15" s="24">
        <f>VLOOKUP(B15,'OFPC Source'!$G$8:$J$33,3,FALSE)</f>
        <v>2.91</v>
      </c>
      <c r="D15" s="24">
        <f>VLOOKUP(B15,'OFPC Source'!$G$8:$H$30,2,FALSE)</f>
        <v>2.99</v>
      </c>
    </row>
    <row r="16" spans="2:4" x14ac:dyDescent="0.2">
      <c r="B16" s="23">
        <f t="shared" si="0"/>
        <v>2024</v>
      </c>
      <c r="C16" s="24">
        <f>VLOOKUP(B16,'OFPC Source'!$G$8:$J$33,3,FALSE)</f>
        <v>3.5</v>
      </c>
      <c r="D16" s="24">
        <f>VLOOKUP(B16,'OFPC Source'!$G$8:$H$30,2,FALSE)</f>
        <v>3.61</v>
      </c>
    </row>
    <row r="17" spans="2:4" x14ac:dyDescent="0.2">
      <c r="B17" s="23">
        <f t="shared" si="0"/>
        <v>2025</v>
      </c>
      <c r="C17" s="24">
        <f>VLOOKUP(B17,'OFPC Source'!$G$8:$J$33,3,FALSE)</f>
        <v>3.78</v>
      </c>
      <c r="D17" s="24">
        <f>VLOOKUP(B17,'OFPC Source'!$G$8:$H$30,2,FALSE)</f>
        <v>3.81</v>
      </c>
    </row>
    <row r="18" spans="2:4" x14ac:dyDescent="0.2">
      <c r="B18" s="23">
        <f t="shared" si="0"/>
        <v>2026</v>
      </c>
      <c r="C18" s="24">
        <f>VLOOKUP(B18,'OFPC Source'!$G$8:$J$33,3,FALSE)</f>
        <v>3.77</v>
      </c>
      <c r="D18" s="24">
        <f>VLOOKUP(B18,'OFPC Source'!$G$8:$H$30,2,FALSE)</f>
        <v>3.81</v>
      </c>
    </row>
    <row r="19" spans="2:4" x14ac:dyDescent="0.2">
      <c r="B19" s="23">
        <f t="shared" si="0"/>
        <v>2027</v>
      </c>
      <c r="C19" s="24">
        <f>VLOOKUP(B19,'OFPC Source'!$G$8:$J$33,3,FALSE)</f>
        <v>3.92</v>
      </c>
      <c r="D19" s="24">
        <f>VLOOKUP(B19,'OFPC Source'!$G$8:$H$30,2,FALSE)</f>
        <v>3.95</v>
      </c>
    </row>
    <row r="20" spans="2:4" x14ac:dyDescent="0.2">
      <c r="B20" s="23">
        <f t="shared" si="0"/>
        <v>2028</v>
      </c>
      <c r="C20" s="24">
        <f>VLOOKUP(B20,'OFPC Source'!$G$8:$J$33,3,FALSE)</f>
        <v>4.1500000000000004</v>
      </c>
      <c r="D20" s="24">
        <f>VLOOKUP(B20,'OFPC Source'!$G$8:$H$30,2,FALSE)</f>
        <v>4.1500000000000004</v>
      </c>
    </row>
    <row r="21" spans="2:4" x14ac:dyDescent="0.2">
      <c r="B21" s="23">
        <f t="shared" si="0"/>
        <v>2029</v>
      </c>
      <c r="C21" s="24">
        <f>VLOOKUP(B21,'OFPC Source'!$G$8:$J$33,3,FALSE)</f>
        <v>4.51</v>
      </c>
      <c r="D21" s="24">
        <f>VLOOKUP(B21,'OFPC Source'!$G$8:$H$30,2,FALSE)</f>
        <v>4.47</v>
      </c>
    </row>
    <row r="22" spans="2:4" x14ac:dyDescent="0.2">
      <c r="B22" s="23">
        <f t="shared" si="0"/>
        <v>2030</v>
      </c>
      <c r="C22" s="24">
        <f>VLOOKUP(B22,'OFPC Source'!$G$8:$J$33,3,FALSE)</f>
        <v>4.88</v>
      </c>
      <c r="D22" s="24">
        <f>VLOOKUP(B22,'OFPC Source'!$G$8:$H$30,2,FALSE)</f>
        <v>4.8099999999999996</v>
      </c>
    </row>
    <row r="23" spans="2:4" x14ac:dyDescent="0.2">
      <c r="B23" s="23">
        <f t="shared" si="0"/>
        <v>2031</v>
      </c>
      <c r="C23" s="24">
        <f>VLOOKUP(B23,'OFPC Source'!$G$8:$J$33,3,FALSE)</f>
        <v>5.1100000000000003</v>
      </c>
      <c r="D23" s="24">
        <f>VLOOKUP(B23,'OFPC Source'!$G$8:$H$30,2,FALSE)</f>
        <v>5.04</v>
      </c>
    </row>
    <row r="24" spans="2:4" x14ac:dyDescent="0.2">
      <c r="B24" s="23">
        <f t="shared" si="0"/>
        <v>2032</v>
      </c>
      <c r="C24" s="24">
        <f>VLOOKUP(B24,'OFPC Source'!$G$8:$J$33,3,FALSE)</f>
        <v>5.38</v>
      </c>
      <c r="D24" s="24">
        <f>VLOOKUP(B24,'OFPC Source'!$G$8:$H$30,2,FALSE)</f>
        <v>5.28</v>
      </c>
    </row>
    <row r="25" spans="2:4" x14ac:dyDescent="0.2">
      <c r="B25" s="23">
        <f t="shared" si="0"/>
        <v>2033</v>
      </c>
      <c r="C25" s="24">
        <f>VLOOKUP(B25,'OFPC Source'!$G$8:$J$33,3,FALSE)</f>
        <v>5.76</v>
      </c>
      <c r="D25" s="24">
        <f>VLOOKUP(B25,'OFPC Source'!$G$8:$H$30,2,FALSE)</f>
        <v>5.62</v>
      </c>
    </row>
    <row r="26" spans="2:4" x14ac:dyDescent="0.2">
      <c r="B26" s="23">
        <f t="shared" si="0"/>
        <v>2034</v>
      </c>
      <c r="C26" s="24">
        <f>VLOOKUP(B26,'OFPC Source'!$G$8:$J$33,3,FALSE)</f>
        <v>6.02</v>
      </c>
      <c r="D26" s="24">
        <f>VLOOKUP(B26,'OFPC Source'!$G$8:$H$30,2,FALSE)</f>
        <v>5.9</v>
      </c>
    </row>
    <row r="27" spans="2:4" x14ac:dyDescent="0.2">
      <c r="B27" s="23">
        <f t="shared" si="0"/>
        <v>2035</v>
      </c>
      <c r="C27" s="24">
        <f>VLOOKUP(B27,'OFPC Source'!$G$8:$J$33,3,FALSE)</f>
        <v>6.29</v>
      </c>
      <c r="D27" s="24">
        <f>VLOOKUP(B27,'OFPC Source'!$G$8:$H$30,2,FALSE)</f>
        <v>6.23</v>
      </c>
    </row>
    <row r="28" spans="2:4" x14ac:dyDescent="0.2">
      <c r="B28" s="23">
        <f t="shared" si="0"/>
        <v>2036</v>
      </c>
      <c r="C28" s="24">
        <f>VLOOKUP(B28,'OFPC Source'!$G$8:$J$33,3,FALSE)</f>
        <v>6.8</v>
      </c>
      <c r="D28" s="24">
        <f>VLOOKUP(B28,'OFPC Source'!$G$8:$H$30,2,FALSE)</f>
        <v>6.7</v>
      </c>
    </row>
    <row r="29" spans="2:4" x14ac:dyDescent="0.2">
      <c r="B29" s="23">
        <f t="shared" si="0"/>
        <v>2037</v>
      </c>
      <c r="C29" s="24">
        <f>VLOOKUP(B29,'OFPC Source'!$G$8:$J$33,3,FALSE)</f>
        <v>7.05</v>
      </c>
      <c r="D29" s="24">
        <f>VLOOKUP(B29,'OFPC Source'!$G$8:$H$30,2,FALSE)</f>
        <v>6.9</v>
      </c>
    </row>
    <row r="30" spans="2:4" x14ac:dyDescent="0.2">
      <c r="B30" s="23"/>
      <c r="C30" s="24"/>
      <c r="D30" s="24"/>
    </row>
    <row r="31" spans="2:4" x14ac:dyDescent="0.2">
      <c r="B31" s="23"/>
      <c r="C31" s="24"/>
      <c r="D31" s="24"/>
    </row>
    <row r="32" spans="2:4" x14ac:dyDescent="0.2">
      <c r="B32" s="14" t="s">
        <v>18</v>
      </c>
    </row>
    <row r="33" spans="2:4" ht="12.75" customHeight="1" x14ac:dyDescent="0.2">
      <c r="B33" s="197" t="str">
        <f>"Official Forward Price Curve dated "&amp;TEXT('OFPC Source'!C4,"  mmmm dd yyyy")</f>
        <v>Official Forward Price Curve dated   March 31 2017</v>
      </c>
      <c r="C33" s="197"/>
      <c r="D33" s="20"/>
    </row>
    <row r="35" spans="2:4" x14ac:dyDescent="0.2">
      <c r="D35" s="19"/>
    </row>
    <row r="36" spans="2:4" x14ac:dyDescent="0.2">
      <c r="D36" s="196"/>
    </row>
    <row r="37" spans="2:4" x14ac:dyDescent="0.2">
      <c r="D37" s="19"/>
    </row>
  </sheetData>
  <phoneticPr fontId="9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50"/>
  <sheetViews>
    <sheetView zoomScaleNormal="100" workbookViewId="0">
      <selection activeCell="C103" sqref="C103"/>
    </sheetView>
  </sheetViews>
  <sheetFormatPr defaultColWidth="8.83203125" defaultRowHeight="12.75" x14ac:dyDescent="0.2"/>
  <cols>
    <col min="1" max="1" width="2.1640625" style="17" customWidth="1"/>
    <col min="2" max="2" width="22" style="17" customWidth="1"/>
    <col min="3" max="6" width="16.33203125" style="17" customWidth="1"/>
    <col min="7" max="7" width="2.1640625" style="17" customWidth="1"/>
    <col min="8" max="8" width="10" style="17" customWidth="1"/>
    <col min="9" max="16384" width="8.83203125" style="17"/>
  </cols>
  <sheetData>
    <row r="1" spans="2:6" ht="15.75" x14ac:dyDescent="0.25">
      <c r="B1" s="7" t="s">
        <v>213</v>
      </c>
      <c r="C1" s="10"/>
      <c r="D1" s="10"/>
      <c r="E1" s="10"/>
      <c r="F1" s="10"/>
    </row>
    <row r="2" spans="2:6" ht="15.75" x14ac:dyDescent="0.25">
      <c r="B2" s="7" t="s">
        <v>27</v>
      </c>
      <c r="C2" s="10"/>
      <c r="D2" s="10"/>
      <c r="E2" s="10"/>
      <c r="F2" s="10"/>
    </row>
    <row r="3" spans="2:6" ht="15.75" x14ac:dyDescent="0.25">
      <c r="B3" s="7" t="s">
        <v>8</v>
      </c>
      <c r="C3" s="20"/>
      <c r="D3" s="20"/>
      <c r="E3" s="20"/>
      <c r="F3" s="20"/>
    </row>
    <row r="4" spans="2:6" ht="15.75" x14ac:dyDescent="0.25">
      <c r="B4" s="7"/>
      <c r="C4" s="20"/>
      <c r="D4" s="20"/>
      <c r="E4" s="20"/>
      <c r="F4" s="20"/>
    </row>
    <row r="5" spans="2:6" x14ac:dyDescent="0.2">
      <c r="B5" s="8"/>
      <c r="C5" s="11" t="s">
        <v>22</v>
      </c>
      <c r="D5" s="11"/>
      <c r="E5" s="11"/>
      <c r="F5" s="11"/>
    </row>
    <row r="6" spans="2:6" x14ac:dyDescent="0.2">
      <c r="B6" s="12" t="s">
        <v>0</v>
      </c>
      <c r="C6" s="11" t="s">
        <v>23</v>
      </c>
      <c r="D6" s="11"/>
      <c r="E6" s="11" t="s">
        <v>24</v>
      </c>
      <c r="F6" s="11"/>
    </row>
    <row r="7" spans="2:6" x14ac:dyDescent="0.2">
      <c r="B7" s="21"/>
      <c r="C7" s="11" t="s">
        <v>25</v>
      </c>
      <c r="D7" s="11" t="s">
        <v>26</v>
      </c>
      <c r="E7" s="11" t="s">
        <v>25</v>
      </c>
      <c r="F7" s="11" t="s">
        <v>26</v>
      </c>
    </row>
    <row r="8" spans="2:6" x14ac:dyDescent="0.2">
      <c r="C8" s="9" t="s">
        <v>2</v>
      </c>
      <c r="D8" s="9" t="s">
        <v>3</v>
      </c>
      <c r="E8" s="9" t="s">
        <v>4</v>
      </c>
      <c r="F8" s="9" t="s">
        <v>5</v>
      </c>
    </row>
    <row r="9" spans="2:6" x14ac:dyDescent="0.2">
      <c r="C9" s="22"/>
      <c r="D9" s="22"/>
      <c r="E9" s="22"/>
      <c r="F9" s="22"/>
    </row>
    <row r="10" spans="2:6" x14ac:dyDescent="0.2">
      <c r="B10" s="23">
        <v>2018</v>
      </c>
      <c r="C10" s="24">
        <f>VLOOKUP($B10,'OFPC Source'!$W$8:$AA$34,2,FALSE)</f>
        <v>24.29</v>
      </c>
      <c r="D10" s="24">
        <f>VLOOKUP($B10,'OFPC Source'!$W$8:$AA$34,3,FALSE)</f>
        <v>26.33</v>
      </c>
      <c r="E10" s="24">
        <f>VLOOKUP($B10,'OFPC Source'!$W$8:$AA$34,4,FALSE)</f>
        <v>18.489999999999998</v>
      </c>
      <c r="F10" s="24">
        <f>VLOOKUP($B10,'OFPC Source'!$W$8:$AA$34,5,FALSE)</f>
        <v>21.86</v>
      </c>
    </row>
    <row r="11" spans="2:6" x14ac:dyDescent="0.2">
      <c r="B11" s="23">
        <f>B10+1</f>
        <v>2019</v>
      </c>
      <c r="C11" s="24">
        <f>VLOOKUP($B11,'OFPC Source'!$W$8:$AA$34,2,FALSE)</f>
        <v>25.11</v>
      </c>
      <c r="D11" s="24">
        <f>VLOOKUP($B11,'OFPC Source'!$W$8:$AA$34,3,FALSE)</f>
        <v>27.03</v>
      </c>
      <c r="E11" s="24">
        <f>VLOOKUP($B11,'OFPC Source'!$W$8:$AA$34,4,FALSE)</f>
        <v>19.18</v>
      </c>
      <c r="F11" s="24">
        <f>VLOOKUP($B11,'OFPC Source'!$W$8:$AA$34,5,FALSE)</f>
        <v>21.46</v>
      </c>
    </row>
    <row r="12" spans="2:6" x14ac:dyDescent="0.2">
      <c r="B12" s="23">
        <f t="shared" ref="B12:B29" si="0">B11+1</f>
        <v>2020</v>
      </c>
      <c r="C12" s="24">
        <f>VLOOKUP($B12,'OFPC Source'!$W$8:$AA$34,2,FALSE)</f>
        <v>27.21</v>
      </c>
      <c r="D12" s="24">
        <f>VLOOKUP($B12,'OFPC Source'!$W$8:$AA$34,3,FALSE)</f>
        <v>28.64</v>
      </c>
      <c r="E12" s="24">
        <f>VLOOKUP($B12,'OFPC Source'!$W$8:$AA$34,4,FALSE)</f>
        <v>20.99</v>
      </c>
      <c r="F12" s="24">
        <f>VLOOKUP($B12,'OFPC Source'!$W$8:$AA$34,5,FALSE)</f>
        <v>22.01</v>
      </c>
    </row>
    <row r="13" spans="2:6" x14ac:dyDescent="0.2">
      <c r="B13" s="23">
        <f t="shared" si="0"/>
        <v>2021</v>
      </c>
      <c r="C13" s="24">
        <f>VLOOKUP($B13,'OFPC Source'!$W$8:$AA$34,2,FALSE)</f>
        <v>28.78</v>
      </c>
      <c r="D13" s="24">
        <f>VLOOKUP($B13,'OFPC Source'!$W$8:$AA$34,3,FALSE)</f>
        <v>30.1</v>
      </c>
      <c r="E13" s="24">
        <f>VLOOKUP($B13,'OFPC Source'!$W$8:$AA$34,4,FALSE)</f>
        <v>23.04</v>
      </c>
      <c r="F13" s="24">
        <f>VLOOKUP($B13,'OFPC Source'!$W$8:$AA$34,5,FALSE)</f>
        <v>23.79</v>
      </c>
    </row>
    <row r="14" spans="2:6" x14ac:dyDescent="0.2">
      <c r="B14" s="23">
        <f t="shared" si="0"/>
        <v>2022</v>
      </c>
      <c r="C14" s="24">
        <f>VLOOKUP($B14,'OFPC Source'!$W$8:$AA$34,2,FALSE)</f>
        <v>30.74</v>
      </c>
      <c r="D14" s="24">
        <f>VLOOKUP($B14,'OFPC Source'!$W$8:$AA$34,3,FALSE)</f>
        <v>31.49</v>
      </c>
      <c r="E14" s="24">
        <f>VLOOKUP($B14,'OFPC Source'!$W$8:$AA$34,4,FALSE)</f>
        <v>24.58</v>
      </c>
      <c r="F14" s="24">
        <f>VLOOKUP($B14,'OFPC Source'!$W$8:$AA$34,5,FALSE)</f>
        <v>25.76</v>
      </c>
    </row>
    <row r="15" spans="2:6" x14ac:dyDescent="0.2">
      <c r="B15" s="23">
        <f t="shared" si="0"/>
        <v>2023</v>
      </c>
      <c r="C15" s="24">
        <f>VLOOKUP($B15,'OFPC Source'!$W$8:$AA$34,2,FALSE)</f>
        <v>33.5</v>
      </c>
      <c r="D15" s="24">
        <f>VLOOKUP($B15,'OFPC Source'!$W$8:$AA$34,3,FALSE)</f>
        <v>33.869999999999997</v>
      </c>
      <c r="E15" s="24">
        <f>VLOOKUP($B15,'OFPC Source'!$W$8:$AA$34,4,FALSE)</f>
        <v>27.47</v>
      </c>
      <c r="F15" s="24">
        <f>VLOOKUP($B15,'OFPC Source'!$W$8:$AA$34,5,FALSE)</f>
        <v>28.81</v>
      </c>
    </row>
    <row r="16" spans="2:6" x14ac:dyDescent="0.2">
      <c r="B16" s="23">
        <f t="shared" si="0"/>
        <v>2024</v>
      </c>
      <c r="C16" s="24">
        <f>VLOOKUP($B16,'OFPC Source'!$W$8:$AA$34,2,FALSE)</f>
        <v>37.1</v>
      </c>
      <c r="D16" s="24">
        <f>VLOOKUP($B16,'OFPC Source'!$W$8:$AA$34,3,FALSE)</f>
        <v>36.76</v>
      </c>
      <c r="E16" s="24">
        <f>VLOOKUP($B16,'OFPC Source'!$W$8:$AA$34,4,FALSE)</f>
        <v>30.79</v>
      </c>
      <c r="F16" s="24">
        <f>VLOOKUP($B16,'OFPC Source'!$W$8:$AA$34,5,FALSE)</f>
        <v>32.08</v>
      </c>
    </row>
    <row r="17" spans="2:6" x14ac:dyDescent="0.2">
      <c r="B17" s="23">
        <f t="shared" si="0"/>
        <v>2025</v>
      </c>
      <c r="C17" s="24">
        <f>VLOOKUP($B17,'OFPC Source'!$W$8:$AA$34,2,FALSE)</f>
        <v>39.49</v>
      </c>
      <c r="D17" s="24">
        <f>VLOOKUP($B17,'OFPC Source'!$W$8:$AA$34,3,FALSE)</f>
        <v>39.08</v>
      </c>
      <c r="E17" s="24">
        <f>VLOOKUP($B17,'OFPC Source'!$W$8:$AA$34,4,FALSE)</f>
        <v>33.18</v>
      </c>
      <c r="F17" s="24">
        <f>VLOOKUP($B17,'OFPC Source'!$W$8:$AA$34,5,FALSE)</f>
        <v>33.950000000000003</v>
      </c>
    </row>
    <row r="18" spans="2:6" x14ac:dyDescent="0.2">
      <c r="B18" s="23">
        <f t="shared" si="0"/>
        <v>2026</v>
      </c>
      <c r="C18" s="24">
        <f>VLOOKUP($B18,'OFPC Source'!$W$8:$AA$34,2,FALSE)</f>
        <v>40.270000000000003</v>
      </c>
      <c r="D18" s="24">
        <f>VLOOKUP($B18,'OFPC Source'!$W$8:$AA$34,3,FALSE)</f>
        <v>39.840000000000003</v>
      </c>
      <c r="E18" s="24">
        <f>VLOOKUP($B18,'OFPC Source'!$W$8:$AA$34,4,FALSE)</f>
        <v>33.950000000000003</v>
      </c>
      <c r="F18" s="24">
        <f>VLOOKUP($B18,'OFPC Source'!$W$8:$AA$34,5,FALSE)</f>
        <v>34.69</v>
      </c>
    </row>
    <row r="19" spans="2:6" x14ac:dyDescent="0.2">
      <c r="B19" s="23">
        <f t="shared" si="0"/>
        <v>2027</v>
      </c>
      <c r="C19" s="24">
        <f>VLOOKUP($B19,'OFPC Source'!$W$8:$AA$34,2,FALSE)</f>
        <v>41.36</v>
      </c>
      <c r="D19" s="24">
        <f>VLOOKUP($B19,'OFPC Source'!$W$8:$AA$34,3,FALSE)</f>
        <v>40.83</v>
      </c>
      <c r="E19" s="24">
        <f>VLOOKUP($B19,'OFPC Source'!$W$8:$AA$34,4,FALSE)</f>
        <v>35.1</v>
      </c>
      <c r="F19" s="24">
        <f>VLOOKUP($B19,'OFPC Source'!$W$8:$AA$34,5,FALSE)</f>
        <v>35.89</v>
      </c>
    </row>
    <row r="20" spans="2:6" x14ac:dyDescent="0.2">
      <c r="B20" s="23">
        <f t="shared" si="0"/>
        <v>2028</v>
      </c>
      <c r="C20" s="24">
        <f>VLOOKUP($B20,'OFPC Source'!$W$8:$AA$34,2,FALSE)</f>
        <v>43.71</v>
      </c>
      <c r="D20" s="24">
        <f>VLOOKUP($B20,'OFPC Source'!$W$8:$AA$34,3,FALSE)</f>
        <v>42.66</v>
      </c>
      <c r="E20" s="24">
        <f>VLOOKUP($B20,'OFPC Source'!$W$8:$AA$34,4,FALSE)</f>
        <v>37.19</v>
      </c>
      <c r="F20" s="24">
        <f>VLOOKUP($B20,'OFPC Source'!$W$8:$AA$34,5,FALSE)</f>
        <v>37.74</v>
      </c>
    </row>
    <row r="21" spans="2:6" x14ac:dyDescent="0.2">
      <c r="B21" s="23">
        <f t="shared" si="0"/>
        <v>2029</v>
      </c>
      <c r="C21" s="24">
        <f>VLOOKUP($B21,'OFPC Source'!$W$8:$AA$34,2,FALSE)</f>
        <v>45.85</v>
      </c>
      <c r="D21" s="24">
        <f>VLOOKUP($B21,'OFPC Source'!$W$8:$AA$34,3,FALSE)</f>
        <v>44.88</v>
      </c>
      <c r="E21" s="24">
        <f>VLOOKUP($B21,'OFPC Source'!$W$8:$AA$34,4,FALSE)</f>
        <v>39.29</v>
      </c>
      <c r="F21" s="24">
        <f>VLOOKUP($B21,'OFPC Source'!$W$8:$AA$34,5,FALSE)</f>
        <v>40.020000000000003</v>
      </c>
    </row>
    <row r="22" spans="2:6" x14ac:dyDescent="0.2">
      <c r="B22" s="23">
        <f t="shared" si="0"/>
        <v>2030</v>
      </c>
      <c r="C22" s="24">
        <f>VLOOKUP($B22,'OFPC Source'!$W$8:$AA$34,2,FALSE)</f>
        <v>48.25</v>
      </c>
      <c r="D22" s="24">
        <f>VLOOKUP($B22,'OFPC Source'!$W$8:$AA$34,3,FALSE)</f>
        <v>47.33</v>
      </c>
      <c r="E22" s="24">
        <f>VLOOKUP($B22,'OFPC Source'!$W$8:$AA$34,4,FALSE)</f>
        <v>41.83</v>
      </c>
      <c r="F22" s="24">
        <f>VLOOKUP($B22,'OFPC Source'!$W$8:$AA$34,5,FALSE)</f>
        <v>42.63</v>
      </c>
    </row>
    <row r="23" spans="2:6" x14ac:dyDescent="0.2">
      <c r="B23" s="23">
        <f t="shared" si="0"/>
        <v>2031</v>
      </c>
      <c r="C23" s="24">
        <f>VLOOKUP($B23,'OFPC Source'!$W$8:$AA$34,2,FALSE)</f>
        <v>50.32</v>
      </c>
      <c r="D23" s="24">
        <f>VLOOKUP($B23,'OFPC Source'!$W$8:$AA$34,3,FALSE)</f>
        <v>49.33</v>
      </c>
      <c r="E23" s="24">
        <f>VLOOKUP($B23,'OFPC Source'!$W$8:$AA$34,4,FALSE)</f>
        <v>43.73</v>
      </c>
      <c r="F23" s="24">
        <f>VLOOKUP($B23,'OFPC Source'!$W$8:$AA$34,5,FALSE)</f>
        <v>44.41</v>
      </c>
    </row>
    <row r="24" spans="2:6" x14ac:dyDescent="0.2">
      <c r="B24" s="23">
        <f t="shared" si="0"/>
        <v>2032</v>
      </c>
      <c r="C24" s="24">
        <f>VLOOKUP($B24,'OFPC Source'!$W$8:$AA$34,2,FALSE)</f>
        <v>52.51</v>
      </c>
      <c r="D24" s="24">
        <f>VLOOKUP($B24,'OFPC Source'!$W$8:$AA$34,3,FALSE)</f>
        <v>51.66</v>
      </c>
      <c r="E24" s="24">
        <f>VLOOKUP($B24,'OFPC Source'!$W$8:$AA$34,4,FALSE)</f>
        <v>45.82</v>
      </c>
      <c r="F24" s="24">
        <f>VLOOKUP($B24,'OFPC Source'!$W$8:$AA$34,5,FALSE)</f>
        <v>46.63</v>
      </c>
    </row>
    <row r="25" spans="2:6" x14ac:dyDescent="0.2">
      <c r="B25" s="23">
        <f t="shared" si="0"/>
        <v>2033</v>
      </c>
      <c r="C25" s="24">
        <f>VLOOKUP($B25,'OFPC Source'!$W$8:$AA$34,2,FALSE)</f>
        <v>55.22</v>
      </c>
      <c r="D25" s="24">
        <f>VLOOKUP($B25,'OFPC Source'!$W$8:$AA$34,3,FALSE)</f>
        <v>54.43</v>
      </c>
      <c r="E25" s="24">
        <f>VLOOKUP($B25,'OFPC Source'!$W$8:$AA$34,4,FALSE)</f>
        <v>48.63</v>
      </c>
      <c r="F25" s="24">
        <f>VLOOKUP($B25,'OFPC Source'!$W$8:$AA$34,5,FALSE)</f>
        <v>49.46</v>
      </c>
    </row>
    <row r="26" spans="2:6" x14ac:dyDescent="0.2">
      <c r="B26" s="23">
        <f t="shared" si="0"/>
        <v>2034</v>
      </c>
      <c r="C26" s="24">
        <f>VLOOKUP($B26,'OFPC Source'!$W$8:$AA$34,2,FALSE)</f>
        <v>57.39</v>
      </c>
      <c r="D26" s="24">
        <f>VLOOKUP($B26,'OFPC Source'!$W$8:$AA$34,3,FALSE)</f>
        <v>56.37</v>
      </c>
      <c r="E26" s="24">
        <f>VLOOKUP($B26,'OFPC Source'!$W$8:$AA$34,4,FALSE)</f>
        <v>50.74</v>
      </c>
      <c r="F26" s="24">
        <f>VLOOKUP($B26,'OFPC Source'!$W$8:$AA$34,5,FALSE)</f>
        <v>51.45</v>
      </c>
    </row>
    <row r="27" spans="2:6" x14ac:dyDescent="0.2">
      <c r="B27" s="23">
        <f t="shared" si="0"/>
        <v>2035</v>
      </c>
      <c r="C27" s="24">
        <f>VLOOKUP($B27,'OFPC Source'!$W$8:$AA$34,2,FALSE)</f>
        <v>59.9</v>
      </c>
      <c r="D27" s="24">
        <f>VLOOKUP($B27,'OFPC Source'!$W$8:$AA$34,3,FALSE)</f>
        <v>58.9</v>
      </c>
      <c r="E27" s="24">
        <f>VLOOKUP($B27,'OFPC Source'!$W$8:$AA$34,4,FALSE)</f>
        <v>52.71</v>
      </c>
      <c r="F27" s="24">
        <f>VLOOKUP($B27,'OFPC Source'!$W$8:$AA$34,5,FALSE)</f>
        <v>53.67</v>
      </c>
    </row>
    <row r="28" spans="2:6" x14ac:dyDescent="0.2">
      <c r="B28" s="23">
        <f t="shared" si="0"/>
        <v>2036</v>
      </c>
      <c r="C28" s="24">
        <f>VLOOKUP($B28,'OFPC Source'!$W$8:$AA$34,2,FALSE)</f>
        <v>63.38</v>
      </c>
      <c r="D28" s="24">
        <f>VLOOKUP($B28,'OFPC Source'!$W$8:$AA$34,3,FALSE)</f>
        <v>62.67</v>
      </c>
      <c r="E28" s="24">
        <f>VLOOKUP($B28,'OFPC Source'!$W$8:$AA$34,4,FALSE)</f>
        <v>56.24</v>
      </c>
      <c r="F28" s="24">
        <f>VLOOKUP($B28,'OFPC Source'!$W$8:$AA$34,5,FALSE)</f>
        <v>57.42</v>
      </c>
    </row>
    <row r="29" spans="2:6" x14ac:dyDescent="0.2">
      <c r="B29" s="23">
        <f t="shared" si="0"/>
        <v>2037</v>
      </c>
      <c r="C29" s="24">
        <f>VLOOKUP($B29,'OFPC Source'!$W$8:$AA$34,2,FALSE)</f>
        <v>66.12</v>
      </c>
      <c r="D29" s="24">
        <f>VLOOKUP($B29,'OFPC Source'!$W$8:$AA$34,3,FALSE)</f>
        <v>65.02</v>
      </c>
      <c r="E29" s="24">
        <f>VLOOKUP($B29,'OFPC Source'!$W$8:$AA$34,4,FALSE)</f>
        <v>58.81</v>
      </c>
      <c r="F29" s="24">
        <f>VLOOKUP($B29,'OFPC Source'!$W$8:$AA$34,5,FALSE)</f>
        <v>59.66</v>
      </c>
    </row>
    <row r="31" spans="2:6" x14ac:dyDescent="0.2">
      <c r="B31" s="14" t="s">
        <v>18</v>
      </c>
    </row>
    <row r="32" spans="2:6" ht="25.5" customHeight="1" x14ac:dyDescent="0.2">
      <c r="B32" s="382" t="str">
        <f>'Table 4 Gas Price'!B33:D33</f>
        <v>Official Forward Price Curve dated   March 31 2017</v>
      </c>
      <c r="C32" s="382"/>
      <c r="D32" s="382"/>
      <c r="E32" s="382"/>
      <c r="F32" s="382"/>
    </row>
    <row r="35" spans="2:2" x14ac:dyDescent="0.2">
      <c r="B35" s="25"/>
    </row>
    <row r="36" spans="2:2" x14ac:dyDescent="0.2">
      <c r="B36" s="25"/>
    </row>
    <row r="50" ht="24.75" customHeight="1" x14ac:dyDescent="0.2"/>
  </sheetData>
  <mergeCells count="1">
    <mergeCell ref="B32:F32"/>
  </mergeCells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Q60"/>
  <sheetViews>
    <sheetView topLeftCell="B2" zoomScaleNormal="100" zoomScaleSheetLayoutView="85" workbookViewId="0">
      <selection activeCell="C103" sqref="C103"/>
    </sheetView>
  </sheetViews>
  <sheetFormatPr defaultColWidth="9.33203125" defaultRowHeight="12.75" x14ac:dyDescent="0.2"/>
  <cols>
    <col min="1" max="1" width="1.5" style="288" customWidth="1"/>
    <col min="2" max="2" width="12.1640625" style="288" customWidth="1"/>
    <col min="3" max="4" width="17.1640625" style="288" customWidth="1"/>
    <col min="5" max="6" width="15" style="288" customWidth="1"/>
    <col min="7" max="7" width="3" style="288" customWidth="1"/>
    <col min="8" max="12" width="9.33203125" style="288"/>
    <col min="13" max="13" width="9.83203125" style="288" customWidth="1"/>
    <col min="14" max="14" width="21.5" style="288" customWidth="1"/>
    <col min="15" max="15" width="19" style="288" customWidth="1"/>
    <col min="16" max="16384" width="9.33203125" style="288"/>
  </cols>
  <sheetData>
    <row r="1" spans="2:17" hidden="1" x14ac:dyDescent="0.2">
      <c r="B1" s="286" t="s">
        <v>157</v>
      </c>
      <c r="C1" s="287"/>
      <c r="D1" s="287"/>
    </row>
    <row r="2" spans="2:17" ht="15.75" x14ac:dyDescent="0.25">
      <c r="B2" s="384" t="s">
        <v>104</v>
      </c>
      <c r="C2" s="384"/>
      <c r="D2" s="384"/>
      <c r="E2" s="384"/>
      <c r="F2" s="384"/>
      <c r="G2" s="384"/>
      <c r="H2" s="384"/>
      <c r="I2" s="384"/>
      <c r="J2" s="384"/>
    </row>
    <row r="3" spans="2:17" hidden="1" x14ac:dyDescent="0.2">
      <c r="B3" s="286" t="s">
        <v>7</v>
      </c>
      <c r="C3" s="287"/>
      <c r="D3" s="287"/>
    </row>
    <row r="4" spans="2:17" x14ac:dyDescent="0.2">
      <c r="B4" s="286" t="s">
        <v>35</v>
      </c>
      <c r="C4" s="286"/>
      <c r="D4" s="287"/>
      <c r="E4" s="287"/>
      <c r="F4" s="287"/>
      <c r="G4" s="287"/>
      <c r="H4" s="287"/>
      <c r="I4" s="287"/>
      <c r="J4" s="287"/>
    </row>
    <row r="5" spans="2:17" x14ac:dyDescent="0.2">
      <c r="B5" s="286" t="s">
        <v>8</v>
      </c>
      <c r="C5" s="286"/>
      <c r="D5" s="287"/>
      <c r="E5" s="287"/>
      <c r="F5" s="287"/>
      <c r="G5" s="287"/>
      <c r="H5" s="287"/>
      <c r="I5" s="287"/>
      <c r="J5" s="287"/>
    </row>
    <row r="6" spans="2:17" x14ac:dyDescent="0.2">
      <c r="B6" s="286"/>
      <c r="C6" s="287"/>
      <c r="D6" s="287"/>
    </row>
    <row r="7" spans="2:17" x14ac:dyDescent="0.2">
      <c r="B7" s="289"/>
      <c r="C7" s="289"/>
      <c r="D7" s="289"/>
      <c r="E7" s="290"/>
    </row>
    <row r="8" spans="2:17" ht="51" x14ac:dyDescent="0.2">
      <c r="B8" s="291" t="s">
        <v>0</v>
      </c>
      <c r="C8" s="292" t="s">
        <v>197</v>
      </c>
      <c r="D8" s="292" t="s">
        <v>198</v>
      </c>
      <c r="E8" s="292" t="s">
        <v>199</v>
      </c>
      <c r="F8" s="292" t="s">
        <v>200</v>
      </c>
      <c r="H8" s="293" t="s">
        <v>235</v>
      </c>
      <c r="I8" s="293"/>
      <c r="J8" s="293"/>
      <c r="L8" s="49"/>
      <c r="M8" s="383" t="s">
        <v>204</v>
      </c>
      <c r="N8" s="383"/>
      <c r="O8" s="383"/>
      <c r="P8" s="49"/>
      <c r="Q8" s="49"/>
    </row>
    <row r="9" spans="2:17" ht="27" customHeight="1" x14ac:dyDescent="0.2">
      <c r="B9" s="294"/>
      <c r="C9" s="295" t="s">
        <v>29</v>
      </c>
      <c r="D9" s="295" t="s">
        <v>29</v>
      </c>
      <c r="E9" s="295" t="s">
        <v>29</v>
      </c>
      <c r="F9" s="295" t="s">
        <v>29</v>
      </c>
      <c r="H9" s="296" t="s">
        <v>0</v>
      </c>
      <c r="I9" s="297" t="s">
        <v>158</v>
      </c>
      <c r="J9" s="298" t="s">
        <v>202</v>
      </c>
      <c r="L9" s="49"/>
      <c r="M9" s="310" t="s">
        <v>203</v>
      </c>
      <c r="N9" s="310"/>
      <c r="O9" s="310"/>
      <c r="P9" s="49"/>
      <c r="Q9" s="49"/>
    </row>
    <row r="10" spans="2:17" x14ac:dyDescent="0.2">
      <c r="C10" s="299"/>
      <c r="D10" s="299"/>
      <c r="L10" s="49"/>
      <c r="M10" s="310"/>
      <c r="N10" s="310" t="s">
        <v>195</v>
      </c>
      <c r="O10" s="310" t="s">
        <v>196</v>
      </c>
      <c r="P10" s="310" t="s">
        <v>1</v>
      </c>
    </row>
    <row r="11" spans="2:17" ht="21.75" customHeight="1" x14ac:dyDescent="0.2">
      <c r="L11" s="49"/>
      <c r="M11" s="312" t="s">
        <v>34</v>
      </c>
      <c r="N11" s="311">
        <v>0.42889830042325666</v>
      </c>
      <c r="O11" s="311">
        <v>0.144532267904389</v>
      </c>
      <c r="P11" s="311">
        <v>0.57343056832764572</v>
      </c>
    </row>
    <row r="12" spans="2:17" x14ac:dyDescent="0.2">
      <c r="B12" s="300">
        <v>2016</v>
      </c>
      <c r="C12" s="301">
        <f>$O$11</f>
        <v>0.144532267904389</v>
      </c>
      <c r="D12" s="301">
        <f>$N$11</f>
        <v>0.42889830042325666</v>
      </c>
      <c r="E12" s="301">
        <f>$N$12</f>
        <v>0.45801214757039699</v>
      </c>
      <c r="F12" s="301">
        <f>$N$12</f>
        <v>0.45801214757039699</v>
      </c>
      <c r="H12" s="193">
        <f>B12</f>
        <v>2016</v>
      </c>
      <c r="I12" s="192"/>
      <c r="J12" s="302">
        <v>1</v>
      </c>
      <c r="L12" s="49"/>
      <c r="M12" s="312" t="s">
        <v>36</v>
      </c>
      <c r="N12" s="311">
        <v>0.45801214757039699</v>
      </c>
      <c r="O12" s="311">
        <v>0.14453226790433146</v>
      </c>
      <c r="P12" s="311">
        <v>0.60254441547472848</v>
      </c>
    </row>
    <row r="13" spans="2:17" x14ac:dyDescent="0.2">
      <c r="B13" s="303">
        <f t="shared" ref="B13:B38" si="0">B12+1</f>
        <v>2017</v>
      </c>
      <c r="C13" s="304">
        <f>ROUND($C$12*$J13,2)</f>
        <v>0.15</v>
      </c>
      <c r="D13" s="304">
        <f>ROUND($D$12*$J13,2)</f>
        <v>0.44</v>
      </c>
      <c r="E13" s="304">
        <f>ROUND($E$12*$J13,2)</f>
        <v>0.47</v>
      </c>
      <c r="F13" s="304">
        <f>ROUND($F$12*$J13,2)</f>
        <v>0.47</v>
      </c>
      <c r="H13" s="193">
        <f t="shared" ref="H13:H19" si="1">H12+1</f>
        <v>2017</v>
      </c>
      <c r="I13" s="192">
        <v>2.2092462442320437E-2</v>
      </c>
      <c r="J13" s="302">
        <f>(1+I13)*J12</f>
        <v>1.0220924624423204</v>
      </c>
      <c r="L13" s="49"/>
      <c r="M13" s="49"/>
      <c r="N13" s="49" t="s">
        <v>201</v>
      </c>
      <c r="O13" s="49"/>
      <c r="P13" s="49"/>
    </row>
    <row r="14" spans="2:17" x14ac:dyDescent="0.2">
      <c r="B14" s="303">
        <f t="shared" si="0"/>
        <v>2018</v>
      </c>
      <c r="C14" s="304">
        <f t="shared" ref="C14:C38" si="2">ROUND($C$12*$J14,2)</f>
        <v>0.15</v>
      </c>
      <c r="D14" s="304">
        <f t="shared" ref="D14:D38" si="3">ROUND($D$12*$J14,2)</f>
        <v>0.45</v>
      </c>
      <c r="E14" s="304">
        <f t="shared" ref="E14:E38" si="4">ROUND($E$12*$J14,2)</f>
        <v>0.48</v>
      </c>
      <c r="F14" s="304">
        <f t="shared" ref="F14:F38" si="5">ROUND($F$12*$J14,2)</f>
        <v>0.48</v>
      </c>
      <c r="H14" s="193">
        <f t="shared" si="1"/>
        <v>2018</v>
      </c>
      <c r="I14" s="192">
        <v>2.1684070430924685E-2</v>
      </c>
      <c r="J14" s="302">
        <f t="shared" ref="J14:J38" si="6">(1+I14)*J13</f>
        <v>1.0442555873848369</v>
      </c>
      <c r="L14" s="49"/>
      <c r="M14" s="49"/>
      <c r="N14" s="49"/>
      <c r="O14" s="49"/>
      <c r="P14" s="49"/>
    </row>
    <row r="15" spans="2:17" x14ac:dyDescent="0.2">
      <c r="B15" s="303">
        <f t="shared" si="0"/>
        <v>2019</v>
      </c>
      <c r="C15" s="304">
        <f t="shared" si="2"/>
        <v>0.15</v>
      </c>
      <c r="D15" s="304">
        <f t="shared" si="3"/>
        <v>0.46</v>
      </c>
      <c r="E15" s="304">
        <f t="shared" si="4"/>
        <v>0.49</v>
      </c>
      <c r="F15" s="304">
        <f t="shared" si="5"/>
        <v>0.49</v>
      </c>
      <c r="H15" s="193">
        <f t="shared" si="1"/>
        <v>2019</v>
      </c>
      <c r="I15" s="192">
        <v>2.0023445288848141E-2</v>
      </c>
      <c r="J15" s="302">
        <f t="shared" si="6"/>
        <v>1.0651651820064112</v>
      </c>
      <c r="L15" s="49"/>
      <c r="M15" s="49"/>
      <c r="N15" s="49"/>
      <c r="O15" s="49"/>
      <c r="P15" s="49"/>
    </row>
    <row r="16" spans="2:17" x14ac:dyDescent="0.2">
      <c r="B16" s="303">
        <f t="shared" si="0"/>
        <v>2020</v>
      </c>
      <c r="C16" s="304">
        <f t="shared" si="2"/>
        <v>0.16</v>
      </c>
      <c r="D16" s="304">
        <f t="shared" si="3"/>
        <v>0.47</v>
      </c>
      <c r="E16" s="304">
        <f t="shared" si="4"/>
        <v>0.5</v>
      </c>
      <c r="F16" s="304">
        <f t="shared" si="5"/>
        <v>0.5</v>
      </c>
      <c r="H16" s="193">
        <f t="shared" si="1"/>
        <v>2020</v>
      </c>
      <c r="I16" s="192">
        <v>2.1423649370385656E-2</v>
      </c>
      <c r="J16" s="302">
        <f t="shared" si="6"/>
        <v>1.0879849073872596</v>
      </c>
      <c r="L16" s="49"/>
      <c r="M16" s="49"/>
      <c r="N16" s="49"/>
      <c r="O16" s="49"/>
      <c r="P16" s="49"/>
    </row>
    <row r="17" spans="2:15" x14ac:dyDescent="0.2">
      <c r="B17" s="303">
        <f t="shared" si="0"/>
        <v>2021</v>
      </c>
      <c r="C17" s="304">
        <f t="shared" si="2"/>
        <v>0.16</v>
      </c>
      <c r="D17" s="304">
        <f t="shared" si="3"/>
        <v>0.48</v>
      </c>
      <c r="E17" s="304">
        <f t="shared" si="4"/>
        <v>0.51</v>
      </c>
      <c r="F17" s="304">
        <f t="shared" si="5"/>
        <v>0.51</v>
      </c>
      <c r="H17" s="193">
        <f t="shared" si="1"/>
        <v>2021</v>
      </c>
      <c r="I17" s="192">
        <v>2.2444603435442634E-2</v>
      </c>
      <c r="J17" s="302">
        <f t="shared" si="6"/>
        <v>1.1124042971773134</v>
      </c>
      <c r="L17" s="49"/>
      <c r="M17" s="49"/>
      <c r="N17" s="49"/>
      <c r="O17" s="49"/>
    </row>
    <row r="18" spans="2:15" x14ac:dyDescent="0.2">
      <c r="B18" s="303">
        <f t="shared" si="0"/>
        <v>2022</v>
      </c>
      <c r="C18" s="304">
        <f t="shared" si="2"/>
        <v>0.16</v>
      </c>
      <c r="D18" s="304">
        <f t="shared" si="3"/>
        <v>0.49</v>
      </c>
      <c r="E18" s="304">
        <f t="shared" si="4"/>
        <v>0.52</v>
      </c>
      <c r="F18" s="304">
        <f t="shared" si="5"/>
        <v>0.52</v>
      </c>
      <c r="H18" s="193">
        <f t="shared" si="1"/>
        <v>2022</v>
      </c>
      <c r="I18" s="192">
        <v>2.2559296067847567E-2</v>
      </c>
      <c r="J18" s="302">
        <f t="shared" si="6"/>
        <v>1.1374993550644823</v>
      </c>
      <c r="L18" s="49"/>
      <c r="M18" s="49"/>
      <c r="N18" s="49"/>
      <c r="O18" s="49"/>
    </row>
    <row r="19" spans="2:15" x14ac:dyDescent="0.2">
      <c r="B19" s="303">
        <f t="shared" si="0"/>
        <v>2023</v>
      </c>
      <c r="C19" s="304">
        <f t="shared" si="2"/>
        <v>0.17</v>
      </c>
      <c r="D19" s="304">
        <f t="shared" si="3"/>
        <v>0.5</v>
      </c>
      <c r="E19" s="304">
        <f t="shared" si="4"/>
        <v>0.53</v>
      </c>
      <c r="F19" s="304">
        <f t="shared" si="5"/>
        <v>0.53</v>
      </c>
      <c r="H19" s="193">
        <f t="shared" si="1"/>
        <v>2023</v>
      </c>
      <c r="I19" s="192">
        <v>2.3031082544693549E-2</v>
      </c>
      <c r="J19" s="302">
        <f t="shared" si="6"/>
        <v>1.1636971966055081</v>
      </c>
      <c r="L19" s="49"/>
      <c r="M19" s="49"/>
      <c r="N19" s="49"/>
      <c r="O19" s="49"/>
    </row>
    <row r="20" spans="2:15" x14ac:dyDescent="0.2">
      <c r="B20" s="303">
        <f t="shared" si="0"/>
        <v>2024</v>
      </c>
      <c r="C20" s="304">
        <f t="shared" si="2"/>
        <v>0.17</v>
      </c>
      <c r="D20" s="304">
        <f t="shared" si="3"/>
        <v>0.51</v>
      </c>
      <c r="E20" s="304">
        <f t="shared" si="4"/>
        <v>0.55000000000000004</v>
      </c>
      <c r="F20" s="304">
        <f t="shared" si="5"/>
        <v>0.55000000000000004</v>
      </c>
      <c r="H20" s="193">
        <f>H19+1</f>
        <v>2024</v>
      </c>
      <c r="I20" s="192">
        <v>2.3134274986934988E-2</v>
      </c>
      <c r="J20" s="302">
        <f t="shared" si="6"/>
        <v>1.1906184875533052</v>
      </c>
      <c r="L20" s="49"/>
      <c r="M20" s="49"/>
      <c r="N20" s="49"/>
      <c r="O20" s="49"/>
    </row>
    <row r="21" spans="2:15" x14ac:dyDescent="0.2">
      <c r="B21" s="303">
        <f t="shared" si="0"/>
        <v>2025</v>
      </c>
      <c r="C21" s="304">
        <f t="shared" si="2"/>
        <v>0.18</v>
      </c>
      <c r="D21" s="304">
        <f t="shared" si="3"/>
        <v>0.52</v>
      </c>
      <c r="E21" s="304">
        <f t="shared" si="4"/>
        <v>0.56000000000000005</v>
      </c>
      <c r="F21" s="304">
        <f t="shared" si="5"/>
        <v>0.56000000000000005</v>
      </c>
      <c r="H21" s="193">
        <f t="shared" ref="H21:H28" si="7">H20+1</f>
        <v>2025</v>
      </c>
      <c r="I21" s="192">
        <v>2.3159080336675242E-2</v>
      </c>
      <c r="J21" s="302">
        <f t="shared" si="6"/>
        <v>1.218192116756883</v>
      </c>
      <c r="L21" s="49"/>
      <c r="M21" s="49"/>
      <c r="N21" s="49"/>
      <c r="O21" s="49"/>
    </row>
    <row r="22" spans="2:15" x14ac:dyDescent="0.2">
      <c r="B22" s="303">
        <f t="shared" si="0"/>
        <v>2026</v>
      </c>
      <c r="C22" s="304">
        <f t="shared" si="2"/>
        <v>0.18</v>
      </c>
      <c r="D22" s="304">
        <f t="shared" si="3"/>
        <v>0.53</v>
      </c>
      <c r="E22" s="304">
        <f t="shared" si="4"/>
        <v>0.56999999999999995</v>
      </c>
      <c r="F22" s="304">
        <f t="shared" si="5"/>
        <v>0.56999999999999995</v>
      </c>
      <c r="H22" s="193">
        <f t="shared" si="7"/>
        <v>2026</v>
      </c>
      <c r="I22" s="192">
        <v>2.2944058791238842E-2</v>
      </c>
      <c r="J22" s="302">
        <f t="shared" si="6"/>
        <v>1.2461423883027767</v>
      </c>
      <c r="L22" s="49"/>
      <c r="M22" s="49"/>
      <c r="N22" s="49"/>
      <c r="O22" s="49"/>
    </row>
    <row r="23" spans="2:15" x14ac:dyDescent="0.2">
      <c r="B23" s="303">
        <f t="shared" si="0"/>
        <v>2027</v>
      </c>
      <c r="C23" s="304">
        <f t="shared" si="2"/>
        <v>0.18</v>
      </c>
      <c r="D23" s="304">
        <f t="shared" si="3"/>
        <v>0.55000000000000004</v>
      </c>
      <c r="E23" s="304">
        <f t="shared" si="4"/>
        <v>0.57999999999999996</v>
      </c>
      <c r="F23" s="304">
        <f t="shared" si="5"/>
        <v>0.57999999999999996</v>
      </c>
      <c r="H23" s="193">
        <f t="shared" si="7"/>
        <v>2027</v>
      </c>
      <c r="I23" s="192">
        <v>2.3164081218836952E-2</v>
      </c>
      <c r="J23" s="302">
        <f t="shared" si="6"/>
        <v>1.2750081317956576</v>
      </c>
      <c r="L23" s="50"/>
      <c r="M23" s="49"/>
      <c r="N23" s="49"/>
      <c r="O23" s="49"/>
    </row>
    <row r="24" spans="2:15" x14ac:dyDescent="0.2">
      <c r="B24" s="303">
        <f t="shared" si="0"/>
        <v>2028</v>
      </c>
      <c r="C24" s="304">
        <f t="shared" si="2"/>
        <v>0.19</v>
      </c>
      <c r="D24" s="304">
        <f t="shared" si="3"/>
        <v>0.56000000000000005</v>
      </c>
      <c r="E24" s="304">
        <f t="shared" si="4"/>
        <v>0.6</v>
      </c>
      <c r="F24" s="304">
        <f t="shared" si="5"/>
        <v>0.6</v>
      </c>
      <c r="H24" s="193">
        <f t="shared" si="7"/>
        <v>2028</v>
      </c>
      <c r="I24" s="192">
        <v>2.3269517424980624E-2</v>
      </c>
      <c r="J24" s="302">
        <f t="shared" si="6"/>
        <v>1.3046769557354687</v>
      </c>
      <c r="L24" s="50"/>
      <c r="M24" s="49"/>
      <c r="N24" s="49"/>
      <c r="O24" s="49"/>
    </row>
    <row r="25" spans="2:15" x14ac:dyDescent="0.2">
      <c r="B25" s="303">
        <f t="shared" si="0"/>
        <v>2029</v>
      </c>
      <c r="C25" s="304">
        <f t="shared" si="2"/>
        <v>0.19</v>
      </c>
      <c r="D25" s="304">
        <f t="shared" si="3"/>
        <v>0.56999999999999995</v>
      </c>
      <c r="E25" s="304">
        <f t="shared" si="4"/>
        <v>0.61</v>
      </c>
      <c r="F25" s="304">
        <f t="shared" si="5"/>
        <v>0.61</v>
      </c>
      <c r="H25" s="193">
        <f t="shared" si="7"/>
        <v>2029</v>
      </c>
      <c r="I25" s="192">
        <v>2.3660062349176059E-2</v>
      </c>
      <c r="J25" s="302">
        <f t="shared" si="6"/>
        <v>1.3355456938537031</v>
      </c>
    </row>
    <row r="26" spans="2:15" x14ac:dyDescent="0.2">
      <c r="B26" s="303">
        <f t="shared" si="0"/>
        <v>2030</v>
      </c>
      <c r="C26" s="304">
        <f t="shared" si="2"/>
        <v>0.2</v>
      </c>
      <c r="D26" s="304">
        <f t="shared" si="3"/>
        <v>0.59</v>
      </c>
      <c r="E26" s="304">
        <f t="shared" si="4"/>
        <v>0.63</v>
      </c>
      <c r="F26" s="304">
        <f t="shared" si="5"/>
        <v>0.63</v>
      </c>
      <c r="H26" s="193">
        <f t="shared" si="7"/>
        <v>2030</v>
      </c>
      <c r="I26" s="192">
        <v>2.3797996946838929E-2</v>
      </c>
      <c r="J26" s="302">
        <f t="shared" si="6"/>
        <v>1.3673290061983974</v>
      </c>
    </row>
    <row r="27" spans="2:15" x14ac:dyDescent="0.2">
      <c r="B27" s="303">
        <f t="shared" si="0"/>
        <v>2031</v>
      </c>
      <c r="C27" s="304">
        <f t="shared" si="2"/>
        <v>0.2</v>
      </c>
      <c r="D27" s="304">
        <f t="shared" si="3"/>
        <v>0.6</v>
      </c>
      <c r="E27" s="304">
        <f t="shared" si="4"/>
        <v>0.64</v>
      </c>
      <c r="F27" s="304">
        <f t="shared" si="5"/>
        <v>0.64</v>
      </c>
      <c r="H27" s="193">
        <f t="shared" si="7"/>
        <v>2031</v>
      </c>
      <c r="I27" s="192">
        <v>2.4014000123530499E-2</v>
      </c>
      <c r="J27" s="302">
        <f t="shared" si="6"/>
        <v>1.4001640451221524</v>
      </c>
    </row>
    <row r="28" spans="2:15" x14ac:dyDescent="0.2">
      <c r="B28" s="303">
        <f t="shared" si="0"/>
        <v>2032</v>
      </c>
      <c r="C28" s="304">
        <f t="shared" si="2"/>
        <v>0.21</v>
      </c>
      <c r="D28" s="304">
        <f t="shared" si="3"/>
        <v>0.61</v>
      </c>
      <c r="E28" s="304">
        <f t="shared" si="4"/>
        <v>0.66</v>
      </c>
      <c r="F28" s="304">
        <f t="shared" si="5"/>
        <v>0.66</v>
      </c>
      <c r="H28" s="193">
        <f t="shared" si="7"/>
        <v>2032</v>
      </c>
      <c r="I28" s="192">
        <v>2.4075090077113837E-2</v>
      </c>
      <c r="J28" s="302">
        <f t="shared" si="6"/>
        <v>1.4338731206312043</v>
      </c>
    </row>
    <row r="29" spans="2:15" x14ac:dyDescent="0.2">
      <c r="B29" s="303">
        <f t="shared" si="0"/>
        <v>2033</v>
      </c>
      <c r="C29" s="304">
        <f t="shared" si="2"/>
        <v>0.21</v>
      </c>
      <c r="D29" s="304">
        <f t="shared" si="3"/>
        <v>0.63</v>
      </c>
      <c r="E29" s="304">
        <f t="shared" si="4"/>
        <v>0.67</v>
      </c>
      <c r="F29" s="304">
        <f t="shared" si="5"/>
        <v>0.67</v>
      </c>
      <c r="H29" s="193">
        <f>H28+1</f>
        <v>2033</v>
      </c>
      <c r="I29" s="192">
        <v>2.4191075903759129E-2</v>
      </c>
      <c r="J29" s="302">
        <f t="shared" si="6"/>
        <v>1.4685600541287538</v>
      </c>
      <c r="L29" s="305"/>
    </row>
    <row r="30" spans="2:15" x14ac:dyDescent="0.2">
      <c r="B30" s="303">
        <f t="shared" si="0"/>
        <v>2034</v>
      </c>
      <c r="C30" s="304">
        <f t="shared" si="2"/>
        <v>0.22</v>
      </c>
      <c r="D30" s="304">
        <f t="shared" si="3"/>
        <v>0.65</v>
      </c>
      <c r="E30" s="304">
        <f t="shared" si="4"/>
        <v>0.69</v>
      </c>
      <c r="F30" s="304">
        <f t="shared" si="5"/>
        <v>0.69</v>
      </c>
      <c r="H30" s="193">
        <f t="shared" ref="H30:H38" si="8">H29+1</f>
        <v>2034</v>
      </c>
      <c r="I30" s="192">
        <v>2.4219456505286896E-2</v>
      </c>
      <c r="J30" s="302">
        <f t="shared" si="6"/>
        <v>1.504127780485127</v>
      </c>
      <c r="L30" s="305"/>
    </row>
    <row r="31" spans="2:15" x14ac:dyDescent="0.2">
      <c r="B31" s="303">
        <f t="shared" si="0"/>
        <v>2035</v>
      </c>
      <c r="C31" s="304">
        <f t="shared" si="2"/>
        <v>0.22</v>
      </c>
      <c r="D31" s="304">
        <f t="shared" si="3"/>
        <v>0.66</v>
      </c>
      <c r="E31" s="304">
        <f t="shared" si="4"/>
        <v>0.71</v>
      </c>
      <c r="F31" s="304">
        <f t="shared" si="5"/>
        <v>0.71</v>
      </c>
      <c r="H31" s="193">
        <f t="shared" si="8"/>
        <v>2035</v>
      </c>
      <c r="I31" s="192">
        <v>2.4174683944208519E-2</v>
      </c>
      <c r="J31" s="302">
        <f t="shared" si="6"/>
        <v>1.5404895941900587</v>
      </c>
      <c r="L31" s="306"/>
    </row>
    <row r="32" spans="2:15" x14ac:dyDescent="0.2">
      <c r="B32" s="303">
        <f t="shared" si="0"/>
        <v>2036</v>
      </c>
      <c r="C32" s="304">
        <f t="shared" si="2"/>
        <v>0.23</v>
      </c>
      <c r="D32" s="304">
        <f t="shared" si="3"/>
        <v>0.68</v>
      </c>
      <c r="E32" s="304">
        <f t="shared" si="4"/>
        <v>0.72</v>
      </c>
      <c r="F32" s="304">
        <f t="shared" si="5"/>
        <v>0.72</v>
      </c>
      <c r="H32" s="193">
        <f t="shared" si="8"/>
        <v>2036</v>
      </c>
      <c r="I32" s="192">
        <v>2.4311492116604327E-2</v>
      </c>
      <c r="J32" s="302">
        <f t="shared" si="6"/>
        <v>1.5779411948149213</v>
      </c>
    </row>
    <row r="33" spans="2:13" x14ac:dyDescent="0.2">
      <c r="B33" s="303">
        <f t="shared" si="0"/>
        <v>2037</v>
      </c>
      <c r="C33" s="304">
        <f t="shared" si="2"/>
        <v>0.23</v>
      </c>
      <c r="D33" s="304">
        <f t="shared" si="3"/>
        <v>0.69</v>
      </c>
      <c r="E33" s="304">
        <f t="shared" si="4"/>
        <v>0.74</v>
      </c>
      <c r="F33" s="304">
        <f t="shared" si="5"/>
        <v>0.74</v>
      </c>
      <c r="H33" s="193">
        <f t="shared" si="8"/>
        <v>2037</v>
      </c>
      <c r="I33" s="192">
        <v>2.4277391473133791E-2</v>
      </c>
      <c r="J33" s="302">
        <f t="shared" si="6"/>
        <v>1.6162494909230276</v>
      </c>
      <c r="M33" s="307"/>
    </row>
    <row r="34" spans="2:13" x14ac:dyDescent="0.2">
      <c r="B34" s="303">
        <f t="shared" si="0"/>
        <v>2038</v>
      </c>
      <c r="C34" s="304">
        <f t="shared" si="2"/>
        <v>0.24</v>
      </c>
      <c r="D34" s="304">
        <f t="shared" si="3"/>
        <v>0.71</v>
      </c>
      <c r="E34" s="304">
        <f t="shared" si="4"/>
        <v>0.76</v>
      </c>
      <c r="F34" s="304">
        <f t="shared" si="5"/>
        <v>0.76</v>
      </c>
      <c r="H34" s="193">
        <f t="shared" si="8"/>
        <v>2038</v>
      </c>
      <c r="I34" s="192">
        <v>2.4418737348747444E-2</v>
      </c>
      <c r="J34" s="302">
        <f t="shared" si="6"/>
        <v>1.6557162627319237</v>
      </c>
    </row>
    <row r="35" spans="2:13" x14ac:dyDescent="0.2">
      <c r="B35" s="303">
        <f t="shared" si="0"/>
        <v>2039</v>
      </c>
      <c r="C35" s="304">
        <f t="shared" si="2"/>
        <v>0.25</v>
      </c>
      <c r="D35" s="304">
        <f t="shared" si="3"/>
        <v>0.73</v>
      </c>
      <c r="E35" s="304">
        <f t="shared" si="4"/>
        <v>0.78</v>
      </c>
      <c r="F35" s="304">
        <f t="shared" si="5"/>
        <v>0.78</v>
      </c>
      <c r="H35" s="193">
        <f t="shared" si="8"/>
        <v>2039</v>
      </c>
      <c r="I35" s="192">
        <v>2.4490791911648602E-2</v>
      </c>
      <c r="J35" s="302">
        <f t="shared" si="6"/>
        <v>1.6962660651872239</v>
      </c>
    </row>
    <row r="36" spans="2:13" x14ac:dyDescent="0.2">
      <c r="B36" s="303">
        <f t="shared" si="0"/>
        <v>2040</v>
      </c>
      <c r="C36" s="304">
        <f t="shared" si="2"/>
        <v>0.25</v>
      </c>
      <c r="D36" s="304">
        <f t="shared" si="3"/>
        <v>0.75</v>
      </c>
      <c r="E36" s="304">
        <f t="shared" si="4"/>
        <v>0.8</v>
      </c>
      <c r="F36" s="304">
        <f t="shared" si="5"/>
        <v>0.8</v>
      </c>
      <c r="H36" s="193">
        <f t="shared" si="8"/>
        <v>2040</v>
      </c>
      <c r="I36" s="192">
        <v>2.442458536688985E-2</v>
      </c>
      <c r="J36" s="302">
        <f t="shared" si="6"/>
        <v>1.7376966605013475</v>
      </c>
    </row>
    <row r="37" spans="2:13" x14ac:dyDescent="0.2">
      <c r="B37" s="303">
        <f t="shared" si="0"/>
        <v>2041</v>
      </c>
      <c r="C37" s="304">
        <f t="shared" si="2"/>
        <v>0.26</v>
      </c>
      <c r="D37" s="304">
        <f t="shared" si="3"/>
        <v>0.76</v>
      </c>
      <c r="E37" s="304">
        <f t="shared" si="4"/>
        <v>0.82</v>
      </c>
      <c r="F37" s="304">
        <f t="shared" si="5"/>
        <v>0.82</v>
      </c>
      <c r="H37" s="193">
        <f t="shared" si="8"/>
        <v>2041</v>
      </c>
      <c r="I37" s="192">
        <v>2.4530694634797623E-2</v>
      </c>
      <c r="J37" s="302">
        <f t="shared" si="6"/>
        <v>1.7803235666480137</v>
      </c>
    </row>
    <row r="38" spans="2:13" x14ac:dyDescent="0.2">
      <c r="B38" s="303">
        <f t="shared" si="0"/>
        <v>2042</v>
      </c>
      <c r="C38" s="304">
        <f t="shared" si="2"/>
        <v>0.26</v>
      </c>
      <c r="D38" s="304">
        <f t="shared" si="3"/>
        <v>0.78</v>
      </c>
      <c r="E38" s="304">
        <f t="shared" si="4"/>
        <v>0.84</v>
      </c>
      <c r="F38" s="304">
        <f t="shared" si="5"/>
        <v>0.84</v>
      </c>
      <c r="H38" s="193">
        <f t="shared" si="8"/>
        <v>2042</v>
      </c>
      <c r="I38" s="192">
        <v>2.4630996146588036E-2</v>
      </c>
      <c r="J38" s="302">
        <f t="shared" si="6"/>
        <v>1.8241747095578009</v>
      </c>
    </row>
    <row r="39" spans="2:13" x14ac:dyDescent="0.2">
      <c r="B39" s="308"/>
      <c r="C39" s="309"/>
      <c r="D39" s="309"/>
      <c r="H39" s="193"/>
      <c r="I39" s="192"/>
      <c r="J39" s="302"/>
    </row>
    <row r="40" spans="2:13" x14ac:dyDescent="0.2">
      <c r="B40" s="308"/>
      <c r="C40" s="309"/>
      <c r="D40" s="309"/>
      <c r="H40" s="193"/>
      <c r="I40" s="192"/>
    </row>
    <row r="41" spans="2:13" x14ac:dyDescent="0.2">
      <c r="B41" s="308"/>
      <c r="C41" s="309"/>
      <c r="D41" s="309"/>
      <c r="H41" s="193"/>
      <c r="I41" s="192"/>
    </row>
    <row r="42" spans="2:13" x14ac:dyDescent="0.2">
      <c r="E42" s="308"/>
    </row>
    <row r="50" spans="2:11" x14ac:dyDescent="0.2">
      <c r="C50" s="192"/>
    </row>
    <row r="54" spans="2:11" x14ac:dyDescent="0.2">
      <c r="K54" s="290"/>
    </row>
    <row r="55" spans="2:11" s="290" customFormat="1" x14ac:dyDescent="0.2">
      <c r="B55" s="288"/>
      <c r="C55" s="288"/>
      <c r="D55" s="288"/>
      <c r="E55" s="288"/>
      <c r="F55" s="288"/>
      <c r="G55" s="288"/>
      <c r="H55" s="288"/>
      <c r="I55" s="288"/>
      <c r="J55" s="288"/>
    </row>
    <row r="56" spans="2:11" s="290" customFormat="1" x14ac:dyDescent="0.2">
      <c r="E56" s="288"/>
    </row>
    <row r="57" spans="2:11" s="290" customFormat="1" x14ac:dyDescent="0.2">
      <c r="E57" s="288"/>
    </row>
    <row r="58" spans="2:11" s="290" customFormat="1" x14ac:dyDescent="0.2">
      <c r="E58" s="288"/>
    </row>
    <row r="59" spans="2:11" s="290" customFormat="1" x14ac:dyDescent="0.2">
      <c r="E59" s="288"/>
      <c r="K59" s="288"/>
    </row>
    <row r="60" spans="2:11" x14ac:dyDescent="0.2">
      <c r="B60" s="290"/>
      <c r="C60" s="290"/>
      <c r="D60" s="290"/>
      <c r="F60" s="290"/>
      <c r="G60" s="290"/>
      <c r="H60" s="290"/>
      <c r="I60" s="290"/>
      <c r="J60" s="290"/>
    </row>
  </sheetData>
  <mergeCells count="2">
    <mergeCell ref="M8:O8"/>
    <mergeCell ref="B2:J2"/>
  </mergeCells>
  <printOptions horizontalCentered="1"/>
  <pageMargins left="0.3" right="0.3" top="0.8" bottom="0.4" header="0.5" footer="0.2"/>
  <pageSetup scale="68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76" sqref="D76"/>
    </sheetView>
  </sheetViews>
  <sheetFormatPr defaultRowHeight="12.75" x14ac:dyDescent="0.2"/>
  <sheetData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N41"/>
  <sheetViews>
    <sheetView showGridLines="0" zoomScale="90" zoomScaleNormal="90" workbookViewId="0">
      <selection activeCell="C29" sqref="C29"/>
    </sheetView>
  </sheetViews>
  <sheetFormatPr defaultRowHeight="12" x14ac:dyDescent="0.2"/>
  <cols>
    <col min="1" max="1" width="2.83203125" style="29" customWidth="1"/>
    <col min="2" max="2" width="22.6640625" style="29" customWidth="1"/>
    <col min="3" max="6" width="18.83203125" style="29" customWidth="1"/>
    <col min="7" max="7" width="17" style="29" customWidth="1"/>
    <col min="8" max="8" width="9.33203125" style="29"/>
    <col min="9" max="9" width="19" style="29" customWidth="1"/>
    <col min="10" max="10" width="20.1640625" style="29" customWidth="1"/>
    <col min="11" max="11" width="19" style="29" customWidth="1"/>
    <col min="12" max="12" width="26.83203125" style="29" customWidth="1"/>
    <col min="13" max="13" width="12.83203125" style="29" customWidth="1"/>
    <col min="14" max="14" width="16.6640625" style="29" customWidth="1"/>
    <col min="15" max="16384" width="9.33203125" style="29"/>
  </cols>
  <sheetData>
    <row r="1" spans="1:14" x14ac:dyDescent="0.2">
      <c r="A1" s="2"/>
      <c r="B1" s="2"/>
      <c r="C1" s="2"/>
      <c r="D1" s="2"/>
      <c r="E1" s="2"/>
      <c r="F1" s="2"/>
      <c r="G1" s="2"/>
    </row>
    <row r="2" spans="1:14" x14ac:dyDescent="0.2">
      <c r="A2" s="2"/>
      <c r="B2" s="2" t="s">
        <v>21</v>
      </c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1:14" x14ac:dyDescent="0.2">
      <c r="B3" s="51" t="s">
        <v>38</v>
      </c>
      <c r="I3" s="2"/>
      <c r="J3" s="2"/>
      <c r="K3" s="2"/>
      <c r="L3" s="2"/>
      <c r="M3" s="2"/>
      <c r="N3" s="2"/>
    </row>
    <row r="4" spans="1:14" x14ac:dyDescent="0.2">
      <c r="A4" s="30"/>
      <c r="C4" s="30"/>
      <c r="D4" s="30"/>
      <c r="E4" s="30"/>
      <c r="F4" s="30"/>
      <c r="G4" s="30"/>
      <c r="L4" s="171" t="s">
        <v>76</v>
      </c>
      <c r="M4" s="171"/>
    </row>
    <row r="5" spans="1:14" x14ac:dyDescent="0.2">
      <c r="A5" s="30"/>
      <c r="B5" s="30"/>
    </row>
    <row r="6" spans="1:14" x14ac:dyDescent="0.2">
      <c r="A6" s="30"/>
      <c r="B6" s="31" t="s">
        <v>32</v>
      </c>
      <c r="C6" s="32" t="s">
        <v>226</v>
      </c>
      <c r="D6" s="32"/>
      <c r="E6" s="67" t="s">
        <v>31</v>
      </c>
      <c r="F6" s="32"/>
      <c r="G6" s="32"/>
    </row>
    <row r="7" spans="1:14" ht="14.25" x14ac:dyDescent="0.35">
      <c r="A7" s="30"/>
      <c r="B7" s="31" t="s">
        <v>30</v>
      </c>
      <c r="C7" s="33" t="s">
        <v>10</v>
      </c>
      <c r="D7" s="33" t="s">
        <v>11</v>
      </c>
      <c r="E7" s="33" t="s">
        <v>10</v>
      </c>
      <c r="F7" s="33" t="s">
        <v>11</v>
      </c>
      <c r="G7" s="33"/>
    </row>
    <row r="8" spans="1:14" x14ac:dyDescent="0.2">
      <c r="A8" s="34"/>
      <c r="B8" s="35"/>
      <c r="C8" s="36"/>
      <c r="D8" s="36"/>
      <c r="E8" s="36"/>
      <c r="F8" s="36"/>
      <c r="G8" s="36"/>
    </row>
    <row r="9" spans="1:14" hidden="1" x14ac:dyDescent="0.2">
      <c r="A9" s="34"/>
      <c r="B9" s="35"/>
      <c r="C9" s="36"/>
      <c r="D9" s="36"/>
      <c r="E9" s="36"/>
      <c r="F9" s="36"/>
      <c r="G9" s="36"/>
      <c r="H9" s="172"/>
    </row>
    <row r="10" spans="1:14" x14ac:dyDescent="0.2">
      <c r="A10" s="34"/>
      <c r="B10" s="186">
        <f>[13]SourceEnergy!$R$20</f>
        <v>2017</v>
      </c>
      <c r="C10" s="37">
        <f>INDEX([13]SourceEnergy!$S$20:$T$40,MATCH($B10,[13]SourceEnergy!$R$20:$R$40,0),MATCH(C$7,[13]SourceEnergy!$S$12:$T$12,0))/10</f>
        <v>2.0036155675670599</v>
      </c>
      <c r="D10" s="37">
        <f>INDEX([13]SourceEnergy!$S$20:$T$40,MATCH($B10,[13]SourceEnergy!$R$20:$R$40,0),MATCH(D$7,[13]SourceEnergy!$S$12:$T$12,0))/10</f>
        <v>2.1677180002144487</v>
      </c>
      <c r="E10" s="37">
        <f>INDEX([13]SourceEnergy!$U$20:$V$40,MATCH($B10,[13]SourceEnergy!$R$20:$R$40,0),MATCH(E$7,[13]SourceEnergy!$U$12:$V$12,0))/10</f>
        <v>1.8342748367775594</v>
      </c>
      <c r="F10" s="37">
        <f>INDEX([13]SourceEnergy!$U$20:$V$40,MATCH($B10,[13]SourceEnergy!$R$20:$R$40,0),MATCH(F$7,[13]SourceEnergy!$U$12:$V$12,0))/10</f>
        <v>1.5834756523311331</v>
      </c>
      <c r="G10" s="36"/>
      <c r="H10" s="172"/>
    </row>
    <row r="11" spans="1:14" x14ac:dyDescent="0.2">
      <c r="A11" s="34"/>
      <c r="B11" s="186">
        <f>B10+1</f>
        <v>2018</v>
      </c>
      <c r="C11" s="37">
        <f>INDEX([13]SourceEnergy!$S$20:$T$40,MATCH($B11,[13]SourceEnergy!$R$20:$R$40,0),MATCH(C$7,[13]SourceEnergy!$S$12:$T$12,0))/10</f>
        <v>2.1350329006466588</v>
      </c>
      <c r="D11" s="37">
        <f>INDEX([13]SourceEnergy!$S$20:$T$40,MATCH($B11,[13]SourceEnergy!$R$20:$R$40,0),MATCH(D$7,[13]SourceEnergy!$S$12:$T$12,0))/10</f>
        <v>2.2156082287197281</v>
      </c>
      <c r="E11" s="37">
        <f>INDEX([13]SourceEnergy!$U$20:$V$40,MATCH($B11,[13]SourceEnergy!$R$20:$R$40,0),MATCH(E$7,[13]SourceEnergy!$U$12:$V$12,0))/10</f>
        <v>1.9012549126543381</v>
      </c>
      <c r="F11" s="37">
        <f>INDEX([13]SourceEnergy!$U$20:$V$40,MATCH($B11,[13]SourceEnergy!$R$20:$R$40,0),MATCH(F$7,[13]SourceEnergy!$U$12:$V$12,0))/10</f>
        <v>1.6184585287085878</v>
      </c>
      <c r="G11" s="36"/>
      <c r="H11" s="172"/>
    </row>
    <row r="12" spans="1:14" x14ac:dyDescent="0.2">
      <c r="A12" s="34"/>
      <c r="B12" s="186">
        <f t="shared" ref="B12:B30" si="0">B11+1</f>
        <v>2019</v>
      </c>
      <c r="C12" s="37">
        <f>INDEX([13]SourceEnergy!$S$20:$T$40,MATCH($B12,[13]SourceEnergy!$R$20:$R$40,0),MATCH(C$7,[13]SourceEnergy!$S$12:$T$12,0))/10</f>
        <v>1.9578084628346364</v>
      </c>
      <c r="D12" s="37">
        <f>INDEX([13]SourceEnergy!$S$20:$T$40,MATCH($B12,[13]SourceEnergy!$R$20:$R$40,0),MATCH(D$7,[13]SourceEnergy!$S$12:$T$12,0))/10</f>
        <v>2.3490419638418008</v>
      </c>
      <c r="E12" s="37">
        <f>INDEX([13]SourceEnergy!$U$20:$V$40,MATCH($B12,[13]SourceEnergy!$R$20:$R$40,0),MATCH(E$7,[13]SourceEnergy!$U$12:$V$12,0))/10</f>
        <v>1.6516707791506959</v>
      </c>
      <c r="F12" s="37">
        <f>INDEX([13]SourceEnergy!$U$20:$V$40,MATCH($B12,[13]SourceEnergy!$R$20:$R$40,0),MATCH(F$7,[13]SourceEnergy!$U$12:$V$12,0))/10</f>
        <v>1.597866958742159</v>
      </c>
      <c r="G12" s="36"/>
      <c r="H12" s="172"/>
    </row>
    <row r="13" spans="1:14" x14ac:dyDescent="0.2">
      <c r="A13" s="34"/>
      <c r="B13" s="186">
        <f t="shared" si="0"/>
        <v>2020</v>
      </c>
      <c r="C13" s="37">
        <f>INDEX([13]SourceEnergy!$S$20:$T$40,MATCH($B13,[13]SourceEnergy!$R$20:$R$40,0),MATCH(C$7,[13]SourceEnergy!$S$12:$T$12,0))/10</f>
        <v>1.8565557740773282</v>
      </c>
      <c r="D13" s="37">
        <f>INDEX([13]SourceEnergy!$S$20:$T$40,MATCH($B13,[13]SourceEnergy!$R$20:$R$40,0),MATCH(D$7,[13]SourceEnergy!$S$12:$T$12,0))/10</f>
        <v>2.2375666284013551</v>
      </c>
      <c r="E13" s="37">
        <f>INDEX([13]SourceEnergy!$U$20:$V$40,MATCH($B13,[13]SourceEnergy!$R$20:$R$40,0),MATCH(E$7,[13]SourceEnergy!$U$12:$V$12,0))/10</f>
        <v>1.564344305475259</v>
      </c>
      <c r="F13" s="37">
        <f>INDEX([13]SourceEnergy!$U$20:$V$40,MATCH($B13,[13]SourceEnergy!$R$20:$R$40,0),MATCH(F$7,[13]SourceEnergy!$U$12:$V$12,0))/10</f>
        <v>1.4161092061445379</v>
      </c>
      <c r="G13" s="36"/>
      <c r="H13" s="172"/>
    </row>
    <row r="14" spans="1:14" x14ac:dyDescent="0.2">
      <c r="A14" s="34"/>
      <c r="B14" s="186">
        <f t="shared" si="0"/>
        <v>2021</v>
      </c>
      <c r="C14" s="37">
        <f>INDEX([13]SourceEnergy!$S$20:$T$40,MATCH($B14,[13]SourceEnergy!$R$20:$R$40,0),MATCH(C$7,[13]SourceEnergy!$S$12:$T$12,0))/10</f>
        <v>1.7544317645789373</v>
      </c>
      <c r="D14" s="37">
        <f>INDEX([13]SourceEnergy!$S$20:$T$40,MATCH($B14,[13]SourceEnergy!$R$20:$R$40,0),MATCH(D$7,[13]SourceEnergy!$S$12:$T$12,0))/10</f>
        <v>2.1234428601163611</v>
      </c>
      <c r="E14" s="37">
        <f>INDEX([13]SourceEnergy!$U$20:$V$40,MATCH($B14,[13]SourceEnergy!$R$20:$R$40,0),MATCH(E$7,[13]SourceEnergy!$U$12:$V$12,0))/10</f>
        <v>1.5200550429846462</v>
      </c>
      <c r="F14" s="37">
        <f>INDEX([13]SourceEnergy!$U$20:$V$40,MATCH($B14,[13]SourceEnergy!$R$20:$R$40,0),MATCH(F$7,[13]SourceEnergy!$U$12:$V$12,0))/10</f>
        <v>1.3788063805339019</v>
      </c>
      <c r="G14" s="36"/>
      <c r="H14" s="172"/>
    </row>
    <row r="15" spans="1:14" x14ac:dyDescent="0.2">
      <c r="A15" s="34"/>
      <c r="B15" s="186">
        <f t="shared" si="0"/>
        <v>2022</v>
      </c>
      <c r="C15" s="37">
        <f>INDEX([13]SourceEnergy!$S$20:$T$40,MATCH($B15,[13]SourceEnergy!$R$20:$R$40,0),MATCH(C$7,[13]SourceEnergy!$S$12:$T$12,0))/10</f>
        <v>2.005135249013366</v>
      </c>
      <c r="D15" s="37">
        <f>INDEX([13]SourceEnergy!$S$20:$T$40,MATCH($B15,[13]SourceEnergy!$R$20:$R$40,0),MATCH(D$7,[13]SourceEnergy!$S$12:$T$12,0))/10</f>
        <v>2.2318008111853218</v>
      </c>
      <c r="E15" s="37">
        <f>INDEX([13]SourceEnergy!$U$20:$V$40,MATCH($B15,[13]SourceEnergy!$R$20:$R$40,0),MATCH(E$7,[13]SourceEnergy!$U$12:$V$12,0))/10</f>
        <v>1.7967132178419523</v>
      </c>
      <c r="F15" s="37">
        <f>INDEX([13]SourceEnergy!$U$20:$V$40,MATCH($B15,[13]SourceEnergy!$R$20:$R$40,0),MATCH(F$7,[13]SourceEnergy!$U$12:$V$12,0))/10</f>
        <v>1.5427919372257179</v>
      </c>
      <c r="G15" s="36"/>
      <c r="H15" s="172"/>
    </row>
    <row r="16" spans="1:14" x14ac:dyDescent="0.2">
      <c r="A16" s="34"/>
      <c r="B16" s="186">
        <f t="shared" si="0"/>
        <v>2023</v>
      </c>
      <c r="C16" s="37">
        <f>INDEX([13]SourceEnergy!$S$20:$T$40,MATCH($B16,[13]SourceEnergy!$R$20:$R$40,0),MATCH(C$7,[13]SourceEnergy!$S$12:$T$12,0))/10</f>
        <v>2.1278595592267453</v>
      </c>
      <c r="D16" s="37">
        <f>INDEX([13]SourceEnergy!$S$20:$T$40,MATCH($B16,[13]SourceEnergy!$R$20:$R$40,0),MATCH(D$7,[13]SourceEnergy!$S$12:$T$12,0))/10</f>
        <v>2.3470842090045996</v>
      </c>
      <c r="E16" s="37">
        <f>INDEX([13]SourceEnergy!$U$20:$V$40,MATCH($B16,[13]SourceEnergy!$R$20:$R$40,0),MATCH(E$7,[13]SourceEnergy!$U$12:$V$12,0))/10</f>
        <v>1.9368470267517135</v>
      </c>
      <c r="F16" s="37">
        <f>INDEX([13]SourceEnergy!$U$20:$V$40,MATCH($B16,[13]SourceEnergy!$R$20:$R$40,0),MATCH(F$7,[13]SourceEnergy!$U$12:$V$12,0))/10</f>
        <v>1.7709955413244411</v>
      </c>
      <c r="G16" s="36"/>
      <c r="H16" s="172"/>
    </row>
    <row r="17" spans="1:14" x14ac:dyDescent="0.2">
      <c r="A17" s="34"/>
      <c r="B17" s="186">
        <f t="shared" si="0"/>
        <v>2024</v>
      </c>
      <c r="C17" s="37">
        <f>INDEX([13]SourceEnergy!$S$20:$T$40,MATCH($B17,[13]SourceEnergy!$R$20:$R$40,0),MATCH(C$7,[13]SourceEnergy!$S$12:$T$12,0))/10</f>
        <v>2.4150697544052262</v>
      </c>
      <c r="D17" s="37">
        <f>INDEX([13]SourceEnergy!$S$20:$T$40,MATCH($B17,[13]SourceEnergy!$R$20:$R$40,0),MATCH(D$7,[13]SourceEnergy!$S$12:$T$12,0))/10</f>
        <v>2.5730363995677012</v>
      </c>
      <c r="E17" s="37">
        <f>INDEX([13]SourceEnergy!$U$20:$V$40,MATCH($B17,[13]SourceEnergy!$R$20:$R$40,0),MATCH(E$7,[13]SourceEnergy!$U$12:$V$12,0))/10</f>
        <v>2.2029053120535464</v>
      </c>
      <c r="F17" s="37">
        <f>INDEX([13]SourceEnergy!$U$20:$V$40,MATCH($B17,[13]SourceEnergy!$R$20:$R$40,0),MATCH(F$7,[13]SourceEnergy!$U$12:$V$12,0))/10</f>
        <v>2.0886353700537632</v>
      </c>
      <c r="G17" s="36"/>
      <c r="H17" s="172"/>
    </row>
    <row r="18" spans="1:14" x14ac:dyDescent="0.2">
      <c r="A18" s="34"/>
      <c r="B18" s="186">
        <f t="shared" si="0"/>
        <v>2025</v>
      </c>
      <c r="C18" s="37">
        <f>INDEX([13]SourceEnergy!$S$20:$T$40,MATCH($B18,[13]SourceEnergy!$R$20:$R$40,0),MATCH(C$7,[13]SourceEnergy!$S$12:$T$12,0))/10</f>
        <v>2.5499859477328117</v>
      </c>
      <c r="D18" s="37">
        <f>INDEX([13]SourceEnergy!$S$20:$T$40,MATCH($B18,[13]SourceEnergy!$R$20:$R$40,0),MATCH(D$7,[13]SourceEnergy!$S$12:$T$12,0))/10</f>
        <v>2.8317236787861533</v>
      </c>
      <c r="E18" s="37">
        <f>INDEX([13]SourceEnergy!$U$20:$V$40,MATCH($B18,[13]SourceEnergy!$R$20:$R$40,0),MATCH(E$7,[13]SourceEnergy!$U$12:$V$12,0))/10</f>
        <v>2.3166055368305409</v>
      </c>
      <c r="F18" s="37">
        <f>INDEX([13]SourceEnergy!$U$20:$V$40,MATCH($B18,[13]SourceEnergy!$R$20:$R$40,0),MATCH(F$7,[13]SourceEnergy!$U$12:$V$12,0))/10</f>
        <v>2.2603847108300599</v>
      </c>
      <c r="G18" s="36"/>
      <c r="H18" s="172"/>
    </row>
    <row r="19" spans="1:14" x14ac:dyDescent="0.2">
      <c r="A19" s="34"/>
      <c r="B19" s="186">
        <f t="shared" si="0"/>
        <v>2026</v>
      </c>
      <c r="C19" s="37">
        <f>INDEX([13]SourceEnergy!$S$20:$T$40,MATCH($B19,[13]SourceEnergy!$R$20:$R$40,0),MATCH(C$7,[13]SourceEnergy!$S$12:$T$12,0))/10</f>
        <v>2.6406409983921924</v>
      </c>
      <c r="D19" s="37">
        <f>INDEX([13]SourceEnergy!$S$20:$T$40,MATCH($B19,[13]SourceEnergy!$R$20:$R$40,0),MATCH(D$7,[13]SourceEnergy!$S$12:$T$12,0))/10</f>
        <v>2.8295035411674681</v>
      </c>
      <c r="E19" s="37">
        <f>INDEX([13]SourceEnergy!$U$20:$V$40,MATCH($B19,[13]SourceEnergy!$R$20:$R$40,0),MATCH(E$7,[13]SourceEnergy!$U$12:$V$12,0))/10</f>
        <v>2.4079910932298856</v>
      </c>
      <c r="F19" s="37">
        <f>INDEX([13]SourceEnergy!$U$20:$V$40,MATCH($B19,[13]SourceEnergy!$R$20:$R$40,0),MATCH(F$7,[13]SourceEnergy!$U$12:$V$12,0))/10</f>
        <v>2.2753244502271466</v>
      </c>
      <c r="G19" s="36"/>
      <c r="H19" s="74"/>
    </row>
    <row r="20" spans="1:14" x14ac:dyDescent="0.2">
      <c r="A20" s="34"/>
      <c r="B20" s="186">
        <f t="shared" si="0"/>
        <v>2027</v>
      </c>
      <c r="C20" s="37">
        <f>INDEX([13]SourceEnergy!$S$20:$T$40,MATCH($B20,[13]SourceEnergy!$R$20:$R$40,0),MATCH(C$7,[13]SourceEnergy!$S$12:$T$12,0))/10</f>
        <v>2.7517674958285854</v>
      </c>
      <c r="D20" s="37">
        <f>INDEX([13]SourceEnergy!$S$20:$T$40,MATCH($B20,[13]SourceEnergy!$R$20:$R$40,0),MATCH(D$7,[13]SourceEnergy!$S$12:$T$12,0))/10</f>
        <v>2.8254737576116575</v>
      </c>
      <c r="E20" s="37">
        <f>INDEX([13]SourceEnergy!$U$20:$V$40,MATCH($B20,[13]SourceEnergy!$R$20:$R$40,0),MATCH(E$7,[13]SourceEnergy!$U$12:$V$12,0))/10</f>
        <v>2.5274080536144363</v>
      </c>
      <c r="F20" s="37">
        <f>INDEX([13]SourceEnergy!$U$20:$V$40,MATCH($B20,[13]SourceEnergy!$R$20:$R$40,0),MATCH(F$7,[13]SourceEnergy!$U$12:$V$12,0))/10</f>
        <v>2.3007858442648583</v>
      </c>
      <c r="G20" s="36"/>
      <c r="H20" s="74"/>
    </row>
    <row r="21" spans="1:14" x14ac:dyDescent="0.2">
      <c r="A21" s="34"/>
      <c r="B21" s="186">
        <f t="shared" si="0"/>
        <v>2028</v>
      </c>
      <c r="C21" s="37">
        <f>INDEX([13]SourceEnergy!$S$20:$T$40,MATCH($B21,[13]SourceEnergy!$R$20:$R$40,0),MATCH(C$7,[13]SourceEnergy!$S$12:$T$12,0))/10</f>
        <v>3.1746269899384028</v>
      </c>
      <c r="D21" s="37">
        <f>INDEX([13]SourceEnergy!$S$20:$T$40,MATCH($B21,[13]SourceEnergy!$R$20:$R$40,0),MATCH(D$7,[13]SourceEnergy!$S$12:$T$12,0))/10</f>
        <v>3.8930390786304487</v>
      </c>
      <c r="E21" s="37">
        <f>INDEX([13]SourceEnergy!$U$20:$V$40,MATCH($B21,[13]SourceEnergy!$R$20:$R$40,0),MATCH(E$7,[13]SourceEnergy!$U$12:$V$12,0))/10</f>
        <v>2.9255466911973249</v>
      </c>
      <c r="F21" s="37">
        <f>INDEX([13]SourceEnergy!$U$20:$V$40,MATCH($B21,[13]SourceEnergy!$R$20:$R$40,0),MATCH(F$7,[13]SourceEnergy!$U$12:$V$12,0))/10</f>
        <v>3.2224658617005972</v>
      </c>
      <c r="G21" s="37"/>
      <c r="H21" s="74"/>
    </row>
    <row r="22" spans="1:14" x14ac:dyDescent="0.2">
      <c r="A22" s="34"/>
      <c r="B22" s="186">
        <f t="shared" si="0"/>
        <v>2029</v>
      </c>
      <c r="C22" s="37">
        <f>INDEX([13]SourceEnergy!$S$20:$T$40,MATCH($B22,[13]SourceEnergy!$R$20:$R$40,0),MATCH(C$7,[13]SourceEnergy!$S$12:$T$12,0))/10</f>
        <v>3.6758414502676677</v>
      </c>
      <c r="D22" s="37">
        <f>INDEX([13]SourceEnergy!$S$20:$T$40,MATCH($B22,[13]SourceEnergy!$R$20:$R$40,0),MATCH(D$7,[13]SourceEnergy!$S$12:$T$12,0))/10</f>
        <v>4.3902158367872648</v>
      </c>
      <c r="E22" s="37">
        <f>INDEX([13]SourceEnergy!$U$20:$V$40,MATCH($B22,[13]SourceEnergy!$R$20:$R$40,0),MATCH(E$7,[13]SourceEnergy!$U$12:$V$12,0))/10</f>
        <v>3.4125264702614806</v>
      </c>
      <c r="F22" s="37">
        <f>INDEX([13]SourceEnergy!$U$20:$V$40,MATCH($B22,[13]SourceEnergy!$R$20:$R$40,0),MATCH(F$7,[13]SourceEnergy!$U$12:$V$12,0))/10</f>
        <v>3.6497826447370572</v>
      </c>
      <c r="G22" s="37"/>
      <c r="H22" s="74"/>
    </row>
    <row r="23" spans="1:14" x14ac:dyDescent="0.2">
      <c r="A23" s="34"/>
      <c r="B23" s="186">
        <f t="shared" si="0"/>
        <v>2030</v>
      </c>
      <c r="C23" s="37">
        <f>INDEX([13]SourceEnergy!$S$20:$T$40,MATCH($B23,[13]SourceEnergy!$R$20:$R$40,0),MATCH(C$7,[13]SourceEnergy!$S$12:$T$12,0))/10</f>
        <v>5.8450321701299854</v>
      </c>
      <c r="D23" s="37">
        <f>INDEX([13]SourceEnergy!$S$20:$T$40,MATCH($B23,[13]SourceEnergy!$R$20:$R$40,0),MATCH(D$7,[13]SourceEnergy!$S$12:$T$12,0))/10</f>
        <v>5.9607273397393046</v>
      </c>
      <c r="E23" s="37">
        <f>INDEX([13]SourceEnergy!$U$20:$V$40,MATCH($B23,[13]SourceEnergy!$R$20:$R$40,0),MATCH(E$7,[13]SourceEnergy!$U$12:$V$12,0))/10</f>
        <v>5.4845491839304579</v>
      </c>
      <c r="F23" s="37">
        <f>INDEX([13]SourceEnergy!$U$20:$V$40,MATCH($B23,[13]SourceEnergy!$R$20:$R$40,0),MATCH(F$7,[13]SourceEnergy!$U$12:$V$12,0))/10</f>
        <v>5.0051331097980061</v>
      </c>
      <c r="G23" s="37"/>
      <c r="H23" s="74"/>
    </row>
    <row r="24" spans="1:14" x14ac:dyDescent="0.2">
      <c r="A24" s="34"/>
      <c r="B24" s="186">
        <f t="shared" si="0"/>
        <v>2031</v>
      </c>
      <c r="C24" s="37">
        <f>INDEX([13]SourceEnergy!$S$20:$T$40,MATCH($B24,[13]SourceEnergy!$R$20:$R$40,0),MATCH(C$7,[13]SourceEnergy!$S$12:$T$12,0))/10</f>
        <v>6.1081139770932449</v>
      </c>
      <c r="D24" s="37">
        <f>INDEX([13]SourceEnergy!$S$20:$T$40,MATCH($B24,[13]SourceEnergy!$R$20:$R$40,0),MATCH(D$7,[13]SourceEnergy!$S$12:$T$12,0))/10</f>
        <v>6.0779198664992586</v>
      </c>
      <c r="E24" s="37">
        <f>INDEX([13]SourceEnergy!$U$20:$V$40,MATCH($B24,[13]SourceEnergy!$R$20:$R$40,0),MATCH(E$7,[13]SourceEnergy!$U$12:$V$12,0))/10</f>
        <v>5.7067528789401782</v>
      </c>
      <c r="F24" s="37">
        <f>INDEX([13]SourceEnergy!$U$20:$V$40,MATCH($B24,[13]SourceEnergy!$R$20:$R$40,0),MATCH(F$7,[13]SourceEnergy!$U$12:$V$12,0))/10</f>
        <v>5.1227009247333486</v>
      </c>
      <c r="G24" s="37"/>
      <c r="H24" s="74"/>
    </row>
    <row r="25" spans="1:14" x14ac:dyDescent="0.2">
      <c r="A25" s="34"/>
      <c r="B25" s="186">
        <f t="shared" si="0"/>
        <v>2032</v>
      </c>
      <c r="C25" s="37">
        <f>INDEX([13]SourceEnergy!$S$20:$T$40,MATCH($B25,[13]SourceEnergy!$R$20:$R$40,0),MATCH(C$7,[13]SourceEnergy!$S$12:$T$12,0))/10</f>
        <v>6.3412640619970047</v>
      </c>
      <c r="D25" s="37">
        <f>INDEX([13]SourceEnergy!$S$20:$T$40,MATCH($B25,[13]SourceEnergy!$R$20:$R$40,0),MATCH(D$7,[13]SourceEnergy!$S$12:$T$12,0))/10</f>
        <v>6.3218479392173048</v>
      </c>
      <c r="E25" s="37">
        <f>INDEX([13]SourceEnergy!$U$20:$V$40,MATCH($B25,[13]SourceEnergy!$R$20:$R$40,0),MATCH(E$7,[13]SourceEnergy!$U$12:$V$12,0))/10</f>
        <v>5.924690361996225</v>
      </c>
      <c r="F25" s="37">
        <f>INDEX([13]SourceEnergy!$U$20:$V$40,MATCH($B25,[13]SourceEnergy!$R$20:$R$40,0),MATCH(F$7,[13]SourceEnergy!$U$12:$V$12,0))/10</f>
        <v>5.3666244156452922</v>
      </c>
      <c r="G25" s="37"/>
      <c r="H25" s="74"/>
    </row>
    <row r="26" spans="1:14" x14ac:dyDescent="0.2">
      <c r="A26" s="34"/>
      <c r="B26" s="186">
        <f t="shared" si="0"/>
        <v>2033</v>
      </c>
      <c r="C26" s="37">
        <f>INDEX([13]SourceEnergy!$S$20:$T$40,MATCH($B26,[13]SourceEnergy!$R$20:$R$40,0),MATCH(C$7,[13]SourceEnergy!$S$12:$T$12,0))/10</f>
        <v>6.6299244374610513</v>
      </c>
      <c r="D26" s="37">
        <f>INDEX([13]SourceEnergy!$S$20:$T$40,MATCH($B26,[13]SourceEnergy!$R$20:$R$40,0),MATCH(D$7,[13]SourceEnergy!$S$12:$T$12,0))/10</f>
        <v>6.6743520112591188</v>
      </c>
      <c r="E26" s="37">
        <f>INDEX([13]SourceEnergy!$U$20:$V$40,MATCH($B26,[13]SourceEnergy!$R$20:$R$40,0),MATCH(E$7,[13]SourceEnergy!$U$12:$V$12,0))/10</f>
        <v>6.2408526389645891</v>
      </c>
      <c r="F26" s="37">
        <f>INDEX([13]SourceEnergy!$U$20:$V$40,MATCH($B26,[13]SourceEnergy!$R$20:$R$40,0),MATCH(F$7,[13]SourceEnergy!$U$12:$V$12,0))/10</f>
        <v>5.6938946982515155</v>
      </c>
      <c r="G26" s="37"/>
      <c r="H26" s="74"/>
    </row>
    <row r="27" spans="1:14" x14ac:dyDescent="0.2">
      <c r="A27" s="34"/>
      <c r="B27" s="186">
        <f t="shared" si="0"/>
        <v>2034</v>
      </c>
      <c r="C27" s="37">
        <f>INDEX([13]SourceEnergy!$S$20:$T$40,MATCH($B27,[13]SourceEnergy!$R$20:$R$40,0),MATCH(C$7,[13]SourceEnergy!$S$12:$T$12,0))/10</f>
        <v>6.8917452695205821</v>
      </c>
      <c r="D27" s="37">
        <f>INDEX([13]SourceEnergy!$S$20:$T$40,MATCH($B27,[13]SourceEnergy!$R$20:$R$40,0),MATCH(D$7,[13]SourceEnergy!$S$12:$T$12,0))/10</f>
        <v>6.8578281300055179</v>
      </c>
      <c r="E27" s="37">
        <f>INDEX([13]SourceEnergy!$U$20:$V$40,MATCH($B27,[13]SourceEnergy!$R$20:$R$40,0),MATCH(E$7,[13]SourceEnergy!$U$12:$V$12,0))/10</f>
        <v>6.4978373229227468</v>
      </c>
      <c r="F27" s="37">
        <f>INDEX([13]SourceEnergy!$U$20:$V$40,MATCH($B27,[13]SourceEnergy!$R$20:$R$40,0),MATCH(F$7,[13]SourceEnergy!$U$12:$V$12,0))/10</f>
        <v>5.8971834052223482</v>
      </c>
      <c r="G27" s="37"/>
      <c r="H27" s="74"/>
    </row>
    <row r="28" spans="1:14" x14ac:dyDescent="0.2">
      <c r="A28" s="34"/>
      <c r="B28" s="186">
        <f t="shared" si="0"/>
        <v>2035</v>
      </c>
      <c r="C28" s="37">
        <f>INDEX([13]SourceEnergy!$S$20:$T$40,MATCH($B28,[13]SourceEnergy!$R$20:$R$40,0),MATCH(C$7,[13]SourceEnergy!$S$12:$T$12,0))/10</f>
        <v>7.133538838888434</v>
      </c>
      <c r="D28" s="37">
        <f>INDEX([13]SourceEnergy!$S$20:$T$40,MATCH($B28,[13]SourceEnergy!$R$20:$R$40,0),MATCH(D$7,[13]SourceEnergy!$S$12:$T$12,0))/10</f>
        <v>7.1510172884372309</v>
      </c>
      <c r="E28" s="37">
        <f>INDEX([13]SourceEnergy!$U$20:$V$40,MATCH($B28,[13]SourceEnergy!$R$20:$R$40,0),MATCH(E$7,[13]SourceEnergy!$U$12:$V$12,0))/10</f>
        <v>6.7332946218736867</v>
      </c>
      <c r="F28" s="37">
        <f>INDEX([13]SourceEnergy!$U$20:$V$40,MATCH($B28,[13]SourceEnergy!$R$20:$R$40,0),MATCH(F$7,[13]SourceEnergy!$U$12:$V$12,0))/10</f>
        <v>6.1256462912540863</v>
      </c>
      <c r="G28" s="37"/>
      <c r="H28" s="74"/>
    </row>
    <row r="29" spans="1:14" x14ac:dyDescent="0.2">
      <c r="A29" s="34"/>
      <c r="B29" s="186">
        <f t="shared" si="0"/>
        <v>2036</v>
      </c>
      <c r="C29" s="37">
        <f>INDEX([13]SourceEnergy!$S$20:$T$40,MATCH($B29,[13]SourceEnergy!$R$20:$R$40,0),MATCH(C$7,[13]SourceEnergy!$S$12:$T$12,0))/10</f>
        <v>7.464783739627924</v>
      </c>
      <c r="D29" s="37">
        <f>INDEX([13]SourceEnergy!$S$20:$T$40,MATCH($B29,[13]SourceEnergy!$R$20:$R$40,0),MATCH(D$7,[13]SourceEnergy!$S$12:$T$12,0))/10</f>
        <v>7.5691745794422598</v>
      </c>
      <c r="E29" s="37">
        <f>INDEX([13]SourceEnergy!$U$20:$V$40,MATCH($B29,[13]SourceEnergy!$R$20:$R$40,0),MATCH(E$7,[13]SourceEnergy!$U$12:$V$12,0))/10</f>
        <v>7.0722584794911842</v>
      </c>
      <c r="F29" s="37">
        <f>INDEX([13]SourceEnergy!$U$20:$V$40,MATCH($B29,[13]SourceEnergy!$R$20:$R$40,0),MATCH(F$7,[13]SourceEnergy!$U$12:$V$12,0))/10</f>
        <v>6.5378256881266212</v>
      </c>
      <c r="G29" s="37"/>
      <c r="H29" s="74"/>
    </row>
    <row r="30" spans="1:14" x14ac:dyDescent="0.2">
      <c r="A30" s="34"/>
      <c r="B30" s="186">
        <f t="shared" si="0"/>
        <v>2037</v>
      </c>
      <c r="C30" s="37">
        <f>INDEX([13]SourceEnergy!$S$20:$T$40,MATCH($B30,[13]SourceEnergy!$R$20:$R$40,0),MATCH(C$7,[13]SourceEnergy!$S$12:$T$12,0))/10</f>
        <v>7.6729225438251136</v>
      </c>
      <c r="D30" s="37">
        <f>INDEX([13]SourceEnergy!$S$20:$T$40,MATCH($B30,[13]SourceEnergy!$R$20:$R$40,0),MATCH(D$7,[13]SourceEnergy!$S$12:$T$12,0))/10</f>
        <v>7.7497194124764643</v>
      </c>
      <c r="E30" s="37">
        <f>INDEX([13]SourceEnergy!$U$20:$V$40,MATCH($B30,[13]SourceEnergy!$R$20:$R$40,0),MATCH(E$7,[13]SourceEnergy!$U$12:$V$12,0))/10</f>
        <v>7.2832690542059551</v>
      </c>
      <c r="F30" s="37">
        <f>INDEX([13]SourceEnergy!$U$20:$V$40,MATCH($B30,[13]SourceEnergy!$R$20:$R$40,0),MATCH(F$7,[13]SourceEnergy!$U$12:$V$12,0))/10</f>
        <v>6.6882956679707295</v>
      </c>
      <c r="G30" s="37"/>
      <c r="H30" s="74"/>
    </row>
    <row r="31" spans="1:14" x14ac:dyDescent="0.2">
      <c r="A31" s="34"/>
      <c r="B31" s="35"/>
      <c r="C31" s="34"/>
      <c r="D31" s="34"/>
      <c r="E31" s="34"/>
      <c r="F31" s="34"/>
      <c r="G31" s="34"/>
      <c r="H31" s="172"/>
      <c r="I31" s="35"/>
      <c r="J31" s="35"/>
      <c r="K31" s="35"/>
      <c r="L31" s="173"/>
      <c r="M31" s="173"/>
      <c r="N31" s="173"/>
    </row>
    <row r="32" spans="1:14" x14ac:dyDescent="0.2">
      <c r="A32" s="34"/>
      <c r="C32" s="32" t="s">
        <v>226</v>
      </c>
      <c r="D32" s="32"/>
      <c r="E32" s="67" t="s">
        <v>31</v>
      </c>
      <c r="F32" s="67"/>
      <c r="G32" s="32"/>
      <c r="H32" s="172"/>
      <c r="I32" s="35"/>
      <c r="J32" s="35"/>
      <c r="K32" s="35"/>
      <c r="M32" s="173"/>
      <c r="N32" s="34"/>
    </row>
    <row r="33" spans="1:14" ht="14.25" x14ac:dyDescent="0.35">
      <c r="A33" s="34"/>
      <c r="B33" s="40"/>
      <c r="C33" s="33" t="s">
        <v>10</v>
      </c>
      <c r="D33" s="33" t="s">
        <v>11</v>
      </c>
      <c r="E33" s="33" t="s">
        <v>10</v>
      </c>
      <c r="F33" s="33" t="s">
        <v>11</v>
      </c>
      <c r="G33" s="33"/>
      <c r="H33" s="172"/>
      <c r="L33" s="173"/>
      <c r="M33" s="173"/>
      <c r="N33" s="34"/>
    </row>
    <row r="34" spans="1:14" ht="36" customHeight="1" x14ac:dyDescent="0.2">
      <c r="B34" s="41" t="s">
        <v>117</v>
      </c>
      <c r="C34" s="42">
        <f>-PMT('Table 3 Comparison'!$P$37,COUNT(C11:C25),NPV('Table 3 Comparison'!$P$37,C11:C25))</f>
        <v>2.8151158747476246</v>
      </c>
      <c r="D34" s="42">
        <f>-PMT('Table 3 Comparison'!$P$37,COUNT(D11:D25),NPV('Table 3 Comparison'!$P$37,D11:D25))</f>
        <v>3.0792001857260698</v>
      </c>
      <c r="E34" s="42">
        <f>-PMT('Table 3 Comparison'!$P$37,COUNT(E11:E25),NPV('Table 3 Comparison'!$P$37,E11:E25))</f>
        <v>2.5534528733323514</v>
      </c>
      <c r="F34" s="42">
        <f>-PMT('Table 3 Comparison'!$P$37,COUNT(F11:F25),NPV('Table 3 Comparison'!$P$37,F11:F25))</f>
        <v>2.3878070145815076</v>
      </c>
      <c r="G34" s="42"/>
    </row>
    <row r="35" spans="1:14" ht="28.5" hidden="1" customHeight="1" x14ac:dyDescent="0.2">
      <c r="A35" s="40"/>
      <c r="B35" s="41" t="s">
        <v>118</v>
      </c>
      <c r="C35" s="42">
        <f>-PMT('Table 3 Comparison'!$P$37,COUNT(C12:C26),NPV('Table 3 Comparison'!$P$37,C12:C26))</f>
        <v>3.0446791593778064</v>
      </c>
      <c r="D35" s="42">
        <f>-PMT('Table 3 Comparison'!$P$37,COUNT(D12:D26),NPV('Table 3 Comparison'!$P$37,D12:D26))</f>
        <v>3.3193331975538136</v>
      </c>
      <c r="E35" s="42">
        <f>-PMT('Table 3 Comparison'!$P$37,COUNT(E12:E26),NPV('Table 3 Comparison'!$P$37,E12:E26))</f>
        <v>2.7747966382355114</v>
      </c>
      <c r="F35" s="42">
        <f>-PMT('Table 3 Comparison'!$P$37,COUNT(F12:F26),NPV('Table 3 Comparison'!$P$37,F12:F26))</f>
        <v>2.6059821960472691</v>
      </c>
    </row>
    <row r="36" spans="1:14" ht="24.75" hidden="1" customHeight="1" x14ac:dyDescent="0.2">
      <c r="A36" s="44"/>
      <c r="B36" s="41" t="s">
        <v>119</v>
      </c>
      <c r="C36" s="42">
        <f>-PMT('Table 3 Comparison'!$P$37,COUNT(C13:C27),NPV('Table 3 Comparison'!$P$37,C13:C27))</f>
        <v>3.3190270076193746</v>
      </c>
      <c r="D36" s="42">
        <f>-PMT('Table 3 Comparison'!$P$37,COUNT(D13:D27),NPV('Table 3 Comparison'!$P$37,D13:D27))</f>
        <v>3.5685346724118991</v>
      </c>
      <c r="E36" s="42">
        <f>-PMT('Table 3 Comparison'!$P$37,COUNT(E13:E27),NPV('Table 3 Comparison'!$P$37,E13:E27))</f>
        <v>3.0479163241429248</v>
      </c>
      <c r="F36" s="42">
        <f>-PMT('Table 3 Comparison'!$P$37,COUNT(F13:F27),NPV('Table 3 Comparison'!$P$37,F13:F27))</f>
        <v>2.8490528947533957</v>
      </c>
    </row>
    <row r="37" spans="1:14" ht="12.75" x14ac:dyDescent="0.2">
      <c r="A37" s="44"/>
      <c r="B37" s="18"/>
      <c r="C37" s="18"/>
      <c r="D37" s="18"/>
      <c r="E37" s="18"/>
      <c r="F37" s="45"/>
      <c r="G37" s="45"/>
      <c r="I37" s="30"/>
      <c r="J37" s="30"/>
      <c r="K37" s="30"/>
      <c r="M37" s="44"/>
      <c r="N37" s="44"/>
    </row>
    <row r="38" spans="1:14" ht="12.75" x14ac:dyDescent="0.2">
      <c r="A38" s="44"/>
      <c r="B38" s="66"/>
      <c r="C38" s="66"/>
      <c r="D38" s="48"/>
      <c r="E38" s="48"/>
      <c r="F38" s="45"/>
      <c r="G38" s="45"/>
      <c r="I38" s="30"/>
      <c r="J38" s="30"/>
      <c r="K38" s="30"/>
      <c r="M38" s="44"/>
      <c r="N38" s="44"/>
    </row>
    <row r="39" spans="1:14" ht="12.75" x14ac:dyDescent="0.2">
      <c r="A39" s="34"/>
      <c r="B39" s="66"/>
      <c r="C39" s="66"/>
      <c r="D39" s="48"/>
      <c r="E39" s="48"/>
      <c r="F39" s="34"/>
      <c r="G39" s="34"/>
      <c r="I39" s="40"/>
      <c r="J39" s="40"/>
      <c r="K39" s="40"/>
      <c r="L39" s="34"/>
      <c r="M39" s="34"/>
      <c r="N39" s="34"/>
    </row>
    <row r="40" spans="1:14" ht="12.75" x14ac:dyDescent="0.2">
      <c r="A40" s="43"/>
      <c r="B40" s="66"/>
      <c r="C40" s="66"/>
      <c r="D40" s="48"/>
      <c r="E40" s="48"/>
      <c r="L40" s="173"/>
      <c r="N40" s="43"/>
    </row>
    <row r="41" spans="1:14" ht="12.75" x14ac:dyDescent="0.2">
      <c r="A41" s="43"/>
      <c r="B41" s="66"/>
      <c r="C41" s="66"/>
      <c r="D41" s="48"/>
      <c r="E41" s="48"/>
      <c r="N41" s="43"/>
    </row>
  </sheetData>
  <printOptions horizontalCentered="1"/>
  <pageMargins left="0.25" right="0.25" top="0.75" bottom="0.75" header="0.3" footer="0.3"/>
  <pageSetup orientation="landscape" copies="3" r:id="rId1"/>
  <headerFooter alignWithMargins="0">
    <oddFooter>&amp;L&amp;8NPC Group - &amp;F   ( &amp;A )&amp;C &amp;R 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V42"/>
  <sheetViews>
    <sheetView showGridLine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1" sqref="B41:F41"/>
    </sheetView>
  </sheetViews>
  <sheetFormatPr defaultRowHeight="12" x14ac:dyDescent="0.2"/>
  <cols>
    <col min="1" max="1" width="2.83203125" style="29" customWidth="1"/>
    <col min="2" max="2" width="22.6640625" style="29" customWidth="1"/>
    <col min="3" max="6" width="18.83203125" style="29" customWidth="1"/>
    <col min="7" max="7" width="17" style="29" customWidth="1"/>
    <col min="8" max="8" width="9.33203125" style="29"/>
    <col min="9" max="9" width="11.6640625" style="349" customWidth="1"/>
    <col min="10" max="10" width="3.5" style="349" customWidth="1"/>
    <col min="11" max="11" width="17.1640625" style="349" customWidth="1"/>
    <col min="12" max="12" width="12.5" style="349" customWidth="1"/>
    <col min="13" max="13" width="11" style="349" customWidth="1"/>
    <col min="14" max="14" width="3.83203125" style="349" customWidth="1"/>
    <col min="15" max="16" width="12.5" style="349" customWidth="1"/>
    <col min="17" max="17" width="3.83203125" style="349" customWidth="1"/>
    <col min="18" max="19" width="12.5" style="349" customWidth="1"/>
    <col min="20" max="20" width="3.33203125" style="349" customWidth="1"/>
    <col min="21" max="22" width="12.5" style="349" customWidth="1"/>
    <col min="23" max="16384" width="9.33203125" style="29"/>
  </cols>
  <sheetData>
    <row r="1" spans="1:22" x14ac:dyDescent="0.2">
      <c r="A1" s="2"/>
      <c r="B1" s="2"/>
      <c r="C1" s="2"/>
      <c r="D1" s="2"/>
      <c r="E1" s="2"/>
      <c r="F1" s="2"/>
      <c r="G1" s="2"/>
      <c r="I1" s="348"/>
      <c r="J1" s="348"/>
    </row>
    <row r="2" spans="1:22" x14ac:dyDescent="0.2">
      <c r="A2" s="2"/>
      <c r="B2" s="2" t="s">
        <v>21</v>
      </c>
      <c r="C2" s="2"/>
      <c r="D2" s="2"/>
      <c r="E2" s="2"/>
      <c r="F2" s="2"/>
      <c r="G2" s="2"/>
      <c r="I2" s="348"/>
      <c r="J2" s="348"/>
    </row>
    <row r="3" spans="1:22" x14ac:dyDescent="0.2">
      <c r="B3" s="51"/>
      <c r="I3" s="348"/>
      <c r="J3" s="348"/>
    </row>
    <row r="4" spans="1:22" x14ac:dyDescent="0.2">
      <c r="A4" s="30"/>
      <c r="B4" s="29" t="s">
        <v>55</v>
      </c>
      <c r="C4" s="30"/>
      <c r="D4" s="30"/>
      <c r="E4" s="30"/>
      <c r="F4" s="30"/>
      <c r="G4" s="30"/>
      <c r="I4" s="350"/>
      <c r="J4" s="350"/>
      <c r="L4" s="351"/>
      <c r="O4" s="351"/>
      <c r="R4" s="351"/>
      <c r="U4" s="351"/>
    </row>
    <row r="5" spans="1:22" x14ac:dyDescent="0.2">
      <c r="A5" s="30"/>
      <c r="B5" s="30"/>
    </row>
    <row r="6" spans="1:22" x14ac:dyDescent="0.2">
      <c r="A6" s="30"/>
      <c r="B6" s="31" t="s">
        <v>32</v>
      </c>
      <c r="C6" s="32" t="s">
        <v>226</v>
      </c>
      <c r="D6" s="32"/>
      <c r="E6" s="67" t="s">
        <v>120</v>
      </c>
      <c r="F6" s="32"/>
      <c r="G6" s="32"/>
      <c r="J6" s="352"/>
      <c r="L6" s="349" t="s">
        <v>227</v>
      </c>
      <c r="O6" s="349" t="s">
        <v>228</v>
      </c>
      <c r="R6" s="349" t="s">
        <v>229</v>
      </c>
      <c r="U6" s="349" t="s">
        <v>230</v>
      </c>
    </row>
    <row r="7" spans="1:22" ht="14.25" x14ac:dyDescent="0.35">
      <c r="A7" s="30"/>
      <c r="B7" s="31" t="s">
        <v>30</v>
      </c>
      <c r="C7" s="33" t="s">
        <v>10</v>
      </c>
      <c r="D7" s="33" t="s">
        <v>11</v>
      </c>
      <c r="E7" s="33" t="s">
        <v>10</v>
      </c>
      <c r="F7" s="33" t="s">
        <v>11</v>
      </c>
      <c r="G7" s="33"/>
      <c r="I7" s="353" t="s">
        <v>232</v>
      </c>
      <c r="J7" s="354"/>
      <c r="K7" s="355"/>
      <c r="L7" s="355" t="s">
        <v>231</v>
      </c>
      <c r="M7" s="355"/>
      <c r="O7" s="355" t="s">
        <v>231</v>
      </c>
      <c r="R7" s="355" t="s">
        <v>231</v>
      </c>
      <c r="U7" s="355" t="s">
        <v>231</v>
      </c>
    </row>
    <row r="8" spans="1:22" x14ac:dyDescent="0.2">
      <c r="A8" s="34"/>
      <c r="B8" s="35"/>
      <c r="C8" s="36"/>
      <c r="D8" s="36"/>
      <c r="E8" s="36"/>
      <c r="F8" s="36"/>
      <c r="G8" s="36"/>
      <c r="I8" s="356"/>
      <c r="J8" s="357"/>
      <c r="L8" s="358"/>
      <c r="O8" s="358"/>
      <c r="R8" s="358"/>
      <c r="U8" s="358"/>
    </row>
    <row r="9" spans="1:22" x14ac:dyDescent="0.2">
      <c r="A9" s="34"/>
      <c r="B9" s="35"/>
      <c r="C9" s="36"/>
      <c r="D9" s="36"/>
      <c r="E9" s="36"/>
      <c r="F9" s="36"/>
      <c r="G9" s="36"/>
      <c r="H9" s="172"/>
      <c r="I9" s="356"/>
      <c r="J9" s="357"/>
      <c r="L9" s="358"/>
      <c r="O9" s="358"/>
      <c r="R9" s="358"/>
      <c r="U9" s="358"/>
    </row>
    <row r="10" spans="1:22" x14ac:dyDescent="0.2">
      <c r="A10" s="34"/>
      <c r="B10" s="186">
        <f>[18]SourceEnergy!$R$20</f>
        <v>2017</v>
      </c>
      <c r="C10" s="37">
        <f>INDEX([19]SourceEnergy!$S$20:$T$40,MATCH($B10,[19]SourceEnergy!$R$20:$R$40,0),MATCH(C$7,[19]SourceEnergy!$S$12:$T$12,0))/10</f>
        <v>1.8667839051610364</v>
      </c>
      <c r="D10" s="37">
        <f>INDEX([19]SourceEnergy!$S$20:$T$40,MATCH($B10,[19]SourceEnergy!$R$20:$R$40,0),MATCH(D$7,[19]SourceEnergy!$S$12:$T$12,0))/10</f>
        <v>2.2277424848790424</v>
      </c>
      <c r="E10" s="37">
        <f>INDEX([19]SourceEnergy!$U$20:$V$40,MATCH($B10,[19]SourceEnergy!$R$20:$R$40,0),MATCH(E$7,[19]SourceEnergy!$U$12:$V$12,0))/10</f>
        <v>1.7092467542481153</v>
      </c>
      <c r="F10" s="37">
        <f>INDEX([19]SourceEnergy!$U$20:$V$40,MATCH($B10,[19]SourceEnergy!$R$20:$R$40,0),MATCH(F$7,[19]SourceEnergy!$U$12:$V$12,0))/10</f>
        <v>1.6298541289090083</v>
      </c>
      <c r="G10" s="36"/>
      <c r="H10" s="172"/>
      <c r="I10" s="356">
        <v>1</v>
      </c>
      <c r="J10" s="357"/>
      <c r="L10" s="372">
        <f>C10*1*$I10</f>
        <v>1.8667839051610364</v>
      </c>
      <c r="M10" s="373">
        <f t="shared" ref="M10" si="0">M$34*$I10</f>
        <v>2.1812822027851686</v>
      </c>
      <c r="O10" s="372">
        <f>D10*1*$I10</f>
        <v>2.2277424848790424</v>
      </c>
      <c r="P10" s="373">
        <f t="shared" ref="P10" si="1">P$34*$I10</f>
        <v>2.5214800474190922</v>
      </c>
      <c r="R10" s="372">
        <f>E10*1*$I10</f>
        <v>1.7092467542481153</v>
      </c>
      <c r="S10" s="373">
        <f t="shared" ref="S10" si="2">S$34*$I10</f>
        <v>1.9634182293583073</v>
      </c>
      <c r="U10" s="372">
        <f>F10*1*$I10</f>
        <v>1.6298541289090083</v>
      </c>
      <c r="V10" s="373">
        <f t="shared" ref="V10" si="3">V$34*$I10</f>
        <v>1.9418754104375187</v>
      </c>
    </row>
    <row r="11" spans="1:22" x14ac:dyDescent="0.2">
      <c r="A11" s="34"/>
      <c r="B11" s="186">
        <f>B10+1</f>
        <v>2018</v>
      </c>
      <c r="C11" s="37">
        <f>INDEX([19]SourceEnergy!$S$20:$T$40,MATCH($B11,[19]SourceEnergy!$R$20:$R$40,0),MATCH(C$7,[19]SourceEnergy!$S$12:$T$12,0))/10</f>
        <v>1.865816873014418</v>
      </c>
      <c r="D11" s="37">
        <f>INDEX([19]SourceEnergy!$S$20:$T$40,MATCH($B11,[19]SourceEnergy!$R$20:$R$40,0),MATCH(D$7,[19]SourceEnergy!$S$12:$T$12,0))/10</f>
        <v>2.2769588020573943</v>
      </c>
      <c r="E11" s="37">
        <f>INDEX([19]SourceEnergy!$U$20:$V$40,MATCH($B11,[19]SourceEnergy!$R$20:$R$40,0),MATCH(E$7,[19]SourceEnergy!$U$12:$V$12,0))/10</f>
        <v>1.6446227930456239</v>
      </c>
      <c r="F11" s="37">
        <f>INDEX([19]SourceEnergy!$U$20:$V$40,MATCH($B11,[19]SourceEnergy!$R$20:$R$40,0),MATCH(F$7,[19]SourceEnergy!$U$12:$V$12,0))/10</f>
        <v>1.6658616200383913</v>
      </c>
      <c r="G11" s="36"/>
      <c r="H11" s="172"/>
      <c r="I11" s="357">
        <f>I10-0.005</f>
        <v>0.995</v>
      </c>
      <c r="J11" s="357"/>
      <c r="L11" s="372">
        <f t="shared" ref="L11:L27" si="4">C11*1*$I11</f>
        <v>1.8564877886493458</v>
      </c>
      <c r="M11" s="373">
        <f>M$34*$I11</f>
        <v>2.1703757917712427</v>
      </c>
      <c r="O11" s="372">
        <f t="shared" ref="O11:O27" si="5">D11*1*$I11</f>
        <v>2.2655740080471074</v>
      </c>
      <c r="P11" s="373">
        <f>P$34*$I11</f>
        <v>2.5088726471819967</v>
      </c>
      <c r="R11" s="372">
        <f t="shared" ref="R11:R27" si="6">E11*1*$I11</f>
        <v>1.6363996790803956</v>
      </c>
      <c r="S11" s="373">
        <f>S$34*$I11</f>
        <v>1.9536011382115157</v>
      </c>
      <c r="U11" s="372">
        <f t="shared" ref="U11:U27" si="7">F11*1*$I11</f>
        <v>1.6575323119381993</v>
      </c>
      <c r="V11" s="373">
        <f>V$34*$I11</f>
        <v>1.932166033385331</v>
      </c>
    </row>
    <row r="12" spans="1:22" x14ac:dyDescent="0.2">
      <c r="A12" s="34"/>
      <c r="B12" s="186">
        <f t="shared" ref="B12:B27" si="8">B11+1</f>
        <v>2019</v>
      </c>
      <c r="C12" s="37">
        <f>INDEX([19]SourceEnergy!$S$20:$T$40,MATCH($B12,[19]SourceEnergy!$R$20:$R$40,0),MATCH(C$7,[19]SourceEnergy!$S$12:$T$12,0))/10</f>
        <v>1.710979854839989</v>
      </c>
      <c r="D12" s="37">
        <f>INDEX([19]SourceEnergy!$S$20:$T$40,MATCH($B12,[19]SourceEnergy!$R$20:$R$40,0),MATCH(D$7,[19]SourceEnergy!$S$12:$T$12,0))/10</f>
        <v>2.0633307367413125</v>
      </c>
      <c r="E12" s="37">
        <f>INDEX([19]SourceEnergy!$U$20:$V$40,MATCH($B12,[19]SourceEnergy!$R$20:$R$40,0),MATCH(E$7,[19]SourceEnergy!$U$12:$V$12,0))/10</f>
        <v>1.4412304801847389</v>
      </c>
      <c r="F12" s="37">
        <f>INDEX([19]SourceEnergy!$U$20:$V$40,MATCH($B12,[19]SourceEnergy!$R$20:$R$40,0),MATCH(F$7,[19]SourceEnergy!$U$12:$V$12,0))/10</f>
        <v>1.4085953420582906</v>
      </c>
      <c r="G12" s="36"/>
      <c r="H12" s="172"/>
      <c r="I12" s="357">
        <f t="shared" ref="I12:I27" si="9">I11-0.005</f>
        <v>0.99</v>
      </c>
      <c r="J12" s="357"/>
      <c r="L12" s="372">
        <f t="shared" si="4"/>
        <v>1.6938700562915892</v>
      </c>
      <c r="M12" s="373">
        <f t="shared" ref="M12:M27" si="10">M$34*$I12</f>
        <v>2.1594693807573169</v>
      </c>
      <c r="O12" s="372">
        <f t="shared" si="5"/>
        <v>2.0426974293738995</v>
      </c>
      <c r="P12" s="373">
        <f t="shared" ref="P12:P27" si="11">P$34*$I12</f>
        <v>2.4962652469449012</v>
      </c>
      <c r="R12" s="372">
        <f t="shared" si="6"/>
        <v>1.4268181753828915</v>
      </c>
      <c r="S12" s="373">
        <f t="shared" ref="S12:S27" si="12">S$34*$I12</f>
        <v>1.9437840470647243</v>
      </c>
      <c r="U12" s="372">
        <f t="shared" si="7"/>
        <v>1.3945093886377078</v>
      </c>
      <c r="V12" s="373">
        <f t="shared" ref="V12:V27" si="13">V$34*$I12</f>
        <v>1.9224566563331436</v>
      </c>
    </row>
    <row r="13" spans="1:22" x14ac:dyDescent="0.2">
      <c r="A13" s="34"/>
      <c r="B13" s="186">
        <f t="shared" si="8"/>
        <v>2020</v>
      </c>
      <c r="C13" s="37">
        <f>INDEX([19]SourceEnergy!$S$20:$T$40,MATCH($B13,[19]SourceEnergy!$R$20:$R$40,0),MATCH(C$7,[19]SourceEnergy!$S$12:$T$12,0))/10</f>
        <v>1.6343615639997384</v>
      </c>
      <c r="D13" s="37">
        <f>INDEX([19]SourceEnergy!$S$20:$T$40,MATCH($B13,[19]SourceEnergy!$R$20:$R$40,0),MATCH(D$7,[19]SourceEnergy!$S$12:$T$12,0))/10</f>
        <v>1.9347346554146725</v>
      </c>
      <c r="E13" s="37">
        <f>INDEX([19]SourceEnergy!$U$20:$V$40,MATCH($B13,[19]SourceEnergy!$R$20:$R$40,0),MATCH(E$7,[19]SourceEnergy!$U$12:$V$12,0))/10</f>
        <v>1.3532574783004487</v>
      </c>
      <c r="F13" s="37">
        <f>INDEX([19]SourceEnergy!$U$20:$V$40,MATCH($B13,[19]SourceEnergy!$R$20:$R$40,0),MATCH(F$7,[19]SourceEnergy!$U$12:$V$12,0))/10</f>
        <v>1.234445996969491</v>
      </c>
      <c r="G13" s="36"/>
      <c r="H13" s="172"/>
      <c r="I13" s="357">
        <f t="shared" si="9"/>
        <v>0.98499999999999999</v>
      </c>
      <c r="J13" s="357"/>
      <c r="L13" s="372">
        <f t="shared" si="4"/>
        <v>1.6098461405397424</v>
      </c>
      <c r="M13" s="373">
        <f t="shared" si="10"/>
        <v>2.148562969743391</v>
      </c>
      <c r="O13" s="372">
        <f t="shared" si="5"/>
        <v>1.9057136355834523</v>
      </c>
      <c r="P13" s="373">
        <f t="shared" si="11"/>
        <v>2.4836578467078056</v>
      </c>
      <c r="R13" s="372">
        <f t="shared" si="6"/>
        <v>1.3329586161259419</v>
      </c>
      <c r="S13" s="373">
        <f t="shared" si="12"/>
        <v>1.9339669559179327</v>
      </c>
      <c r="U13" s="372">
        <f t="shared" si="7"/>
        <v>1.2159293070149486</v>
      </c>
      <c r="V13" s="373">
        <f t="shared" si="13"/>
        <v>1.9127472792809559</v>
      </c>
    </row>
    <row r="14" spans="1:22" x14ac:dyDescent="0.2">
      <c r="A14" s="34"/>
      <c r="B14" s="186">
        <f t="shared" si="8"/>
        <v>2021</v>
      </c>
      <c r="C14" s="37">
        <f>INDEX([19]SourceEnergy!$S$20:$T$40,MATCH($B14,[19]SourceEnergy!$R$20:$R$40,0),MATCH(C$7,[19]SourceEnergy!$S$12:$T$12,0))/10</f>
        <v>1.5212342907323393</v>
      </c>
      <c r="D14" s="37">
        <f>INDEX([19]SourceEnergy!$S$20:$T$40,MATCH($B14,[19]SourceEnergy!$R$20:$R$40,0),MATCH(D$7,[19]SourceEnergy!$S$12:$T$12,0))/10</f>
        <v>1.7974837955344145</v>
      </c>
      <c r="E14" s="37">
        <f>INDEX([19]SourceEnergy!$U$20:$V$40,MATCH($B14,[19]SourceEnergy!$R$20:$R$40,0),MATCH(E$7,[19]SourceEnergy!$U$12:$V$12,0))/10</f>
        <v>1.3017378276152911</v>
      </c>
      <c r="F14" s="37">
        <f>INDEX([19]SourceEnergy!$U$20:$V$40,MATCH($B14,[19]SourceEnergy!$R$20:$R$40,0),MATCH(F$7,[19]SourceEnergy!$U$12:$V$12,0))/10</f>
        <v>1.1752446288082543</v>
      </c>
      <c r="G14" s="36"/>
      <c r="H14" s="172"/>
      <c r="I14" s="357">
        <f t="shared" si="9"/>
        <v>0.98</v>
      </c>
      <c r="J14" s="357"/>
      <c r="L14" s="372">
        <f t="shared" si="4"/>
        <v>1.4908096049176924</v>
      </c>
      <c r="M14" s="373">
        <f t="shared" si="10"/>
        <v>2.1376565587294651</v>
      </c>
      <c r="O14" s="372">
        <f t="shared" si="5"/>
        <v>1.7615341196237262</v>
      </c>
      <c r="P14" s="373">
        <f t="shared" si="11"/>
        <v>2.4710504464707101</v>
      </c>
      <c r="R14" s="372">
        <f t="shared" si="6"/>
        <v>1.2757030710629853</v>
      </c>
      <c r="S14" s="373">
        <f t="shared" si="12"/>
        <v>1.9241498647711412</v>
      </c>
      <c r="U14" s="372">
        <f t="shared" si="7"/>
        <v>1.1517397362320891</v>
      </c>
      <c r="V14" s="373">
        <f t="shared" si="13"/>
        <v>1.9030379022287682</v>
      </c>
    </row>
    <row r="15" spans="1:22" x14ac:dyDescent="0.2">
      <c r="A15" s="34"/>
      <c r="B15" s="186">
        <f t="shared" si="8"/>
        <v>2022</v>
      </c>
      <c r="C15" s="37">
        <f>INDEX([19]SourceEnergy!$S$20:$T$40,MATCH($B15,[19]SourceEnergy!$R$20:$R$40,0),MATCH(C$7,[19]SourceEnergy!$S$12:$T$12,0))/10</f>
        <v>1.5906155964023565</v>
      </c>
      <c r="D15" s="37">
        <f>INDEX([19]SourceEnergy!$S$20:$T$40,MATCH($B15,[19]SourceEnergy!$R$20:$R$40,0),MATCH(D$7,[19]SourceEnergy!$S$12:$T$12,0))/10</f>
        <v>1.8716451943429409</v>
      </c>
      <c r="E15" s="37">
        <f>INDEX([19]SourceEnergy!$U$20:$V$40,MATCH($B15,[19]SourceEnergy!$R$20:$R$40,0),MATCH(E$7,[19]SourceEnergy!$U$12:$V$12,0))/10</f>
        <v>1.3975359632707116</v>
      </c>
      <c r="F15" s="37">
        <f>INDEX([19]SourceEnergy!$U$20:$V$40,MATCH($B15,[19]SourceEnergy!$R$20:$R$40,0),MATCH(F$7,[19]SourceEnergy!$U$12:$V$12,0))/10</f>
        <v>1.2994717711097599</v>
      </c>
      <c r="G15" s="36"/>
      <c r="H15" s="172"/>
      <c r="I15" s="357">
        <f t="shared" si="9"/>
        <v>0.97499999999999998</v>
      </c>
      <c r="J15" s="357"/>
      <c r="L15" s="372">
        <f t="shared" si="4"/>
        <v>1.5508502064922975</v>
      </c>
      <c r="M15" s="373">
        <f t="shared" si="10"/>
        <v>2.1267501477155393</v>
      </c>
      <c r="O15" s="372">
        <f t="shared" si="5"/>
        <v>1.8248540644843674</v>
      </c>
      <c r="P15" s="373">
        <f t="shared" si="11"/>
        <v>2.4584430462336146</v>
      </c>
      <c r="R15" s="372">
        <f t="shared" si="6"/>
        <v>1.3625975641889438</v>
      </c>
      <c r="S15" s="373">
        <f t="shared" si="12"/>
        <v>1.9143327736243496</v>
      </c>
      <c r="U15" s="372">
        <f t="shared" si="7"/>
        <v>1.2669849768320158</v>
      </c>
      <c r="V15" s="373">
        <f t="shared" si="13"/>
        <v>1.8933285251765806</v>
      </c>
    </row>
    <row r="16" spans="1:22" x14ac:dyDescent="0.2">
      <c r="A16" s="34"/>
      <c r="B16" s="186">
        <f t="shared" si="8"/>
        <v>2023</v>
      </c>
      <c r="C16" s="37">
        <f>INDEX([19]SourceEnergy!$S$20:$T$40,MATCH($B16,[19]SourceEnergy!$R$20:$R$40,0),MATCH(C$7,[19]SourceEnergy!$S$12:$T$12,0))/10</f>
        <v>1.7318996702028577</v>
      </c>
      <c r="D16" s="37">
        <f>INDEX([19]SourceEnergy!$S$20:$T$40,MATCH($B16,[19]SourceEnergy!$R$20:$R$40,0),MATCH(D$7,[19]SourceEnergy!$S$12:$T$12,0))/10</f>
        <v>2.0133072358184374</v>
      </c>
      <c r="E16" s="37">
        <f>INDEX([19]SourceEnergy!$U$20:$V$40,MATCH($B16,[19]SourceEnergy!$R$20:$R$40,0),MATCH(E$7,[19]SourceEnergy!$U$12:$V$12,0))/10</f>
        <v>1.5733136071522784</v>
      </c>
      <c r="F16" s="37">
        <f>INDEX([19]SourceEnergy!$U$20:$V$40,MATCH($B16,[19]SourceEnergy!$R$20:$R$40,0),MATCH(F$7,[19]SourceEnergy!$U$12:$V$12,0))/10</f>
        <v>1.5243481541076087</v>
      </c>
      <c r="G16" s="36"/>
      <c r="H16" s="172"/>
      <c r="I16" s="357">
        <f t="shared" si="9"/>
        <v>0.97</v>
      </c>
      <c r="J16" s="357"/>
      <c r="L16" s="372">
        <f t="shared" si="4"/>
        <v>1.6799426800967721</v>
      </c>
      <c r="M16" s="373">
        <f t="shared" si="10"/>
        <v>2.1158437367016134</v>
      </c>
      <c r="O16" s="372">
        <f t="shared" si="5"/>
        <v>1.9529080187438843</v>
      </c>
      <c r="P16" s="373">
        <f t="shared" si="11"/>
        <v>2.4458356459965191</v>
      </c>
      <c r="R16" s="372">
        <f t="shared" si="6"/>
        <v>1.5261141989377101</v>
      </c>
      <c r="S16" s="373">
        <f t="shared" si="12"/>
        <v>1.904515682477558</v>
      </c>
      <c r="U16" s="372">
        <f t="shared" si="7"/>
        <v>1.4786177094843804</v>
      </c>
      <c r="V16" s="373">
        <f t="shared" si="13"/>
        <v>1.8836191481243931</v>
      </c>
    </row>
    <row r="17" spans="1:22" x14ac:dyDescent="0.2">
      <c r="A17" s="34"/>
      <c r="B17" s="186">
        <f t="shared" si="8"/>
        <v>2024</v>
      </c>
      <c r="C17" s="37">
        <f>INDEX([19]SourceEnergy!$S$20:$T$40,MATCH($B17,[19]SourceEnergy!$R$20:$R$40,0),MATCH(C$7,[19]SourceEnergy!$S$12:$T$12,0))/10</f>
        <v>1.6653138973600619</v>
      </c>
      <c r="D17" s="37">
        <f>INDEX([19]SourceEnergy!$S$20:$T$40,MATCH($B17,[19]SourceEnergy!$R$20:$R$40,0),MATCH(D$7,[19]SourceEnergy!$S$12:$T$12,0))/10</f>
        <v>1.8825684801359313</v>
      </c>
      <c r="E17" s="37">
        <f>INDEX([19]SourceEnergy!$U$20:$V$40,MATCH($B17,[19]SourceEnergy!$R$20:$R$40,0),MATCH(E$7,[19]SourceEnergy!$U$12:$V$12,0))/10</f>
        <v>1.5202575850081743</v>
      </c>
      <c r="F17" s="37">
        <f>INDEX([19]SourceEnergy!$U$20:$V$40,MATCH($B17,[19]SourceEnergy!$R$20:$R$40,0),MATCH(F$7,[19]SourceEnergy!$U$12:$V$12,0))/10</f>
        <v>1.5080536421091593</v>
      </c>
      <c r="G17" s="36"/>
      <c r="H17" s="172"/>
      <c r="I17" s="357">
        <f t="shared" si="9"/>
        <v>0.96499999999999997</v>
      </c>
      <c r="J17" s="357"/>
      <c r="L17" s="372">
        <f t="shared" si="4"/>
        <v>1.6070279109524597</v>
      </c>
      <c r="M17" s="373">
        <f t="shared" si="10"/>
        <v>2.1049373256876875</v>
      </c>
      <c r="O17" s="372">
        <f t="shared" si="5"/>
        <v>1.8166785833311736</v>
      </c>
      <c r="P17" s="373">
        <f t="shared" si="11"/>
        <v>2.4332282457594236</v>
      </c>
      <c r="R17" s="372">
        <f t="shared" si="6"/>
        <v>1.4670485695328881</v>
      </c>
      <c r="S17" s="373">
        <f t="shared" si="12"/>
        <v>1.8946985913307666</v>
      </c>
      <c r="U17" s="372">
        <f t="shared" si="7"/>
        <v>1.4552717646353386</v>
      </c>
      <c r="V17" s="373">
        <f t="shared" si="13"/>
        <v>1.8739097710722055</v>
      </c>
    </row>
    <row r="18" spans="1:22" x14ac:dyDescent="0.2">
      <c r="A18" s="34"/>
      <c r="B18" s="186">
        <f t="shared" si="8"/>
        <v>2025</v>
      </c>
      <c r="C18" s="37">
        <f>INDEX([19]SourceEnergy!$S$20:$T$40,MATCH($B18,[19]SourceEnergy!$R$20:$R$40,0),MATCH(C$7,[19]SourceEnergy!$S$12:$T$12,0))/10</f>
        <v>2.0551886501160892</v>
      </c>
      <c r="D18" s="37">
        <f>INDEX([19]SourceEnergy!$S$20:$T$40,MATCH($B18,[19]SourceEnergy!$R$20:$R$40,0),MATCH(D$7,[19]SourceEnergy!$S$12:$T$12,0))/10</f>
        <v>2.3290016583605566</v>
      </c>
      <c r="E18" s="37">
        <f>INDEX([19]SourceEnergy!$U$20:$V$40,MATCH($B18,[19]SourceEnergy!$R$20:$R$40,0),MATCH(E$7,[19]SourceEnergy!$U$12:$V$12,0))/10</f>
        <v>1.8764452269681429</v>
      </c>
      <c r="F18" s="37">
        <f>INDEX([19]SourceEnergy!$U$20:$V$40,MATCH($B18,[19]SourceEnergy!$R$20:$R$40,0),MATCH(F$7,[19]SourceEnergy!$U$12:$V$12,0))/10</f>
        <v>1.8542377134669157</v>
      </c>
      <c r="G18" s="36"/>
      <c r="H18" s="172"/>
      <c r="I18" s="357">
        <f t="shared" si="9"/>
        <v>0.96</v>
      </c>
      <c r="J18" s="357"/>
      <c r="L18" s="372">
        <f t="shared" si="4"/>
        <v>1.9729811041114456</v>
      </c>
      <c r="M18" s="373">
        <f t="shared" si="10"/>
        <v>2.0940309146737617</v>
      </c>
      <c r="O18" s="372">
        <f t="shared" si="5"/>
        <v>2.2358415920261341</v>
      </c>
      <c r="P18" s="373">
        <f t="shared" si="11"/>
        <v>2.4206208455223286</v>
      </c>
      <c r="R18" s="372">
        <f t="shared" si="6"/>
        <v>1.8013874178894171</v>
      </c>
      <c r="S18" s="373">
        <f t="shared" si="12"/>
        <v>1.8848815001839749</v>
      </c>
      <c r="U18" s="372">
        <f t="shared" si="7"/>
        <v>1.780068204928239</v>
      </c>
      <c r="V18" s="373">
        <f t="shared" si="13"/>
        <v>1.8642003940200178</v>
      </c>
    </row>
    <row r="19" spans="1:22" x14ac:dyDescent="0.2">
      <c r="A19" s="34"/>
      <c r="B19" s="186">
        <f t="shared" si="8"/>
        <v>2026</v>
      </c>
      <c r="C19" s="37">
        <f>INDEX([19]SourceEnergy!$S$20:$T$40,MATCH($B19,[19]SourceEnergy!$R$20:$R$40,0),MATCH(C$7,[19]SourceEnergy!$S$12:$T$12,0))/10</f>
        <v>2.1563025519872996</v>
      </c>
      <c r="D19" s="37">
        <f>INDEX([19]SourceEnergy!$S$20:$T$40,MATCH($B19,[19]SourceEnergy!$R$20:$R$40,0),MATCH(D$7,[19]SourceEnergy!$S$12:$T$12,0))/10</f>
        <v>2.4713621524102871</v>
      </c>
      <c r="E19" s="37">
        <f>INDEX([19]SourceEnergy!$U$20:$V$40,MATCH($B19,[19]SourceEnergy!$R$20:$R$40,0),MATCH(E$7,[19]SourceEnergy!$U$12:$V$12,0))/10</f>
        <v>1.9563108124156403</v>
      </c>
      <c r="F19" s="37">
        <f>INDEX([19]SourceEnergy!$U$20:$V$40,MATCH($B19,[19]SourceEnergy!$R$20:$R$40,0),MATCH(F$7,[19]SourceEnergy!$U$12:$V$12,0))/10</f>
        <v>1.9990776938537966</v>
      </c>
      <c r="G19" s="36"/>
      <c r="H19" s="74"/>
      <c r="I19" s="357">
        <f t="shared" si="9"/>
        <v>0.95499999999999996</v>
      </c>
      <c r="J19" s="357"/>
      <c r="L19" s="372">
        <f t="shared" si="4"/>
        <v>2.0592689371478712</v>
      </c>
      <c r="M19" s="373">
        <f t="shared" si="10"/>
        <v>2.0831245036598358</v>
      </c>
      <c r="O19" s="372">
        <f t="shared" si="5"/>
        <v>2.360150855551824</v>
      </c>
      <c r="P19" s="373">
        <f t="shared" si="11"/>
        <v>2.4080134452852331</v>
      </c>
      <c r="R19" s="372">
        <f t="shared" si="6"/>
        <v>1.8682768258569364</v>
      </c>
      <c r="S19" s="373">
        <f t="shared" si="12"/>
        <v>1.8750644090371835</v>
      </c>
      <c r="U19" s="372">
        <f t="shared" si="7"/>
        <v>1.9091191976303756</v>
      </c>
      <c r="V19" s="373">
        <f t="shared" si="13"/>
        <v>1.8544910169678301</v>
      </c>
    </row>
    <row r="20" spans="1:22" x14ac:dyDescent="0.2">
      <c r="A20" s="34"/>
      <c r="B20" s="186">
        <f t="shared" si="8"/>
        <v>2027</v>
      </c>
      <c r="C20" s="37">
        <f>INDEX([19]SourceEnergy!$S$20:$T$40,MATCH($B20,[19]SourceEnergy!$R$20:$R$40,0),MATCH(C$7,[19]SourceEnergy!$S$12:$T$12,0))/10</f>
        <v>2.0655032238073407</v>
      </c>
      <c r="D20" s="37">
        <f>INDEX([19]SourceEnergy!$S$20:$T$40,MATCH($B20,[19]SourceEnergy!$R$20:$R$40,0),MATCH(D$7,[19]SourceEnergy!$S$12:$T$12,0))/10</f>
        <v>2.351881989840233</v>
      </c>
      <c r="E20" s="37">
        <f>INDEX([19]SourceEnergy!$U$20:$V$40,MATCH($B20,[19]SourceEnergy!$R$20:$R$40,0),MATCH(E$7,[19]SourceEnergy!$U$12:$V$12,0))/10</f>
        <v>1.8891485167799078</v>
      </c>
      <c r="F20" s="37">
        <f>INDEX([19]SourceEnergy!$U$20:$V$40,MATCH($B20,[19]SourceEnergy!$R$20:$R$40,0),MATCH(F$7,[19]SourceEnergy!$U$12:$V$12,0))/10</f>
        <v>1.9282834736162187</v>
      </c>
      <c r="G20" s="36"/>
      <c r="H20" s="74"/>
      <c r="I20" s="357">
        <f t="shared" si="9"/>
        <v>0.95</v>
      </c>
      <c r="J20" s="357"/>
      <c r="L20" s="372">
        <f t="shared" si="4"/>
        <v>1.9622280626169737</v>
      </c>
      <c r="M20" s="373">
        <f t="shared" si="10"/>
        <v>2.0722180926459099</v>
      </c>
      <c r="O20" s="372">
        <f t="shared" si="5"/>
        <v>2.2342878903482211</v>
      </c>
      <c r="P20" s="373">
        <f t="shared" si="11"/>
        <v>2.3954060450481376</v>
      </c>
      <c r="R20" s="372">
        <f t="shared" si="6"/>
        <v>1.7946910909409124</v>
      </c>
      <c r="S20" s="373">
        <f t="shared" si="12"/>
        <v>1.8652473178903919</v>
      </c>
      <c r="U20" s="372">
        <f t="shared" si="7"/>
        <v>1.8318692999354076</v>
      </c>
      <c r="V20" s="373">
        <f t="shared" si="13"/>
        <v>1.8447816399156427</v>
      </c>
    </row>
    <row r="21" spans="1:22" x14ac:dyDescent="0.2">
      <c r="A21" s="34"/>
      <c r="B21" s="186">
        <f t="shared" si="8"/>
        <v>2028</v>
      </c>
      <c r="C21" s="37">
        <f>INDEX([19]SourceEnergy!$S$20:$T$40,MATCH($B21,[19]SourceEnergy!$R$20:$R$40,0),MATCH(C$7,[19]SourceEnergy!$S$12:$T$12,0))/10</f>
        <v>2.891838502226606</v>
      </c>
      <c r="D21" s="37">
        <f>INDEX([19]SourceEnergy!$S$20:$T$40,MATCH($B21,[19]SourceEnergy!$R$20:$R$40,0),MATCH(D$7,[19]SourceEnergy!$S$12:$T$12,0))/10</f>
        <v>3.2916147383040637</v>
      </c>
      <c r="E21" s="37">
        <f>INDEX([19]SourceEnergy!$U$20:$V$40,MATCH($B21,[19]SourceEnergy!$R$20:$R$40,0),MATCH(E$7,[19]SourceEnergy!$U$12:$V$12,0))/10</f>
        <v>2.6625669521065731</v>
      </c>
      <c r="F21" s="37">
        <f>INDEX([19]SourceEnergy!$U$20:$V$40,MATCH($B21,[19]SourceEnergy!$R$20:$R$40,0),MATCH(F$7,[19]SourceEnergy!$U$12:$V$12,0))/10</f>
        <v>2.7194365531408726</v>
      </c>
      <c r="G21" s="37"/>
      <c r="H21" s="74"/>
      <c r="I21" s="357">
        <f t="shared" si="9"/>
        <v>0.94499999999999995</v>
      </c>
      <c r="J21" s="357"/>
      <c r="L21" s="372">
        <f t="shared" si="4"/>
        <v>2.7327873846041424</v>
      </c>
      <c r="M21" s="373">
        <f t="shared" si="10"/>
        <v>2.0613116816319841</v>
      </c>
      <c r="O21" s="372">
        <f t="shared" si="5"/>
        <v>3.1105759276973401</v>
      </c>
      <c r="P21" s="373">
        <f t="shared" si="11"/>
        <v>2.3827986448110421</v>
      </c>
      <c r="R21" s="372">
        <f t="shared" si="6"/>
        <v>2.5161257697407113</v>
      </c>
      <c r="S21" s="373">
        <f t="shared" si="12"/>
        <v>1.8554302267436003</v>
      </c>
      <c r="U21" s="372">
        <f t="shared" si="7"/>
        <v>2.5698675427181246</v>
      </c>
      <c r="V21" s="373">
        <f t="shared" si="13"/>
        <v>1.835072262863455</v>
      </c>
    </row>
    <row r="22" spans="1:22" x14ac:dyDescent="0.2">
      <c r="A22" s="34"/>
      <c r="B22" s="186">
        <f t="shared" si="8"/>
        <v>2029</v>
      </c>
      <c r="C22" s="37">
        <f>INDEX([19]SourceEnergy!$S$20:$T$40,MATCH($B22,[19]SourceEnergy!$R$20:$R$40,0),MATCH(C$7,[19]SourceEnergy!$S$12:$T$12,0))/10</f>
        <v>3.3718516572173605</v>
      </c>
      <c r="D22" s="37">
        <f>INDEX([19]SourceEnergy!$S$20:$T$40,MATCH($B22,[19]SourceEnergy!$R$20:$R$40,0),MATCH(D$7,[19]SourceEnergy!$S$12:$T$12,0))/10</f>
        <v>3.7917539706979313</v>
      </c>
      <c r="E22" s="37">
        <f>INDEX([19]SourceEnergy!$U$20:$V$40,MATCH($B22,[19]SourceEnergy!$R$20:$R$40,0),MATCH(E$7,[19]SourceEnergy!$U$12:$V$12,0))/10</f>
        <v>3.1163954162923586</v>
      </c>
      <c r="F22" s="37">
        <f>INDEX([19]SourceEnergy!$U$20:$V$40,MATCH($B22,[19]SourceEnergy!$R$20:$R$40,0),MATCH(F$7,[19]SourceEnergy!$U$12:$V$12,0))/10</f>
        <v>3.1588081874374585</v>
      </c>
      <c r="G22" s="37"/>
      <c r="H22" s="74"/>
      <c r="I22" s="357">
        <f t="shared" si="9"/>
        <v>0.94</v>
      </c>
      <c r="J22" s="357"/>
      <c r="L22" s="372">
        <f t="shared" si="4"/>
        <v>3.1695405577843188</v>
      </c>
      <c r="M22" s="373">
        <f t="shared" si="10"/>
        <v>2.0504052706180582</v>
      </c>
      <c r="O22" s="372">
        <f t="shared" si="5"/>
        <v>3.564248732456055</v>
      </c>
      <c r="P22" s="373">
        <f t="shared" si="11"/>
        <v>2.3701912445739466</v>
      </c>
      <c r="R22" s="372">
        <f t="shared" si="6"/>
        <v>2.9294116913148169</v>
      </c>
      <c r="S22" s="373">
        <f t="shared" si="12"/>
        <v>1.8456131355968088</v>
      </c>
      <c r="U22" s="372">
        <f t="shared" si="7"/>
        <v>2.9692796961912107</v>
      </c>
      <c r="V22" s="373">
        <f t="shared" si="13"/>
        <v>1.8253628858112674</v>
      </c>
    </row>
    <row r="23" spans="1:22" x14ac:dyDescent="0.2">
      <c r="A23" s="34"/>
      <c r="B23" s="186">
        <f t="shared" si="8"/>
        <v>2030</v>
      </c>
      <c r="C23" s="37">
        <f>INDEX([19]SourceEnergy!$S$20:$T$40,MATCH($B23,[19]SourceEnergy!$R$20:$R$40,0),MATCH(C$7,[19]SourceEnergy!$S$12:$T$12,0))/10</f>
        <v>3.7422364444597327</v>
      </c>
      <c r="D23" s="37">
        <f>INDEX([19]SourceEnergy!$S$20:$T$40,MATCH($B23,[19]SourceEnergy!$R$20:$R$40,0),MATCH(D$7,[19]SourceEnergy!$S$12:$T$12,0))/10</f>
        <v>4.2397823456246062</v>
      </c>
      <c r="E23" s="37">
        <f>INDEX([19]SourceEnergy!$U$20:$V$40,MATCH($B23,[19]SourceEnergy!$R$20:$R$40,0),MATCH(E$7,[19]SourceEnergy!$U$12:$V$12,0))/10</f>
        <v>3.5250403077001868</v>
      </c>
      <c r="F23" s="37">
        <f>INDEX([19]SourceEnergy!$U$20:$V$40,MATCH($B23,[19]SourceEnergy!$R$20:$R$40,0),MATCH(F$7,[19]SourceEnergy!$U$12:$V$12,0))/10</f>
        <v>3.514636737398058</v>
      </c>
      <c r="G23" s="37"/>
      <c r="H23" s="74"/>
      <c r="I23" s="357">
        <f t="shared" si="9"/>
        <v>0.93499999999999994</v>
      </c>
      <c r="J23" s="357"/>
      <c r="L23" s="372">
        <f t="shared" si="4"/>
        <v>3.4989910755698497</v>
      </c>
      <c r="M23" s="373">
        <f t="shared" si="10"/>
        <v>2.0394988596041324</v>
      </c>
      <c r="O23" s="372">
        <f t="shared" si="5"/>
        <v>3.9641964931590064</v>
      </c>
      <c r="P23" s="373">
        <f t="shared" si="11"/>
        <v>2.3575838443368511</v>
      </c>
      <c r="R23" s="372">
        <f t="shared" si="6"/>
        <v>3.2959126876996745</v>
      </c>
      <c r="S23" s="373">
        <f t="shared" si="12"/>
        <v>1.8357960444500172</v>
      </c>
      <c r="U23" s="372">
        <f t="shared" si="7"/>
        <v>3.2861853494671842</v>
      </c>
      <c r="V23" s="373">
        <f t="shared" si="13"/>
        <v>1.8156535087590799</v>
      </c>
    </row>
    <row r="24" spans="1:22" x14ac:dyDescent="0.2">
      <c r="A24" s="34"/>
      <c r="B24" s="186">
        <f t="shared" si="8"/>
        <v>2031</v>
      </c>
      <c r="C24" s="37">
        <f>INDEX([19]SourceEnergy!$S$20:$T$40,MATCH($B24,[19]SourceEnergy!$R$20:$R$40,0),MATCH(C$7,[19]SourceEnergy!$S$12:$T$12,0))/10</f>
        <v>3.854652807547466</v>
      </c>
      <c r="D24" s="37">
        <f>INDEX([19]SourceEnergy!$S$20:$T$40,MATCH($B24,[19]SourceEnergy!$R$20:$R$40,0),MATCH(D$7,[19]SourceEnergy!$S$12:$T$12,0))/10</f>
        <v>4.3255477360293533</v>
      </c>
      <c r="E24" s="37">
        <f>INDEX([19]SourceEnergy!$U$20:$V$40,MATCH($B24,[19]SourceEnergy!$R$20:$R$40,0),MATCH(E$7,[19]SourceEnergy!$U$12:$V$12,0))/10</f>
        <v>3.6107017293749215</v>
      </c>
      <c r="F24" s="37">
        <f>INDEX([19]SourceEnergy!$U$20:$V$40,MATCH($B24,[19]SourceEnergy!$R$20:$R$40,0),MATCH(F$7,[19]SourceEnergy!$U$12:$V$12,0))/10</f>
        <v>3.6244850926345067</v>
      </c>
      <c r="G24" s="37"/>
      <c r="H24" s="74"/>
      <c r="I24" s="357">
        <f t="shared" si="9"/>
        <v>0.92999999999999994</v>
      </c>
      <c r="J24" s="357"/>
      <c r="L24" s="372">
        <f t="shared" si="4"/>
        <v>3.584827111019143</v>
      </c>
      <c r="M24" s="373">
        <f t="shared" si="10"/>
        <v>2.0285924485902065</v>
      </c>
      <c r="O24" s="372">
        <f t="shared" si="5"/>
        <v>4.0227593945072986</v>
      </c>
      <c r="P24" s="373">
        <f t="shared" si="11"/>
        <v>2.3449764440997556</v>
      </c>
      <c r="R24" s="372">
        <f t="shared" si="6"/>
        <v>3.3579526083186768</v>
      </c>
      <c r="S24" s="373">
        <f t="shared" si="12"/>
        <v>1.8259789533032258</v>
      </c>
      <c r="U24" s="372">
        <f t="shared" si="7"/>
        <v>3.3707711361500912</v>
      </c>
      <c r="V24" s="373">
        <f t="shared" si="13"/>
        <v>1.8059441317068923</v>
      </c>
    </row>
    <row r="25" spans="1:22" x14ac:dyDescent="0.2">
      <c r="A25" s="34"/>
      <c r="B25" s="186">
        <f t="shared" si="8"/>
        <v>2032</v>
      </c>
      <c r="C25" s="37">
        <f>INDEX([19]SourceEnergy!$S$20:$T$40,MATCH($B25,[19]SourceEnergy!$R$20:$R$40,0),MATCH(C$7,[19]SourceEnergy!$S$12:$T$12,0))/10</f>
        <v>4.1447808325576982</v>
      </c>
      <c r="D25" s="37">
        <f>INDEX([19]SourceEnergy!$S$20:$T$40,MATCH($B25,[19]SourceEnergy!$R$20:$R$40,0),MATCH(D$7,[19]SourceEnergy!$S$12:$T$12,0))/10</f>
        <v>4.6615559549910257</v>
      </c>
      <c r="E25" s="37">
        <f>INDEX([19]SourceEnergy!$U$20:$V$40,MATCH($B25,[19]SourceEnergy!$R$20:$R$40,0),MATCH(E$7,[19]SourceEnergy!$U$12:$V$12,0))/10</f>
        <v>3.8641334075793523</v>
      </c>
      <c r="F25" s="37">
        <f>INDEX([19]SourceEnergy!$U$20:$V$40,MATCH($B25,[19]SourceEnergy!$R$20:$R$40,0),MATCH(F$7,[19]SourceEnergy!$U$12:$V$12,0))/10</f>
        <v>3.9764603312758444</v>
      </c>
      <c r="G25" s="37"/>
      <c r="H25" s="74"/>
      <c r="I25" s="357">
        <f t="shared" si="9"/>
        <v>0.92499999999999993</v>
      </c>
      <c r="J25" s="357"/>
      <c r="L25" s="372">
        <f t="shared" si="4"/>
        <v>3.8339222701158704</v>
      </c>
      <c r="M25" s="373">
        <f t="shared" si="10"/>
        <v>2.0176860375762806</v>
      </c>
      <c r="O25" s="372">
        <f t="shared" si="5"/>
        <v>4.3119392583666984</v>
      </c>
      <c r="P25" s="373">
        <f t="shared" si="11"/>
        <v>2.3323690438626601</v>
      </c>
      <c r="R25" s="372">
        <f t="shared" si="6"/>
        <v>3.5743234020109007</v>
      </c>
      <c r="S25" s="373">
        <f t="shared" si="12"/>
        <v>1.8161618621564342</v>
      </c>
      <c r="U25" s="372">
        <f t="shared" si="7"/>
        <v>3.6782258064301558</v>
      </c>
      <c r="V25" s="373">
        <f t="shared" si="13"/>
        <v>1.7962347546547046</v>
      </c>
    </row>
    <row r="26" spans="1:22" x14ac:dyDescent="0.2">
      <c r="A26" s="34"/>
      <c r="B26" s="186">
        <f t="shared" si="8"/>
        <v>2033</v>
      </c>
      <c r="C26" s="37">
        <f>INDEX([19]SourceEnergy!$S$20:$T$40,MATCH($B26,[19]SourceEnergy!$R$20:$R$40,0),MATCH(C$7,[19]SourceEnergy!$S$12:$T$12,0))/10</f>
        <v>6.9371127211959447</v>
      </c>
      <c r="D26" s="37">
        <f>INDEX([19]SourceEnergy!$S$20:$T$40,MATCH($B26,[19]SourceEnergy!$R$20:$R$40,0),MATCH(D$7,[19]SourceEnergy!$S$12:$T$12,0))/10</f>
        <v>7.8792009148336151</v>
      </c>
      <c r="E26" s="37">
        <f>INDEX([19]SourceEnergy!$U$20:$V$40,MATCH($B26,[19]SourceEnergy!$R$20:$R$40,0),MATCH(E$7,[19]SourceEnergy!$U$12:$V$12,0))/10</f>
        <v>6.5282830135316754</v>
      </c>
      <c r="F26" s="37">
        <f>INDEX([19]SourceEnergy!$U$20:$V$40,MATCH($B26,[19]SourceEnergy!$R$20:$R$40,0),MATCH(F$7,[19]SourceEnergy!$U$12:$V$12,0))/10</f>
        <v>6.7340450070514137</v>
      </c>
      <c r="G26" s="37"/>
      <c r="H26" s="74"/>
      <c r="I26" s="357">
        <f t="shared" si="9"/>
        <v>0.91999999999999993</v>
      </c>
      <c r="J26" s="357"/>
      <c r="L26" s="372">
        <f t="shared" si="4"/>
        <v>6.3821437035002688</v>
      </c>
      <c r="M26" s="373">
        <f t="shared" si="10"/>
        <v>2.0067796265623548</v>
      </c>
      <c r="O26" s="372">
        <f t="shared" si="5"/>
        <v>7.2488648416469257</v>
      </c>
      <c r="P26" s="373">
        <f t="shared" si="11"/>
        <v>2.3197616436255646</v>
      </c>
      <c r="R26" s="372">
        <f t="shared" si="6"/>
        <v>6.0060203724491412</v>
      </c>
      <c r="S26" s="373">
        <f t="shared" si="12"/>
        <v>1.8063447710096425</v>
      </c>
      <c r="U26" s="372">
        <f t="shared" si="7"/>
        <v>6.1953214064873006</v>
      </c>
      <c r="V26" s="373">
        <f t="shared" si="13"/>
        <v>1.786525377602517</v>
      </c>
    </row>
    <row r="27" spans="1:22" x14ac:dyDescent="0.2">
      <c r="A27" s="34"/>
      <c r="B27" s="186">
        <f t="shared" si="8"/>
        <v>2034</v>
      </c>
      <c r="C27" s="37">
        <f>INDEX([19]SourceEnergy!$S$20:$T$40,MATCH($B27,[19]SourceEnergy!$R$20:$R$40,0),MATCH(C$7,[19]SourceEnergy!$S$12:$T$12,0))/10</f>
        <v>7.2447291935190252</v>
      </c>
      <c r="D27" s="37">
        <f>INDEX([19]SourceEnergy!$S$20:$T$40,MATCH($B27,[19]SourceEnergy!$R$20:$R$40,0),MATCH(D$7,[19]SourceEnergy!$S$12:$T$12,0))/10</f>
        <v>8.0944785741951666</v>
      </c>
      <c r="E27" s="37">
        <f>INDEX([19]SourceEnergy!$U$20:$V$40,MATCH($B27,[19]SourceEnergy!$R$20:$R$40,0),MATCH(E$7,[19]SourceEnergy!$U$12:$V$12,0))/10</f>
        <v>6.8387201008732772</v>
      </c>
      <c r="F27" s="37">
        <f>INDEX([19]SourceEnergy!$U$20:$V$40,MATCH($B27,[19]SourceEnergy!$R$20:$R$40,0),MATCH(F$7,[19]SourceEnergy!$U$12:$V$12,0))/10</f>
        <v>6.9699325524696549</v>
      </c>
      <c r="G27" s="37"/>
      <c r="H27" s="74"/>
      <c r="I27" s="357">
        <f t="shared" si="9"/>
        <v>0.91499999999999992</v>
      </c>
      <c r="J27" s="357"/>
      <c r="L27" s="372">
        <f t="shared" si="4"/>
        <v>6.6289272120699074</v>
      </c>
      <c r="M27" s="373">
        <f t="shared" si="10"/>
        <v>1.9958732155484291</v>
      </c>
      <c r="O27" s="372">
        <f t="shared" si="5"/>
        <v>7.4064478953885766</v>
      </c>
      <c r="P27" s="373">
        <f t="shared" si="11"/>
        <v>2.3071542433884691</v>
      </c>
      <c r="R27" s="372">
        <f t="shared" si="6"/>
        <v>6.257428892299048</v>
      </c>
      <c r="S27" s="373">
        <f t="shared" si="12"/>
        <v>1.7965276798628511</v>
      </c>
      <c r="U27" s="372">
        <f t="shared" si="7"/>
        <v>6.3774882855097337</v>
      </c>
      <c r="V27" s="373">
        <f t="shared" si="13"/>
        <v>1.7768160005503295</v>
      </c>
    </row>
    <row r="28" spans="1:22" x14ac:dyDescent="0.2">
      <c r="A28" s="34"/>
      <c r="B28" s="186">
        <f t="shared" ref="B28" si="14">B27+1</f>
        <v>2035</v>
      </c>
      <c r="C28" s="37">
        <f>INDEX([19]SourceEnergy!$S$20:$T$40,MATCH($B28,[19]SourceEnergy!$R$20:$R$40,0),MATCH(C$7,[19]SourceEnergy!$S$12:$T$12,0))/10</f>
        <v>7.4148027760748665</v>
      </c>
      <c r="D28" s="37">
        <f>INDEX([19]SourceEnergy!$S$20:$T$40,MATCH($B28,[19]SourceEnergy!$R$20:$R$40,0),MATCH(D$7,[19]SourceEnergy!$S$12:$T$12,0))/10</f>
        <v>8.4640291099700136</v>
      </c>
      <c r="E28" s="37">
        <f>INDEX([19]SourceEnergy!$U$20:$V$40,MATCH($B28,[19]SourceEnergy!$R$20:$R$40,0),MATCH(E$7,[19]SourceEnergy!$U$12:$V$12,0))/10</f>
        <v>6.9783159920844398</v>
      </c>
      <c r="F28" s="37">
        <f>INDEX([19]SourceEnergy!$U$20:$V$40,MATCH($B28,[19]SourceEnergy!$R$20:$R$40,0),MATCH(F$7,[19]SourceEnergy!$U$12:$V$12,0))/10</f>
        <v>7.2652499241612887</v>
      </c>
      <c r="G28" s="37"/>
      <c r="H28" s="74"/>
      <c r="I28" s="357"/>
      <c r="J28" s="357"/>
      <c r="L28" s="358"/>
      <c r="O28" s="358"/>
      <c r="R28" s="358"/>
      <c r="U28" s="358"/>
    </row>
    <row r="29" spans="1:22" x14ac:dyDescent="0.2">
      <c r="A29" s="34"/>
      <c r="B29" s="186">
        <f t="shared" ref="B29:B30" si="15">B28+1</f>
        <v>2036</v>
      </c>
      <c r="C29" s="37">
        <f>INDEX([19]SourceEnergy!$S$20:$T$40,MATCH($B29,[19]SourceEnergy!$R$20:$R$40,0),MATCH(C$7,[19]SourceEnergy!$S$12:$T$12,0))/10</f>
        <v>7.6824816676251206</v>
      </c>
      <c r="D29" s="37">
        <f>INDEX([19]SourceEnergy!$S$20:$T$40,MATCH($B29,[19]SourceEnergy!$R$20:$R$40,0),MATCH(D$7,[19]SourceEnergy!$S$12:$T$12,0))/10</f>
        <v>8.7728542527429276</v>
      </c>
      <c r="E29" s="37">
        <f>INDEX([19]SourceEnergy!$U$20:$V$40,MATCH($B29,[19]SourceEnergy!$R$20:$R$40,0),MATCH(E$7,[19]SourceEnergy!$U$12:$V$12,0))/10</f>
        <v>7.2865845369151314</v>
      </c>
      <c r="F29" s="37">
        <f>INDEX([19]SourceEnergy!$U$20:$V$40,MATCH($B29,[19]SourceEnergy!$R$20:$R$40,0),MATCH(F$7,[19]SourceEnergy!$U$12:$V$12,0))/10</f>
        <v>7.5469314415894129</v>
      </c>
      <c r="G29" s="37"/>
      <c r="H29" s="74"/>
      <c r="I29" s="357"/>
      <c r="J29" s="357"/>
      <c r="L29" s="358"/>
      <c r="O29" s="358"/>
      <c r="R29" s="358"/>
      <c r="U29" s="358"/>
    </row>
    <row r="30" spans="1:22" x14ac:dyDescent="0.2">
      <c r="A30" s="34"/>
      <c r="B30" s="186">
        <f t="shared" si="15"/>
        <v>2037</v>
      </c>
      <c r="C30" s="37">
        <f>INDEX([19]SourceEnergy!$S$20:$T$40,MATCH($B30,[19]SourceEnergy!$R$20:$R$40,0),MATCH(C$7,[19]SourceEnergy!$S$12:$T$12,0))/10</f>
        <v>7.9496684754822411</v>
      </c>
      <c r="D30" s="37">
        <f>INDEX([19]SourceEnergy!$S$20:$T$40,MATCH($B30,[19]SourceEnergy!$R$20:$R$40,0),MATCH(D$7,[19]SourceEnergy!$S$12:$T$12,0))/10</f>
        <v>8.9994621577908642</v>
      </c>
      <c r="E30" s="37">
        <f>INDEX([19]SourceEnergy!$U$20:$V$40,MATCH($B30,[19]SourceEnergy!$R$20:$R$40,0),MATCH(E$7,[19]SourceEnergy!$U$12:$V$12,0))/10</f>
        <v>7.526092824905656</v>
      </c>
      <c r="F30" s="37">
        <f>INDEX([19]SourceEnergy!$U$20:$V$40,MATCH($B30,[19]SourceEnergy!$R$20:$R$40,0),MATCH(F$7,[19]SourceEnergy!$U$12:$V$12,0))/10</f>
        <v>7.7965222283276061</v>
      </c>
      <c r="G30" s="37"/>
      <c r="H30" s="74"/>
      <c r="I30" s="357"/>
      <c r="J30" s="357"/>
      <c r="L30" s="358"/>
      <c r="O30" s="358"/>
      <c r="R30" s="358"/>
      <c r="U30" s="358"/>
    </row>
    <row r="31" spans="1:22" x14ac:dyDescent="0.2">
      <c r="A31" s="34"/>
      <c r="B31" s="35"/>
      <c r="C31" s="34"/>
      <c r="D31" s="34"/>
      <c r="E31" s="34"/>
      <c r="F31" s="34"/>
      <c r="G31" s="34"/>
      <c r="H31" s="172"/>
      <c r="I31" s="357"/>
      <c r="J31" s="357"/>
      <c r="L31" s="358"/>
      <c r="O31" s="358"/>
      <c r="R31" s="358"/>
      <c r="U31" s="358"/>
    </row>
    <row r="32" spans="1:22" x14ac:dyDescent="0.2">
      <c r="A32" s="34"/>
      <c r="C32" s="32" t="s">
        <v>226</v>
      </c>
      <c r="D32" s="32"/>
      <c r="E32" s="67" t="s">
        <v>31</v>
      </c>
      <c r="F32" s="67"/>
      <c r="G32" s="32"/>
      <c r="H32" s="172"/>
      <c r="I32" s="357"/>
      <c r="J32" s="357"/>
      <c r="L32" s="358"/>
      <c r="O32" s="358"/>
      <c r="R32" s="358"/>
      <c r="U32" s="358"/>
    </row>
    <row r="33" spans="1:22" ht="14.25" x14ac:dyDescent="0.35">
      <c r="A33" s="34"/>
      <c r="B33" s="40"/>
      <c r="C33" s="33" t="s">
        <v>10</v>
      </c>
      <c r="D33" s="33" t="s">
        <v>11</v>
      </c>
      <c r="E33" s="33" t="s">
        <v>10</v>
      </c>
      <c r="F33" s="33" t="s">
        <v>11</v>
      </c>
      <c r="G33" s="33"/>
      <c r="H33" s="172"/>
      <c r="I33" s="357"/>
      <c r="J33" s="357"/>
      <c r="K33" s="369"/>
      <c r="L33" s="369"/>
      <c r="M33" s="369"/>
      <c r="O33" s="358"/>
      <c r="R33" s="358"/>
      <c r="U33" s="358"/>
    </row>
    <row r="34" spans="1:22" ht="36" customHeight="1" x14ac:dyDescent="0.2">
      <c r="B34" s="41" t="s">
        <v>117</v>
      </c>
      <c r="C34" s="42">
        <f>M34</f>
        <v>2.1812822027851686</v>
      </c>
      <c r="D34" s="42">
        <f>P34</f>
        <v>2.5214800474190922</v>
      </c>
      <c r="E34" s="42">
        <f>S34</f>
        <v>1.9634182293583073</v>
      </c>
      <c r="F34" s="42">
        <f>V34</f>
        <v>1.9418754104375187</v>
      </c>
      <c r="G34" s="42"/>
      <c r="I34" s="371">
        <f>-PMT('Table 3 Comparison'!$P$37,COUNT(I11:I25),NPV('Table 3 Comparison'!$P$37,I11:I25))</f>
        <v>0.96585031765977203</v>
      </c>
      <c r="J34" s="361"/>
      <c r="K34" s="369"/>
      <c r="L34" s="371">
        <f>-PMT('Table 3 Comparison'!$P$37,COUNT(L11:L25),NPV('Table 3 Comparison'!$P$37,L11:L25))</f>
        <v>2.1067921084656622</v>
      </c>
      <c r="M34" s="370">
        <f>L34/$I34</f>
        <v>2.1812822027851686</v>
      </c>
      <c r="N34" s="364"/>
      <c r="O34" s="371">
        <f>-PMT('Table 3 Comparison'!$P$37,COUNT(O11:O25),NPV('Table 3 Comparison'!$P$37,O11:O25))</f>
        <v>2.4353723047725073</v>
      </c>
      <c r="P34" s="370">
        <f>O34/$I34</f>
        <v>2.5214800474190922</v>
      </c>
      <c r="Q34" s="364"/>
      <c r="R34" s="371">
        <f>-PMT('Table 3 Comparison'!$P$37,COUNT(R11:R25),NPV('Table 3 Comparison'!$P$37,R11:R25))</f>
        <v>1.8963681205247083</v>
      </c>
      <c r="S34" s="370">
        <f>R34/$I34</f>
        <v>1.9634182293583073</v>
      </c>
      <c r="T34" s="364"/>
      <c r="U34" s="371">
        <f>-PMT('Table 3 Comparison'!$P$37,COUNT(U11:U25),NPV('Table 3 Comparison'!$P$37,U11:U25))</f>
        <v>1.8755609820267776</v>
      </c>
      <c r="V34" s="370">
        <f>U34/$I34</f>
        <v>1.9418754104375187</v>
      </c>
    </row>
    <row r="35" spans="1:22" ht="28.5" hidden="1" customHeight="1" x14ac:dyDescent="0.2">
      <c r="A35" s="40"/>
      <c r="B35" s="41" t="s">
        <v>118</v>
      </c>
      <c r="C35" s="42">
        <f t="shared" ref="C35:C36" si="16">M35</f>
        <v>2.4034797922861584</v>
      </c>
      <c r="D35" s="42">
        <f t="shared" ref="D35:D36" si="17">P35</f>
        <v>2.7595333580986852</v>
      </c>
      <c r="E35" s="42">
        <f t="shared" ref="E35:E36" si="18">S35</f>
        <v>2.1784634490531398</v>
      </c>
      <c r="F35" s="42">
        <f t="shared" ref="F35:F36" si="19">V35</f>
        <v>2.1611396734140027</v>
      </c>
      <c r="I35" s="371">
        <f>-PMT('Table 3 Comparison'!$P$37,COUNT(I12:I26),NPV('Table 3 Comparison'!$P$37,I12:I26))</f>
        <v>0.96085031765977214</v>
      </c>
      <c r="J35" s="359"/>
      <c r="K35" s="360"/>
      <c r="L35" s="371">
        <f>-PMT('Table 3 Comparison'!$P$37,COUNT(L12:L26),NPV('Table 3 Comparison'!$P$37,L12:L26))</f>
        <v>2.3093843219069985</v>
      </c>
      <c r="M35" s="370">
        <f>L35/$I35</f>
        <v>2.4034797922861584</v>
      </c>
      <c r="N35" s="360"/>
      <c r="O35" s="371">
        <f>-PMT('Table 3 Comparison'!$P$37,COUNT(O12:O26),NPV('Table 3 Comparison'!$P$37,O12:O26))</f>
        <v>2.6514985037218595</v>
      </c>
      <c r="P35" s="370">
        <f>O35/$I35</f>
        <v>2.7595333580986852</v>
      </c>
      <c r="Q35" s="360"/>
      <c r="R35" s="371">
        <f>-PMT('Table 3 Comparison'!$P$37,COUNT(R12:R26),NPV('Table 3 Comparison'!$P$37,R12:R26))</f>
        <v>2.0931772970329123</v>
      </c>
      <c r="S35" s="370">
        <f>R35/$I35</f>
        <v>2.1784634490531398</v>
      </c>
      <c r="T35" s="360"/>
      <c r="U35" s="371">
        <f>-PMT('Table 3 Comparison'!$P$37,COUNT(U12:U26),NPV('Table 3 Comparison'!$P$37,U12:U26))</f>
        <v>2.0765317417069808</v>
      </c>
      <c r="V35" s="370">
        <f>U35/$I35</f>
        <v>2.1611396734140027</v>
      </c>
    </row>
    <row r="36" spans="1:22" ht="24.75" hidden="1" customHeight="1" x14ac:dyDescent="0.2">
      <c r="A36" s="44"/>
      <c r="B36" s="41" t="s">
        <v>119</v>
      </c>
      <c r="C36" s="42">
        <f t="shared" si="16"/>
        <v>2.6707216466441621</v>
      </c>
      <c r="D36" s="42">
        <f t="shared" si="17"/>
        <v>3.0466235390893135</v>
      </c>
      <c r="E36" s="42">
        <f t="shared" si="18"/>
        <v>2.443528583866482</v>
      </c>
      <c r="F36" s="42">
        <f t="shared" si="19"/>
        <v>2.4337474055708994</v>
      </c>
      <c r="I36" s="371">
        <f>-PMT('Table 3 Comparison'!$P$37,COUNT(I13:I27),NPV('Table 3 Comparison'!$P$37,I13:I27))</f>
        <v>0.95585031765977191</v>
      </c>
      <c r="J36" s="359"/>
      <c r="K36" s="360"/>
      <c r="L36" s="371">
        <f>-PMT('Table 3 Comparison'!$P$37,COUNT(L13:L27),NPV('Table 3 Comparison'!$P$37,L13:L27))</f>
        <v>2.5528101343256515</v>
      </c>
      <c r="M36" s="370">
        <f>L36/$I36</f>
        <v>2.6707216466441621</v>
      </c>
      <c r="N36" s="360"/>
      <c r="O36" s="371">
        <f>-PMT('Table 3 Comparison'!$P$37,COUNT(O13:O27),NPV('Table 3 Comparison'!$P$37,O13:O27))</f>
        <v>2.9121160776282586</v>
      </c>
      <c r="P36" s="370">
        <f>O36/$I36</f>
        <v>3.0466235390893135</v>
      </c>
      <c r="Q36" s="360"/>
      <c r="R36" s="371">
        <f>-PMT('Table 3 Comparison'!$P$37,COUNT(R13:R27),NPV('Table 3 Comparison'!$P$37,R13:R27))</f>
        <v>2.3356475730995094</v>
      </c>
      <c r="S36" s="370">
        <f>R36/$I36</f>
        <v>2.443528583866482</v>
      </c>
      <c r="T36" s="360"/>
      <c r="U36" s="371">
        <f>-PMT('Table 3 Comparison'!$P$37,COUNT(U13:U27),NPV('Table 3 Comparison'!$P$37,U13:U27))</f>
        <v>2.32629823071859</v>
      </c>
      <c r="V36" s="370">
        <f>U36/$I36</f>
        <v>2.4337474055708994</v>
      </c>
    </row>
    <row r="37" spans="1:22" hidden="1" x14ac:dyDescent="0.2">
      <c r="A37" s="44"/>
      <c r="B37" s="41"/>
      <c r="C37" s="42"/>
      <c r="D37" s="42"/>
      <c r="E37" s="42"/>
      <c r="F37" s="42"/>
      <c r="I37" s="361"/>
      <c r="J37" s="361"/>
      <c r="K37" s="362"/>
      <c r="L37" s="362"/>
      <c r="M37" s="363"/>
      <c r="N37" s="364"/>
      <c r="O37" s="362"/>
      <c r="P37" s="363"/>
      <c r="Q37" s="364"/>
      <c r="R37" s="362"/>
      <c r="S37" s="363"/>
      <c r="T37" s="364"/>
      <c r="U37" s="362"/>
      <c r="V37" s="363"/>
    </row>
    <row r="38" spans="1:22" ht="12.75" hidden="1" x14ac:dyDescent="0.2">
      <c r="A38" s="44"/>
      <c r="B38" s="18"/>
      <c r="C38" s="18"/>
      <c r="D38" s="18"/>
      <c r="E38" s="18"/>
      <c r="F38" s="45"/>
      <c r="G38" s="45"/>
      <c r="K38" s="365"/>
      <c r="L38" s="366"/>
      <c r="M38" s="367"/>
      <c r="O38" s="366"/>
      <c r="P38" s="367"/>
      <c r="R38" s="366"/>
      <c r="S38" s="367"/>
      <c r="U38" s="366"/>
      <c r="V38" s="367"/>
    </row>
    <row r="39" spans="1:22" ht="12.75" hidden="1" x14ac:dyDescent="0.2">
      <c r="A39" s="44"/>
      <c r="B39" s="66"/>
      <c r="C39" s="66"/>
      <c r="D39" s="48"/>
      <c r="E39" s="48"/>
      <c r="F39" s="45"/>
      <c r="G39" s="45"/>
      <c r="L39" s="368"/>
      <c r="O39" s="368"/>
      <c r="R39" s="368"/>
      <c r="U39" s="368"/>
    </row>
    <row r="40" spans="1:22" ht="12.75" hidden="1" x14ac:dyDescent="0.2">
      <c r="A40" s="34"/>
      <c r="B40" s="66"/>
      <c r="C40" s="66"/>
      <c r="D40" s="48"/>
      <c r="E40" s="48"/>
      <c r="F40" s="34"/>
      <c r="G40" s="34"/>
    </row>
    <row r="41" spans="1:22" ht="12.75" x14ac:dyDescent="0.2">
      <c r="A41" s="43"/>
      <c r="B41" s="66" t="s">
        <v>224</v>
      </c>
      <c r="C41" s="66"/>
      <c r="D41" s="48"/>
      <c r="E41" s="48"/>
      <c r="K41" s="349" t="s">
        <v>234</v>
      </c>
      <c r="L41" s="356">
        <f>NPV('Table 3 Comparison'!$P$37,L11:L25)</f>
        <v>19.72069307539655</v>
      </c>
      <c r="M41" s="356">
        <f>NPV('Table 3 Comparison'!$P$37,M11:M25)</f>
        <v>19.720693075396543</v>
      </c>
      <c r="O41" s="356">
        <f>NPV('Table 3 Comparison'!$P$37,O11:O25)</f>
        <v>22.796378225337602</v>
      </c>
      <c r="P41" s="356">
        <f>NPV('Table 3 Comparison'!$P$37,P11:P25)</f>
        <v>22.796378225337595</v>
      </c>
      <c r="R41" s="356">
        <f>NPV('Table 3 Comparison'!$P$37,R11:R25)</f>
        <v>17.751012789805081</v>
      </c>
      <c r="S41" s="356">
        <f>NPV('Table 3 Comparison'!$P$37,S11:S25)</f>
        <v>17.751012789805078</v>
      </c>
      <c r="U41" s="356">
        <f>NPV('Table 3 Comparison'!$P$37,U11:U25)</f>
        <v>17.556246922567333</v>
      </c>
      <c r="V41" s="356">
        <f>NPV('Table 3 Comparison'!$P$37,V11:V25)</f>
        <v>17.556246922567329</v>
      </c>
    </row>
    <row r="42" spans="1:22" ht="12.75" x14ac:dyDescent="0.2">
      <c r="A42" s="43"/>
      <c r="B42" s="66"/>
      <c r="C42" s="66"/>
      <c r="D42" s="48"/>
      <c r="E42" s="48"/>
      <c r="K42" s="349" t="s">
        <v>233</v>
      </c>
      <c r="M42" s="349">
        <f>M41-L41</f>
        <v>0</v>
      </c>
      <c r="P42" s="349">
        <f>P41-O41</f>
        <v>0</v>
      </c>
      <c r="S42" s="349">
        <f>S41-R41</f>
        <v>0</v>
      </c>
      <c r="V42" s="349">
        <f>V41-U41</f>
        <v>0</v>
      </c>
    </row>
  </sheetData>
  <printOptions horizontalCentered="1"/>
  <pageMargins left="0.25" right="0.25" top="0.75" bottom="0.75" header="0.3" footer="0.3"/>
  <pageSetup scale="82" orientation="landscape" copies="3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Table 1 Portfolio</vt:lpstr>
      <vt:lpstr>Table 2 QF Queue</vt:lpstr>
      <vt:lpstr>Table 3 Comparison</vt:lpstr>
      <vt:lpstr>Table 4 Gas Price</vt:lpstr>
      <vt:lpstr> Table 5 Electric Price</vt:lpstr>
      <vt:lpstr>Table 6 Integration</vt:lpstr>
      <vt:lpstr>--- Do Not Print ---&gt;</vt:lpstr>
      <vt:lpstr>Tariff Page</vt:lpstr>
      <vt:lpstr>Tariff Page Solar Fixed</vt:lpstr>
      <vt:lpstr>Tariff Page Solar Tracking</vt:lpstr>
      <vt:lpstr>Tariff Page Wind</vt:lpstr>
      <vt:lpstr>OFPC Source</vt:lpstr>
      <vt:lpstr>Base_Case</vt:lpstr>
      <vt:lpstr>CC_E_Fixed</vt:lpstr>
      <vt:lpstr>CC_E_Gas</vt:lpstr>
      <vt:lpstr>CC_E_Hydro</vt:lpstr>
      <vt:lpstr>CC_E_Tracking</vt:lpstr>
      <vt:lpstr>CC_E_Wind</vt:lpstr>
      <vt:lpstr>CC_W_Fixed</vt:lpstr>
      <vt:lpstr>CC_W_Gas</vt:lpstr>
      <vt:lpstr>CC_W_Hydro</vt:lpstr>
      <vt:lpstr>CC_W_Tracking</vt:lpstr>
      <vt:lpstr>CC_W_Wind</vt:lpstr>
      <vt:lpstr>' Table 5 Electric Price'!Print_Area</vt:lpstr>
      <vt:lpstr>'Table 1 Portfolio'!Print_Area</vt:lpstr>
      <vt:lpstr>'Table 2 QF Queue'!Print_Area</vt:lpstr>
      <vt:lpstr>'Table 3 Comparison'!Print_Area</vt:lpstr>
      <vt:lpstr>'Table 4 Gas Price'!Print_Area</vt:lpstr>
      <vt:lpstr>'Table 6 Integration'!Print_Area</vt:lpstr>
      <vt:lpstr>'Tariff Page'!Print_Area</vt:lpstr>
      <vt:lpstr>'Tariff Page Solar Fixed'!Print_Area</vt:lpstr>
      <vt:lpstr>'Tariff Page Solar Tracking'!Print_Area</vt:lpstr>
      <vt:lpstr>'Tariff Page Wind'!Print_Area</vt:lpstr>
      <vt:lpstr>'Table 2 QF Queue'!Signed_MW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2017-08-17T20:23:07Z</dcterms:created>
  <dcterms:modified xsi:type="dcterms:W3CDTF">2017-08-17T21:22:21Z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