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1" l="1"/>
  <c r="D92" i="1"/>
  <c r="B92" i="1"/>
  <c r="C78" i="1"/>
  <c r="B78" i="1"/>
  <c r="D78" i="1"/>
  <c r="D64" i="1"/>
  <c r="C64" i="1"/>
  <c r="B64" i="1"/>
  <c r="D50" i="1"/>
  <c r="C50" i="1"/>
  <c r="B50" i="1"/>
  <c r="D36" i="1"/>
  <c r="C36" i="1"/>
  <c r="B36" i="1"/>
  <c r="D22" i="1"/>
  <c r="C22" i="1"/>
  <c r="B22" i="1"/>
  <c r="E10" i="1"/>
  <c r="F10" i="1" s="1"/>
  <c r="E11" i="1" l="1"/>
  <c r="F11" i="1" s="1"/>
  <c r="G10" i="1"/>
  <c r="C94" i="1"/>
  <c r="G103" i="1"/>
  <c r="G99" i="1"/>
  <c r="E12" i="1" l="1"/>
  <c r="G11" i="1"/>
  <c r="F12" i="1" l="1"/>
  <c r="E13" i="1" l="1"/>
  <c r="G12" i="1"/>
  <c r="F13" i="1" l="1"/>
  <c r="G13" i="1" l="1"/>
  <c r="E14" i="1"/>
  <c r="F14" i="1" l="1"/>
  <c r="E15" i="1" l="1"/>
  <c r="G14" i="1"/>
  <c r="F15" i="1" l="1"/>
  <c r="E16" i="1" s="1"/>
  <c r="G15" i="1"/>
  <c r="F16" i="1" l="1"/>
  <c r="G16" i="1"/>
  <c r="E17" i="1"/>
  <c r="F17" i="1" s="1"/>
  <c r="G17" i="1" l="1"/>
  <c r="E18" i="1"/>
  <c r="F18" i="1" l="1"/>
  <c r="E19" i="1" l="1"/>
  <c r="G18" i="1"/>
  <c r="F19" i="1" l="1"/>
  <c r="F20" i="1" s="1"/>
  <c r="G19" i="1"/>
  <c r="E21" i="1" l="1"/>
  <c r="G20" i="1"/>
  <c r="E22" i="1" l="1"/>
  <c r="F21" i="1"/>
  <c r="E24" i="1" l="1"/>
  <c r="G21" i="1"/>
  <c r="F24" i="1" l="1"/>
  <c r="E25" i="1" l="1"/>
  <c r="G24" i="1"/>
  <c r="F25" i="1" l="1"/>
  <c r="E26" i="1" l="1"/>
  <c r="G25" i="1"/>
  <c r="F26" i="1" l="1"/>
  <c r="E27" i="1" l="1"/>
  <c r="G26" i="1"/>
  <c r="F27" i="1" l="1"/>
  <c r="E28" i="1"/>
  <c r="G27" i="1"/>
  <c r="F28" i="1" l="1"/>
  <c r="E29" i="1"/>
  <c r="F29" i="1" s="1"/>
  <c r="G28" i="1"/>
  <c r="E30" i="1" l="1"/>
  <c r="F30" i="1" s="1"/>
  <c r="G29" i="1"/>
  <c r="E31" i="1" l="1"/>
  <c r="F31" i="1" s="1"/>
  <c r="G30" i="1"/>
  <c r="E32" i="1" l="1"/>
  <c r="F32" i="1" s="1"/>
  <c r="G31" i="1"/>
  <c r="E33" i="1" l="1"/>
  <c r="F33" i="1" s="1"/>
  <c r="G32" i="1"/>
  <c r="E34" i="1" l="1"/>
  <c r="E36" i="1" s="1"/>
  <c r="G33" i="1"/>
  <c r="F34" i="1" l="1"/>
  <c r="F35" i="1" l="1"/>
  <c r="G34" i="1"/>
  <c r="E38" i="1" l="1"/>
  <c r="G35" i="1"/>
  <c r="F38" i="1" l="1"/>
  <c r="E39" i="1" l="1"/>
  <c r="F39" i="1" s="1"/>
  <c r="G38" i="1"/>
  <c r="E40" i="1" l="1"/>
  <c r="F40" i="1" s="1"/>
  <c r="G39" i="1"/>
  <c r="E41" i="1" l="1"/>
  <c r="F41" i="1" s="1"/>
  <c r="G40" i="1"/>
  <c r="E42" i="1" l="1"/>
  <c r="G41" i="1"/>
  <c r="F42" i="1" l="1"/>
  <c r="E43" i="1" l="1"/>
  <c r="F43" i="1" s="1"/>
  <c r="G42" i="1"/>
  <c r="E44" i="1" l="1"/>
  <c r="F44" i="1" s="1"/>
  <c r="G43" i="1"/>
  <c r="E45" i="1" l="1"/>
  <c r="F45" i="1" s="1"/>
  <c r="G44" i="1"/>
  <c r="E46" i="1" l="1"/>
  <c r="F46" i="1" s="1"/>
  <c r="G45" i="1"/>
  <c r="E47" i="1" l="1"/>
  <c r="F47" i="1" s="1"/>
  <c r="G46" i="1"/>
  <c r="E48" i="1" l="1"/>
  <c r="F48" i="1" s="1"/>
  <c r="G47" i="1"/>
  <c r="E49" i="1" l="1"/>
  <c r="E50" i="1" s="1"/>
  <c r="G48" i="1"/>
  <c r="F49" i="1" l="1"/>
  <c r="E52" i="1" l="1"/>
  <c r="G49" i="1"/>
  <c r="F52" i="1" l="1"/>
  <c r="E53" i="1" l="1"/>
  <c r="G52" i="1"/>
  <c r="F53" i="1" l="1"/>
  <c r="E54" i="1" l="1"/>
  <c r="F54" i="1" s="1"/>
  <c r="G53" i="1"/>
  <c r="E55" i="1" l="1"/>
  <c r="G54" i="1"/>
  <c r="F55" i="1" l="1"/>
  <c r="E56" i="1" l="1"/>
  <c r="F56" i="1" s="1"/>
  <c r="G55" i="1"/>
  <c r="E57" i="1" l="1"/>
  <c r="F57" i="1" s="1"/>
  <c r="G56" i="1"/>
  <c r="E58" i="1" l="1"/>
  <c r="F58" i="1" s="1"/>
  <c r="G57" i="1"/>
  <c r="E59" i="1" l="1"/>
  <c r="G58" i="1"/>
  <c r="F59" i="1" l="1"/>
  <c r="E60" i="1" l="1"/>
  <c r="G59" i="1"/>
  <c r="F60" i="1" l="1"/>
  <c r="E61" i="1" s="1"/>
  <c r="G60" i="1" l="1"/>
  <c r="F61" i="1"/>
  <c r="E62" i="1" l="1"/>
  <c r="G61" i="1"/>
  <c r="F62" i="1" l="1"/>
  <c r="E63" i="1" s="1"/>
  <c r="E64" i="1" s="1"/>
  <c r="G62" i="1" l="1"/>
  <c r="F63" i="1"/>
  <c r="E66" i="1" l="1"/>
  <c r="F66" i="1" s="1"/>
  <c r="G63" i="1"/>
  <c r="E67" i="1" l="1"/>
  <c r="G66" i="1"/>
  <c r="F67" i="1" l="1"/>
  <c r="E68" i="1" l="1"/>
  <c r="G67" i="1"/>
  <c r="F68" i="1" l="1"/>
  <c r="E69" i="1" l="1"/>
  <c r="G68" i="1"/>
  <c r="F69" i="1" l="1"/>
  <c r="E70" i="1" s="1"/>
  <c r="G69" i="1" l="1"/>
  <c r="F70" i="1"/>
  <c r="E71" i="1" l="1"/>
  <c r="F71" i="1" s="1"/>
  <c r="G70" i="1"/>
  <c r="G97" i="1" s="1"/>
  <c r="G71" i="1" l="1"/>
  <c r="E72" i="1"/>
  <c r="F72" i="1" s="1"/>
  <c r="E73" i="1" l="1"/>
  <c r="G72" i="1"/>
  <c r="F73" i="1" l="1"/>
  <c r="E74" i="1" l="1"/>
  <c r="F74" i="1" s="1"/>
  <c r="G73" i="1"/>
  <c r="E75" i="1" l="1"/>
  <c r="F75" i="1" s="1"/>
  <c r="G74" i="1"/>
  <c r="E76" i="1" l="1"/>
  <c r="F76" i="1" s="1"/>
  <c r="G75" i="1"/>
  <c r="E77" i="1" l="1"/>
  <c r="G76" i="1"/>
  <c r="E78" i="1" l="1"/>
  <c r="F77" i="1"/>
  <c r="G77" i="1" l="1"/>
  <c r="E80" i="1"/>
  <c r="F80" i="1" l="1"/>
  <c r="E81" i="1" l="1"/>
  <c r="G80" i="1"/>
  <c r="F81" i="1" l="1"/>
  <c r="E82" i="1" l="1"/>
  <c r="G81" i="1"/>
  <c r="F82" i="1" l="1"/>
  <c r="E83" i="1" l="1"/>
  <c r="G82" i="1"/>
  <c r="F83" i="1" l="1"/>
  <c r="E84" i="1" l="1"/>
  <c r="G83" i="1"/>
  <c r="F84" i="1" l="1"/>
  <c r="E85" i="1" l="1"/>
  <c r="F85" i="1" s="1"/>
  <c r="G84" i="1"/>
  <c r="E86" i="1" l="1"/>
  <c r="F86" i="1" s="1"/>
  <c r="G85" i="1"/>
  <c r="E87" i="1" l="1"/>
  <c r="F87" i="1" s="1"/>
  <c r="G86" i="1"/>
  <c r="E88" i="1" l="1"/>
  <c r="F88" i="1" s="1"/>
  <c r="G87" i="1"/>
  <c r="E89" i="1" l="1"/>
  <c r="F89" i="1" s="1"/>
  <c r="G88" i="1"/>
  <c r="E90" i="1" l="1"/>
  <c r="F90" i="1" s="1"/>
  <c r="G89" i="1"/>
  <c r="E91" i="1" l="1"/>
  <c r="G90" i="1"/>
  <c r="G100" i="1" l="1"/>
  <c r="G101" i="1" s="1"/>
  <c r="G105" i="1" s="1"/>
  <c r="E92" i="1"/>
  <c r="F91" i="1"/>
  <c r="G91" i="1" s="1"/>
</calcChain>
</file>

<file path=xl/sharedStrings.xml><?xml version="1.0" encoding="utf-8"?>
<sst xmlns="http://schemas.openxmlformats.org/spreadsheetml/2006/main" count="100" uniqueCount="40">
  <si>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</si>
  <si>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</si>
  <si>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</si>
  <si>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</si>
  <si>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</si>
  <si>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</si>
  <si>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>2011 totals</t>
  </si>
  <si>
    <t>2012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</si>
  <si>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</si>
  <si>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</si>
  <si>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</si>
  <si>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</si>
  <si>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</si>
  <si>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</si>
  <si>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</si>
  <si>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</si>
  <si>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</si>
  <si>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</si>
  <si>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</si>
  <si>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</si>
  <si>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2013 totals</t>
  </si>
  <si>
    <t>2014 totals</t>
  </si>
  <si>
    <t>2015 totals</t>
  </si>
  <si>
    <t>2016 totals</t>
  </si>
  <si>
    <t>2017 totals</t>
  </si>
  <si>
    <t>2018 totals</t>
  </si>
  <si>
    <t>Total Accurals for 2017</t>
  </si>
  <si>
    <t>DSM balancing account as of May 31, 2017</t>
  </si>
  <si>
    <t>Forecast DSM expenses through December 2018</t>
  </si>
  <si>
    <t>Forecast carrying charges through December 2018</t>
  </si>
  <si>
    <t>Total expenses through December 2018</t>
  </si>
  <si>
    <t>Total DSM surcharge collections through December 2018</t>
  </si>
  <si>
    <t>Forecast DSM balancing account as of December 31, 2018</t>
  </si>
  <si>
    <t>Notes:</t>
  </si>
  <si>
    <t xml:space="preserve">   Figures provided through May 2017 are actuals.</t>
  </si>
  <si>
    <t xml:space="preserve">   Rate Recovery estimates reflect the proposed rates from the July 2016 data source.</t>
  </si>
  <si>
    <t>Carrying Charge Rate</t>
  </si>
  <si>
    <t>Exhibit C</t>
  </si>
  <si>
    <t>Assumed Schedule 193 Rate of 3.58% Effective December 1, 2017</t>
  </si>
  <si>
    <t>Utah Demand-Side Management Balance Account Forecast with Sch. 193 Rate Suspension Effective August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</si>
</sst>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1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1" applyFont="1"/>
    <xf numFmtId="0" fontId="5" fillId="0" borderId="0" xfId="0" applyFont="1"/>
    <xf numFmtId="0" fontId="6" fillId="0" borderId="0" xfId="0" applyFont="1" applyAlignment="1" applyProtection="1">
      <alignment horizontal="center"/>
      <protection locked="0"/>
    </xf>
    <xf numFmtId="40" fontId="7" fillId="0" borderId="0" xfId="0" quotePrefix="1" applyNumberFormat="1" applyFont="1" applyFill="1" applyAlignment="1" applyProtection="1">
      <alignment horizontal="center" wrapText="1"/>
      <protection locked="0"/>
    </xf>
    <xf numFmtId="10" fontId="7" fillId="0" borderId="0" xfId="0" quotePrefix="1" applyNumberFormat="1" applyFont="1" applyFill="1" applyAlignment="1" applyProtection="1">
      <alignment horizontal="center" wrapText="1"/>
      <protection locked="0"/>
    </xf>
    <xf numFmtId="0" fontId="1" fillId="0" borderId="0" xfId="1" applyFont="1" applyFill="1" applyAlignment="1" applyProtection="1">
      <alignment horizontal="center"/>
      <protection locked="0"/>
    </xf>
    <xf numFmtId="44" fontId="3" fillId="0" borderId="0" xfId="1" applyNumberFormat="1" applyFont="1" applyFill="1" applyBorder="1" applyAlignment="1" applyProtection="1">
      <protection locked="0"/>
    </xf>
    <xf numFmtId="10" fontId="3" fillId="0" borderId="0" xfId="2" applyNumberFormat="1" applyFont="1" applyAlignment="1" applyProtection="1">
      <alignment horizontal="center"/>
      <protection locked="0"/>
    </xf>
    <xf numFmtId="0" fontId="4" fillId="0" borderId="0" xfId="1" applyFont="1" applyAlignment="1" applyProtection="1">
      <protection locked="0"/>
    </xf>
    <xf numFmtId="44" fontId="1" fillId="0" borderId="0" xfId="3" quotePrefix="1" applyFont="1" applyAlignment="1" applyProtection="1">
      <alignment horizontal="center"/>
      <protection locked="0"/>
    </xf>
    <xf numFmtId="164" fontId="3" fillId="0" borderId="1" xfId="3" applyNumberFormat="1" applyFont="1" applyBorder="1" applyAlignment="1" applyProtection="1">
      <protection locked="0"/>
    </xf>
    <xf numFmtId="164" fontId="3" fillId="0" borderId="0" xfId="1" applyNumberFormat="1" applyFont="1" applyAlignment="1" applyProtection="1">
      <protection locked="0"/>
    </xf>
    <xf numFmtId="44" fontId="3" fillId="0" borderId="0" xfId="3" applyFont="1" applyAlignment="1" applyProtection="1">
      <alignment horizontal="center"/>
      <protection locked="0"/>
    </xf>
    <xf numFmtId="164" fontId="3" fillId="0" borderId="0" xfId="3" applyNumberFormat="1" applyFont="1" applyBorder="1" applyAlignment="1" applyProtection="1">
      <protection locked="0"/>
    </xf>
    <xf numFmtId="164" fontId="3" fillId="0" borderId="0" xfId="3" applyNumberFormat="1" applyFont="1" applyAlignment="1" applyProtection="1">
      <protection locked="0"/>
    </xf>
    <xf numFmtId="10" fontId="3" fillId="0" borderId="0" xfId="1" applyNumberFormat="1" applyFont="1" applyAlignment="1" applyProtection="1">
      <protection locked="0"/>
    </xf>
    <xf numFmtId="0" fontId="3" fillId="0" borderId="0" xfId="1" applyFont="1" applyAlignment="1" applyProtection="1">
      <protection locked="0"/>
    </xf>
    <xf numFmtId="164" fontId="3" fillId="0" borderId="0" xfId="1" applyNumberFormat="1" applyFont="1" applyFill="1" applyAlignment="1" applyProtection="1">
      <protection locked="0"/>
    </xf>
    <xf numFmtId="0" fontId="3" fillId="0" borderId="0" xfId="1" applyFont="1" applyFill="1" applyAlignment="1" applyProtection="1">
      <protection locked="0"/>
    </xf>
    <xf numFmtId="0" fontId="3" fillId="0" borderId="0" xfId="1" applyFont="1" applyBorder="1" applyAlignment="1" applyProtection="1">
      <protection locked="0"/>
    </xf>
    <xf numFmtId="164" fontId="3" fillId="0" borderId="1" xfId="3" applyNumberFormat="1" applyFont="1" applyFill="1" applyBorder="1" applyAlignment="1" applyProtection="1">
      <protection locked="0"/>
    </xf>
    <xf numFmtId="164" fontId="3" fillId="0" borderId="0" xfId="3" applyNumberFormat="1" applyFont="1" applyFill="1" applyAlignment="1" applyProtection="1">
      <protection locked="0"/>
    </xf>
    <xf numFmtId="164" fontId="3" fillId="0" borderId="0" xfId="3" applyNumberFormat="1" applyFont="1" applyFill="1" applyBorder="1" applyAlignment="1" applyProtection="1">
      <protection locked="0"/>
    </xf>
    <xf numFmtId="44" fontId="3" fillId="0" borderId="0" xfId="3" applyFont="1" applyFill="1" applyAlignment="1" applyProtection="1">
      <alignment horizontal="center"/>
      <protection locked="0"/>
    </xf>
    <xf numFmtId="164" fontId="5" fillId="0" borderId="0" xfId="0" applyNumberFormat="1" applyFont="1"/>
    <xf numFmtId="164" fontId="5" fillId="0" borderId="0" xfId="0" applyNumberFormat="1" applyFont="1" applyFill="1"/>
    <xf numFmtId="0" fontId="5" fillId="0" borderId="0" xfId="0" applyFont="1" applyFill="1"/>
    <xf numFmtId="43" fontId="3" fillId="0" borderId="0" xfId="1" applyNumberFormat="1" applyFont="1" applyFill="1" applyAlignment="1" applyProtection="1">
      <protection locked="0"/>
    </xf>
    <xf numFmtId="43" fontId="3" fillId="0" borderId="0" xfId="3" applyNumberFormat="1" applyFont="1" applyFill="1" applyAlignment="1" applyProtection="1">
      <protection locked="0"/>
    </xf>
    <xf numFmtId="164" fontId="3" fillId="0" borderId="2" xfId="3" applyNumberFormat="1" applyFont="1" applyBorder="1" applyAlignment="1" applyProtection="1">
      <protection locked="0"/>
    </xf>
    <xf numFmtId="164" fontId="3" fillId="2" borderId="0" xfId="1" applyNumberFormat="1" applyFont="1" applyFill="1" applyAlignment="1" applyProtection="1">
      <protection locked="0"/>
    </xf>
    <xf numFmtId="0" fontId="8" fillId="0" borderId="0" xfId="0" applyFont="1"/>
    <xf numFmtId="164" fontId="3" fillId="3" borderId="0" xfId="1" applyNumberFormat="1" applyFont="1" applyFill="1" applyAlignment="1" applyProtection="1">
      <protection locked="0"/>
    </xf>
    <xf numFmtId="164" fontId="3" fillId="0" borderId="0" xfId="0" applyNumberFormat="1" applyFont="1"/>
    <xf numFmtId="164" fontId="3" fillId="0" borderId="0" xfId="0" applyNumberFormat="1" applyFont="1" applyFill="1"/>
    <xf numFmtId="0" fontId="3" fillId="0" borderId="0" xfId="4" applyFont="1" applyFill="1"/>
    <xf numFmtId="164" fontId="3" fillId="0" borderId="1" xfId="0" applyNumberFormat="1" applyFont="1" applyFill="1" applyBorder="1"/>
    <xf numFmtId="0" fontId="3" fillId="0" borderId="0" xfId="4" applyFont="1" applyFill="1" applyBorder="1" applyAlignment="1" applyProtection="1">
      <protection locked="0"/>
    </xf>
    <xf numFmtId="164" fontId="3" fillId="0" borderId="3" xfId="0" applyNumberFormat="1" applyFont="1" applyFill="1" applyBorder="1"/>
    <xf numFmtId="0" fontId="3" fillId="0" borderId="0" xfId="4" applyFill="1"/>
    <xf numFmtId="0" fontId="3" fillId="0" borderId="0" xfId="4" applyFont="1" applyFill="1" applyAlignment="1">
      <alignment horizontal="left" indent="1"/>
    </xf>
  </cellXfs>
  <cellStyles count="5">
    <cellStyle name="Currency 4" xfId="3"/>
    <cellStyle name="Normal" xfId="0" builtinId="0"/>
    <cellStyle name="Normal 3 2" xfId="4"/>
    <cellStyle name="Normal 33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10"/>
  <sheetViews>
    <sheetView tabSelected="1" workbookViewId="0">
      <pane xSplit="1" ySplit="4" topLeftCell="B37" activePane="bottomRight" state="frozen"/>
      <selection pane="topRight" activeCell="B1" sqref="B1"/>
      <selection pane="bottomLeft" activeCell="A5" sqref="A5"/>
      <selection pane="bottomRight" activeCell="G91" sqref="G91"/>
    </sheetView>
  </sheetViews>
  <sheetFormatPr defaultRowHeight="14.25" x14ac:dyDescent="0.2"/>
  <cols>
    <col min="1" max="1" width="17.5703125" style="7" customWidth="1"/>
    <col min="2" max="2" width="17.28515625" style="7" customWidth="1"/>
    <col min="3" max="3" width="15.28515625" style="7" customWidth="1"/>
    <col min="4" max="4" width="17" style="7" customWidth="1"/>
    <col min="5" max="5" width="15.7109375" style="7" bestFit="1" customWidth="1"/>
    <col min="6" max="6" width="17" style="7" customWidth="1"/>
    <col min="7" max="7" width="19.140625" style="7" bestFit="1" customWidth="1"/>
    <col min="8" max="8" width="9.28515625" style="7" customWidth="1"/>
    <col min="9" max="9" width="2.7109375" style="7" customWidth="1"/>
    <col min="10" max="16384" width="9.140625" style="7"/>
  </cols>
  <sheetData>
    <row r="1" spans="1:132" s="4" customFormat="1" ht="12.75" customHeight="1" x14ac:dyDescent="0.2">
      <c r="A1" s="1" t="s">
        <v>37</v>
      </c>
      <c r="B1" s="1"/>
      <c r="C1" s="1"/>
      <c r="D1" s="2"/>
      <c r="E1" s="1"/>
      <c r="F1" s="1"/>
      <c r="G1" s="1"/>
      <c r="H1" s="3"/>
    </row>
    <row r="2" spans="1:132" s="5" customFormat="1" ht="12.75" customHeight="1" x14ac:dyDescent="0.2">
      <c r="A2" s="1" t="s">
        <v>39</v>
      </c>
      <c r="B2" s="1"/>
      <c r="C2" s="1"/>
      <c r="D2" s="2"/>
      <c r="E2" s="1"/>
      <c r="F2" s="1"/>
      <c r="G2" s="1"/>
      <c r="H2" s="3"/>
    </row>
    <row r="3" spans="1:132" s="5" customFormat="1" ht="12.75" customHeight="1" x14ac:dyDescent="0.2">
      <c r="A3" s="1" t="s">
        <v>38</v>
      </c>
      <c r="B3" s="1"/>
      <c r="C3" s="1"/>
      <c r="D3" s="2"/>
      <c r="E3" s="1"/>
      <c r="F3" s="1"/>
      <c r="G3" s="1"/>
      <c r="H3" s="3"/>
    </row>
    <row r="4" spans="1:132" s="4" customFormat="1" ht="51" customHeight="1" x14ac:dyDescent="0.35">
      <c r="A4" s="8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36</v>
      </c>
    </row>
    <row r="5" spans="1:132" x14ac:dyDescent="0.2">
      <c r="A5" s="11"/>
      <c r="B5" s="12"/>
      <c r="C5" s="12"/>
      <c r="D5" s="12"/>
      <c r="E5" s="12"/>
      <c r="F5" s="12"/>
      <c r="G5" s="12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14"/>
      <c r="DY5" s="14"/>
      <c r="DZ5" s="14"/>
      <c r="EA5" s="6"/>
      <c r="EB5" s="6"/>
    </row>
    <row r="6" spans="1:132" x14ac:dyDescent="0.2">
      <c r="A6" s="15" t="s">
        <v>6</v>
      </c>
      <c r="B6" s="16">
        <v>43638929.749999993</v>
      </c>
      <c r="C6" s="16">
        <v>3865060.19</v>
      </c>
      <c r="D6" s="16">
        <v>-54147493.57</v>
      </c>
      <c r="E6" s="16">
        <v>-428385</v>
      </c>
      <c r="F6" s="17">
        <v>-8770676.345999999</v>
      </c>
      <c r="G6" s="17">
        <v>-4905616.1559999995</v>
      </c>
      <c r="H6" s="18"/>
    </row>
    <row r="7" spans="1:132" ht="9" customHeight="1" x14ac:dyDescent="0.2">
      <c r="A7" s="15"/>
      <c r="B7" s="19"/>
      <c r="C7" s="19"/>
      <c r="D7" s="19"/>
      <c r="E7" s="19"/>
      <c r="F7" s="20"/>
      <c r="G7" s="20"/>
      <c r="H7" s="18"/>
    </row>
    <row r="8" spans="1:132" x14ac:dyDescent="0.2">
      <c r="A8" s="15" t="s">
        <v>7</v>
      </c>
      <c r="B8" s="16">
        <v>44887095</v>
      </c>
      <c r="C8" s="16">
        <v>781573.44000000018</v>
      </c>
      <c r="D8" s="16">
        <v>-47901079.229999989</v>
      </c>
      <c r="E8" s="16">
        <v>-1154860</v>
      </c>
      <c r="F8" s="20">
        <v>-12939520.576000005</v>
      </c>
      <c r="G8" s="20">
        <v>-8292886.9460000051</v>
      </c>
      <c r="H8" s="21">
        <v>7.8299999999999995E-2</v>
      </c>
    </row>
    <row r="9" spans="1:132" x14ac:dyDescent="0.2">
      <c r="A9" s="15"/>
      <c r="B9" s="19"/>
      <c r="C9" s="19"/>
      <c r="D9" s="19"/>
      <c r="E9" s="19"/>
      <c r="F9" s="20"/>
      <c r="G9" s="20"/>
      <c r="H9" s="18"/>
    </row>
    <row r="10" spans="1:132" hidden="1" x14ac:dyDescent="0.2">
      <c r="A10" s="22" t="s">
        <v>8</v>
      </c>
      <c r="B10" s="23">
        <v>2239835.92</v>
      </c>
      <c r="C10" s="17">
        <v>468371.4</v>
      </c>
      <c r="D10" s="23">
        <v>-3769989.72</v>
      </c>
      <c r="E10" s="23">
        <f>ROUND((((B10+D10)/2)+F8)*(7.83%/12),0)</f>
        <v>-89422</v>
      </c>
      <c r="F10" s="17">
        <f>+F8+B10+D10+E10</f>
        <v>-14559096.376000006</v>
      </c>
      <c r="G10" s="23">
        <f>SUM(C10)+$C$6+$C$8+F10</f>
        <v>-9444091.3460000046</v>
      </c>
      <c r="H10" s="21">
        <v>7.7700000000000005E-2</v>
      </c>
    </row>
    <row r="11" spans="1:132" hidden="1" x14ac:dyDescent="0.2">
      <c r="A11" s="24" t="s">
        <v>9</v>
      </c>
      <c r="B11" s="23">
        <v>1840981.91</v>
      </c>
      <c r="C11" s="17">
        <v>556090.38</v>
      </c>
      <c r="D11" s="23">
        <v>-3595521.42</v>
      </c>
      <c r="E11" s="23">
        <f t="shared" ref="E11:E17" si="0">ROUND((((B11+D11)/2)+F10)*(7.83%/12),0)</f>
        <v>-100722</v>
      </c>
      <c r="F11" s="17">
        <f t="shared" ref="F11:F21" si="1">+F10+B11+D11+E11</f>
        <v>-16414357.886000006</v>
      </c>
      <c r="G11" s="23">
        <f>SUM(C10:C11)+$C$6+$C$8+F11</f>
        <v>-10743262.476000005</v>
      </c>
      <c r="H11" s="21">
        <v>7.7700000000000005E-2</v>
      </c>
    </row>
    <row r="12" spans="1:132" hidden="1" x14ac:dyDescent="0.2">
      <c r="A12" s="25" t="s">
        <v>10</v>
      </c>
      <c r="B12" s="23">
        <v>4105879.7</v>
      </c>
      <c r="C12" s="17">
        <v>-378161.72</v>
      </c>
      <c r="D12" s="23">
        <v>-3171663.13</v>
      </c>
      <c r="E12" s="23">
        <f t="shared" si="0"/>
        <v>-104056</v>
      </c>
      <c r="F12" s="17">
        <f t="shared" si="1"/>
        <v>-15584197.316000003</v>
      </c>
      <c r="G12" s="23">
        <f>SUM(C10:C12)+$C$6+$C$8+F12</f>
        <v>-10291263.626000002</v>
      </c>
      <c r="H12" s="21">
        <v>7.7700000000000005E-2</v>
      </c>
    </row>
    <row r="13" spans="1:132" hidden="1" x14ac:dyDescent="0.2">
      <c r="A13" s="22" t="s">
        <v>11</v>
      </c>
      <c r="B13" s="23">
        <v>3968473.7</v>
      </c>
      <c r="C13" s="17">
        <v>55405.23</v>
      </c>
      <c r="D13" s="23">
        <v>-2745404.79</v>
      </c>
      <c r="E13" s="23">
        <f t="shared" si="0"/>
        <v>-97697</v>
      </c>
      <c r="F13" s="17">
        <f t="shared" si="1"/>
        <v>-14458825.406000003</v>
      </c>
      <c r="G13" s="23">
        <f>SUM(C10:C13)+$C$6+$C$8+F13</f>
        <v>-9110486.4860000014</v>
      </c>
      <c r="H13" s="21">
        <v>7.7700000000000005E-2</v>
      </c>
    </row>
    <row r="14" spans="1:132" hidden="1" x14ac:dyDescent="0.2">
      <c r="A14" s="22" t="s">
        <v>12</v>
      </c>
      <c r="B14" s="23">
        <v>4432566.2699999996</v>
      </c>
      <c r="C14" s="17">
        <v>-1259705.19</v>
      </c>
      <c r="D14" s="23">
        <v>-2876432.82</v>
      </c>
      <c r="E14" s="23">
        <f t="shared" si="0"/>
        <v>-89267</v>
      </c>
      <c r="F14" s="17">
        <f t="shared" si="1"/>
        <v>-12991958.956000004</v>
      </c>
      <c r="G14" s="23">
        <f>SUM(C10:C14)+$C$6+$C$8+F14</f>
        <v>-8903325.2260000035</v>
      </c>
      <c r="H14" s="21">
        <v>7.7700000000000005E-2</v>
      </c>
    </row>
    <row r="15" spans="1:132" hidden="1" x14ac:dyDescent="0.2">
      <c r="A15" s="24" t="s">
        <v>13</v>
      </c>
      <c r="B15" s="23">
        <v>3151913.14</v>
      </c>
      <c r="C15" s="17">
        <v>209875.65</v>
      </c>
      <c r="D15" s="23">
        <v>-3561547.17</v>
      </c>
      <c r="E15" s="23">
        <f t="shared" si="0"/>
        <v>-86109</v>
      </c>
      <c r="F15" s="17">
        <f t="shared" si="1"/>
        <v>-13487701.986000003</v>
      </c>
      <c r="G15" s="23">
        <f>SUM(C10:C15)+$C$6+$C$8+F15</f>
        <v>-9189192.6060000025</v>
      </c>
      <c r="H15" s="21">
        <v>7.7700000000000005E-2</v>
      </c>
    </row>
    <row r="16" spans="1:132" hidden="1" x14ac:dyDescent="0.2">
      <c r="A16" s="22" t="s">
        <v>14</v>
      </c>
      <c r="B16" s="23">
        <v>4851756.74</v>
      </c>
      <c r="C16" s="23">
        <v>-244503.08</v>
      </c>
      <c r="D16" s="23">
        <v>-4488209.18</v>
      </c>
      <c r="E16" s="23">
        <f t="shared" si="0"/>
        <v>-86821</v>
      </c>
      <c r="F16" s="23">
        <f t="shared" si="1"/>
        <v>-13210975.426000003</v>
      </c>
      <c r="G16" s="23">
        <f>SUM(C10:C16)+$C$6+$C$8+F16</f>
        <v>-9156969.126000002</v>
      </c>
      <c r="H16" s="21">
        <v>7.7700000000000005E-2</v>
      </c>
    </row>
    <row r="17" spans="1:8" hidden="1" x14ac:dyDescent="0.2">
      <c r="A17" s="22" t="s">
        <v>15</v>
      </c>
      <c r="B17" s="23">
        <v>3159027.16</v>
      </c>
      <c r="C17" s="23">
        <v>3252542.93</v>
      </c>
      <c r="D17" s="23">
        <v>-4740990.0199999996</v>
      </c>
      <c r="E17" s="23">
        <f t="shared" si="0"/>
        <v>-91363</v>
      </c>
      <c r="F17" s="23">
        <f t="shared" si="1"/>
        <v>-14884301.286000002</v>
      </c>
      <c r="G17" s="23">
        <f>SUM(C10:C17)+$C$6+$C$8+F17</f>
        <v>-7577752.0560000008</v>
      </c>
      <c r="H17" s="21">
        <v>7.7700000000000005E-2</v>
      </c>
    </row>
    <row r="18" spans="1:8" hidden="1" x14ac:dyDescent="0.2">
      <c r="A18" s="22" t="s">
        <v>16</v>
      </c>
      <c r="B18" s="23">
        <v>2652617.64</v>
      </c>
      <c r="C18" s="23">
        <v>64462.7</v>
      </c>
      <c r="D18" s="23">
        <v>-4427712.4000000004</v>
      </c>
      <c r="E18" s="23">
        <f>ROUND((((B18+D18)/2)+F17)*(7.83%/12),0)</f>
        <v>-102911</v>
      </c>
      <c r="F18" s="23">
        <f t="shared" si="1"/>
        <v>-16762307.046000002</v>
      </c>
      <c r="G18" s="23">
        <f>SUM(C10:C18)+$C$6+$C$8+F18</f>
        <v>-9391295.1160000004</v>
      </c>
      <c r="H18" s="21">
        <v>7.7700000000000005E-2</v>
      </c>
    </row>
    <row r="19" spans="1:8" hidden="1" x14ac:dyDescent="0.2">
      <c r="A19" s="22" t="s">
        <v>17</v>
      </c>
      <c r="B19" s="23">
        <v>5504239.0499999998</v>
      </c>
      <c r="C19" s="23">
        <v>-904372.67</v>
      </c>
      <c r="D19" s="23">
        <v>-4114849.64</v>
      </c>
      <c r="E19" s="23">
        <f>ROUND((((B19+D19)/2)+F18)*(7.83%/12),0)</f>
        <v>-104841</v>
      </c>
      <c r="F19" s="23">
        <f t="shared" si="1"/>
        <v>-15477758.636000004</v>
      </c>
      <c r="G19" s="23">
        <f>SUM(C10:C19)+$C$6+$C$8+F19</f>
        <v>-9011119.376000002</v>
      </c>
      <c r="H19" s="21">
        <v>7.7700000000000005E-2</v>
      </c>
    </row>
    <row r="20" spans="1:8" hidden="1" x14ac:dyDescent="0.2">
      <c r="A20" s="22" t="s">
        <v>18</v>
      </c>
      <c r="B20" s="23">
        <v>3263631.97</v>
      </c>
      <c r="C20" s="23">
        <v>1139336.82</v>
      </c>
      <c r="D20" s="23">
        <v>-3868999.04</v>
      </c>
      <c r="E20" s="23">
        <v>-94611</v>
      </c>
      <c r="F20" s="23">
        <f t="shared" si="1"/>
        <v>-16177736.706000004</v>
      </c>
      <c r="G20" s="23">
        <f>SUM(C10:C20)+$C$6+$C$8+F20</f>
        <v>-8571760.626000002</v>
      </c>
      <c r="H20" s="21">
        <v>7.7700000000000005E-2</v>
      </c>
    </row>
    <row r="21" spans="1:8" hidden="1" x14ac:dyDescent="0.2">
      <c r="A21" s="22" t="s">
        <v>19</v>
      </c>
      <c r="B21" s="23">
        <v>11905939.859999999</v>
      </c>
      <c r="C21" s="23">
        <v>-4945115.43</v>
      </c>
      <c r="D21" s="23">
        <v>-4580101.47</v>
      </c>
      <c r="E21" s="23">
        <f>ROUND((((B21+D21)/2)+F20)*(7.77%/12),0)</f>
        <v>-81033</v>
      </c>
      <c r="F21" s="23">
        <f t="shared" si="1"/>
        <v>-8932931.3160000034</v>
      </c>
      <c r="G21" s="23">
        <f>SUM(C10:C21)+$C$6+$C$8+F21</f>
        <v>-6272070.6660000021</v>
      </c>
      <c r="H21" s="21">
        <v>7.7700000000000005E-2</v>
      </c>
    </row>
    <row r="22" spans="1:8" x14ac:dyDescent="0.2">
      <c r="A22" s="15" t="s">
        <v>20</v>
      </c>
      <c r="B22" s="26">
        <f>SUM(B10:B21)</f>
        <v>51076863.060000002</v>
      </c>
      <c r="C22" s="26">
        <f>SUM(C10:C21)</f>
        <v>-1985772.9799999986</v>
      </c>
      <c r="D22" s="26">
        <f>SUM(D10:D21)</f>
        <v>-45941420.799999997</v>
      </c>
      <c r="E22" s="26">
        <f>SUM(E10:E21)</f>
        <v>-1128853</v>
      </c>
      <c r="F22" s="27">
        <v>-8932931.3160000034</v>
      </c>
      <c r="G22" s="27">
        <v>-6272070.6660000021</v>
      </c>
      <c r="H22" s="21">
        <v>7.7700000000000005E-2</v>
      </c>
    </row>
    <row r="23" spans="1:8" x14ac:dyDescent="0.2">
      <c r="A23" s="15"/>
      <c r="B23" s="28"/>
      <c r="C23" s="28"/>
      <c r="D23" s="28"/>
      <c r="E23" s="28"/>
      <c r="F23" s="27"/>
      <c r="G23" s="27"/>
      <c r="H23" s="29"/>
    </row>
    <row r="24" spans="1:8" hidden="1" x14ac:dyDescent="0.2">
      <c r="A24" s="22" t="s">
        <v>8</v>
      </c>
      <c r="B24" s="23">
        <v>4196557.4000000004</v>
      </c>
      <c r="C24" s="23">
        <v>1838939.81</v>
      </c>
      <c r="D24" s="23">
        <v>-4530672.1500000004</v>
      </c>
      <c r="E24" s="23">
        <f>ROUND((((B24+D24)/2)+F21)*(7.77%/12),0)</f>
        <v>-58922</v>
      </c>
      <c r="F24" s="23">
        <f>+F21+B24+D24+E24</f>
        <v>-9325968.0660000034</v>
      </c>
      <c r="G24" s="23">
        <f>SUM(C24)+$C$6+$C$8+$C$22+F24</f>
        <v>-4826167.6060000015</v>
      </c>
      <c r="H24" s="21">
        <v>7.7600000000000002E-2</v>
      </c>
    </row>
    <row r="25" spans="1:8" hidden="1" x14ac:dyDescent="0.2">
      <c r="A25" s="24" t="s">
        <v>9</v>
      </c>
      <c r="B25" s="23">
        <v>7301899.2400000002</v>
      </c>
      <c r="C25" s="23">
        <v>-719294.72</v>
      </c>
      <c r="D25" s="23">
        <v>-3936377.67</v>
      </c>
      <c r="E25" s="23">
        <f t="shared" ref="E25:E34" si="2">ROUND((((B25+D25)/2)+F24)*(7.77%/12),0)</f>
        <v>-49490</v>
      </c>
      <c r="F25" s="23">
        <f t="shared" ref="F25:F35" si="3">+F24+B25+D25+E25</f>
        <v>-6009936.4960000031</v>
      </c>
      <c r="G25" s="23">
        <f>SUM(C24:C25)+$C$6+$C$8+$C$22+F25</f>
        <v>-2229430.756000001</v>
      </c>
      <c r="H25" s="21">
        <v>7.7600000000000002E-2</v>
      </c>
    </row>
    <row r="26" spans="1:8" hidden="1" x14ac:dyDescent="0.2">
      <c r="A26" s="25" t="s">
        <v>10</v>
      </c>
      <c r="B26" s="23">
        <v>9513000.9499999993</v>
      </c>
      <c r="C26" s="23">
        <v>107508.32</v>
      </c>
      <c r="D26" s="23">
        <v>-4826683.72</v>
      </c>
      <c r="E26" s="23">
        <f t="shared" si="2"/>
        <v>-23742</v>
      </c>
      <c r="F26" s="23">
        <f t="shared" si="3"/>
        <v>-1347361.2660000036</v>
      </c>
      <c r="G26" s="23">
        <f>SUM(C24:C26)+$C$6+$C$8+$C$22+F26</f>
        <v>2540652.7939999979</v>
      </c>
      <c r="H26" s="21">
        <v>7.7600000000000002E-2</v>
      </c>
    </row>
    <row r="27" spans="1:8" hidden="1" x14ac:dyDescent="0.2">
      <c r="A27" s="22" t="s">
        <v>11</v>
      </c>
      <c r="B27" s="23">
        <v>8332524.4299999997</v>
      </c>
      <c r="C27" s="23">
        <v>-364021.59</v>
      </c>
      <c r="D27" s="23">
        <v>-4024107.75</v>
      </c>
      <c r="E27" s="23">
        <f t="shared" si="2"/>
        <v>5224</v>
      </c>
      <c r="F27" s="23">
        <f t="shared" si="3"/>
        <v>2966279.4139999961</v>
      </c>
      <c r="G27" s="23">
        <f>SUM(C24:C27)+$C$6+$C$8+$C$22+F27</f>
        <v>6490271.8839999977</v>
      </c>
      <c r="H27" s="21">
        <v>7.7600000000000002E-2</v>
      </c>
    </row>
    <row r="28" spans="1:8" hidden="1" x14ac:dyDescent="0.2">
      <c r="A28" s="24" t="s">
        <v>12</v>
      </c>
      <c r="B28" s="23">
        <v>5867664.04</v>
      </c>
      <c r="C28" s="23">
        <v>86444.05</v>
      </c>
      <c r="D28" s="23">
        <v>-4206797.6900000004</v>
      </c>
      <c r="E28" s="23">
        <f t="shared" si="2"/>
        <v>24584</v>
      </c>
      <c r="F28" s="23">
        <f t="shared" si="3"/>
        <v>4651729.7639999958</v>
      </c>
      <c r="G28" s="23">
        <f>SUM(C24:C28)+$C$6+$C$8+$C$22+F28</f>
        <v>8262166.2839999981</v>
      </c>
      <c r="H28" s="21">
        <v>7.7600000000000002E-2</v>
      </c>
    </row>
    <row r="29" spans="1:8" hidden="1" x14ac:dyDescent="0.2">
      <c r="A29" s="24" t="s">
        <v>13</v>
      </c>
      <c r="B29" s="23">
        <v>9395350.6799999997</v>
      </c>
      <c r="C29" s="23">
        <v>-224949.94</v>
      </c>
      <c r="D29" s="23">
        <v>-5230146.9000000004</v>
      </c>
      <c r="E29" s="23">
        <f t="shared" si="2"/>
        <v>43605</v>
      </c>
      <c r="F29" s="23">
        <f t="shared" si="3"/>
        <v>8860538.5439999942</v>
      </c>
      <c r="G29" s="23">
        <f>SUM(C24:C29)+$C$6+$C$8+$C$22+F29</f>
        <v>12246025.123999996</v>
      </c>
      <c r="H29" s="21">
        <v>7.7600000000000002E-2</v>
      </c>
    </row>
    <row r="30" spans="1:8" hidden="1" x14ac:dyDescent="0.2">
      <c r="A30" s="22" t="s">
        <v>14</v>
      </c>
      <c r="B30" s="23">
        <v>6005272.6799999997</v>
      </c>
      <c r="C30" s="23">
        <v>707312.72</v>
      </c>
      <c r="D30" s="23">
        <v>-6293445.3200000003</v>
      </c>
      <c r="E30" s="23">
        <f t="shared" si="2"/>
        <v>56439</v>
      </c>
      <c r="F30" s="23">
        <f t="shared" si="3"/>
        <v>8628804.9039999936</v>
      </c>
      <c r="G30" s="23">
        <f>SUM(C24:C30)+$C$6+$C$8+$C$22+F30</f>
        <v>12721604.203999996</v>
      </c>
      <c r="H30" s="21">
        <v>7.7600000000000002E-2</v>
      </c>
    </row>
    <row r="31" spans="1:8" hidden="1" x14ac:dyDescent="0.2">
      <c r="A31" s="22" t="s">
        <v>15</v>
      </c>
      <c r="B31" s="23">
        <v>5839647.3200000003</v>
      </c>
      <c r="C31" s="23">
        <v>1966034.46</v>
      </c>
      <c r="D31" s="23">
        <v>-6733047.1699999999</v>
      </c>
      <c r="E31" s="23">
        <f t="shared" si="2"/>
        <v>52979</v>
      </c>
      <c r="F31" s="23">
        <f t="shared" si="3"/>
        <v>7788384.053999994</v>
      </c>
      <c r="G31" s="23">
        <f>SUM(C24:C31)+$C$6+$C$8+$C$22+F31</f>
        <v>13847217.813999996</v>
      </c>
      <c r="H31" s="21">
        <v>7.7600000000000002E-2</v>
      </c>
    </row>
    <row r="32" spans="1:8" hidden="1" x14ac:dyDescent="0.2">
      <c r="A32" s="22" t="s">
        <v>16</v>
      </c>
      <c r="B32" s="23">
        <v>4767034.04</v>
      </c>
      <c r="C32" s="23">
        <v>334494.95</v>
      </c>
      <c r="D32" s="23">
        <v>-5742216.3899999997</v>
      </c>
      <c r="E32" s="23">
        <f t="shared" si="2"/>
        <v>47273</v>
      </c>
      <c r="F32" s="23">
        <f t="shared" si="3"/>
        <v>6860474.7039999934</v>
      </c>
      <c r="G32" s="23">
        <f>SUM(C24:C32)+$C$6+$C$8+$C$22+F32</f>
        <v>13253803.413999995</v>
      </c>
      <c r="H32" s="21">
        <v>7.7600000000000002E-2</v>
      </c>
    </row>
    <row r="33" spans="1:8" hidden="1" x14ac:dyDescent="0.2">
      <c r="A33" s="22" t="s">
        <v>17</v>
      </c>
      <c r="B33" s="23">
        <v>5954205.6799999997</v>
      </c>
      <c r="C33" s="23">
        <v>-1449084.99</v>
      </c>
      <c r="D33" s="23">
        <v>-4844019.55</v>
      </c>
      <c r="E33" s="23">
        <f t="shared" si="2"/>
        <v>48016</v>
      </c>
      <c r="F33" s="23">
        <f t="shared" si="3"/>
        <v>8018676.8339999923</v>
      </c>
      <c r="G33" s="23">
        <f>SUM(C24:C33)+$C$6+$C$8+$C$22+F33</f>
        <v>12962920.553999994</v>
      </c>
      <c r="H33" s="21">
        <v>7.7600000000000002E-2</v>
      </c>
    </row>
    <row r="34" spans="1:8" hidden="1" x14ac:dyDescent="0.2">
      <c r="A34" s="22" t="s">
        <v>18</v>
      </c>
      <c r="B34" s="23">
        <v>8026170.0499999998</v>
      </c>
      <c r="C34" s="23">
        <v>-832510.46</v>
      </c>
      <c r="D34" s="23">
        <v>-4253145.43</v>
      </c>
      <c r="E34" s="23">
        <f t="shared" si="2"/>
        <v>64136</v>
      </c>
      <c r="F34" s="23">
        <f t="shared" si="3"/>
        <v>11855837.453999992</v>
      </c>
      <c r="G34" s="23">
        <f>SUM(C24:C34)+$C$6+$C$8+$C$22+F34</f>
        <v>15967570.713999994</v>
      </c>
      <c r="H34" s="21">
        <v>7.7600000000000002E-2</v>
      </c>
    </row>
    <row r="35" spans="1:8" hidden="1" x14ac:dyDescent="0.2">
      <c r="A35" s="22" t="s">
        <v>19</v>
      </c>
      <c r="B35" s="23">
        <v>6528307.1600000001</v>
      </c>
      <c r="C35" s="23">
        <v>572303.66</v>
      </c>
      <c r="D35" s="23">
        <v>-4736239.2699999996</v>
      </c>
      <c r="E35" s="23">
        <v>82192</v>
      </c>
      <c r="F35" s="23">
        <f t="shared" si="3"/>
        <v>13730097.343999993</v>
      </c>
      <c r="G35" s="23">
        <f>SUM(C24:C35)+$C$6+$C$8+$C$22+F35</f>
        <v>18414134.263999995</v>
      </c>
      <c r="H35" s="21">
        <v>7.7600000000000002E-2</v>
      </c>
    </row>
    <row r="36" spans="1:8" x14ac:dyDescent="0.2">
      <c r="A36" s="15" t="s">
        <v>21</v>
      </c>
      <c r="B36" s="16">
        <f>SUM(B24:B35)</f>
        <v>81727633.670000002</v>
      </c>
      <c r="C36" s="16">
        <f>SUM(C24:C35)</f>
        <v>2023176.2700000005</v>
      </c>
      <c r="D36" s="16">
        <f>SUM(D24:D35)</f>
        <v>-59356899.010000005</v>
      </c>
      <c r="E36" s="26">
        <f>SUM(E24:E35)</f>
        <v>292294</v>
      </c>
      <c r="F36" s="27">
        <v>13730097.343999993</v>
      </c>
      <c r="G36" s="27">
        <v>18414134.263999995</v>
      </c>
      <c r="H36" s="21">
        <v>7.7600000000000002E-2</v>
      </c>
    </row>
    <row r="37" spans="1:8" x14ac:dyDescent="0.2">
      <c r="B37" s="30"/>
      <c r="C37" s="30"/>
      <c r="D37" s="30"/>
      <c r="E37" s="31"/>
      <c r="F37" s="31"/>
      <c r="G37" s="31"/>
      <c r="H37" s="32"/>
    </row>
    <row r="38" spans="1:8" hidden="1" x14ac:dyDescent="0.2">
      <c r="A38" s="22" t="s">
        <v>8</v>
      </c>
      <c r="B38" s="23">
        <v>3318076.89</v>
      </c>
      <c r="C38" s="33">
        <v>97753.14</v>
      </c>
      <c r="D38" s="23">
        <v>-4853002.2699999996</v>
      </c>
      <c r="E38" s="23">
        <f>ROUND((((B38+D38)/2)+F35)*(7.76%/12),0)-71</f>
        <v>83754</v>
      </c>
      <c r="F38" s="33">
        <f>+F35+B38+D38+E38</f>
        <v>12278925.963999994</v>
      </c>
      <c r="G38" s="23">
        <f>SUM(C38)+$C$6+$C$8+$C$22+F38+C36</f>
        <v>17060716.023999996</v>
      </c>
      <c r="H38" s="21">
        <v>7.3200000000000001E-2</v>
      </c>
    </row>
    <row r="39" spans="1:8" hidden="1" x14ac:dyDescent="0.2">
      <c r="A39" s="24" t="s">
        <v>9</v>
      </c>
      <c r="B39" s="23">
        <v>3457488.39</v>
      </c>
      <c r="C39" s="33">
        <v>774323.81</v>
      </c>
      <c r="D39" s="23">
        <v>-4566382.75</v>
      </c>
      <c r="E39" s="23">
        <f>ROUND((((B39+D39)/2)+F38)*(7.76%/12),0)-145</f>
        <v>75673</v>
      </c>
      <c r="F39" s="33">
        <f t="shared" ref="F39:F49" si="4">+F38+B39+D39+E39</f>
        <v>11245704.603999995</v>
      </c>
      <c r="G39" s="23">
        <f>SUM(C38:C39)+$C$6+$C$8+$C$22+F39+C36</f>
        <v>16801818.473999996</v>
      </c>
      <c r="H39" s="21">
        <v>7.3200000000000001E-2</v>
      </c>
    </row>
    <row r="40" spans="1:8" hidden="1" x14ac:dyDescent="0.2">
      <c r="A40" s="25" t="s">
        <v>10</v>
      </c>
      <c r="B40" s="23">
        <v>6337484.4500000002</v>
      </c>
      <c r="C40" s="33">
        <v>-1655767.62</v>
      </c>
      <c r="D40" s="23">
        <v>-4692272.12</v>
      </c>
      <c r="E40" s="23">
        <f>ROUND((((B40+D40)/2)+F39)*(7.76%/12),0)+218</f>
        <v>78260</v>
      </c>
      <c r="F40" s="33">
        <f t="shared" si="4"/>
        <v>12969176.933999993</v>
      </c>
      <c r="G40" s="23">
        <f>SUM(C38:C40)+$C$6+$C$8+$C$22+F40+C36</f>
        <v>16869523.183999993</v>
      </c>
      <c r="H40" s="21">
        <v>7.3200000000000001E-2</v>
      </c>
    </row>
    <row r="41" spans="1:8" hidden="1" x14ac:dyDescent="0.2">
      <c r="A41" s="22" t="s">
        <v>11</v>
      </c>
      <c r="B41" s="23">
        <v>6266841.8499999996</v>
      </c>
      <c r="C41" s="33">
        <v>-54610.2</v>
      </c>
      <c r="D41" s="23">
        <v>-4546601.7699999996</v>
      </c>
      <c r="E41" s="23">
        <f t="shared" ref="E41:E48" si="5">ROUND((((B41+D41)/2)+F40)*(7.76%/12),0)</f>
        <v>89429</v>
      </c>
      <c r="F41" s="33">
        <f t="shared" si="4"/>
        <v>14778846.013999995</v>
      </c>
      <c r="G41" s="23">
        <f>SUM(C38:C41)+$C$6+$C$8+$C$22+F41+C36</f>
        <v>18624582.063999996</v>
      </c>
      <c r="H41" s="21">
        <v>7.3200000000000001E-2</v>
      </c>
    </row>
    <row r="42" spans="1:8" hidden="1" x14ac:dyDescent="0.2">
      <c r="A42" s="24" t="s">
        <v>12</v>
      </c>
      <c r="B42" s="23">
        <v>4339625.5199999996</v>
      </c>
      <c r="C42" s="33">
        <v>424983.98</v>
      </c>
      <c r="D42" s="23">
        <v>-4905098.67</v>
      </c>
      <c r="E42" s="23">
        <f t="shared" si="5"/>
        <v>93742</v>
      </c>
      <c r="F42" s="33">
        <f t="shared" si="4"/>
        <v>14307114.863999994</v>
      </c>
      <c r="G42" s="23">
        <f>SUM(C38:C42)+$C$6+$C$8+$C$22+F42+C36</f>
        <v>18577834.893999998</v>
      </c>
      <c r="H42" s="21">
        <v>7.3200000000000001E-2</v>
      </c>
    </row>
    <row r="43" spans="1:8" hidden="1" x14ac:dyDescent="0.2">
      <c r="A43" s="24" t="s">
        <v>13</v>
      </c>
      <c r="B43" s="23">
        <v>6359044.46</v>
      </c>
      <c r="C43" s="33">
        <v>-316592.64000000001</v>
      </c>
      <c r="D43" s="23">
        <v>-5996971.2199999997</v>
      </c>
      <c r="E43" s="23">
        <f t="shared" si="5"/>
        <v>93690</v>
      </c>
      <c r="F43" s="33">
        <f t="shared" si="4"/>
        <v>14762878.103999995</v>
      </c>
      <c r="G43" s="23">
        <f>SUM(C38:C43)+$C$6+$C$8+$C$22+F43+C36</f>
        <v>18717005.493999995</v>
      </c>
      <c r="H43" s="21">
        <v>7.3200000000000001E-2</v>
      </c>
    </row>
    <row r="44" spans="1:8" hidden="1" x14ac:dyDescent="0.2">
      <c r="A44" s="22" t="s">
        <v>14</v>
      </c>
      <c r="B44" s="23">
        <v>4432790.5999999996</v>
      </c>
      <c r="C44" s="33">
        <v>1038998.71</v>
      </c>
      <c r="D44" s="23">
        <v>-7896361.6799999997</v>
      </c>
      <c r="E44" s="23">
        <f t="shared" si="5"/>
        <v>84268</v>
      </c>
      <c r="F44" s="33">
        <f t="shared" si="4"/>
        <v>11383575.023999996</v>
      </c>
      <c r="G44" s="23">
        <f>SUM(C38:C44)+$C$6+$C$8+$C$22+F44+C36</f>
        <v>16376701.123999998</v>
      </c>
      <c r="H44" s="21">
        <v>7.3200000000000001E-2</v>
      </c>
    </row>
    <row r="45" spans="1:8" hidden="1" x14ac:dyDescent="0.2">
      <c r="A45" s="22" t="s">
        <v>15</v>
      </c>
      <c r="B45" s="23">
        <v>5145653.0199999996</v>
      </c>
      <c r="C45" s="33">
        <v>1071909.69</v>
      </c>
      <c r="D45" s="23">
        <v>-7295459.5800000001</v>
      </c>
      <c r="E45" s="23">
        <f t="shared" si="5"/>
        <v>66663</v>
      </c>
      <c r="F45" s="33">
        <f t="shared" si="4"/>
        <v>9300431.463999996</v>
      </c>
      <c r="G45" s="23">
        <f>SUM(C38:C45)+$C$6+$C$8+$C$22+F45+C36</f>
        <v>15365467.253999997</v>
      </c>
      <c r="H45" s="21">
        <v>7.3200000000000001E-2</v>
      </c>
    </row>
    <row r="46" spans="1:8" hidden="1" x14ac:dyDescent="0.2">
      <c r="A46" s="22" t="s">
        <v>16</v>
      </c>
      <c r="B46" s="23">
        <v>6483484.71</v>
      </c>
      <c r="C46" s="33">
        <v>-1307725.3</v>
      </c>
      <c r="D46" s="23">
        <v>-7124727.3899999997</v>
      </c>
      <c r="E46" s="23">
        <f t="shared" si="5"/>
        <v>58069</v>
      </c>
      <c r="F46" s="33">
        <f t="shared" si="4"/>
        <v>8717257.7839999944</v>
      </c>
      <c r="G46" s="23">
        <f>SUM(C38:C46)+$C$6+$C$8+$C$22+F46+C36</f>
        <v>13474568.273999996</v>
      </c>
      <c r="H46" s="21">
        <v>7.3200000000000001E-2</v>
      </c>
    </row>
    <row r="47" spans="1:8" hidden="1" x14ac:dyDescent="0.2">
      <c r="A47" s="22" t="s">
        <v>17</v>
      </c>
      <c r="B47" s="23">
        <v>5104305.95</v>
      </c>
      <c r="C47" s="33">
        <v>-400031.34</v>
      </c>
      <c r="D47" s="23">
        <v>-5654586.3200000003</v>
      </c>
      <c r="E47" s="23">
        <f t="shared" si="5"/>
        <v>54592</v>
      </c>
      <c r="F47" s="33">
        <f t="shared" si="4"/>
        <v>8221569.4139999934</v>
      </c>
      <c r="G47" s="23">
        <f>SUM(C38:C47)+$C$6+$C$8+$C$22+F47+C36</f>
        <v>12578848.563999996</v>
      </c>
      <c r="H47" s="21">
        <v>7.3200000000000001E-2</v>
      </c>
    </row>
    <row r="48" spans="1:8" hidden="1" x14ac:dyDescent="0.2">
      <c r="A48" s="22" t="s">
        <v>18</v>
      </c>
      <c r="B48" s="23">
        <v>6351919.1500000004</v>
      </c>
      <c r="C48" s="33">
        <v>215829.67</v>
      </c>
      <c r="D48" s="23">
        <v>-4933463.7</v>
      </c>
      <c r="E48" s="23">
        <f t="shared" si="5"/>
        <v>57752</v>
      </c>
      <c r="F48" s="33">
        <f t="shared" si="4"/>
        <v>9697776.8639999926</v>
      </c>
      <c r="G48" s="23">
        <f>SUM(C38:C48)+$C$6+$C$8+$C$22+F48+C36</f>
        <v>14270885.683999993</v>
      </c>
      <c r="H48" s="21">
        <v>7.3200000000000001E-2</v>
      </c>
    </row>
    <row r="49" spans="1:8" hidden="1" x14ac:dyDescent="0.2">
      <c r="A49" s="22" t="s">
        <v>19</v>
      </c>
      <c r="B49" s="23">
        <v>4644388.6500000004</v>
      </c>
      <c r="C49" s="33">
        <v>933148.8</v>
      </c>
      <c r="D49" s="23">
        <v>-5585785.9500000002</v>
      </c>
      <c r="E49" s="23">
        <f>ROUND((((B49+D49)/2)+F48)*(7.76%/12),0)-52392</f>
        <v>7276</v>
      </c>
      <c r="F49" s="33">
        <f t="shared" si="4"/>
        <v>8763655.5639999919</v>
      </c>
      <c r="G49" s="23">
        <f>SUM(C38:C49)+$C$6+$C$8+$C$22+F49+C36</f>
        <v>14269913.183999993</v>
      </c>
      <c r="H49" s="21">
        <v>7.3200000000000001E-2</v>
      </c>
    </row>
    <row r="50" spans="1:8" x14ac:dyDescent="0.2">
      <c r="A50" s="15" t="s">
        <v>22</v>
      </c>
      <c r="B50" s="16">
        <f>SUM(B38:B49)</f>
        <v>62241103.639999993</v>
      </c>
      <c r="C50" s="16">
        <f>SUM(C38:C49)</f>
        <v>822220.69999999984</v>
      </c>
      <c r="D50" s="16">
        <f>SUM(D38:D49)</f>
        <v>-68050713.420000002</v>
      </c>
      <c r="E50" s="26">
        <f>SUM(E38:E49)</f>
        <v>843168</v>
      </c>
      <c r="F50" s="34">
        <v>8763655.5639999919</v>
      </c>
      <c r="G50" s="27">
        <v>14269913.183999993</v>
      </c>
      <c r="H50" s="21">
        <v>7.3200000000000001E-2</v>
      </c>
    </row>
    <row r="51" spans="1:8" x14ac:dyDescent="0.2">
      <c r="B51" s="30"/>
      <c r="C51" s="30"/>
      <c r="D51" s="30"/>
      <c r="E51" s="31"/>
      <c r="F51" s="31"/>
      <c r="G51" s="31"/>
      <c r="H51" s="32"/>
    </row>
    <row r="52" spans="1:8" hidden="1" x14ac:dyDescent="0.2">
      <c r="A52" s="22" t="s">
        <v>8</v>
      </c>
      <c r="B52" s="23">
        <v>3957447.2</v>
      </c>
      <c r="C52" s="23">
        <v>-640324.02</v>
      </c>
      <c r="D52" s="23">
        <v>-6219136.7800000003</v>
      </c>
      <c r="E52" s="23">
        <f>ROUND((((B52+D52)/2)+F49)*(7.74%/12),0)</f>
        <v>49232</v>
      </c>
      <c r="F52" s="23">
        <f>+F49+B52+D52+E52</f>
        <v>6551197.9839999909</v>
      </c>
      <c r="G52" s="23">
        <f>SUM(C52)+$C$6+$C$8+$C$22+F52+C50+C36</f>
        <v>11417131.583999991</v>
      </c>
      <c r="H52" s="21">
        <v>7.7399999999999997E-2</v>
      </c>
    </row>
    <row r="53" spans="1:8" hidden="1" x14ac:dyDescent="0.2">
      <c r="A53" s="24" t="s">
        <v>9</v>
      </c>
      <c r="B53" s="23">
        <v>5502164.0700000003</v>
      </c>
      <c r="C53" s="23">
        <v>-97140.5</v>
      </c>
      <c r="D53" s="23">
        <v>-5812722.0199999996</v>
      </c>
      <c r="E53" s="23">
        <f>ROUND((((B53+D53)/2)+F52)*(7.74%/12),0)</f>
        <v>41254</v>
      </c>
      <c r="F53" s="23">
        <f t="shared" ref="F53:F63" si="6">+F52+B53+D53+E53</f>
        <v>6281894.0339999907</v>
      </c>
      <c r="G53" s="23">
        <f>SUM(C52:C53)+$C$6+$C$8+$C$22+F53+C50+C36</f>
        <v>11050687.133999992</v>
      </c>
      <c r="H53" s="21">
        <v>7.7399999999999997E-2</v>
      </c>
    </row>
    <row r="54" spans="1:8" hidden="1" x14ac:dyDescent="0.2">
      <c r="A54" s="25" t="s">
        <v>10</v>
      </c>
      <c r="B54" s="23">
        <v>4010642.76</v>
      </c>
      <c r="C54" s="23">
        <v>-101375.81</v>
      </c>
      <c r="D54" s="23">
        <v>-5114181.01</v>
      </c>
      <c r="E54" s="23">
        <f>ROUND((((B54+D54)/2)+F53)*(4.45%/12),0)+25</f>
        <v>21274</v>
      </c>
      <c r="F54" s="23">
        <f t="shared" si="6"/>
        <v>5199629.7839999907</v>
      </c>
      <c r="G54" s="23">
        <f>SUM(C52:C54)+$C$6+$C$8+$C$22+F54+C50+C36</f>
        <v>9867047.0739999935</v>
      </c>
      <c r="H54" s="21">
        <v>4.4499999999999998E-2</v>
      </c>
    </row>
    <row r="55" spans="1:8" hidden="1" x14ac:dyDescent="0.2">
      <c r="A55" s="22" t="s">
        <v>11</v>
      </c>
      <c r="B55" s="23">
        <v>3649184.13</v>
      </c>
      <c r="C55" s="23">
        <v>1887278.57</v>
      </c>
      <c r="D55" s="23">
        <v>-5036556.5999999996</v>
      </c>
      <c r="E55" s="23">
        <f t="shared" ref="E55:E63" si="7">ROUND((((B55+D55)/2)+F54)*(4.45%/12),0)</f>
        <v>16710</v>
      </c>
      <c r="F55" s="23">
        <f t="shared" si="6"/>
        <v>3828967.31399999</v>
      </c>
      <c r="G55" s="23">
        <f>SUM(C52:C55)+$C$6+$C$8+$C$22+F55+C50+C36</f>
        <v>10383663.173999991</v>
      </c>
      <c r="H55" s="21">
        <v>4.4499999999999998E-2</v>
      </c>
    </row>
    <row r="56" spans="1:8" hidden="1" x14ac:dyDescent="0.2">
      <c r="A56" s="24" t="s">
        <v>12</v>
      </c>
      <c r="B56" s="23">
        <v>4189551.42</v>
      </c>
      <c r="C56" s="23">
        <v>-1727121.6</v>
      </c>
      <c r="D56" s="23">
        <v>-5313045.41</v>
      </c>
      <c r="E56" s="23">
        <f t="shared" si="7"/>
        <v>12116</v>
      </c>
      <c r="F56" s="23">
        <f t="shared" si="6"/>
        <v>2717589.3239999898</v>
      </c>
      <c r="G56" s="23">
        <f>SUM(C52:C56)+$C$6+$C$8+$C$22+F56+C50+C36</f>
        <v>7545163.5839999923</v>
      </c>
      <c r="H56" s="21">
        <v>4.4499999999999998E-2</v>
      </c>
    </row>
    <row r="57" spans="1:8" hidden="1" x14ac:dyDescent="0.2">
      <c r="A57" s="24" t="s">
        <v>13</v>
      </c>
      <c r="B57" s="23">
        <v>7211523.1900000004</v>
      </c>
      <c r="C57" s="23">
        <v>-962707.25</v>
      </c>
      <c r="D57" s="23">
        <v>-6686874.79</v>
      </c>
      <c r="E57" s="23">
        <f t="shared" si="7"/>
        <v>11051</v>
      </c>
      <c r="F57" s="23">
        <f t="shared" si="6"/>
        <v>3253288.7239999911</v>
      </c>
      <c r="G57" s="23">
        <f>SUM(C52:C57)+$C$6+$C$8+$C$22+F57+C50+C36</f>
        <v>7118155.7339999937</v>
      </c>
      <c r="H57" s="21">
        <v>4.4499999999999998E-2</v>
      </c>
    </row>
    <row r="58" spans="1:8" hidden="1" x14ac:dyDescent="0.2">
      <c r="A58" s="22" t="s">
        <v>14</v>
      </c>
      <c r="B58" s="23">
        <v>3541877.75</v>
      </c>
      <c r="C58" s="23">
        <v>1301932.5900000001</v>
      </c>
      <c r="D58" s="23">
        <v>-8541981.0299999993</v>
      </c>
      <c r="E58" s="23">
        <f t="shared" si="7"/>
        <v>2793</v>
      </c>
      <c r="F58" s="23">
        <f t="shared" si="6"/>
        <v>-1744021.5560000082</v>
      </c>
      <c r="G58" s="23">
        <f>SUM(C52:C58)+$C$6+$C$8+$C$22+F58+C50+C36</f>
        <v>3422778.0439999937</v>
      </c>
      <c r="H58" s="21">
        <v>4.4499999999999998E-2</v>
      </c>
    </row>
    <row r="59" spans="1:8" hidden="1" x14ac:dyDescent="0.2">
      <c r="A59" s="22" t="s">
        <v>15</v>
      </c>
      <c r="B59" s="23">
        <v>5719255.9699999997</v>
      </c>
      <c r="C59" s="23">
        <v>-1630704.05</v>
      </c>
      <c r="D59" s="23">
        <v>-8970590.6500000004</v>
      </c>
      <c r="E59" s="23">
        <f t="shared" si="7"/>
        <v>-12496</v>
      </c>
      <c r="F59" s="23">
        <f t="shared" si="6"/>
        <v>-5007852.2360000089</v>
      </c>
      <c r="G59" s="23">
        <f>SUM(C52:C59)+$C$6+$C$8+$C$22+F59+C50+C36</f>
        <v>-1471756.6860000067</v>
      </c>
      <c r="H59" s="21">
        <v>4.4499999999999998E-2</v>
      </c>
    </row>
    <row r="60" spans="1:8" hidden="1" x14ac:dyDescent="0.2">
      <c r="A60" s="22" t="s">
        <v>16</v>
      </c>
      <c r="B60" s="23">
        <v>4877905.8099999996</v>
      </c>
      <c r="C60" s="23">
        <v>1748387.19</v>
      </c>
      <c r="D60" s="23">
        <v>-7603915.2000000002</v>
      </c>
      <c r="E60" s="23">
        <f t="shared" si="7"/>
        <v>-23625</v>
      </c>
      <c r="F60" s="23">
        <f t="shared" si="6"/>
        <v>-7757486.6260000095</v>
      </c>
      <c r="G60" s="23">
        <f>SUM(C52:C60)+$C$6+$C$8+$C$22+F60+C50+C36</f>
        <v>-2473003.8860000074</v>
      </c>
      <c r="H60" s="21">
        <v>4.4499999999999998E-2</v>
      </c>
    </row>
    <row r="61" spans="1:8" hidden="1" x14ac:dyDescent="0.2">
      <c r="A61" s="22" t="s">
        <v>17</v>
      </c>
      <c r="B61" s="23">
        <v>5085219.01</v>
      </c>
      <c r="C61" s="23">
        <v>-1078842.01</v>
      </c>
      <c r="D61" s="23">
        <v>-5966674.4800000004</v>
      </c>
      <c r="E61" s="23">
        <f t="shared" si="7"/>
        <v>-30402</v>
      </c>
      <c r="F61" s="23">
        <f t="shared" si="6"/>
        <v>-8669344.0960000101</v>
      </c>
      <c r="G61" s="23">
        <f>SUM(C52:C61)+$C$6+$C$8+$C$22+F61+C50+C36</f>
        <v>-4463703.3660000078</v>
      </c>
      <c r="H61" s="21">
        <v>4.4499999999999998E-2</v>
      </c>
    </row>
    <row r="62" spans="1:8" hidden="1" x14ac:dyDescent="0.2">
      <c r="A62" s="22" t="s">
        <v>18</v>
      </c>
      <c r="B62" s="23">
        <v>7231444.2699999996</v>
      </c>
      <c r="C62" s="23">
        <v>-769695.04</v>
      </c>
      <c r="D62" s="23">
        <v>-5240777.22</v>
      </c>
      <c r="E62" s="23">
        <f t="shared" si="7"/>
        <v>-28458</v>
      </c>
      <c r="F62" s="23">
        <f t="shared" si="6"/>
        <v>-6707135.0460000103</v>
      </c>
      <c r="G62" s="23">
        <f>SUM(C52:C62)+$C$6+$C$8+$C$22+F62+C50+C36</f>
        <v>-3271189.3560000081</v>
      </c>
      <c r="H62" s="21">
        <v>4.4499999999999998E-2</v>
      </c>
    </row>
    <row r="63" spans="1:8" hidden="1" x14ac:dyDescent="0.2">
      <c r="A63" s="22" t="s">
        <v>19</v>
      </c>
      <c r="B63" s="23">
        <v>5685830.6699999999</v>
      </c>
      <c r="C63" s="23">
        <v>-742557.7</v>
      </c>
      <c r="D63" s="23">
        <v>-6051035.9400000004</v>
      </c>
      <c r="E63" s="23">
        <f t="shared" si="7"/>
        <v>-25549</v>
      </c>
      <c r="F63" s="23">
        <f t="shared" si="6"/>
        <v>-7097889.3160000108</v>
      </c>
      <c r="G63" s="23">
        <f>SUM(C52:C63)+$C$6+$C$8+$C$22+F63+C50+C36</f>
        <v>-4404501.3260000087</v>
      </c>
      <c r="H63" s="21">
        <v>4.4499999999999998E-2</v>
      </c>
    </row>
    <row r="64" spans="1:8" x14ac:dyDescent="0.2">
      <c r="A64" s="15" t="s">
        <v>23</v>
      </c>
      <c r="B64" s="16">
        <f>SUM(B52:B63)</f>
        <v>60662046.25</v>
      </c>
      <c r="C64" s="16">
        <f>SUM(C52:C63)</f>
        <v>-2812869.63</v>
      </c>
      <c r="D64" s="16">
        <f>SUM(D52:D63)</f>
        <v>-76557491.13000001</v>
      </c>
      <c r="E64" s="26">
        <f>SUM(E52:E63)</f>
        <v>33900</v>
      </c>
      <c r="F64" s="27">
        <v>-7097889.3160000108</v>
      </c>
      <c r="G64" s="27">
        <v>-4404501.3260000087</v>
      </c>
      <c r="H64" s="21">
        <v>4.4499999999999998E-2</v>
      </c>
    </row>
    <row r="65" spans="1:11" x14ac:dyDescent="0.2">
      <c r="A65" s="15"/>
      <c r="B65" s="19"/>
      <c r="C65" s="35"/>
      <c r="D65" s="19"/>
      <c r="E65" s="28"/>
      <c r="F65" s="27"/>
      <c r="G65" s="27"/>
      <c r="H65" s="29"/>
    </row>
    <row r="66" spans="1:11" x14ac:dyDescent="0.2">
      <c r="A66" s="22" t="s">
        <v>8</v>
      </c>
      <c r="B66" s="23">
        <v>2648142.14</v>
      </c>
      <c r="C66" s="23">
        <v>262689.32</v>
      </c>
      <c r="D66" s="23">
        <v>-6073074.8499999996</v>
      </c>
      <c r="E66" s="23">
        <f>ROUND((((B66+D66)/2)+F63)*(10.65%/12),0)</f>
        <v>-78192</v>
      </c>
      <c r="F66" s="23">
        <f>+F63+B66+D66+E66</f>
        <v>-10601014.02600001</v>
      </c>
      <c r="G66" s="23">
        <f>SUM(C66)+$C$6+$C$8+$C$22+F66+$C$64+$C$50+$C$36</f>
        <v>-7644936.7160000084</v>
      </c>
      <c r="H66" s="21">
        <v>0.1065</v>
      </c>
    </row>
    <row r="67" spans="1:11" x14ac:dyDescent="0.2">
      <c r="A67" s="24" t="s">
        <v>9</v>
      </c>
      <c r="B67" s="23">
        <v>3754612.25</v>
      </c>
      <c r="C67" s="23">
        <v>348092.95</v>
      </c>
      <c r="D67" s="23">
        <v>-5423643.7199999997</v>
      </c>
      <c r="E67" s="23">
        <f>ROUND((((B67+D67)/2)+F66)*(10.65%/12),0)</f>
        <v>-101490</v>
      </c>
      <c r="F67" s="23">
        <f t="shared" ref="F67:F77" si="8">+F66+B67+D67+E67</f>
        <v>-12371535.496000011</v>
      </c>
      <c r="G67" s="23">
        <f>SUM(C66:C67)+$C$6+$C$8+$C$22+F67+$C$64+$C$50+$C$36</f>
        <v>-9067365.2360000089</v>
      </c>
      <c r="H67" s="21">
        <v>0.1065</v>
      </c>
    </row>
    <row r="68" spans="1:11" x14ac:dyDescent="0.2">
      <c r="A68" s="25" t="s">
        <v>10</v>
      </c>
      <c r="B68" s="23">
        <v>3478015.21</v>
      </c>
      <c r="C68" s="23">
        <v>-117206.13</v>
      </c>
      <c r="D68" s="23">
        <v>-4738882.53</v>
      </c>
      <c r="E68" s="23">
        <f>ROUND((((B68+D68)/2)+F67)*(10.65%/12),0)-66</f>
        <v>-115458</v>
      </c>
      <c r="F68" s="23">
        <f t="shared" si="8"/>
        <v>-13747860.816000011</v>
      </c>
      <c r="G68" s="23">
        <f>SUM(C66:C68)+$C$6+$C$8+$C$22+F68+$C$64+$C$50+$C$36</f>
        <v>-10560896.686000008</v>
      </c>
      <c r="H68" s="21">
        <v>0.1065</v>
      </c>
    </row>
    <row r="69" spans="1:11" x14ac:dyDescent="0.2">
      <c r="A69" s="22" t="s">
        <v>11</v>
      </c>
      <c r="B69" s="23">
        <v>4355254.13</v>
      </c>
      <c r="C69" s="23">
        <v>586847.75</v>
      </c>
      <c r="D69" s="23">
        <v>-4768815.47</v>
      </c>
      <c r="E69" s="23">
        <f t="shared" ref="E69:E77" si="9">ROUND((((B69+D69)/2)+F68)*(10.65%/12),0)</f>
        <v>-123847</v>
      </c>
      <c r="F69" s="23">
        <f t="shared" si="8"/>
        <v>-14285269.156000011</v>
      </c>
      <c r="G69" s="23">
        <f>SUM(C66:C69)+$C$6+$C$8+$C$22+F69+$C$64+$C$50+$C$36</f>
        <v>-10511457.276000008</v>
      </c>
      <c r="H69" s="21">
        <v>0.1065</v>
      </c>
    </row>
    <row r="70" spans="1:11" ht="15" x14ac:dyDescent="0.25">
      <c r="A70" s="24" t="s">
        <v>12</v>
      </c>
      <c r="B70" s="23">
        <v>3686016.71</v>
      </c>
      <c r="C70" s="23">
        <v>-291172.46000000002</v>
      </c>
      <c r="D70" s="23">
        <v>-4697674.28</v>
      </c>
      <c r="E70" s="23">
        <f t="shared" si="9"/>
        <v>-131271</v>
      </c>
      <c r="F70" s="23">
        <f t="shared" si="8"/>
        <v>-15428197.726000011</v>
      </c>
      <c r="G70" s="36">
        <f>SUM(C66:C70)+$C$6+$C$8+$C$22+F70+$C$64+$C$50+$C$36</f>
        <v>-11945558.306000009</v>
      </c>
      <c r="H70" s="21">
        <v>0.1065</v>
      </c>
      <c r="K70" s="37"/>
    </row>
    <row r="71" spans="1:11" ht="15" x14ac:dyDescent="0.25">
      <c r="A71" s="24" t="s">
        <v>13</v>
      </c>
      <c r="B71" s="38">
        <v>7675158.79059524</v>
      </c>
      <c r="C71" s="23"/>
      <c r="D71" s="38">
        <v>-6433579.0701635862</v>
      </c>
      <c r="E71" s="23">
        <f t="shared" si="9"/>
        <v>-131416</v>
      </c>
      <c r="F71" s="23">
        <f t="shared" si="8"/>
        <v>-14318034.005568357</v>
      </c>
      <c r="G71" s="23">
        <f>SUM(C66:C71)+$C$6+$C$8+$C$22+F71+$C$64+$C$50+$C$36</f>
        <v>-10835394.585568357</v>
      </c>
      <c r="H71" s="21">
        <v>0.1065</v>
      </c>
      <c r="K71" s="37"/>
    </row>
    <row r="72" spans="1:11" ht="15" x14ac:dyDescent="0.25">
      <c r="A72" s="22" t="s">
        <v>14</v>
      </c>
      <c r="B72" s="38">
        <v>6392623.8263764894</v>
      </c>
      <c r="C72" s="17"/>
      <c r="D72" s="38">
        <v>-7731442.9882931793</v>
      </c>
      <c r="E72" s="23">
        <f t="shared" si="9"/>
        <v>-133014</v>
      </c>
      <c r="F72" s="23">
        <f t="shared" si="8"/>
        <v>-15789867.167485047</v>
      </c>
      <c r="G72" s="23">
        <f>SUM(C66:C72)+$C$6+$C$8+$C$22+F72+$C$64+$C$50+$C$36</f>
        <v>-12307227.747485045</v>
      </c>
      <c r="H72" s="21">
        <v>0.1065</v>
      </c>
      <c r="K72" s="37"/>
    </row>
    <row r="73" spans="1:11" ht="15" x14ac:dyDescent="0.25">
      <c r="A73" s="22" t="s">
        <v>15</v>
      </c>
      <c r="B73" s="38">
        <v>3863116.5765327383</v>
      </c>
      <c r="C73" s="17"/>
      <c r="D73" s="38"/>
      <c r="E73" s="23">
        <f t="shared" si="9"/>
        <v>-122992</v>
      </c>
      <c r="F73" s="23">
        <f t="shared" si="8"/>
        <v>-12049742.590952309</v>
      </c>
      <c r="G73" s="23">
        <f>SUM(C66:C73)+$C$6+$C$8+$C$22+F73+$C$64+$C$50+$C$36</f>
        <v>-8567103.1709523089</v>
      </c>
      <c r="H73" s="21">
        <v>0.1065</v>
      </c>
      <c r="K73" s="37"/>
    </row>
    <row r="74" spans="1:11" ht="15" x14ac:dyDescent="0.25">
      <c r="A74" s="22" t="s">
        <v>16</v>
      </c>
      <c r="B74" s="38">
        <v>4828040.7512723217</v>
      </c>
      <c r="C74" s="17"/>
      <c r="D74" s="38"/>
      <c r="E74" s="23">
        <f t="shared" si="9"/>
        <v>-85517</v>
      </c>
      <c r="F74" s="23">
        <f t="shared" si="8"/>
        <v>-7307218.8396799872</v>
      </c>
      <c r="G74" s="23">
        <f>SUM(C66:C74)+$C$6+$C$8+$C$22+F74+$C$64+$C$50+$C$36</f>
        <v>-3824579.4196799845</v>
      </c>
      <c r="H74" s="21">
        <v>0.1065</v>
      </c>
      <c r="K74" s="37"/>
    </row>
    <row r="75" spans="1:11" x14ac:dyDescent="0.2">
      <c r="A75" s="22" t="s">
        <v>17</v>
      </c>
      <c r="B75" s="38">
        <v>5139229.0726785725</v>
      </c>
      <c r="C75" s="17"/>
      <c r="D75" s="38"/>
      <c r="E75" s="23">
        <f t="shared" si="9"/>
        <v>-42046</v>
      </c>
      <c r="F75" s="23">
        <f t="shared" si="8"/>
        <v>-2210035.7670014147</v>
      </c>
      <c r="G75" s="23">
        <f>SUM(C66:C75)+$C$6+$C$8+$C$22+F75+$C$64+$C$50+$C$36</f>
        <v>1272603.6529985876</v>
      </c>
      <c r="H75" s="21">
        <v>0.1065</v>
      </c>
    </row>
    <row r="76" spans="1:11" x14ac:dyDescent="0.2">
      <c r="A76" s="22" t="s">
        <v>18</v>
      </c>
      <c r="B76" s="38">
        <v>7547161.7154910723</v>
      </c>
      <c r="C76" s="17"/>
      <c r="D76" s="38"/>
      <c r="E76" s="23">
        <f t="shared" si="9"/>
        <v>13876</v>
      </c>
      <c r="F76" s="23">
        <f t="shared" si="8"/>
        <v>5351001.9484896576</v>
      </c>
      <c r="G76" s="23">
        <f>SUM(C66:C76)+$C$6+$C$8+$C$22+F76+$C$64+$C$50+$C$36</f>
        <v>8833641.3684896603</v>
      </c>
      <c r="H76" s="21">
        <v>0.1065</v>
      </c>
    </row>
    <row r="77" spans="1:11" x14ac:dyDescent="0.2">
      <c r="A77" s="22" t="s">
        <v>19</v>
      </c>
      <c r="B77" s="38">
        <v>3711539.7870535715</v>
      </c>
      <c r="C77" s="17"/>
      <c r="D77" s="38">
        <v>-5315778.5901444647</v>
      </c>
      <c r="E77" s="23">
        <f t="shared" si="9"/>
        <v>40371</v>
      </c>
      <c r="F77" s="23">
        <f t="shared" si="8"/>
        <v>3787134.1453987639</v>
      </c>
      <c r="G77" s="23">
        <f>SUM(C66:C77)+$C$6+$C$8+$C$22+F77+$C$64+$C$50+$C$36</f>
        <v>7269773.5653987667</v>
      </c>
      <c r="H77" s="21">
        <v>0.1065</v>
      </c>
    </row>
    <row r="78" spans="1:11" x14ac:dyDescent="0.2">
      <c r="A78" s="15" t="s">
        <v>24</v>
      </c>
      <c r="B78" s="16">
        <f>SUM(B66:B77)</f>
        <v>57078910.960000008</v>
      </c>
      <c r="C78" s="16">
        <f>SUM(C66:C77)</f>
        <v>789251.43000000017</v>
      </c>
      <c r="D78" s="16">
        <f>SUM(D66:D77)</f>
        <v>-45182891.498601228</v>
      </c>
      <c r="E78" s="26">
        <f>SUM(E66:E77)</f>
        <v>-1010996</v>
      </c>
      <c r="F78" s="27"/>
      <c r="G78" s="27"/>
      <c r="H78" s="29"/>
    </row>
    <row r="79" spans="1:11" x14ac:dyDescent="0.2">
      <c r="A79" s="15"/>
      <c r="B79" s="19"/>
      <c r="C79" s="35"/>
      <c r="D79" s="19"/>
      <c r="E79" s="28"/>
      <c r="F79" s="27"/>
      <c r="G79" s="27"/>
      <c r="H79" s="29"/>
    </row>
    <row r="80" spans="1:11" x14ac:dyDescent="0.2">
      <c r="A80" s="22" t="s">
        <v>8</v>
      </c>
      <c r="B80" s="38">
        <v>4669507.4666666668</v>
      </c>
      <c r="C80" s="23"/>
      <c r="D80" s="38">
        <v>-5329210.5766593637</v>
      </c>
      <c r="E80" s="23">
        <f>ROUND((((B80+D80)/2)+F77)*(10.65%/12),0)</f>
        <v>30683</v>
      </c>
      <c r="F80" s="23">
        <f>+F77+B80+D80+E80</f>
        <v>3158114.035406067</v>
      </c>
      <c r="G80" s="23">
        <f>SUM(C80)+$C$6+$C$8+$C$22+F80+$C$64+$C$50+$C$36+C78</f>
        <v>6640753.4554060679</v>
      </c>
      <c r="H80" s="21">
        <v>0.1065</v>
      </c>
    </row>
    <row r="81" spans="1:8" x14ac:dyDescent="0.2">
      <c r="A81" s="24" t="s">
        <v>9</v>
      </c>
      <c r="B81" s="38">
        <v>4978998.3166666673</v>
      </c>
      <c r="C81" s="23"/>
      <c r="D81" s="38">
        <v>-4700082.2296783151</v>
      </c>
      <c r="E81" s="23">
        <f>ROUND((((B81+D81)/2)+F80)*(10.65%/12),0)</f>
        <v>29266</v>
      </c>
      <c r="F81" s="23">
        <f t="shared" ref="F81:F91" si="10">+F80+B81+D81+E81</f>
        <v>3466296.1223944193</v>
      </c>
      <c r="G81" s="23">
        <f>SUM(C80:C81)+$C$6+$C$8+$C$22+F81+$C$64+$C$50+$C$36+C78</f>
        <v>6948935.5423944201</v>
      </c>
      <c r="H81" s="21">
        <v>0.1065</v>
      </c>
    </row>
    <row r="82" spans="1:8" x14ac:dyDescent="0.2">
      <c r="A82" s="25" t="s">
        <v>10</v>
      </c>
      <c r="B82" s="38">
        <v>5178198.3166666673</v>
      </c>
      <c r="C82" s="23"/>
      <c r="D82" s="38">
        <v>-4924003.2356966082</v>
      </c>
      <c r="E82" s="23">
        <f>ROUND((((B82+D82)/2)+F81)*(10.65%/12),0)</f>
        <v>31891</v>
      </c>
      <c r="F82" s="23">
        <f t="shared" si="10"/>
        <v>3752382.2033644784</v>
      </c>
      <c r="G82" s="23">
        <f>SUM(C80:C82)+$C$6+$C$8+$C$22+F82+$C$64+$C$50+$C$36+C78</f>
        <v>7235021.6233644802</v>
      </c>
      <c r="H82" s="21">
        <v>0.1065</v>
      </c>
    </row>
    <row r="83" spans="1:8" x14ac:dyDescent="0.2">
      <c r="A83" s="22" t="s">
        <v>11</v>
      </c>
      <c r="B83" s="38">
        <v>4199198.3166666664</v>
      </c>
      <c r="C83" s="23"/>
      <c r="D83" s="38">
        <v>-4638426.3495242624</v>
      </c>
      <c r="E83" s="23">
        <f t="shared" ref="E83:E91" si="11">ROUND((((B83+D83)/2)+F82)*(10.65%/12),0)</f>
        <v>31353</v>
      </c>
      <c r="F83" s="23">
        <f t="shared" si="10"/>
        <v>3344507.1705068825</v>
      </c>
      <c r="G83" s="23">
        <f>SUM(C80:C83)+$C$6+$C$8+$C$22+F83+$C$64+$C$50+$C$36+C78</f>
        <v>6827146.5905068833</v>
      </c>
      <c r="H83" s="21">
        <v>0.1065</v>
      </c>
    </row>
    <row r="84" spans="1:8" x14ac:dyDescent="0.2">
      <c r="A84" s="24" t="s">
        <v>12</v>
      </c>
      <c r="B84" s="38">
        <v>4142520.3266666667</v>
      </c>
      <c r="C84" s="23"/>
      <c r="D84" s="38">
        <v>-5427029.6399955498</v>
      </c>
      <c r="E84" s="23">
        <f t="shared" si="11"/>
        <v>23982</v>
      </c>
      <c r="F84" s="23">
        <f t="shared" si="10"/>
        <v>2083979.8571779998</v>
      </c>
      <c r="G84" s="23">
        <f>SUM(C80:C84)+$C$6+$C$8+$C$22+F84+$C$64+$C$50+$C$36+C78</f>
        <v>5566619.2771780007</v>
      </c>
      <c r="H84" s="21">
        <v>0.1065</v>
      </c>
    </row>
    <row r="85" spans="1:8" x14ac:dyDescent="0.2">
      <c r="A85" s="24" t="s">
        <v>13</v>
      </c>
      <c r="B85" s="38">
        <v>6049201.3266666671</v>
      </c>
      <c r="C85" s="23"/>
      <c r="D85" s="38">
        <v>-6217459.9072778225</v>
      </c>
      <c r="E85" s="23">
        <f t="shared" si="11"/>
        <v>17749</v>
      </c>
      <c r="F85" s="23">
        <f t="shared" si="10"/>
        <v>1933470.2765668444</v>
      </c>
      <c r="G85" s="23">
        <f>SUM(C80:C85)+$C$6+$C$8+$C$22+F85+$C$64+$C$50+$C$36+C78</f>
        <v>5416109.6965668462</v>
      </c>
      <c r="H85" s="21">
        <v>0.1065</v>
      </c>
    </row>
    <row r="86" spans="1:8" x14ac:dyDescent="0.2">
      <c r="A86" s="22" t="s">
        <v>14</v>
      </c>
      <c r="B86" s="38">
        <v>4250393.8266666662</v>
      </c>
      <c r="C86" s="17"/>
      <c r="D86" s="38">
        <v>-7539012.8627130669</v>
      </c>
      <c r="E86" s="23">
        <f t="shared" si="11"/>
        <v>2566</v>
      </c>
      <c r="F86" s="23">
        <f t="shared" si="10"/>
        <v>-1352582.7594795562</v>
      </c>
      <c r="G86" s="23">
        <f>SUM(C80:C86)+$C$6+$C$8+$C$22+F86+$C$64+$C$50+$C$36+C78</f>
        <v>2130056.6605204456</v>
      </c>
      <c r="H86" s="21">
        <v>0.1065</v>
      </c>
    </row>
    <row r="87" spans="1:8" x14ac:dyDescent="0.2">
      <c r="A87" s="22" t="s">
        <v>15</v>
      </c>
      <c r="B87" s="38">
        <v>4497393.8266666671</v>
      </c>
      <c r="C87" s="17"/>
      <c r="D87" s="38">
        <v>-7201455.9565855311</v>
      </c>
      <c r="E87" s="23">
        <f t="shared" si="11"/>
        <v>-24003</v>
      </c>
      <c r="F87" s="23">
        <f t="shared" si="10"/>
        <v>-4080647.8893984202</v>
      </c>
      <c r="G87" s="23">
        <f>SUM(C80:C87)+$C$6+$C$8+$C$22+F87+$C$64+$C$50+$C$36+C78</f>
        <v>-598008.46939841844</v>
      </c>
      <c r="H87" s="21">
        <v>0.1065</v>
      </c>
    </row>
    <row r="88" spans="1:8" x14ac:dyDescent="0.2">
      <c r="A88" s="22" t="s">
        <v>16</v>
      </c>
      <c r="B88" s="38">
        <v>5092341.3266666671</v>
      </c>
      <c r="C88" s="17"/>
      <c r="D88" s="38">
        <v>-5986485.971509763</v>
      </c>
      <c r="E88" s="23">
        <f t="shared" si="11"/>
        <v>-40184</v>
      </c>
      <c r="F88" s="23">
        <f t="shared" si="10"/>
        <v>-5014976.5342415161</v>
      </c>
      <c r="G88" s="23">
        <f>SUM(C80:C88)+$C$6+$C$8+$C$22+F88+$C$64+$C$50+$C$36+C78</f>
        <v>-1532337.1142415139</v>
      </c>
      <c r="H88" s="21">
        <v>0.1065</v>
      </c>
    </row>
    <row r="89" spans="1:8" x14ac:dyDescent="0.2">
      <c r="A89" s="22" t="s">
        <v>17</v>
      </c>
      <c r="B89" s="38">
        <v>5295550.8166666664</v>
      </c>
      <c r="C89" s="17"/>
      <c r="D89" s="38">
        <v>-4813673.0952625489</v>
      </c>
      <c r="E89" s="23">
        <f t="shared" si="11"/>
        <v>-42370</v>
      </c>
      <c r="F89" s="23">
        <f t="shared" si="10"/>
        <v>-4575468.8128373986</v>
      </c>
      <c r="G89" s="23">
        <f>SUM(C80:C89)+$C$6+$C$8+$C$22+F89+$C$64+$C$50+$C$36+C78</f>
        <v>-1092829.3928373968</v>
      </c>
      <c r="H89" s="21">
        <v>0.1065</v>
      </c>
    </row>
    <row r="90" spans="1:8" x14ac:dyDescent="0.2">
      <c r="A90" s="22" t="s">
        <v>18</v>
      </c>
      <c r="B90" s="38">
        <v>6271750.8166666673</v>
      </c>
      <c r="C90" s="17"/>
      <c r="D90" s="38">
        <v>-4857697.251196906</v>
      </c>
      <c r="E90" s="23">
        <f t="shared" si="11"/>
        <v>-34332</v>
      </c>
      <c r="F90" s="23">
        <f t="shared" si="10"/>
        <v>-3195747.2473676372</v>
      </c>
      <c r="G90" s="23">
        <f>SUM(C80:C90)+$C$6+$C$8+$C$22+F90+$C$64+$C$50+$C$36+C78</f>
        <v>286892.17263236456</v>
      </c>
      <c r="H90" s="21">
        <v>0.1065</v>
      </c>
    </row>
    <row r="91" spans="1:8" x14ac:dyDescent="0.2">
      <c r="A91" s="22" t="s">
        <v>19</v>
      </c>
      <c r="B91" s="38">
        <v>5154677.3166666673</v>
      </c>
      <c r="C91" s="17"/>
      <c r="D91" s="38">
        <v>-5353256.4544964274</v>
      </c>
      <c r="E91" s="23">
        <f t="shared" si="11"/>
        <v>-29243</v>
      </c>
      <c r="F91" s="23">
        <f t="shared" si="10"/>
        <v>-3423569.3851973973</v>
      </c>
      <c r="G91" s="23">
        <f>SUM(C80:C91)+$C$6+$C$8+$C$22+F91+$C$64+$C$50+$C$36+C78</f>
        <v>59070.034802604467</v>
      </c>
      <c r="H91" s="21">
        <v>0.1065</v>
      </c>
    </row>
    <row r="92" spans="1:8" x14ac:dyDescent="0.2">
      <c r="A92" s="15" t="s">
        <v>25</v>
      </c>
      <c r="B92" s="16">
        <f>SUM(B80:B91)</f>
        <v>59779732.000000015</v>
      </c>
      <c r="C92" s="16">
        <f>SUM(C80:C91)</f>
        <v>0</v>
      </c>
      <c r="D92" s="16">
        <f>SUM(D80:D91)</f>
        <v>-66987793.530596167</v>
      </c>
      <c r="E92" s="26">
        <f>SUM(E80:E91)</f>
        <v>-2642</v>
      </c>
      <c r="F92" s="27"/>
      <c r="G92" s="27"/>
      <c r="H92" s="29"/>
    </row>
    <row r="93" spans="1:8" x14ac:dyDescent="0.2">
      <c r="A93" s="15"/>
      <c r="B93" s="19"/>
      <c r="C93" s="19"/>
      <c r="D93" s="19"/>
      <c r="E93" s="28"/>
      <c r="F93" s="27"/>
      <c r="G93" s="27"/>
      <c r="H93" s="29"/>
    </row>
    <row r="94" spans="1:8" x14ac:dyDescent="0.2">
      <c r="A94" s="22" t="s">
        <v>26</v>
      </c>
      <c r="B94" s="30"/>
      <c r="C94" s="19">
        <f>+C50+C36+C22+C8+C6+C64+C78+C92</f>
        <v>3482639.4200000023</v>
      </c>
      <c r="D94" s="30"/>
      <c r="E94" s="31"/>
      <c r="F94" s="31"/>
      <c r="G94" s="31"/>
      <c r="H94" s="32"/>
    </row>
    <row r="95" spans="1:8" x14ac:dyDescent="0.2">
      <c r="A95" s="22"/>
      <c r="B95" s="30"/>
      <c r="C95" s="19"/>
      <c r="D95" s="30"/>
      <c r="E95" s="31"/>
      <c r="F95" s="31"/>
      <c r="G95" s="31"/>
      <c r="H95" s="32"/>
    </row>
    <row r="96" spans="1:8" x14ac:dyDescent="0.2">
      <c r="A96" s="22"/>
      <c r="B96" s="39"/>
      <c r="C96" s="19"/>
      <c r="D96" s="39"/>
      <c r="E96" s="40"/>
      <c r="F96" s="40"/>
      <c r="G96" s="40"/>
      <c r="H96" s="32"/>
    </row>
    <row r="97" spans="1:7" x14ac:dyDescent="0.2">
      <c r="A97" s="41" t="s">
        <v>27</v>
      </c>
      <c r="B97" s="39"/>
      <c r="C97" s="39"/>
      <c r="D97" s="39"/>
      <c r="E97" s="39"/>
      <c r="F97" s="39"/>
      <c r="G97" s="40">
        <f>+G70</f>
        <v>-11945558.306000009</v>
      </c>
    </row>
    <row r="98" spans="1:7" ht="7.5" customHeight="1" x14ac:dyDescent="0.2">
      <c r="A98" s="41"/>
      <c r="B98" s="39"/>
      <c r="C98" s="39"/>
      <c r="D98" s="39"/>
      <c r="E98" s="39"/>
      <c r="F98" s="39"/>
      <c r="G98" s="40"/>
    </row>
    <row r="99" spans="1:7" x14ac:dyDescent="0.2">
      <c r="A99" s="41" t="s">
        <v>28</v>
      </c>
      <c r="B99" s="40"/>
      <c r="C99" s="40"/>
      <c r="D99" s="39"/>
      <c r="E99" s="39"/>
      <c r="F99" s="39"/>
      <c r="G99" s="40">
        <f>+SUM(B71:B77)+SUM(B80:B91)</f>
        <v>98936602.520000011</v>
      </c>
    </row>
    <row r="100" spans="1:7" x14ac:dyDescent="0.2">
      <c r="A100" s="41" t="s">
        <v>29</v>
      </c>
      <c r="B100" s="40"/>
      <c r="C100" s="40"/>
      <c r="D100" s="39"/>
      <c r="E100" s="39"/>
      <c r="F100" s="39"/>
      <c r="G100" s="40">
        <f>+SUM(E71:E77)+SUM(E80:E91)</f>
        <v>-463380</v>
      </c>
    </row>
    <row r="101" spans="1:7" x14ac:dyDescent="0.2">
      <c r="A101" s="41" t="s">
        <v>30</v>
      </c>
      <c r="B101" s="40"/>
      <c r="C101" s="40"/>
      <c r="D101" s="39"/>
      <c r="E101" s="39"/>
      <c r="F101" s="39"/>
      <c r="G101" s="42">
        <f>SUM(G99:G100)</f>
        <v>98473222.520000011</v>
      </c>
    </row>
    <row r="102" spans="1:7" ht="8.25" customHeight="1" x14ac:dyDescent="0.2">
      <c r="A102" s="41"/>
      <c r="B102" s="40"/>
      <c r="C102" s="40"/>
      <c r="D102" s="39"/>
      <c r="E102" s="39"/>
      <c r="F102" s="39"/>
      <c r="G102" s="40"/>
    </row>
    <row r="103" spans="1:7" x14ac:dyDescent="0.2">
      <c r="A103" s="41" t="s">
        <v>31</v>
      </c>
      <c r="B103" s="40"/>
      <c r="C103" s="40"/>
      <c r="D103" s="39"/>
      <c r="E103" s="39"/>
      <c r="F103" s="39"/>
      <c r="G103" s="40">
        <f>SUM(D71:D77)+SUM(D80:D91)</f>
        <v>-86468594.179197401</v>
      </c>
    </row>
    <row r="104" spans="1:7" ht="8.25" customHeight="1" x14ac:dyDescent="0.2">
      <c r="A104" s="43"/>
      <c r="B104" s="40"/>
      <c r="C104" s="40"/>
      <c r="D104" s="39"/>
      <c r="E104" s="39"/>
      <c r="F104" s="39"/>
      <c r="G104" s="40"/>
    </row>
    <row r="105" spans="1:7" ht="15" thickBot="1" x14ac:dyDescent="0.25">
      <c r="A105" s="41" t="s">
        <v>32</v>
      </c>
      <c r="B105" s="40"/>
      <c r="C105" s="40"/>
      <c r="D105" s="39"/>
      <c r="E105" s="39"/>
      <c r="F105" s="39"/>
      <c r="G105" s="44">
        <f>+G97+G101+G103</f>
        <v>59070.034802600741</v>
      </c>
    </row>
    <row r="106" spans="1:7" ht="15" thickTop="1" x14ac:dyDescent="0.2">
      <c r="A106" s="45"/>
      <c r="B106" s="30"/>
      <c r="C106" s="30"/>
      <c r="D106" s="30"/>
      <c r="E106" s="30"/>
      <c r="F106" s="30"/>
      <c r="G106" s="31"/>
    </row>
    <row r="107" spans="1:7" x14ac:dyDescent="0.2">
      <c r="A107" s="46" t="s">
        <v>33</v>
      </c>
      <c r="B107" s="30"/>
      <c r="C107" s="30"/>
      <c r="D107" s="30"/>
      <c r="E107" s="30"/>
      <c r="F107" s="30"/>
      <c r="G107" s="31"/>
    </row>
    <row r="108" spans="1:7" x14ac:dyDescent="0.2">
      <c r="A108" s="46" t="s">
        <v>34</v>
      </c>
      <c r="B108" s="30"/>
      <c r="C108" s="30"/>
      <c r="D108" s="30"/>
      <c r="E108" s="30"/>
      <c r="F108" s="30"/>
      <c r="G108" s="31"/>
    </row>
    <row r="109" spans="1:7" x14ac:dyDescent="0.2">
      <c r="A109" s="46" t="s">
        <v>35</v>
      </c>
      <c r="B109" s="31"/>
      <c r="C109" s="31"/>
      <c r="D109" s="31"/>
      <c r="E109" s="31"/>
      <c r="F109" s="30"/>
      <c r="G109" s="30"/>
    </row>
    <row r="110" spans="1:7" ht="14.25" customHeight="1" x14ac:dyDescent="0.2">
      <c r="B110" s="30"/>
      <c r="C110" s="30"/>
      <c r="D110" s="30"/>
      <c r="E110" s="30"/>
      <c r="F110" s="30"/>
      <c r="G110" s="30"/>
    </row>
  </sheetData>
  <pageMargins left="0.7" right="0.7" top="0.75" bottom="0.75" header="0.3" footer="0.3"/>
  <pageSetup scale="71" orientation="portrait" horizontalDpi="1200" verticalDpi="1200" r:id="rId1"/>
  <ignoredErrors>
    <ignoredError sqref="C22:E67 F66:H66 F70:H77 F67:F69 H67:H69 C69:E77 C68:D68 B22:B64 F80:G91 E80:E91 C78:E78 B79:E79 B78 B92:E94 B80:D91" unlockedFormula="1"/>
    <ignoredError sqref="G67:G69" formulaRange="1" unlockedFormula="1"/>
    <ignoredError sqref="E68" formula="1" unlockedFormula="1"/>
    <ignoredError sqref="G99:G1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2017-07-07T19:48:39Z</dcterms:created>
  <dcterms:modified xsi:type="dcterms:W3CDTF">2017-07-14T16:51:41Z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