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435"/>
  </bookViews>
  <sheets>
    <sheet name="Exh B-Forecast with Prev Rate" sheetId="1" r:id="rId1"/>
  </sheets>
  <externalReferences>
    <externalReference r:id="rId2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DUDE" hidden="1">#REF!</definedName>
    <definedName name="limcount" hidden="1">1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z" hidden="1">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E13" i="1"/>
  <c r="J13" i="1" s="1"/>
  <c r="B25" i="1"/>
  <c r="C25" i="1"/>
  <c r="D25" i="1"/>
  <c r="E29" i="1"/>
  <c r="F29" i="1" s="1"/>
  <c r="B41" i="1"/>
  <c r="C41" i="1"/>
  <c r="D41" i="1"/>
  <c r="B55" i="1"/>
  <c r="C55" i="1"/>
  <c r="D55" i="1"/>
  <c r="D57" i="1"/>
  <c r="D69" i="1" s="1"/>
  <c r="C69" i="1"/>
  <c r="E30" i="1" l="1"/>
  <c r="F30" i="1" s="1"/>
  <c r="G29" i="1"/>
  <c r="J29" i="1"/>
  <c r="J30" i="1" s="1"/>
  <c r="F13" i="1"/>
  <c r="G80" i="1"/>
  <c r="C72" i="1"/>
  <c r="B69" i="1"/>
  <c r="E31" i="1"/>
  <c r="F31" i="1" s="1"/>
  <c r="G76" i="1"/>
  <c r="G30" i="1"/>
  <c r="E14" i="1" l="1"/>
  <c r="J14" i="1" s="1"/>
  <c r="G13" i="1"/>
  <c r="E32" i="1"/>
  <c r="F32" i="1" s="1"/>
  <c r="G31" i="1"/>
  <c r="J31" i="1"/>
  <c r="F14" i="1" l="1"/>
  <c r="E33" i="1"/>
  <c r="F33" i="1" s="1"/>
  <c r="G32" i="1"/>
  <c r="J32" i="1"/>
  <c r="J33" i="1" s="1"/>
  <c r="E15" i="1" l="1"/>
  <c r="J15" i="1" s="1"/>
  <c r="G14" i="1"/>
  <c r="E34" i="1"/>
  <c r="F34" i="1" s="1"/>
  <c r="G33" i="1"/>
  <c r="F15" i="1" l="1"/>
  <c r="E35" i="1"/>
  <c r="F35" i="1" s="1"/>
  <c r="G34" i="1"/>
  <c r="J34" i="1"/>
  <c r="J35" i="1" s="1"/>
  <c r="E16" i="1" l="1"/>
  <c r="J16" i="1" s="1"/>
  <c r="G15" i="1"/>
  <c r="E36" i="1"/>
  <c r="F36" i="1" s="1"/>
  <c r="G35" i="1"/>
  <c r="F16" i="1" l="1"/>
  <c r="J36" i="1"/>
  <c r="E37" i="1"/>
  <c r="J37" i="1" s="1"/>
  <c r="G36" i="1"/>
  <c r="F37" i="1" l="1"/>
  <c r="G16" i="1"/>
  <c r="E17" i="1"/>
  <c r="E38" i="1"/>
  <c r="J38" i="1" s="1"/>
  <c r="G37" i="1"/>
  <c r="F17" i="1" l="1"/>
  <c r="J17" i="1"/>
  <c r="F38" i="1"/>
  <c r="G38" i="1" s="1"/>
  <c r="E39" i="1" l="1"/>
  <c r="E18" i="1"/>
  <c r="F18" i="1" s="1"/>
  <c r="G17" i="1"/>
  <c r="E19" i="1" l="1"/>
  <c r="F19" i="1" s="1"/>
  <c r="G18" i="1"/>
  <c r="J18" i="1"/>
  <c r="J39" i="1"/>
  <c r="F39" i="1"/>
  <c r="G19" i="1" l="1"/>
  <c r="E20" i="1"/>
  <c r="F20" i="1" s="1"/>
  <c r="J19" i="1"/>
  <c r="G39" i="1"/>
  <c r="E40" i="1"/>
  <c r="F40" i="1" s="1"/>
  <c r="E21" i="1" l="1"/>
  <c r="J21" i="1" s="1"/>
  <c r="G20" i="1"/>
  <c r="G40" i="1"/>
  <c r="E43" i="1"/>
  <c r="F43" i="1"/>
  <c r="J20" i="1"/>
  <c r="E41" i="1"/>
  <c r="J40" i="1"/>
  <c r="J43" i="1" s="1"/>
  <c r="G43" i="1" l="1"/>
  <c r="E44" i="1"/>
  <c r="J44" i="1" s="1"/>
  <c r="F21" i="1"/>
  <c r="G21" i="1" l="1"/>
  <c r="E22" i="1"/>
  <c r="J22" i="1" s="1"/>
  <c r="F44" i="1"/>
  <c r="F22" i="1" l="1"/>
  <c r="E45" i="1"/>
  <c r="J45" i="1" s="1"/>
  <c r="G44" i="1"/>
  <c r="F45" i="1" l="1"/>
  <c r="G22" i="1"/>
  <c r="E23" i="1"/>
  <c r="E25" i="1" l="1"/>
  <c r="J23" i="1"/>
  <c r="J24" i="1" s="1"/>
  <c r="F23" i="1"/>
  <c r="E46" i="1"/>
  <c r="J46" i="1" s="1"/>
  <c r="G45" i="1"/>
  <c r="F24" i="1" l="1"/>
  <c r="G24" i="1" s="1"/>
  <c r="G23" i="1"/>
  <c r="F46" i="1"/>
  <c r="E47" i="1" l="1"/>
  <c r="J47" i="1" s="1"/>
  <c r="G46" i="1"/>
  <c r="F47" i="1"/>
  <c r="E48" i="1" l="1"/>
  <c r="J48" i="1" s="1"/>
  <c r="G47" i="1"/>
  <c r="F48" i="1" l="1"/>
  <c r="G48" i="1" l="1"/>
  <c r="E49" i="1"/>
  <c r="J49" i="1" s="1"/>
  <c r="F49" i="1" l="1"/>
  <c r="G49" i="1" l="1"/>
  <c r="E50" i="1"/>
  <c r="J50" i="1" s="1"/>
  <c r="F50" i="1" l="1"/>
  <c r="E51" i="1" l="1"/>
  <c r="J51" i="1" s="1"/>
  <c r="G50" i="1"/>
  <c r="F51" i="1" l="1"/>
  <c r="G51" i="1" l="1"/>
  <c r="G74" i="1" s="1"/>
  <c r="E52" i="1"/>
  <c r="F52" i="1" l="1"/>
  <c r="J52" i="1"/>
  <c r="E53" i="1" l="1"/>
  <c r="F53" i="1" s="1"/>
  <c r="G52" i="1"/>
  <c r="G53" i="1" l="1"/>
  <c r="E54" i="1"/>
  <c r="E55" i="1" s="1"/>
  <c r="J53" i="1"/>
  <c r="J54" i="1" l="1"/>
  <c r="F54" i="1"/>
  <c r="G54" i="1" l="1"/>
  <c r="E57" i="1"/>
  <c r="F57" i="1" s="1"/>
  <c r="E58" i="1" l="1"/>
  <c r="F58" i="1" s="1"/>
  <c r="G57" i="1"/>
  <c r="J57" i="1"/>
  <c r="E59" i="1" l="1"/>
  <c r="F59" i="1" s="1"/>
  <c r="G58" i="1"/>
  <c r="J58" i="1"/>
  <c r="J59" i="1" l="1"/>
  <c r="E60" i="1"/>
  <c r="F60" i="1" s="1"/>
  <c r="G59" i="1"/>
  <c r="G60" i="1" l="1"/>
  <c r="E61" i="1"/>
  <c r="J61" i="1" s="1"/>
  <c r="J60" i="1"/>
  <c r="F61" i="1" l="1"/>
  <c r="E62" i="1" l="1"/>
  <c r="J62" i="1" s="1"/>
  <c r="G61" i="1"/>
  <c r="F62" i="1" l="1"/>
  <c r="G62" i="1" l="1"/>
  <c r="E63" i="1"/>
  <c r="J63" i="1" s="1"/>
  <c r="F63" i="1"/>
  <c r="E64" i="1" l="1"/>
  <c r="J64" i="1" s="1"/>
  <c r="G63" i="1"/>
  <c r="F64" i="1" l="1"/>
  <c r="E65" i="1" l="1"/>
  <c r="J65" i="1" s="1"/>
  <c r="G64" i="1"/>
  <c r="F65" i="1" l="1"/>
  <c r="E66" i="1" l="1"/>
  <c r="F66" i="1" s="1"/>
  <c r="G65" i="1"/>
  <c r="E67" i="1" l="1"/>
  <c r="F67" i="1" s="1"/>
  <c r="G66" i="1"/>
  <c r="J66" i="1"/>
  <c r="E68" i="1" l="1"/>
  <c r="F68" i="1" s="1"/>
  <c r="G68" i="1" s="1"/>
  <c r="G67" i="1"/>
  <c r="J67" i="1"/>
  <c r="J68" i="1" s="1"/>
  <c r="E69" i="1" l="1"/>
  <c r="G77" i="1"/>
  <c r="G78" i="1" s="1"/>
  <c r="G82" i="1" s="1"/>
</calcChain>
</file>

<file path=xl/sharedStrings.xml><?xml version="1.0" encoding="utf-8"?>
<sst xmlns="http://schemas.openxmlformats.org/spreadsheetml/2006/main" count="78" uniqueCount="42">
  <si>
    <t xml:space="preserve">   Rate Recovery estimates for 2018 calc from July 2017 forecast from Regulation</t>
  </si>
  <si>
    <t xml:space="preserve">   Figures provided through Sept 2017 are actuals.</t>
  </si>
  <si>
    <t>Notes:</t>
  </si>
  <si>
    <t>Forecast DSM balancing account as of December 31, 2017</t>
  </si>
  <si>
    <t>Total DSM surcharge collections through December 2018</t>
  </si>
  <si>
    <t>Total expenses through December 2018</t>
  </si>
  <si>
    <t>Forecast carrying charges through December 2018</t>
  </si>
  <si>
    <t>Forecast DSM expenses through December 2018</t>
  </si>
  <si>
    <t>DSM balancing account as of Sept 30, 2017</t>
  </si>
  <si>
    <t>Total Accurals</t>
  </si>
  <si>
    <t>2018 totals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</si>
  <si>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</si>
  <si>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</si>
  <si>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</si>
  <si>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</si>
  <si>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</si>
  <si>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</si>
  <si>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</si>
  <si>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</si>
  <si>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</si>
  <si>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</si>
  <si>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</si>
  <si>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</si>
  <si>
    <t>2017 totals</t>
  </si>
  <si>
    <t>2016 totals</t>
  </si>
  <si>
    <t>2015 totals</t>
  </si>
  <si>
    <t>2014 totals</t>
  </si>
  <si>
    <t>2013 totals</t>
  </si>
  <si>
    <t>2012 totals</t>
  </si>
  <si>
    <t>2011 totals</t>
  </si>
  <si>
    <t xml:space="preserve">Accumulated Balance Total Carrying Costs  </t>
  </si>
  <si>
    <t>Carrying Charge Rate</t>
  </si>
  <si>
    <t xml:space="preserve">Accrual Based Accumulated Balance </t>
  </si>
  <si>
    <t>Cash Basis Accumulated Balance</t>
  </si>
  <si>
    <t xml:space="preserve">Carrying Charge </t>
  </si>
  <si>
    <t>Rate Recovery</t>
  </si>
  <si>
    <t>Accrued Program Costs</t>
  </si>
  <si>
    <t>Monthly Program Costs - Fixed Assets</t>
  </si>
  <si>
    <t/>
  </si>
  <si>
    <t>Using previous rate of 3.68% effective January 1, 2018 (was suspended as of August 2017)</t>
  </si>
  <si>
    <t>Utah Demand-Side Management Balance Account Analysis</t>
  </si>
  <si>
    <t>Exhibit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</si>
</sst>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Accounting"/>
      <sz val="10"/>
      <name val="Arial"/>
      <family val="2"/>
    </font>
    <font>
      <u val="singleAccounting"/>
      <sz val="10"/>
      <name val="Arial"/>
      <family val="2"/>
    </font>
    <font>
      <b/>
      <sz val="9"/>
      <name val="Arial"/>
      <family val="2"/>
    </font>
    <font>
      <u/>
      <sz val="9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2" fillId="0" borderId="0" xfId="1" applyFont="1" applyFill="1" applyAlignment="1">
      <alignment horizontal="left" indent="1"/>
    </xf>
    <xf numFmtId="164" fontId="1" fillId="0" borderId="0" xfId="0" applyNumberFormat="1" applyFont="1"/>
    <xf numFmtId="164" fontId="1" fillId="0" borderId="0" xfId="0" applyNumberFormat="1" applyFont="1" applyFill="1"/>
    <xf numFmtId="0" fontId="2" fillId="0" borderId="0" xfId="1" applyFill="1"/>
    <xf numFmtId="164" fontId="1" fillId="0" borderId="1" xfId="0" applyNumberFormat="1" applyFont="1" applyBorder="1"/>
    <xf numFmtId="0" fontId="2" fillId="0" borderId="0" xfId="1" applyFont="1" applyFill="1"/>
    <xf numFmtId="0" fontId="2" fillId="0" borderId="0" xfId="1" applyFont="1" applyFill="1" applyBorder="1" applyAlignment="1" applyProtection="1">
      <protection locked="0"/>
    </xf>
    <xf numFmtId="164" fontId="1" fillId="0" borderId="2" xfId="0" applyNumberFormat="1" applyFont="1" applyBorder="1"/>
    <xf numFmtId="0" fontId="1" fillId="0" borderId="0" xfId="0" applyFont="1" applyFill="1"/>
    <xf numFmtId="164" fontId="1" fillId="0" borderId="0" xfId="0" applyNumberFormat="1" applyFont="1" applyBorder="1"/>
    <xf numFmtId="164" fontId="2" fillId="0" borderId="0" xfId="2" applyNumberFormat="1" applyFont="1" applyBorder="1" applyAlignment="1" applyProtection="1">
      <protection locked="0"/>
    </xf>
    <xf numFmtId="0" fontId="2" fillId="0" borderId="0" xfId="3" applyFont="1" applyAlignment="1" applyProtection="1">
      <protection locked="0"/>
    </xf>
    <xf numFmtId="164" fontId="2" fillId="0" borderId="0" xfId="3" applyNumberFormat="1" applyFont="1" applyFill="1" applyBorder="1" applyAlignment="1" applyProtection="1">
      <protection locked="0"/>
    </xf>
    <xf numFmtId="0" fontId="2" fillId="0" borderId="0" xfId="3" applyFont="1" applyFill="1"/>
    <xf numFmtId="44" fontId="2" fillId="0" borderId="0" xfId="2" applyFont="1" applyFill="1" applyAlignment="1" applyProtection="1">
      <alignment horizontal="center"/>
      <protection locked="0"/>
    </xf>
    <xf numFmtId="164" fontId="2" fillId="0" borderId="0" xfId="2" applyNumberFormat="1" applyFont="1" applyFill="1" applyAlignment="1" applyProtection="1">
      <protection locked="0"/>
    </xf>
    <xf numFmtId="164" fontId="2" fillId="0" borderId="0" xfId="2" applyNumberFormat="1" applyFont="1" applyFill="1" applyBorder="1" applyAlignment="1" applyProtection="1">
      <protection locked="0"/>
    </xf>
    <xf numFmtId="44" fontId="3" fillId="0" borderId="0" xfId="2" quotePrefix="1" applyFont="1" applyAlignment="1" applyProtection="1">
      <alignment horizontal="center"/>
      <protection locked="0"/>
    </xf>
    <xf numFmtId="164" fontId="2" fillId="0" borderId="2" xfId="2" applyNumberFormat="1" applyFont="1" applyFill="1" applyBorder="1" applyAlignment="1" applyProtection="1">
      <protection locked="0"/>
    </xf>
    <xf numFmtId="164" fontId="2" fillId="0" borderId="2" xfId="2" applyNumberFormat="1" applyFont="1" applyBorder="1" applyAlignment="1" applyProtection="1">
      <protection locked="0"/>
    </xf>
    <xf numFmtId="164" fontId="2" fillId="0" borderId="0" xfId="3" applyNumberFormat="1" applyFont="1" applyFill="1" applyAlignment="1" applyProtection="1">
      <protection locked="0"/>
    </xf>
    <xf numFmtId="10" fontId="2" fillId="0" borderId="0" xfId="3" applyNumberFormat="1" applyFont="1" applyFill="1" applyAlignment="1" applyProtection="1">
      <protection locked="0"/>
    </xf>
    <xf numFmtId="164" fontId="2" fillId="2" borderId="0" xfId="3" applyNumberFormat="1" applyFont="1" applyFill="1" applyAlignment="1" applyProtection="1">
      <protection locked="0"/>
    </xf>
    <xf numFmtId="0" fontId="2" fillId="0" borderId="0" xfId="3" applyFont="1" applyFill="1" applyAlignment="1" applyProtection="1">
      <protection locked="0"/>
    </xf>
    <xf numFmtId="0" fontId="2" fillId="0" borderId="0" xfId="3" applyFont="1" applyBorder="1" applyAlignment="1" applyProtection="1">
      <protection locked="0"/>
    </xf>
    <xf numFmtId="10" fontId="2" fillId="0" borderId="0" xfId="3" applyNumberFormat="1" applyFont="1" applyAlignment="1" applyProtection="1">
      <protection locked="0"/>
    </xf>
    <xf numFmtId="164" fontId="2" fillId="3" borderId="0" xfId="3" applyNumberFormat="1" applyFont="1" applyFill="1" applyAlignment="1" applyProtection="1">
      <protection locked="0"/>
    </xf>
    <xf numFmtId="43" fontId="2" fillId="0" borderId="0" xfId="2" applyNumberFormat="1" applyFont="1" applyFill="1" applyAlignment="1" applyProtection="1">
      <protection locked="0"/>
    </xf>
    <xf numFmtId="43" fontId="2" fillId="0" borderId="0" xfId="3" applyNumberFormat="1" applyFont="1" applyFill="1" applyAlignment="1" applyProtection="1">
      <protection locked="0"/>
    </xf>
    <xf numFmtId="10" fontId="2" fillId="0" borderId="0" xfId="2" applyNumberFormat="1" applyFont="1" applyAlignment="1" applyProtection="1">
      <alignment horizontal="right"/>
      <protection locked="0"/>
    </xf>
    <xf numFmtId="0" fontId="2" fillId="0" borderId="0" xfId="3" applyFont="1" applyFill="1" applyBorder="1" applyAlignment="1" applyProtection="1">
      <protection locked="0"/>
    </xf>
    <xf numFmtId="0" fontId="2" fillId="0" borderId="0" xfId="3" applyFont="1"/>
    <xf numFmtId="44" fontId="2" fillId="0" borderId="0" xfId="2" applyFont="1" applyAlignment="1" applyProtection="1">
      <alignment horizontal="center"/>
      <protection locked="0"/>
    </xf>
    <xf numFmtId="164" fontId="2" fillId="0" borderId="0" xfId="2" applyNumberFormat="1" applyFont="1" applyAlignment="1" applyProtection="1">
      <protection locked="0"/>
    </xf>
    <xf numFmtId="164" fontId="2" fillId="0" borderId="0" xfId="3" applyNumberFormat="1" applyFont="1" applyAlignment="1" applyProtection="1">
      <protection locked="0"/>
    </xf>
    <xf numFmtId="0" fontId="4" fillId="0" borderId="0" xfId="3" applyFont="1" applyAlignment="1" applyProtection="1">
      <protection locked="0"/>
    </xf>
    <xf numFmtId="44" fontId="2" fillId="0" borderId="0" xfId="3" applyNumberFormat="1" applyFont="1" applyFill="1" applyAlignment="1" applyProtection="1">
      <protection locked="0"/>
    </xf>
    <xf numFmtId="10" fontId="2" fillId="0" borderId="0" xfId="4" applyNumberFormat="1" applyFont="1" applyAlignment="1" applyProtection="1">
      <alignment horizontal="center"/>
      <protection locked="0"/>
    </xf>
    <xf numFmtId="44" fontId="2" fillId="0" borderId="0" xfId="3" applyNumberFormat="1" applyFont="1" applyFill="1" applyBorder="1" applyAlignment="1" applyProtection="1">
      <protection locked="0"/>
    </xf>
    <xf numFmtId="0" fontId="3" fillId="0" borderId="0" xfId="3" applyFont="1" applyFill="1" applyAlignment="1" applyProtection="1">
      <alignment horizontal="center"/>
      <protection locked="0"/>
    </xf>
    <xf numFmtId="0" fontId="2" fillId="0" borderId="0" xfId="0" applyFont="1" applyAlignment="1" applyProtection="1">
      <protection locked="0"/>
    </xf>
    <xf numFmtId="10" fontId="5" fillId="0" borderId="0" xfId="0" quotePrefix="1" applyNumberFormat="1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protection locked="0"/>
    </xf>
    <xf numFmtId="40" fontId="5" fillId="0" borderId="0" xfId="0" quotePrefix="1" applyNumberFormat="1" applyFont="1" applyFill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3" quotePrefix="1" applyFont="1" applyFill="1" applyAlignment="1" applyProtection="1">
      <alignment horizontal="center"/>
      <protection locked="0"/>
    </xf>
    <xf numFmtId="0" fontId="4" fillId="0" borderId="0" xfId="3" applyFont="1"/>
    <xf numFmtId="0" fontId="4" fillId="0" borderId="0" xfId="3" quotePrefix="1" applyFont="1" applyAlignment="1" applyProtection="1">
      <alignment horizontal="center"/>
      <protection locked="0"/>
    </xf>
    <xf numFmtId="0" fontId="7" fillId="0" borderId="0" xfId="3" quotePrefix="1" applyFont="1" applyFill="1" applyAlignment="1" applyProtection="1">
      <alignment horizontal="center"/>
      <protection locked="0"/>
    </xf>
    <xf numFmtId="0" fontId="4" fillId="0" borderId="0" xfId="3" applyFont="1" applyAlignment="1" applyProtection="1">
      <alignment horizontal="center"/>
      <protection locked="0"/>
    </xf>
    <xf numFmtId="0" fontId="8" fillId="0" borderId="0" xfId="3" applyFont="1" applyAlignment="1" applyProtection="1">
      <alignment horizontal="centerContinuous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0" applyFont="1" applyFill="1" applyAlignment="1" applyProtection="1">
      <alignment horizontal="centerContinuous"/>
      <protection locked="0"/>
    </xf>
    <xf numFmtId="0" fontId="2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9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</cellXfs>
  <cellStyles count="5">
    <cellStyle name="Currency 4" xfId="2"/>
    <cellStyle name="Normal" xfId="0" builtinId="0"/>
    <cellStyle name="Normal 3 2" xfId="1"/>
    <cellStyle name="Normal 33" xfId="3"/>
    <cellStyle name="Percent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sc.state.ut.us/SHR02/ACCTNG/GENERAL/JAN%20LEWIS/DSM/Recovery%20Files/RECOV03-May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Codes"/>
      <sheetName val="SCRInput2"/>
      <sheetName val="Inputs"/>
      <sheetName val="DSM Output"/>
      <sheetName val="DSM Dollars"/>
      <sheetName val="Centralia Credit"/>
      <sheetName val="Y2K"/>
      <sheetName val="Deferred Acct."/>
      <sheetName val="PCA"/>
      <sheetName val="Hermiston"/>
      <sheetName val="Trail Mtn."/>
      <sheetName val="WA SBC"/>
      <sheetName val="0103 Proration (191)"/>
      <sheetName val="WA Centralia"/>
      <sheetName val="WA SBC - Class 48T"/>
      <sheetName val="Module2"/>
    </sheetNames>
    <sheetDataSet>
      <sheetData sheetId="0"/>
      <sheetData sheetId="1"/>
      <sheetData sheetId="2"/>
      <sheetData sheetId="3"/>
      <sheetData sheetId="4"/>
      <sheetData sheetId="5">
        <row r="1">
          <cell r="AL1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7"/>
  <sheetViews>
    <sheetView tabSelected="1" zoomScale="90" zoomScaleNormal="90" workbookViewId="0">
      <pane ySplit="5" topLeftCell="A6" activePane="bottomLeft" state="frozen"/>
      <selection activeCell="P11" sqref="P11"/>
      <selection pane="bottomLeft" activeCell="M44" sqref="M44"/>
    </sheetView>
  </sheetViews>
  <sheetFormatPr defaultColWidth="9.140625" defaultRowHeight="14.25" x14ac:dyDescent="0.2"/>
  <cols>
    <col min="1" max="1" width="17.5703125" style="1" customWidth="1"/>
    <col min="2" max="2" width="17.28515625" style="1" customWidth="1"/>
    <col min="3" max="3" width="15.28515625" style="1" customWidth="1"/>
    <col min="4" max="4" width="17" style="1" customWidth="1"/>
    <col min="5" max="5" width="15.7109375" style="1" bestFit="1" customWidth="1"/>
    <col min="6" max="6" width="17" style="1" bestFit="1" customWidth="1"/>
    <col min="7" max="7" width="16.85546875" style="1" customWidth="1"/>
    <col min="8" max="8" width="9.28515625" style="1" customWidth="1"/>
    <col min="9" max="9" width="1.42578125" style="1" customWidth="1"/>
    <col min="10" max="10" width="16.42578125" style="1" customWidth="1"/>
    <col min="11" max="11" width="2.7109375" style="1" customWidth="1"/>
    <col min="12" max="16384" width="9.140625" style="1"/>
  </cols>
  <sheetData>
    <row r="1" spans="1:134" s="42" customFormat="1" ht="12.75" customHeight="1" x14ac:dyDescent="0.2">
      <c r="A1" s="56" t="s">
        <v>41</v>
      </c>
      <c r="B1" s="56"/>
      <c r="C1" s="56"/>
      <c r="D1" s="57"/>
      <c r="E1" s="56"/>
      <c r="F1" s="56"/>
      <c r="G1" s="56"/>
      <c r="H1" s="55"/>
      <c r="I1" s="54"/>
      <c r="J1" s="54"/>
    </row>
    <row r="2" spans="1:134" s="53" customFormat="1" ht="12.75" customHeight="1" x14ac:dyDescent="0.2">
      <c r="A2" s="56" t="s">
        <v>40</v>
      </c>
      <c r="B2" s="56"/>
      <c r="C2" s="56"/>
      <c r="D2" s="57"/>
      <c r="E2" s="56"/>
      <c r="F2" s="56"/>
      <c r="G2" s="56"/>
      <c r="H2" s="55"/>
      <c r="I2" s="54"/>
      <c r="J2" s="54"/>
    </row>
    <row r="3" spans="1:134" s="53" customFormat="1" ht="12.75" customHeight="1" x14ac:dyDescent="0.2">
      <c r="A3" s="58" t="s">
        <v>39</v>
      </c>
      <c r="B3" s="58"/>
      <c r="C3" s="58"/>
      <c r="D3" s="58"/>
      <c r="E3" s="58"/>
      <c r="F3" s="58"/>
      <c r="G3" s="58"/>
      <c r="H3" s="58"/>
      <c r="I3" s="58"/>
      <c r="J3" s="58"/>
    </row>
    <row r="4" spans="1:134" x14ac:dyDescent="0.2">
      <c r="A4" s="52"/>
      <c r="B4" s="51"/>
      <c r="C4" s="51"/>
      <c r="D4" s="51"/>
      <c r="E4" s="50"/>
      <c r="F4" s="49" t="s">
        <v>38</v>
      </c>
      <c r="G4" s="49"/>
      <c r="H4" s="48"/>
      <c r="I4" s="33"/>
      <c r="J4" s="47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</row>
    <row r="5" spans="1:134" s="42" customFormat="1" ht="51" customHeight="1" x14ac:dyDescent="0.35">
      <c r="A5" s="46"/>
      <c r="B5" s="45" t="s">
        <v>37</v>
      </c>
      <c r="C5" s="45" t="s">
        <v>36</v>
      </c>
      <c r="D5" s="45" t="s">
        <v>35</v>
      </c>
      <c r="E5" s="45" t="s">
        <v>34</v>
      </c>
      <c r="F5" s="45" t="s">
        <v>33</v>
      </c>
      <c r="G5" s="45" t="s">
        <v>32</v>
      </c>
      <c r="H5" s="43" t="s">
        <v>31</v>
      </c>
      <c r="I5" s="44"/>
      <c r="J5" s="43" t="s">
        <v>30</v>
      </c>
    </row>
    <row r="6" spans="1:134" ht="6.75" customHeight="1" x14ac:dyDescent="0.2">
      <c r="A6" s="41"/>
      <c r="B6" s="40"/>
      <c r="C6" s="40"/>
      <c r="D6" s="40"/>
      <c r="E6" s="40"/>
      <c r="F6" s="40"/>
      <c r="G6" s="40"/>
      <c r="H6" s="39"/>
      <c r="I6" s="33"/>
      <c r="J6" s="38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7"/>
      <c r="EA6" s="37"/>
      <c r="EB6" s="37"/>
      <c r="EC6" s="33"/>
      <c r="ED6" s="33"/>
    </row>
    <row r="7" spans="1:134" x14ac:dyDescent="0.2">
      <c r="A7" s="19" t="s">
        <v>29</v>
      </c>
      <c r="B7" s="21">
        <v>43638929.749999993</v>
      </c>
      <c r="C7" s="21">
        <v>3865060.19</v>
      </c>
      <c r="D7" s="21">
        <v>-54147493.57</v>
      </c>
      <c r="E7" s="21">
        <v>-428385</v>
      </c>
      <c r="F7" s="36">
        <v>-8770676.345999999</v>
      </c>
      <c r="G7" s="36">
        <v>-4905616.1559999995</v>
      </c>
      <c r="H7" s="34"/>
      <c r="I7" s="33"/>
      <c r="J7" s="14"/>
    </row>
    <row r="8" spans="1:134" ht="7.5" customHeight="1" x14ac:dyDescent="0.2">
      <c r="A8" s="19"/>
      <c r="B8" s="12"/>
      <c r="C8" s="12"/>
      <c r="D8" s="12"/>
      <c r="E8" s="12"/>
      <c r="F8" s="35"/>
      <c r="G8" s="35"/>
      <c r="H8" s="34"/>
      <c r="I8" s="33"/>
      <c r="J8" s="14"/>
    </row>
    <row r="9" spans="1:134" x14ac:dyDescent="0.2">
      <c r="A9" s="19" t="s">
        <v>28</v>
      </c>
      <c r="B9" s="21">
        <v>44887095</v>
      </c>
      <c r="C9" s="21">
        <v>781573.44000000018</v>
      </c>
      <c r="D9" s="21">
        <v>-47901079.229999989</v>
      </c>
      <c r="E9" s="21">
        <v>-1154860</v>
      </c>
      <c r="F9" s="35">
        <v>-12939520.576000005</v>
      </c>
      <c r="G9" s="35">
        <v>-8292886.9460000051</v>
      </c>
      <c r="H9" s="31">
        <v>7.8299999999999995E-2</v>
      </c>
      <c r="I9" s="33"/>
      <c r="J9" s="14">
        <v>3416696</v>
      </c>
    </row>
    <row r="10" spans="1:134" ht="6" customHeight="1" x14ac:dyDescent="0.2">
      <c r="A10" s="19"/>
      <c r="B10" s="12"/>
      <c r="C10" s="12"/>
      <c r="D10" s="12"/>
      <c r="E10" s="12"/>
      <c r="F10" s="35"/>
      <c r="G10" s="35"/>
      <c r="H10" s="34"/>
      <c r="I10" s="33"/>
      <c r="J10" s="14"/>
    </row>
    <row r="11" spans="1:134" x14ac:dyDescent="0.2">
      <c r="A11" s="19" t="s">
        <v>27</v>
      </c>
      <c r="B11" s="20">
        <v>51076863.060000002</v>
      </c>
      <c r="C11" s="20">
        <f>-1985771.98-1</f>
        <v>-1985772.98</v>
      </c>
      <c r="D11" s="20">
        <v>-45941420.799999997</v>
      </c>
      <c r="E11" s="20">
        <v>-1128853</v>
      </c>
      <c r="F11" s="17">
        <v>-8932931.3160000034</v>
      </c>
      <c r="G11" s="17">
        <v>-6272069.6660000021</v>
      </c>
      <c r="H11" s="31">
        <v>7.7700000000000005E-2</v>
      </c>
      <c r="I11" s="15"/>
      <c r="J11" s="14">
        <v>2287843</v>
      </c>
    </row>
    <row r="12" spans="1:134" ht="6.75" customHeight="1" x14ac:dyDescent="0.2">
      <c r="A12" s="19"/>
      <c r="B12" s="18"/>
      <c r="C12" s="18"/>
      <c r="D12" s="18"/>
      <c r="E12" s="18"/>
      <c r="F12" s="17"/>
      <c r="G12" s="17"/>
      <c r="H12" s="16"/>
      <c r="I12" s="15"/>
      <c r="J12" s="14"/>
    </row>
    <row r="13" spans="1:134" hidden="1" x14ac:dyDescent="0.2">
      <c r="A13" s="13" t="s">
        <v>22</v>
      </c>
      <c r="B13" s="22">
        <v>4196557.4000000004</v>
      </c>
      <c r="C13" s="22">
        <v>1838939.81</v>
      </c>
      <c r="D13" s="22">
        <v>-4530672.1500000004</v>
      </c>
      <c r="E13" s="22">
        <f>ROUND((((B13+D13)/2)+F11)*(7.77%/12),0)</f>
        <v>-58922</v>
      </c>
      <c r="F13" s="22">
        <f>+F11+B13+D13+E13</f>
        <v>-9325968.0660000034</v>
      </c>
      <c r="G13" s="22">
        <f>SUM(C13)+$C$7+$C$9+$C$11+F13</f>
        <v>-4826167.6060000025</v>
      </c>
      <c r="H13" s="27">
        <v>7.7600000000000002E-2</v>
      </c>
      <c r="I13" s="15"/>
      <c r="J13" s="22">
        <f>+J11+E13</f>
        <v>2228921</v>
      </c>
    </row>
    <row r="14" spans="1:134" hidden="1" x14ac:dyDescent="0.2">
      <c r="A14" s="25" t="s">
        <v>21</v>
      </c>
      <c r="B14" s="22">
        <v>7301899.2400000002</v>
      </c>
      <c r="C14" s="22">
        <v>-719294.72</v>
      </c>
      <c r="D14" s="22">
        <v>-3936377.67</v>
      </c>
      <c r="E14" s="22">
        <f t="shared" ref="E14:E23" si="0">ROUND((((B14+D14)/2)+F13)*(7.77%/12),0)</f>
        <v>-49490</v>
      </c>
      <c r="F14" s="22">
        <f t="shared" ref="F14:F24" si="1">+F13+B14+D14+E14</f>
        <v>-6009936.4960000031</v>
      </c>
      <c r="G14" s="22">
        <f>SUM(C13:C14)+$C$7+$C$9+$C$11+F14</f>
        <v>-2229430.7560000024</v>
      </c>
      <c r="H14" s="27">
        <v>7.7600000000000002E-2</v>
      </c>
      <c r="I14" s="15"/>
      <c r="J14" s="22">
        <f t="shared" ref="J14:J24" si="2">+J13+E14</f>
        <v>2179431</v>
      </c>
    </row>
    <row r="15" spans="1:134" hidden="1" x14ac:dyDescent="0.2">
      <c r="A15" s="26" t="s">
        <v>20</v>
      </c>
      <c r="B15" s="22">
        <v>9513000.9499999993</v>
      </c>
      <c r="C15" s="22">
        <v>107508.32</v>
      </c>
      <c r="D15" s="22">
        <v>-4826683.72</v>
      </c>
      <c r="E15" s="22">
        <f t="shared" si="0"/>
        <v>-23742</v>
      </c>
      <c r="F15" s="22">
        <f t="shared" si="1"/>
        <v>-1347361.2660000036</v>
      </c>
      <c r="G15" s="22">
        <f>SUM(C13:C15)+$C$7+$C$9+$C$11+F15</f>
        <v>2540652.7939999965</v>
      </c>
      <c r="H15" s="27">
        <v>7.7600000000000002E-2</v>
      </c>
      <c r="I15" s="32"/>
      <c r="J15" s="22">
        <f t="shared" si="2"/>
        <v>2155689</v>
      </c>
    </row>
    <row r="16" spans="1:134" hidden="1" x14ac:dyDescent="0.2">
      <c r="A16" s="13" t="s">
        <v>19</v>
      </c>
      <c r="B16" s="22">
        <v>8332524.4299999997</v>
      </c>
      <c r="C16" s="22">
        <v>-364021.59</v>
      </c>
      <c r="D16" s="22">
        <v>-4024107.75</v>
      </c>
      <c r="E16" s="22">
        <f t="shared" si="0"/>
        <v>5224</v>
      </c>
      <c r="F16" s="22">
        <f t="shared" si="1"/>
        <v>2966279.4139999961</v>
      </c>
      <c r="G16" s="22">
        <f>SUM(C13:C16)+$C$7+$C$9+$C$11+F16</f>
        <v>6490271.8839999959</v>
      </c>
      <c r="H16" s="27">
        <v>7.7600000000000002E-2</v>
      </c>
      <c r="I16" s="15"/>
      <c r="J16" s="22">
        <f t="shared" si="2"/>
        <v>2160913</v>
      </c>
    </row>
    <row r="17" spans="1:10" hidden="1" x14ac:dyDescent="0.2">
      <c r="A17" s="25" t="s">
        <v>18</v>
      </c>
      <c r="B17" s="22">
        <v>5867664.04</v>
      </c>
      <c r="C17" s="22">
        <v>86444.05</v>
      </c>
      <c r="D17" s="22">
        <v>-4206797.6900000004</v>
      </c>
      <c r="E17" s="22">
        <f t="shared" si="0"/>
        <v>24584</v>
      </c>
      <c r="F17" s="22">
        <f t="shared" si="1"/>
        <v>4651729.7639999958</v>
      </c>
      <c r="G17" s="22">
        <f>SUM(C13:C17)+$C$7+$C$9+$C$11+F17</f>
        <v>8262166.2839999963</v>
      </c>
      <c r="H17" s="27">
        <v>7.7600000000000002E-2</v>
      </c>
      <c r="I17" s="15"/>
      <c r="J17" s="22">
        <f t="shared" si="2"/>
        <v>2185497</v>
      </c>
    </row>
    <row r="18" spans="1:10" hidden="1" x14ac:dyDescent="0.2">
      <c r="A18" s="25" t="s">
        <v>17</v>
      </c>
      <c r="B18" s="22">
        <v>9395350.6799999997</v>
      </c>
      <c r="C18" s="22">
        <v>-224949.94</v>
      </c>
      <c r="D18" s="22">
        <v>-5230146.9000000004</v>
      </c>
      <c r="E18" s="22">
        <f t="shared" si="0"/>
        <v>43605</v>
      </c>
      <c r="F18" s="22">
        <f t="shared" si="1"/>
        <v>8860538.5439999942</v>
      </c>
      <c r="G18" s="22">
        <f>SUM(C13:C18)+$C$7+$C$9+$C$11+F18</f>
        <v>12246025.123999994</v>
      </c>
      <c r="H18" s="27">
        <v>7.7600000000000002E-2</v>
      </c>
      <c r="I18" s="15"/>
      <c r="J18" s="22">
        <f t="shared" si="2"/>
        <v>2229102</v>
      </c>
    </row>
    <row r="19" spans="1:10" hidden="1" x14ac:dyDescent="0.2">
      <c r="A19" s="13" t="s">
        <v>16</v>
      </c>
      <c r="B19" s="22">
        <v>6005272.6799999997</v>
      </c>
      <c r="C19" s="22">
        <v>707312.72</v>
      </c>
      <c r="D19" s="22">
        <v>-6293445.3200000003</v>
      </c>
      <c r="E19" s="22">
        <f t="shared" si="0"/>
        <v>56439</v>
      </c>
      <c r="F19" s="22">
        <f t="shared" si="1"/>
        <v>8628804.9039999936</v>
      </c>
      <c r="G19" s="22">
        <f>SUM(C13:C19)+$C$7+$C$9+$C$11+F19</f>
        <v>12721604.203999994</v>
      </c>
      <c r="H19" s="27">
        <v>7.7600000000000002E-2</v>
      </c>
      <c r="I19" s="15"/>
      <c r="J19" s="22">
        <f t="shared" si="2"/>
        <v>2285541</v>
      </c>
    </row>
    <row r="20" spans="1:10" hidden="1" x14ac:dyDescent="0.2">
      <c r="A20" s="13" t="s">
        <v>15</v>
      </c>
      <c r="B20" s="22">
        <v>5839647.3200000003</v>
      </c>
      <c r="C20" s="22">
        <v>1966034.46</v>
      </c>
      <c r="D20" s="22">
        <v>-6733047.1699999999</v>
      </c>
      <c r="E20" s="22">
        <f t="shared" si="0"/>
        <v>52979</v>
      </c>
      <c r="F20" s="22">
        <f t="shared" si="1"/>
        <v>7788384.053999994</v>
      </c>
      <c r="G20" s="22">
        <f>SUM(C13:C20)+$C$7+$C$9+$C$11+F20</f>
        <v>13847217.813999996</v>
      </c>
      <c r="H20" s="27">
        <v>7.7600000000000002E-2</v>
      </c>
      <c r="I20" s="15"/>
      <c r="J20" s="22">
        <f t="shared" si="2"/>
        <v>2338520</v>
      </c>
    </row>
    <row r="21" spans="1:10" hidden="1" x14ac:dyDescent="0.2">
      <c r="A21" s="13" t="s">
        <v>14</v>
      </c>
      <c r="B21" s="22">
        <v>4767034.04</v>
      </c>
      <c r="C21" s="22">
        <v>334494.95</v>
      </c>
      <c r="D21" s="22">
        <v>-5742216.3899999997</v>
      </c>
      <c r="E21" s="22">
        <f t="shared" si="0"/>
        <v>47273</v>
      </c>
      <c r="F21" s="22">
        <f t="shared" si="1"/>
        <v>6860474.7039999934</v>
      </c>
      <c r="G21" s="22">
        <f>SUM(C13:C21)+$C$7+$C$9+$C$11+F21</f>
        <v>13253803.413999993</v>
      </c>
      <c r="H21" s="27">
        <v>7.7600000000000002E-2</v>
      </c>
      <c r="I21" s="15"/>
      <c r="J21" s="22">
        <f t="shared" si="2"/>
        <v>2385793</v>
      </c>
    </row>
    <row r="22" spans="1:10" hidden="1" x14ac:dyDescent="0.2">
      <c r="A22" s="13" t="s">
        <v>13</v>
      </c>
      <c r="B22" s="22">
        <v>5954205.6799999997</v>
      </c>
      <c r="C22" s="22">
        <v>-1449084.99</v>
      </c>
      <c r="D22" s="22">
        <v>-4844019.55</v>
      </c>
      <c r="E22" s="22">
        <f t="shared" si="0"/>
        <v>48016</v>
      </c>
      <c r="F22" s="22">
        <f t="shared" si="1"/>
        <v>8018676.8339999923</v>
      </c>
      <c r="G22" s="22">
        <f>SUM(C13:C22)+$C$7+$C$9+$C$11+F22</f>
        <v>12962920.553999994</v>
      </c>
      <c r="H22" s="27">
        <v>7.7600000000000002E-2</v>
      </c>
      <c r="I22" s="15"/>
      <c r="J22" s="22">
        <f t="shared" si="2"/>
        <v>2433809</v>
      </c>
    </row>
    <row r="23" spans="1:10" hidden="1" x14ac:dyDescent="0.2">
      <c r="A23" s="13" t="s">
        <v>12</v>
      </c>
      <c r="B23" s="22">
        <v>8026170.0499999998</v>
      </c>
      <c r="C23" s="22">
        <v>-832510.46</v>
      </c>
      <c r="D23" s="22">
        <v>-4253145.43</v>
      </c>
      <c r="E23" s="22">
        <f t="shared" si="0"/>
        <v>64136</v>
      </c>
      <c r="F23" s="22">
        <f t="shared" si="1"/>
        <v>11855837.453999992</v>
      </c>
      <c r="G23" s="22">
        <f>SUM(C13:C23)+$C$7+$C$9+$C$11+F23</f>
        <v>15967570.713999994</v>
      </c>
      <c r="H23" s="27">
        <v>7.7600000000000002E-2</v>
      </c>
      <c r="I23" s="15"/>
      <c r="J23" s="22">
        <f t="shared" si="2"/>
        <v>2497945</v>
      </c>
    </row>
    <row r="24" spans="1:10" hidden="1" x14ac:dyDescent="0.2">
      <c r="A24" s="13" t="s">
        <v>11</v>
      </c>
      <c r="B24" s="22">
        <v>6528307.1600000001</v>
      </c>
      <c r="C24" s="22">
        <v>572303.66</v>
      </c>
      <c r="D24" s="22">
        <v>-4736239.2699999996</v>
      </c>
      <c r="E24" s="22">
        <v>82192</v>
      </c>
      <c r="F24" s="22">
        <f t="shared" si="1"/>
        <v>13730097.343999993</v>
      </c>
      <c r="G24" s="22">
        <f>SUM(C13:C24)+$C$7+$C$9+$C$11+F24</f>
        <v>18414134.263999995</v>
      </c>
      <c r="H24" s="27">
        <v>7.7600000000000002E-2</v>
      </c>
      <c r="I24" s="15"/>
      <c r="J24" s="22">
        <f t="shared" si="2"/>
        <v>2580137</v>
      </c>
    </row>
    <row r="25" spans="1:10" x14ac:dyDescent="0.2">
      <c r="A25" s="19" t="s">
        <v>26</v>
      </c>
      <c r="B25" s="21">
        <f>SUM(B13:B24)</f>
        <v>81727633.670000002</v>
      </c>
      <c r="C25" s="21">
        <f>SUM(C13:C24)</f>
        <v>2023176.2700000005</v>
      </c>
      <c r="D25" s="21">
        <f>SUM(D13:D24)</f>
        <v>-59356899.010000005</v>
      </c>
      <c r="E25" s="20">
        <f>SUM(E13:E24)</f>
        <v>292294</v>
      </c>
      <c r="F25" s="17">
        <v>13730097.343999993</v>
      </c>
      <c r="G25" s="17">
        <v>18414135.263999995</v>
      </c>
      <c r="H25" s="31">
        <v>7.7600000000000002E-2</v>
      </c>
      <c r="I25" s="15"/>
      <c r="J25" s="14">
        <v>2580137</v>
      </c>
    </row>
    <row r="26" spans="1:10" ht="5.25" customHeight="1" x14ac:dyDescent="0.2">
      <c r="B26" s="3"/>
      <c r="C26" s="3"/>
      <c r="D26" s="3"/>
      <c r="E26" s="4"/>
      <c r="F26" s="4"/>
      <c r="G26" s="4"/>
      <c r="H26" s="10"/>
      <c r="I26" s="10"/>
      <c r="J26" s="4"/>
    </row>
    <row r="27" spans="1:10" x14ac:dyDescent="0.2">
      <c r="A27" s="19" t="s">
        <v>25</v>
      </c>
      <c r="B27" s="21">
        <v>62241103.639999993</v>
      </c>
      <c r="C27" s="21">
        <v>822220.69999999984</v>
      </c>
      <c r="D27" s="21">
        <v>-68050713.420000002</v>
      </c>
      <c r="E27" s="20">
        <v>843168</v>
      </c>
      <c r="F27" s="17">
        <v>8763655.5639999919</v>
      </c>
      <c r="G27" s="17">
        <v>14269914.183999993</v>
      </c>
      <c r="H27" s="27">
        <v>7.3200000000000001E-2</v>
      </c>
      <c r="I27" s="15"/>
      <c r="J27" s="14">
        <v>3423305</v>
      </c>
    </row>
    <row r="28" spans="1:10" ht="7.5" customHeight="1" x14ac:dyDescent="0.2">
      <c r="B28" s="3"/>
      <c r="C28" s="3"/>
      <c r="D28" s="3"/>
      <c r="E28" s="4"/>
      <c r="F28" s="4"/>
      <c r="G28" s="4"/>
      <c r="H28" s="10"/>
      <c r="I28" s="10"/>
      <c r="J28" s="4"/>
    </row>
    <row r="29" spans="1:10" hidden="1" x14ac:dyDescent="0.2">
      <c r="A29" s="13" t="s">
        <v>22</v>
      </c>
      <c r="B29" s="22">
        <v>3957447.2</v>
      </c>
      <c r="C29" s="22">
        <v>-640324.02</v>
      </c>
      <c r="D29" s="22">
        <v>-6219136.7800000003</v>
      </c>
      <c r="E29" s="22">
        <f>ROUND((((B29+D29)/2)+F27)*(7.74%/12),0)</f>
        <v>49232</v>
      </c>
      <c r="F29" s="22">
        <f>+F27+B29+D29+E29</f>
        <v>6551197.9839999909</v>
      </c>
      <c r="G29" s="22">
        <f>SUM(C29)+$C$7+$C$9+$C$11+F29+C27+C25</f>
        <v>11417131.583999991</v>
      </c>
      <c r="H29" s="27">
        <v>7.7399999999999997E-2</v>
      </c>
      <c r="I29" s="27">
        <v>7.7600000000000002E-2</v>
      </c>
      <c r="J29" s="22">
        <f>+J27+E29</f>
        <v>3472537</v>
      </c>
    </row>
    <row r="30" spans="1:10" hidden="1" x14ac:dyDescent="0.2">
      <c r="A30" s="25" t="s">
        <v>21</v>
      </c>
      <c r="B30" s="22">
        <v>5502164.0700000003</v>
      </c>
      <c r="C30" s="22">
        <v>-97140.5</v>
      </c>
      <c r="D30" s="22">
        <v>-5812722.0199999996</v>
      </c>
      <c r="E30" s="22">
        <f>ROUND((((B30+D30)/2)+F29)*(7.74%/12),0)</f>
        <v>41254</v>
      </c>
      <c r="F30" s="22">
        <f t="shared" ref="F30:F40" si="3">+F29+B30+D30+E30</f>
        <v>6281894.0339999907</v>
      </c>
      <c r="G30" s="22">
        <f>SUM(C29:C30)+$C$7+$C$9+$C$11+F30+C27+C25</f>
        <v>11050687.133999992</v>
      </c>
      <c r="H30" s="27">
        <v>7.7399999999999997E-2</v>
      </c>
      <c r="I30" s="27">
        <v>7.7600000000000002E-2</v>
      </c>
      <c r="J30" s="22">
        <f t="shared" ref="J30:J40" si="4">+J29+E30</f>
        <v>3513791</v>
      </c>
    </row>
    <row r="31" spans="1:10" hidden="1" x14ac:dyDescent="0.2">
      <c r="A31" s="26" t="s">
        <v>20</v>
      </c>
      <c r="B31" s="22">
        <v>4010642.76</v>
      </c>
      <c r="C31" s="22">
        <v>-101375.81</v>
      </c>
      <c r="D31" s="22">
        <v>-5114181.01</v>
      </c>
      <c r="E31" s="22">
        <f>ROUND((((B31+D31)/2)+F30)*(4.45%/12),0)+25</f>
        <v>21274</v>
      </c>
      <c r="F31" s="22">
        <f t="shared" si="3"/>
        <v>5199629.7839999907</v>
      </c>
      <c r="G31" s="22">
        <f>SUM(C29:C31)+$C$7+$C$9+$C$11+F31+C27+C25</f>
        <v>9867047.0739999916</v>
      </c>
      <c r="H31" s="27">
        <v>4.4499999999999998E-2</v>
      </c>
      <c r="I31" s="27">
        <v>7.7600000000000002E-2</v>
      </c>
      <c r="J31" s="22">
        <f t="shared" si="4"/>
        <v>3535065</v>
      </c>
    </row>
    <row r="32" spans="1:10" hidden="1" x14ac:dyDescent="0.2">
      <c r="A32" s="13" t="s">
        <v>19</v>
      </c>
      <c r="B32" s="22">
        <v>3649184.13</v>
      </c>
      <c r="C32" s="22">
        <v>1887278.57</v>
      </c>
      <c r="D32" s="22">
        <v>-5036556.5999999996</v>
      </c>
      <c r="E32" s="22">
        <f t="shared" ref="E32:E40" si="5">ROUND((((B32+D32)/2)+F31)*(4.45%/12),0)</f>
        <v>16710</v>
      </c>
      <c r="F32" s="22">
        <f t="shared" si="3"/>
        <v>3828967.31399999</v>
      </c>
      <c r="G32" s="22">
        <f>SUM(C29:C32)+$C$7+$C$9+$C$11+F32+C27+C25</f>
        <v>10383663.173999991</v>
      </c>
      <c r="H32" s="27">
        <v>4.4499999999999998E-2</v>
      </c>
      <c r="I32" s="27">
        <v>7.7600000000000002E-2</v>
      </c>
      <c r="J32" s="22">
        <f t="shared" si="4"/>
        <v>3551775</v>
      </c>
    </row>
    <row r="33" spans="1:10" hidden="1" x14ac:dyDescent="0.2">
      <c r="A33" s="25" t="s">
        <v>18</v>
      </c>
      <c r="B33" s="22">
        <v>4189551.42</v>
      </c>
      <c r="C33" s="22">
        <v>-1727121.6</v>
      </c>
      <c r="D33" s="22">
        <v>-5313045.41</v>
      </c>
      <c r="E33" s="22">
        <f t="shared" si="5"/>
        <v>12116</v>
      </c>
      <c r="F33" s="22">
        <f t="shared" si="3"/>
        <v>2717589.3239999898</v>
      </c>
      <c r="G33" s="22">
        <f>SUM(C29:C33)+$C$7+$C$9+$C$11+F33+C27+C25</f>
        <v>7545163.5839999914</v>
      </c>
      <c r="H33" s="27">
        <v>4.4499999999999998E-2</v>
      </c>
      <c r="I33" s="27">
        <v>7.7600000000000002E-2</v>
      </c>
      <c r="J33" s="22">
        <f t="shared" si="4"/>
        <v>3563891</v>
      </c>
    </row>
    <row r="34" spans="1:10" hidden="1" x14ac:dyDescent="0.2">
      <c r="A34" s="25" t="s">
        <v>17</v>
      </c>
      <c r="B34" s="22">
        <v>7211523.1900000004</v>
      </c>
      <c r="C34" s="22">
        <v>-962707.25</v>
      </c>
      <c r="D34" s="22">
        <v>-6686874.79</v>
      </c>
      <c r="E34" s="22">
        <f t="shared" si="5"/>
        <v>11051</v>
      </c>
      <c r="F34" s="22">
        <f t="shared" si="3"/>
        <v>3253288.7239999911</v>
      </c>
      <c r="G34" s="22">
        <f>SUM(C29:C34)+$C$7+$C$9+$C$11+F34+C27+C25</f>
        <v>7118155.7339999918</v>
      </c>
      <c r="H34" s="27">
        <v>4.4499999999999998E-2</v>
      </c>
      <c r="I34" s="27">
        <v>7.7600000000000002E-2</v>
      </c>
      <c r="J34" s="22">
        <f t="shared" si="4"/>
        <v>3574942</v>
      </c>
    </row>
    <row r="35" spans="1:10" hidden="1" x14ac:dyDescent="0.2">
      <c r="A35" s="13" t="s">
        <v>16</v>
      </c>
      <c r="B35" s="22">
        <v>3541877.75</v>
      </c>
      <c r="C35" s="22">
        <v>1301932.5900000001</v>
      </c>
      <c r="D35" s="22">
        <v>-8541981.0299999993</v>
      </c>
      <c r="E35" s="22">
        <f t="shared" si="5"/>
        <v>2793</v>
      </c>
      <c r="F35" s="22">
        <f t="shared" si="3"/>
        <v>-1744021.5560000082</v>
      </c>
      <c r="G35" s="22">
        <f>SUM(C29:C35)+$C$7+$C$9+$C$11+F35+C27+C25</f>
        <v>3422778.0439999923</v>
      </c>
      <c r="H35" s="27">
        <v>4.4499999999999998E-2</v>
      </c>
      <c r="I35" s="27">
        <v>7.7600000000000002E-2</v>
      </c>
      <c r="J35" s="22">
        <f t="shared" si="4"/>
        <v>3577735</v>
      </c>
    </row>
    <row r="36" spans="1:10" hidden="1" x14ac:dyDescent="0.2">
      <c r="A36" s="13" t="s">
        <v>15</v>
      </c>
      <c r="B36" s="22">
        <v>5719255.9699999997</v>
      </c>
      <c r="C36" s="22">
        <v>-1630704.05</v>
      </c>
      <c r="D36" s="22">
        <v>-8970590.6500000004</v>
      </c>
      <c r="E36" s="22">
        <f t="shared" si="5"/>
        <v>-12496</v>
      </c>
      <c r="F36" s="22">
        <f t="shared" si="3"/>
        <v>-5007852.2360000089</v>
      </c>
      <c r="G36" s="22">
        <f>SUM(C29:C36)+$C$7+$C$9+$C$11+F36+C27+C25</f>
        <v>-1471756.6860000086</v>
      </c>
      <c r="H36" s="27">
        <v>4.4499999999999998E-2</v>
      </c>
      <c r="I36" s="27">
        <v>7.7600000000000002E-2</v>
      </c>
      <c r="J36" s="22">
        <f t="shared" si="4"/>
        <v>3565239</v>
      </c>
    </row>
    <row r="37" spans="1:10" hidden="1" x14ac:dyDescent="0.2">
      <c r="A37" s="13" t="s">
        <v>14</v>
      </c>
      <c r="B37" s="22">
        <v>4877905.8099999996</v>
      </c>
      <c r="C37" s="22">
        <v>1748387.19</v>
      </c>
      <c r="D37" s="22">
        <v>-7603915.2000000002</v>
      </c>
      <c r="E37" s="22">
        <f t="shared" si="5"/>
        <v>-23625</v>
      </c>
      <c r="F37" s="22">
        <f t="shared" si="3"/>
        <v>-7757486.6260000095</v>
      </c>
      <c r="G37" s="22">
        <f>SUM(C29:C37)+$C$7+$C$9+$C$11+F37+C27+C25</f>
        <v>-2473003.8860000093</v>
      </c>
      <c r="H37" s="27">
        <v>4.4499999999999998E-2</v>
      </c>
      <c r="I37" s="27">
        <v>7.7600000000000002E-2</v>
      </c>
      <c r="J37" s="22">
        <f t="shared" si="4"/>
        <v>3541614</v>
      </c>
    </row>
    <row r="38" spans="1:10" hidden="1" x14ac:dyDescent="0.2">
      <c r="A38" s="13" t="s">
        <v>13</v>
      </c>
      <c r="B38" s="22">
        <v>5085219.01</v>
      </c>
      <c r="C38" s="22">
        <v>-1078842.01</v>
      </c>
      <c r="D38" s="22">
        <v>-5966674.4800000004</v>
      </c>
      <c r="E38" s="22">
        <f t="shared" si="5"/>
        <v>-30402</v>
      </c>
      <c r="F38" s="22">
        <f t="shared" si="3"/>
        <v>-8669344.0960000101</v>
      </c>
      <c r="G38" s="22">
        <f>SUM(C29:C38)+$C$7+$C$9+$C$11+F38+C27+C25</f>
        <v>-4463703.3660000097</v>
      </c>
      <c r="H38" s="27">
        <v>4.4499999999999998E-2</v>
      </c>
      <c r="I38" s="27">
        <v>7.7600000000000002E-2</v>
      </c>
      <c r="J38" s="22">
        <f t="shared" si="4"/>
        <v>3511212</v>
      </c>
    </row>
    <row r="39" spans="1:10" hidden="1" x14ac:dyDescent="0.2">
      <c r="A39" s="13" t="s">
        <v>12</v>
      </c>
      <c r="B39" s="22">
        <v>7231444.2699999996</v>
      </c>
      <c r="C39" s="22">
        <v>-769695.04</v>
      </c>
      <c r="D39" s="22">
        <v>-5240777.22</v>
      </c>
      <c r="E39" s="22">
        <f t="shared" si="5"/>
        <v>-28458</v>
      </c>
      <c r="F39" s="22">
        <f t="shared" si="3"/>
        <v>-6707135.0460000103</v>
      </c>
      <c r="G39" s="22">
        <f>SUM(C29:C39)+$C$7+$C$9+$C$11+F39+C27+C25</f>
        <v>-3271189.3560000099</v>
      </c>
      <c r="H39" s="27">
        <v>4.4499999999999998E-2</v>
      </c>
      <c r="I39" s="27">
        <v>7.7600000000000002E-2</v>
      </c>
      <c r="J39" s="22">
        <f t="shared" si="4"/>
        <v>3482754</v>
      </c>
    </row>
    <row r="40" spans="1:10" hidden="1" x14ac:dyDescent="0.2">
      <c r="A40" s="13" t="s">
        <v>11</v>
      </c>
      <c r="B40" s="22">
        <v>5685830.6699999999</v>
      </c>
      <c r="C40" s="22">
        <v>-742557.7</v>
      </c>
      <c r="D40" s="22">
        <v>-6051035.9400000004</v>
      </c>
      <c r="E40" s="22">
        <f t="shared" si="5"/>
        <v>-25549</v>
      </c>
      <c r="F40" s="30">
        <f t="shared" si="3"/>
        <v>-7097889.3160000108</v>
      </c>
      <c r="G40" s="22">
        <f>SUM(C29:C40)+$C$7+$C$9+$C$11+F40+C27+C25</f>
        <v>-4404501.3260000097</v>
      </c>
      <c r="H40" s="27">
        <v>4.4499999999999998E-2</v>
      </c>
      <c r="I40" s="27">
        <v>7.7600000000000002E-2</v>
      </c>
      <c r="J40" s="22">
        <f t="shared" si="4"/>
        <v>3457205</v>
      </c>
    </row>
    <row r="41" spans="1:10" x14ac:dyDescent="0.2">
      <c r="A41" s="19" t="s">
        <v>24</v>
      </c>
      <c r="B41" s="21">
        <f>SUM(B29:B40)</f>
        <v>60662046.25</v>
      </c>
      <c r="C41" s="21">
        <f>SUM(C29:C40)</f>
        <v>-2812869.63</v>
      </c>
      <c r="D41" s="21">
        <f>SUM(D29:D40)</f>
        <v>-76557491.13000001</v>
      </c>
      <c r="E41" s="20">
        <f>SUM(E29:E40)</f>
        <v>33900</v>
      </c>
      <c r="F41" s="29">
        <v>-7097889.3160000108</v>
      </c>
      <c r="G41" s="29">
        <v>-4404501.3260000097</v>
      </c>
      <c r="H41" s="27">
        <v>4.4499999999999998E-2</v>
      </c>
      <c r="I41" s="15">
        <v>7.7600000000000002E-2</v>
      </c>
      <c r="J41" s="14">
        <v>3457205</v>
      </c>
    </row>
    <row r="42" spans="1:10" x14ac:dyDescent="0.2">
      <c r="A42" s="19"/>
      <c r="B42" s="12"/>
      <c r="C42" s="12"/>
      <c r="D42" s="12"/>
      <c r="E42" s="18"/>
      <c r="F42" s="17"/>
      <c r="G42" s="17"/>
      <c r="H42" s="16"/>
      <c r="I42" s="15"/>
      <c r="J42" s="14"/>
    </row>
    <row r="43" spans="1:10" x14ac:dyDescent="0.2">
      <c r="A43" s="13" t="s">
        <v>22</v>
      </c>
      <c r="B43" s="22">
        <v>2648142.14</v>
      </c>
      <c r="C43" s="22">
        <v>262689.32</v>
      </c>
      <c r="D43" s="22">
        <v>-6073074.8499999996</v>
      </c>
      <c r="E43" s="22">
        <f>ROUND((((B43+D43)/2)+F40)*(10.65%/12),0)</f>
        <v>-78192</v>
      </c>
      <c r="F43" s="22">
        <f>+F40+B43+D43+E43</f>
        <v>-10601014.02600001</v>
      </c>
      <c r="G43" s="22">
        <f>SUM(C43)+$C$7+$C$9+$C$11+F43+$C$41+$C$27+$C$25</f>
        <v>-7644936.7160000084</v>
      </c>
      <c r="H43" s="27">
        <v>0.1065</v>
      </c>
      <c r="I43" s="27">
        <v>7.7600000000000002E-2</v>
      </c>
      <c r="J43" s="22">
        <f>+J40+E43</f>
        <v>3379013</v>
      </c>
    </row>
    <row r="44" spans="1:10" x14ac:dyDescent="0.2">
      <c r="A44" s="25" t="s">
        <v>21</v>
      </c>
      <c r="B44" s="22">
        <v>3754612.25</v>
      </c>
      <c r="C44" s="22">
        <v>348092.95</v>
      </c>
      <c r="D44" s="22">
        <v>-5423643.7199999997</v>
      </c>
      <c r="E44" s="22">
        <f t="shared" ref="E44:E54" si="6">ROUND((((B44+D44)/2)+F43)*(10.65%/12),0)</f>
        <v>-101490</v>
      </c>
      <c r="F44" s="22">
        <f t="shared" ref="F44:F54" si="7">+F43+B44+D44+E44</f>
        <v>-12371535.496000011</v>
      </c>
      <c r="G44" s="22">
        <f>SUM(C43:C44)+$C$7+$C$9+$C$11+F44+$C$41+$C$27+$C$25</f>
        <v>-9067365.2360000126</v>
      </c>
      <c r="H44" s="27">
        <v>0.1065</v>
      </c>
      <c r="I44" s="27">
        <v>7.7600000000000002E-2</v>
      </c>
      <c r="J44" s="22">
        <f t="shared" ref="J44:J54" si="8">+J43+E44</f>
        <v>3277523</v>
      </c>
    </row>
    <row r="45" spans="1:10" x14ac:dyDescent="0.2">
      <c r="A45" s="26" t="s">
        <v>20</v>
      </c>
      <c r="B45" s="22">
        <v>3478015.21</v>
      </c>
      <c r="C45" s="22">
        <v>-117206.13</v>
      </c>
      <c r="D45" s="22">
        <v>-4738882.53</v>
      </c>
      <c r="E45" s="22">
        <f t="shared" si="6"/>
        <v>-115392</v>
      </c>
      <c r="F45" s="22">
        <f t="shared" si="7"/>
        <v>-13747794.816000011</v>
      </c>
      <c r="G45" s="22">
        <f>SUM(C43:C45)+$C$7+$C$9+$C$11+F45+$C$41+$C$27+$C$25</f>
        <v>-10560830.686000012</v>
      </c>
      <c r="H45" s="27">
        <v>0.1065</v>
      </c>
      <c r="I45" s="27">
        <v>7.7600000000000002E-2</v>
      </c>
      <c r="J45" s="22">
        <f t="shared" si="8"/>
        <v>3162131</v>
      </c>
    </row>
    <row r="46" spans="1:10" x14ac:dyDescent="0.2">
      <c r="A46" s="13" t="s">
        <v>19</v>
      </c>
      <c r="B46" s="22">
        <v>4355254.13</v>
      </c>
      <c r="C46" s="22">
        <v>586847.75</v>
      </c>
      <c r="D46" s="22">
        <v>-4768815.47</v>
      </c>
      <c r="E46" s="22">
        <f t="shared" si="6"/>
        <v>-123847</v>
      </c>
      <c r="F46" s="22">
        <f t="shared" si="7"/>
        <v>-14285203.156000011</v>
      </c>
      <c r="G46" s="22">
        <f>SUM(C43:C46)+$C$7+$C$9+$C$11+F46+$C$41+$C$27+$C$25</f>
        <v>-10511391.276000012</v>
      </c>
      <c r="H46" s="27">
        <v>0.1065</v>
      </c>
      <c r="I46" s="27">
        <v>7.7600000000000002E-2</v>
      </c>
      <c r="J46" s="22">
        <f t="shared" si="8"/>
        <v>3038284</v>
      </c>
    </row>
    <row r="47" spans="1:10" x14ac:dyDescent="0.2">
      <c r="A47" s="25" t="s">
        <v>18</v>
      </c>
      <c r="B47" s="22">
        <v>3686016.71</v>
      </c>
      <c r="C47" s="22">
        <v>-291172.46000000002</v>
      </c>
      <c r="D47" s="22">
        <v>-4697674.28</v>
      </c>
      <c r="E47" s="22">
        <f t="shared" si="6"/>
        <v>-131270</v>
      </c>
      <c r="F47" s="22">
        <f t="shared" si="7"/>
        <v>-15428130.726000011</v>
      </c>
      <c r="G47" s="22">
        <f>SUM(C43:C47)+$C$7+$C$9+$C$11+F47+$C$41+$C$27+$C$25</f>
        <v>-11945491.306000013</v>
      </c>
      <c r="H47" s="27">
        <v>0.1065</v>
      </c>
      <c r="I47" s="27">
        <v>7.7600000000000002E-2</v>
      </c>
      <c r="J47" s="22">
        <f t="shared" si="8"/>
        <v>2907014</v>
      </c>
    </row>
    <row r="48" spans="1:10" x14ac:dyDescent="0.2">
      <c r="A48" s="25" t="s">
        <v>17</v>
      </c>
      <c r="B48" s="22">
        <v>3848077.12</v>
      </c>
      <c r="C48" s="22">
        <v>669594.25</v>
      </c>
      <c r="D48" s="22">
        <v>-6153679.0999999996</v>
      </c>
      <c r="E48" s="22">
        <f t="shared" si="6"/>
        <v>-147156</v>
      </c>
      <c r="F48" s="22">
        <f t="shared" si="7"/>
        <v>-17880888.706000008</v>
      </c>
      <c r="G48" s="22">
        <f>SUM(C43:C48)+$C$7+$C$9+$C$11+F48+$C$41+$C$27+$C$25</f>
        <v>-13728655.03600001</v>
      </c>
      <c r="H48" s="27">
        <v>0.1065</v>
      </c>
      <c r="I48" s="27">
        <v>7.7600000000000002E-2</v>
      </c>
      <c r="J48" s="22">
        <f t="shared" si="8"/>
        <v>2759858</v>
      </c>
    </row>
    <row r="49" spans="1:10" x14ac:dyDescent="0.2">
      <c r="A49" s="13" t="s">
        <v>16</v>
      </c>
      <c r="B49" s="22">
        <v>3924228.51</v>
      </c>
      <c r="C49" s="22">
        <v>1047010.21</v>
      </c>
      <c r="D49" s="22">
        <v>-7926360.2999999998</v>
      </c>
      <c r="E49" s="22">
        <f t="shared" si="6"/>
        <v>-176452</v>
      </c>
      <c r="F49" s="22">
        <f t="shared" si="7"/>
        <v>-22059472.496000007</v>
      </c>
      <c r="G49" s="22">
        <f>SUM(C43:C49)+$C$7+$C$9+$C$11+F49+$C$41+$C$27+$C$25</f>
        <v>-16860228.616000008</v>
      </c>
      <c r="H49" s="27">
        <v>0.1065</v>
      </c>
      <c r="I49" s="27">
        <v>7.7600000000000002E-2</v>
      </c>
      <c r="J49" s="22">
        <f t="shared" si="8"/>
        <v>2583406</v>
      </c>
    </row>
    <row r="50" spans="1:10" x14ac:dyDescent="0.2">
      <c r="A50" s="13" t="s">
        <v>15</v>
      </c>
      <c r="B50" s="22">
        <v>4036552.51</v>
      </c>
      <c r="C50" s="22">
        <v>-195748.57</v>
      </c>
      <c r="D50" s="22">
        <v>-4808276.18</v>
      </c>
      <c r="E50" s="22">
        <f t="shared" si="6"/>
        <v>-199202</v>
      </c>
      <c r="F50" s="22">
        <f t="shared" si="7"/>
        <v>-23030398.166000009</v>
      </c>
      <c r="G50" s="22">
        <f>SUM(C43:C50)+$C$7+$C$9+$C$11+F50+$C$41+$C$27+$C$25</f>
        <v>-18026902.85600001</v>
      </c>
      <c r="H50" s="27">
        <v>0.1065</v>
      </c>
      <c r="I50" s="27">
        <v>7.7600000000000002E-2</v>
      </c>
      <c r="J50" s="22">
        <f t="shared" si="8"/>
        <v>2384204</v>
      </c>
    </row>
    <row r="51" spans="1:10" x14ac:dyDescent="0.2">
      <c r="A51" s="13" t="s">
        <v>14</v>
      </c>
      <c r="B51" s="22">
        <v>2972860.29</v>
      </c>
      <c r="C51" s="22">
        <v>924940.05</v>
      </c>
      <c r="D51" s="22">
        <v>9655.39</v>
      </c>
      <c r="E51" s="22">
        <f t="shared" si="6"/>
        <v>-191160</v>
      </c>
      <c r="F51" s="22">
        <f t="shared" si="7"/>
        <v>-20239042.486000009</v>
      </c>
      <c r="G51" s="28">
        <f>SUM(C43:C51)+$C$7+$C$9+$C$11+F51+$C$41+$C$27+$C$25</f>
        <v>-14310607.126000009</v>
      </c>
      <c r="H51" s="27">
        <v>0.1065</v>
      </c>
      <c r="I51" s="27">
        <v>7.7600000000000002E-2</v>
      </c>
      <c r="J51" s="22">
        <f t="shared" si="8"/>
        <v>2193044</v>
      </c>
    </row>
    <row r="52" spans="1:10" x14ac:dyDescent="0.2">
      <c r="A52" s="13" t="s">
        <v>13</v>
      </c>
      <c r="B52" s="24">
        <v>7440193.4966666652</v>
      </c>
      <c r="C52" s="24"/>
      <c r="D52" s="24"/>
      <c r="E52" s="24">
        <f t="shared" si="6"/>
        <v>-146606</v>
      </c>
      <c r="F52" s="22">
        <f t="shared" si="7"/>
        <v>-12945454.989333343</v>
      </c>
      <c r="G52" s="22">
        <f>SUM(C43:C52)+$C$7+$C$9+$C$11+F52+$C$41+$C$27+$C$25</f>
        <v>-7017019.6293333424</v>
      </c>
      <c r="H52" s="27">
        <v>0.1065</v>
      </c>
      <c r="I52" s="27">
        <v>7.7600000000000002E-2</v>
      </c>
      <c r="J52" s="22">
        <f t="shared" si="8"/>
        <v>2046438</v>
      </c>
    </row>
    <row r="53" spans="1:10" x14ac:dyDescent="0.2">
      <c r="A53" s="13" t="s">
        <v>12</v>
      </c>
      <c r="B53" s="24">
        <v>7633646.296666665</v>
      </c>
      <c r="C53" s="24"/>
      <c r="D53" s="24"/>
      <c r="E53" s="24">
        <f t="shared" si="6"/>
        <v>-81017</v>
      </c>
      <c r="F53" s="22">
        <f t="shared" si="7"/>
        <v>-5392825.6926666778</v>
      </c>
      <c r="G53" s="22">
        <f>SUM(C43:C53)+$C$7+$C$9+$C$11+F53+$C$41+$C$27+$C$25</f>
        <v>535609.66733332397</v>
      </c>
      <c r="H53" s="27">
        <v>0.1065</v>
      </c>
      <c r="I53" s="27">
        <v>7.7600000000000002E-2</v>
      </c>
      <c r="J53" s="22">
        <f t="shared" si="8"/>
        <v>1965421</v>
      </c>
    </row>
    <row r="54" spans="1:10" x14ac:dyDescent="0.2">
      <c r="A54" s="13" t="s">
        <v>11</v>
      </c>
      <c r="B54" s="24">
        <v>7642537.296666665</v>
      </c>
      <c r="C54" s="24"/>
      <c r="D54" s="24"/>
      <c r="E54" s="24">
        <f t="shared" si="6"/>
        <v>-13948</v>
      </c>
      <c r="F54" s="22">
        <f t="shared" si="7"/>
        <v>2235763.6039999872</v>
      </c>
      <c r="G54" s="22">
        <f>SUM(C43:C54)+$C$7+$C$9+$C$11+F54+$C$41+$C$27+$C$25</f>
        <v>8164198.9639999894</v>
      </c>
      <c r="H54" s="27">
        <v>0.1065</v>
      </c>
      <c r="I54" s="27">
        <v>7.7600000000000002E-2</v>
      </c>
      <c r="J54" s="22">
        <f t="shared" si="8"/>
        <v>1951473</v>
      </c>
    </row>
    <row r="55" spans="1:10" x14ac:dyDescent="0.2">
      <c r="A55" s="19" t="s">
        <v>23</v>
      </c>
      <c r="B55" s="21">
        <f>SUM(B43:B54)</f>
        <v>55420135.959999993</v>
      </c>
      <c r="C55" s="21">
        <f>SUM(C43:C54)</f>
        <v>3235047.37</v>
      </c>
      <c r="D55" s="21">
        <f>SUM(D43:D54)</f>
        <v>-44580751.039999999</v>
      </c>
      <c r="E55" s="20">
        <f>SUM(E43:E54)</f>
        <v>-1505732</v>
      </c>
      <c r="F55" s="17"/>
      <c r="G55" s="17"/>
      <c r="H55" s="16"/>
      <c r="I55" s="15"/>
      <c r="J55" s="14"/>
    </row>
    <row r="56" spans="1:10" x14ac:dyDescent="0.2">
      <c r="A56" s="19"/>
      <c r="B56" s="12"/>
      <c r="C56" s="12"/>
      <c r="D56" s="12"/>
      <c r="E56" s="18"/>
      <c r="F56" s="17"/>
      <c r="G56" s="17"/>
      <c r="H56" s="16"/>
      <c r="I56" s="15"/>
      <c r="J56" s="14"/>
    </row>
    <row r="57" spans="1:10" x14ac:dyDescent="0.2">
      <c r="A57" s="13" t="s">
        <v>22</v>
      </c>
      <c r="B57" s="24">
        <v>4569851.166666666</v>
      </c>
      <c r="C57" s="24"/>
      <c r="D57" s="24">
        <f>-5478071.20729231*0.9</f>
        <v>-4930264.0865630787</v>
      </c>
      <c r="E57" s="24">
        <f>ROUND((((B57+D57)/2)+F54)*(10.65%/12),0)</f>
        <v>18243</v>
      </c>
      <c r="F57" s="22">
        <f>+F54+B57+D57+E57</f>
        <v>1893593.6841035746</v>
      </c>
      <c r="G57" s="22">
        <f>SUM(C57)+$C$7+$C$9+$C$11+F57+$C$41+$C$27+$C$25+C55</f>
        <v>7822029.0441035749</v>
      </c>
      <c r="H57" s="23">
        <v>0.1065</v>
      </c>
      <c r="I57" s="23">
        <v>7.7600000000000002E-2</v>
      </c>
      <c r="J57" s="22">
        <f>+J54+E57</f>
        <v>1969716</v>
      </c>
    </row>
    <row r="58" spans="1:10" x14ac:dyDescent="0.2">
      <c r="A58" s="25" t="s">
        <v>21</v>
      </c>
      <c r="B58" s="24">
        <v>4552689.166666666</v>
      </c>
      <c r="C58" s="24"/>
      <c r="D58" s="24">
        <v>-4831369.4427978219</v>
      </c>
      <c r="E58" s="24">
        <f t="shared" ref="E58:E68" si="9">ROUND((((B58+D58)/2)+F57)*(10.65%/12),0)</f>
        <v>15569</v>
      </c>
      <c r="F58" s="22">
        <f t="shared" ref="F58:F68" si="10">+F57+B58+D58+E58</f>
        <v>1630482.4079724187</v>
      </c>
      <c r="G58" s="22">
        <f>SUM(C57:C58)+$C$7+$C$9+$C$11+F58+$C$41+$C$27+$C$25+C55</f>
        <v>7558917.7679724181</v>
      </c>
      <c r="H58" s="23">
        <v>0.1065</v>
      </c>
      <c r="I58" s="23">
        <v>7.7600000000000002E-2</v>
      </c>
      <c r="J58" s="22">
        <f t="shared" ref="J58:J68" si="11">+J57+E58</f>
        <v>1985285</v>
      </c>
    </row>
    <row r="59" spans="1:10" x14ac:dyDescent="0.2">
      <c r="A59" s="26" t="s">
        <v>20</v>
      </c>
      <c r="B59" s="24">
        <v>5631689.166666666</v>
      </c>
      <c r="C59" s="24"/>
      <c r="D59" s="24">
        <v>-5061545.2255205354</v>
      </c>
      <c r="E59" s="24">
        <f t="shared" si="9"/>
        <v>17001</v>
      </c>
      <c r="F59" s="22">
        <f t="shared" si="10"/>
        <v>2217627.3491185494</v>
      </c>
      <c r="G59" s="22">
        <f>SUM(C57:C59)+$C$7+$C$9+$C$11+F59+$C$41+$C$27+$C$25+C55</f>
        <v>8146062.7091185497</v>
      </c>
      <c r="H59" s="23">
        <v>0.1065</v>
      </c>
      <c r="I59" s="23">
        <v>7.7600000000000002E-2</v>
      </c>
      <c r="J59" s="22">
        <f t="shared" si="11"/>
        <v>2002286</v>
      </c>
    </row>
    <row r="60" spans="1:10" x14ac:dyDescent="0.2">
      <c r="A60" s="13" t="s">
        <v>19</v>
      </c>
      <c r="B60" s="24">
        <v>5122689.166666666</v>
      </c>
      <c r="C60" s="24"/>
      <c r="D60" s="24">
        <v>-4767991.3313545482</v>
      </c>
      <c r="E60" s="24">
        <f t="shared" si="9"/>
        <v>21255</v>
      </c>
      <c r="F60" s="22">
        <f t="shared" si="10"/>
        <v>2593580.1844306672</v>
      </c>
      <c r="G60" s="22">
        <f>SUM(C57:C60)+$C$7+$C$9+$C$11+F60+$C$41+$C$27+$C$25+C55</f>
        <v>8522015.5444306657</v>
      </c>
      <c r="H60" s="23">
        <v>0.1065</v>
      </c>
      <c r="I60" s="23">
        <v>7.7600000000000002E-2</v>
      </c>
      <c r="J60" s="22">
        <f t="shared" si="11"/>
        <v>2023541</v>
      </c>
    </row>
    <row r="61" spans="1:10" x14ac:dyDescent="0.2">
      <c r="A61" s="25" t="s">
        <v>18</v>
      </c>
      <c r="B61" s="24">
        <v>4547689.166666666</v>
      </c>
      <c r="C61" s="24"/>
      <c r="D61" s="24">
        <v>-5578622.6466993364</v>
      </c>
      <c r="E61" s="24">
        <f t="shared" si="9"/>
        <v>18443</v>
      </c>
      <c r="F61" s="22">
        <f t="shared" si="10"/>
        <v>1581089.7043979969</v>
      </c>
      <c r="G61" s="22">
        <f>SUM(C57:C61)+$C$7+$C$9+$C$11+F61+$C$41+$C$27+$C$25+C55</f>
        <v>7509525.0643979972</v>
      </c>
      <c r="H61" s="23">
        <v>0.1065</v>
      </c>
      <c r="I61" s="23">
        <v>7.7600000000000002E-2</v>
      </c>
      <c r="J61" s="22">
        <f t="shared" si="11"/>
        <v>2041984</v>
      </c>
    </row>
    <row r="62" spans="1:10" x14ac:dyDescent="0.2">
      <c r="A62" s="25" t="s">
        <v>17</v>
      </c>
      <c r="B62" s="24">
        <v>5056689.166666666</v>
      </c>
      <c r="C62" s="24"/>
      <c r="D62" s="24">
        <v>-6391131.9717269232</v>
      </c>
      <c r="E62" s="24">
        <f t="shared" si="9"/>
        <v>8111</v>
      </c>
      <c r="F62" s="22">
        <f t="shared" si="10"/>
        <v>254757.89933773968</v>
      </c>
      <c r="G62" s="22">
        <f>SUM(C57:C62)+$C$7+$C$9+$C$11+F62+$C$41+$C$27+$C$25+C55</f>
        <v>6183193.25933774</v>
      </c>
      <c r="H62" s="23">
        <v>0.1065</v>
      </c>
      <c r="I62" s="23">
        <v>7.7600000000000002E-2</v>
      </c>
      <c r="J62" s="22">
        <f t="shared" si="11"/>
        <v>2050095</v>
      </c>
    </row>
    <row r="63" spans="1:10" x14ac:dyDescent="0.2">
      <c r="A63" s="13" t="s">
        <v>16</v>
      </c>
      <c r="B63" s="24">
        <v>4547689.166666666</v>
      </c>
      <c r="C63" s="24"/>
      <c r="D63" s="24">
        <v>-7749599.8141855001</v>
      </c>
      <c r="E63" s="24">
        <f t="shared" si="9"/>
        <v>-11948</v>
      </c>
      <c r="F63" s="22">
        <f t="shared" si="10"/>
        <v>-2959100.7481810944</v>
      </c>
      <c r="G63" s="22">
        <f>SUM(C57:C63)+$C$7+$C$9+$C$11+F63+$C$41+$C$27+$C$25+C55</f>
        <v>2969334.6118189059</v>
      </c>
      <c r="H63" s="23">
        <v>0.1065</v>
      </c>
      <c r="I63" s="23">
        <v>7.7600000000000002E-2</v>
      </c>
      <c r="J63" s="22">
        <f t="shared" si="11"/>
        <v>2038147</v>
      </c>
    </row>
    <row r="64" spans="1:10" x14ac:dyDescent="0.2">
      <c r="A64" s="13" t="s">
        <v>15</v>
      </c>
      <c r="B64" s="24">
        <v>4547689.166666666</v>
      </c>
      <c r="C64" s="24"/>
      <c r="D64" s="24">
        <v>-7402613.9441996533</v>
      </c>
      <c r="E64" s="24">
        <f t="shared" si="9"/>
        <v>-38931</v>
      </c>
      <c r="F64" s="22">
        <f t="shared" si="10"/>
        <v>-5852956.5257140817</v>
      </c>
      <c r="G64" s="22">
        <f>SUM(C57:C64)+$C$7+$C$9+$C$11+F64+$C$41+$C$27+$C$25+C55</f>
        <v>75478.834285919555</v>
      </c>
      <c r="H64" s="23">
        <v>0.1065</v>
      </c>
      <c r="I64" s="23">
        <v>7.7600000000000002E-2</v>
      </c>
      <c r="J64" s="22">
        <f t="shared" si="11"/>
        <v>1999216</v>
      </c>
    </row>
    <row r="65" spans="1:10" x14ac:dyDescent="0.2">
      <c r="A65" s="13" t="s">
        <v>14</v>
      </c>
      <c r="B65" s="24">
        <v>5056689.166666666</v>
      </c>
      <c r="C65" s="24"/>
      <c r="D65" s="24">
        <v>-6153706.2500435552</v>
      </c>
      <c r="E65" s="24">
        <f t="shared" si="9"/>
        <v>-56813</v>
      </c>
      <c r="F65" s="22">
        <f t="shared" si="10"/>
        <v>-7006786.6090909708</v>
      </c>
      <c r="G65" s="22">
        <f>SUM(C57:C65)+$C$7+$C$9+$C$11+F65+$C$41+$C$27+$C$25+C55</f>
        <v>-1078351.2490909696</v>
      </c>
      <c r="H65" s="23">
        <v>0.1065</v>
      </c>
      <c r="I65" s="23">
        <v>7.7600000000000002E-2</v>
      </c>
      <c r="J65" s="22">
        <f t="shared" si="11"/>
        <v>1942403</v>
      </c>
    </row>
    <row r="66" spans="1:10" x14ac:dyDescent="0.2">
      <c r="A66" s="13" t="s">
        <v>13</v>
      </c>
      <c r="B66" s="24">
        <v>4552689.166666666</v>
      </c>
      <c r="C66" s="24"/>
      <c r="D66" s="24">
        <v>-4948133.2375883181</v>
      </c>
      <c r="E66" s="24">
        <f t="shared" si="9"/>
        <v>-63940</v>
      </c>
      <c r="F66" s="22">
        <f t="shared" si="10"/>
        <v>-7466170.6800126228</v>
      </c>
      <c r="G66" s="22">
        <f>SUM(C57:C66)+$C$7+$C$9+$C$11+F66+$C$41+$C$27+$C$25+C55</f>
        <v>-1537735.3200126216</v>
      </c>
      <c r="H66" s="23">
        <v>0.1065</v>
      </c>
      <c r="I66" s="23">
        <v>7.7600000000000002E-2</v>
      </c>
      <c r="J66" s="22">
        <f t="shared" si="11"/>
        <v>1878463</v>
      </c>
    </row>
    <row r="67" spans="1:10" x14ac:dyDescent="0.2">
      <c r="A67" s="13" t="s">
        <v>12</v>
      </c>
      <c r="B67" s="24">
        <v>6752689.166666666</v>
      </c>
      <c r="C67" s="24"/>
      <c r="D67" s="24">
        <v>-4993387.1185487751</v>
      </c>
      <c r="E67" s="24">
        <f t="shared" si="9"/>
        <v>-58455</v>
      </c>
      <c r="F67" s="22">
        <f t="shared" si="10"/>
        <v>-5765323.6318947319</v>
      </c>
      <c r="G67" s="22">
        <f>SUM(C57:C67)+$C$7+$C$9+$C$11+F67+$C$41+$C$27+$C$25+C55</f>
        <v>163111.72810526844</v>
      </c>
      <c r="H67" s="23">
        <v>0.1065</v>
      </c>
      <c r="I67" s="23">
        <v>7.7600000000000002E-2</v>
      </c>
      <c r="J67" s="22">
        <f t="shared" si="11"/>
        <v>1820008</v>
      </c>
    </row>
    <row r="68" spans="1:10" x14ac:dyDescent="0.2">
      <c r="A68" s="13" t="s">
        <v>11</v>
      </c>
      <c r="B68" s="24">
        <v>5159689.166666666</v>
      </c>
      <c r="C68" s="24"/>
      <c r="D68" s="24">
        <v>-5502788.7576946514</v>
      </c>
      <c r="E68" s="24">
        <f t="shared" si="9"/>
        <v>-52690</v>
      </c>
      <c r="F68" s="22">
        <f t="shared" si="10"/>
        <v>-6161113.2229227172</v>
      </c>
      <c r="G68" s="22">
        <f>SUM(C57:C68)+$C$7+$C$9+$C$11+F68+$C$41+$C$27+$C$25+C55</f>
        <v>-232677.86292271595</v>
      </c>
      <c r="H68" s="23">
        <v>0.1065</v>
      </c>
      <c r="I68" s="23">
        <v>7.7600000000000002E-2</v>
      </c>
      <c r="J68" s="22">
        <f t="shared" si="11"/>
        <v>1767318</v>
      </c>
    </row>
    <row r="69" spans="1:10" x14ac:dyDescent="0.2">
      <c r="A69" s="19" t="s">
        <v>10</v>
      </c>
      <c r="B69" s="21">
        <f>SUM(B57:B68)</f>
        <v>60098431.999999978</v>
      </c>
      <c r="C69" s="21">
        <f>SUM(C57:C68)</f>
        <v>0</v>
      </c>
      <c r="D69" s="21">
        <f>SUM(D57:D68)</f>
        <v>-68311153.8269227</v>
      </c>
      <c r="E69" s="20">
        <f>SUM(E57:E68)</f>
        <v>-184155</v>
      </c>
      <c r="F69" s="17"/>
      <c r="G69" s="17"/>
      <c r="H69" s="16"/>
      <c r="I69" s="15"/>
      <c r="J69" s="14"/>
    </row>
    <row r="70" spans="1:10" x14ac:dyDescent="0.2">
      <c r="A70" s="19"/>
      <c r="B70" s="12"/>
      <c r="C70" s="12"/>
      <c r="D70" s="12"/>
      <c r="E70" s="18"/>
      <c r="F70" s="17"/>
      <c r="G70" s="17"/>
      <c r="H70" s="16"/>
      <c r="I70" s="15"/>
      <c r="J70" s="14"/>
    </row>
    <row r="71" spans="1:10" x14ac:dyDescent="0.2">
      <c r="A71" s="19"/>
      <c r="B71" s="12"/>
      <c r="C71" s="12"/>
      <c r="D71" s="12"/>
      <c r="E71" s="18"/>
      <c r="F71" s="17"/>
      <c r="G71" s="17"/>
      <c r="H71" s="16"/>
      <c r="I71" s="15"/>
      <c r="J71" s="14"/>
    </row>
    <row r="72" spans="1:10" x14ac:dyDescent="0.2">
      <c r="A72" s="13" t="s">
        <v>9</v>
      </c>
      <c r="B72" s="3"/>
      <c r="C72" s="12">
        <f>+C27+C25+C11+C9+C7+C41+C55</f>
        <v>5928435.3600000003</v>
      </c>
      <c r="D72" s="3"/>
      <c r="E72" s="4"/>
      <c r="F72" s="4"/>
      <c r="G72" s="4"/>
      <c r="H72" s="10"/>
      <c r="I72" s="10"/>
      <c r="J72" s="4"/>
    </row>
    <row r="73" spans="1:10" ht="20.25" customHeight="1" x14ac:dyDescent="0.2">
      <c r="B73" s="3"/>
      <c r="C73" s="11"/>
      <c r="D73" s="3"/>
      <c r="E73" s="4"/>
      <c r="F73" s="4"/>
      <c r="G73" s="4"/>
      <c r="H73" s="10"/>
      <c r="I73" s="10"/>
      <c r="J73" s="4"/>
    </row>
    <row r="74" spans="1:10" x14ac:dyDescent="0.2">
      <c r="A74" s="7" t="s">
        <v>8</v>
      </c>
      <c r="B74" s="3"/>
      <c r="C74" s="3"/>
      <c r="D74" s="3"/>
      <c r="E74" s="3"/>
      <c r="F74" s="3"/>
      <c r="G74" s="3">
        <f>+G51</f>
        <v>-14310607.126000009</v>
      </c>
      <c r="J74" s="3"/>
    </row>
    <row r="75" spans="1:10" ht="8.25" customHeight="1" x14ac:dyDescent="0.2">
      <c r="A75" s="5"/>
      <c r="B75" s="3"/>
      <c r="C75" s="3"/>
      <c r="D75" s="3"/>
      <c r="E75" s="3"/>
      <c r="F75" s="3"/>
      <c r="G75" s="3"/>
      <c r="J75" s="3"/>
    </row>
    <row r="76" spans="1:10" x14ac:dyDescent="0.2">
      <c r="A76" s="7" t="s">
        <v>7</v>
      </c>
      <c r="B76" s="3"/>
      <c r="C76" s="3"/>
      <c r="D76" s="3"/>
      <c r="E76" s="3"/>
      <c r="F76" s="3"/>
      <c r="G76" s="3">
        <f>+SUM(B52:B54)+SUM(B57:B68)</f>
        <v>82814809.089999974</v>
      </c>
      <c r="J76" s="3"/>
    </row>
    <row r="77" spans="1:10" x14ac:dyDescent="0.2">
      <c r="A77" s="7" t="s">
        <v>6</v>
      </c>
      <c r="B77" s="3"/>
      <c r="C77" s="3"/>
      <c r="D77" s="3"/>
      <c r="E77" s="3"/>
      <c r="F77" s="3"/>
      <c r="G77" s="3">
        <f>+SUM(E52:E54)+SUM(E57:E68)</f>
        <v>-425726</v>
      </c>
    </row>
    <row r="78" spans="1:10" x14ac:dyDescent="0.2">
      <c r="A78" s="7" t="s">
        <v>5</v>
      </c>
      <c r="B78" s="3"/>
      <c r="C78" s="3"/>
      <c r="D78" s="3"/>
      <c r="E78" s="3"/>
      <c r="F78" s="3"/>
      <c r="G78" s="9">
        <f>SUM(G76:G77)</f>
        <v>82389083.089999974</v>
      </c>
    </row>
    <row r="79" spans="1:10" ht="9" customHeight="1" x14ac:dyDescent="0.2">
      <c r="A79" s="5"/>
      <c r="B79" s="3"/>
      <c r="C79" s="3"/>
      <c r="D79" s="3"/>
      <c r="E79" s="3"/>
      <c r="F79" s="3"/>
      <c r="G79" s="3"/>
    </row>
    <row r="80" spans="1:10" x14ac:dyDescent="0.2">
      <c r="A80" s="7" t="s">
        <v>4</v>
      </c>
      <c r="B80" s="3"/>
      <c r="C80" s="3"/>
      <c r="D80" s="3"/>
      <c r="E80" s="3"/>
      <c r="F80" s="3"/>
      <c r="G80" s="3">
        <f>SUM(D52:D54)+SUM(D57:D68)</f>
        <v>-68311153.8269227</v>
      </c>
    </row>
    <row r="81" spans="1:7" ht="9" customHeight="1" x14ac:dyDescent="0.2">
      <c r="A81" s="8"/>
      <c r="B81" s="3"/>
      <c r="C81" s="3"/>
      <c r="D81" s="3"/>
      <c r="E81" s="3"/>
      <c r="F81" s="3"/>
      <c r="G81" s="3"/>
    </row>
    <row r="82" spans="1:7" ht="15" thickBot="1" x14ac:dyDescent="0.25">
      <c r="A82" s="7" t="s">
        <v>3</v>
      </c>
      <c r="B82" s="3"/>
      <c r="C82" s="3"/>
      <c r="D82" s="3"/>
      <c r="E82" s="3"/>
      <c r="F82" s="3"/>
      <c r="G82" s="6">
        <f>+G74+G78+G80</f>
        <v>-232677.86292274296</v>
      </c>
    </row>
    <row r="83" spans="1:7" ht="15" thickTop="1" x14ac:dyDescent="0.2">
      <c r="A83" s="5"/>
      <c r="B83" s="3"/>
      <c r="C83" s="3"/>
      <c r="D83" s="3"/>
      <c r="E83" s="3"/>
      <c r="F83" s="3"/>
      <c r="G83" s="3"/>
    </row>
    <row r="84" spans="1:7" x14ac:dyDescent="0.2">
      <c r="A84" s="2" t="s">
        <v>2</v>
      </c>
      <c r="B84" s="3"/>
      <c r="C84" s="3"/>
      <c r="D84" s="3"/>
      <c r="E84" s="3"/>
      <c r="F84" s="3"/>
      <c r="G84" s="3"/>
    </row>
    <row r="85" spans="1:7" x14ac:dyDescent="0.2">
      <c r="A85" s="2" t="s">
        <v>1</v>
      </c>
      <c r="B85" s="3"/>
      <c r="C85" s="4"/>
      <c r="D85" s="4"/>
      <c r="E85" s="3"/>
      <c r="F85" s="3"/>
      <c r="G85" s="3"/>
    </row>
    <row r="86" spans="1:7" ht="14.25" customHeight="1" x14ac:dyDescent="0.2">
      <c r="A86" s="2" t="s">
        <v>0</v>
      </c>
      <c r="B86" s="4"/>
      <c r="C86" s="4"/>
      <c r="D86" s="4"/>
      <c r="E86" s="4"/>
      <c r="F86" s="4"/>
      <c r="G86" s="3"/>
    </row>
    <row r="87" spans="1:7" x14ac:dyDescent="0.2">
      <c r="A87" s="2"/>
    </row>
  </sheetData>
  <mergeCells count="1">
    <mergeCell ref="A3:J3"/>
  </mergeCells>
  <pageMargins left="0.7" right="0.45" top="0.75" bottom="0.75" header="0.3" footer="0.3"/>
  <pageSetup scale="65" orientation="portrait" r:id="rId1"/>
  <ignoredErrors>
    <ignoredError sqref="J43 F51:J60 H43:I43 E51:E60 B51:D51 H44:J50 H61:J68 B55:D56 C52:D52 C53:D53 C54:D54 C60:D60 C57:D57 C58:D58 C59:D59" unlockedFormula="1"/>
    <ignoredError sqref="B44:D50 B43:D43 C25:E25 B26:E42 B11:E24 B25 E43 E44:E50 F43:G43 F44:G50 C68:D68 B69:E69 E61:E68 F61:G68 C72 C61:D61 C62:D62 C63:D63 C64:D64 C65:D65 C66:D66 C67:D67" formulaRange="1" unlockedFormula="1"/>
    <ignoredError sqref="B7:G10 F26:G42 F25:G25 F11:G24 B70:G71 F69:G69 B73:G80 B72 D72:G7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Exh B-Forecast with Prev Rate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2017-10-30T20:51:38Z</dcterms:created>
  <dcterms:modified xsi:type="dcterms:W3CDTF">2017-11-15T18:32:39Z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