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170" yWindow="420" windowWidth="11250" windowHeight="5550" tabRatio="759"/>
  </bookViews>
  <sheets>
    <sheet name="Exh C-Forecast with Prop Rate" sheetId="9" r:id="rId1"/>
  </sheets>
  <externalReferences>
    <externalReference r:id="rId2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DUDE" hidden="1">#REF!</definedName>
    <definedName name="limcount" hidden="1">1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</definedNames>
  <calcPr calcId="162913" iterate="1"/>
</workbook>
</file>

<file path=xl/calcChain.xml><?xml version="1.0" encoding="utf-8"?>
<calcChain xmlns="http://schemas.openxmlformats.org/spreadsheetml/2006/main">
  <c r="G80" i="9" l="1"/>
  <c r="G76" i="9"/>
  <c r="C69" i="9" l="1"/>
  <c r="B69" i="9"/>
  <c r="D55" i="9"/>
  <c r="C55" i="9"/>
  <c r="D41" i="9"/>
  <c r="C41" i="9"/>
  <c r="B41" i="9"/>
  <c r="E29" i="9"/>
  <c r="D25" i="9"/>
  <c r="C25" i="9"/>
  <c r="B25" i="9"/>
  <c r="E13" i="9"/>
  <c r="J13" i="9" s="1"/>
  <c r="C11" i="9"/>
  <c r="J29" i="9" l="1"/>
  <c r="C72" i="9"/>
  <c r="F13" i="9"/>
  <c r="G13" i="9" s="1"/>
  <c r="F29" i="9"/>
  <c r="G29" i="9" s="1"/>
  <c r="B55" i="9"/>
  <c r="E30" i="9" l="1"/>
  <c r="E14" i="9"/>
  <c r="F14" i="9" s="1"/>
  <c r="E15" i="9" l="1"/>
  <c r="G14" i="9"/>
  <c r="J30" i="9"/>
  <c r="F30" i="9"/>
  <c r="J14" i="9"/>
  <c r="J15" i="9" s="1"/>
  <c r="E31" i="9" l="1"/>
  <c r="G30" i="9"/>
  <c r="F15" i="9"/>
  <c r="E16" i="9" l="1"/>
  <c r="J16" i="9" s="1"/>
  <c r="G15" i="9"/>
  <c r="F31" i="9"/>
  <c r="J31" i="9"/>
  <c r="E32" i="9" l="1"/>
  <c r="J32" i="9" s="1"/>
  <c r="G31" i="9"/>
  <c r="F16" i="9"/>
  <c r="F32" i="9" l="1"/>
  <c r="E17" i="9"/>
  <c r="J17" i="9" s="1"/>
  <c r="G16" i="9"/>
  <c r="E33" i="9"/>
  <c r="J33" i="9" s="1"/>
  <c r="G32" i="9"/>
  <c r="F33" i="9" l="1"/>
  <c r="F17" i="9"/>
  <c r="E18" i="9" l="1"/>
  <c r="J18" i="9" s="1"/>
  <c r="G17" i="9"/>
  <c r="E34" i="9"/>
  <c r="J34" i="9" s="1"/>
  <c r="G33" i="9"/>
  <c r="F18" i="9" l="1"/>
  <c r="F34" i="9"/>
  <c r="E19" i="9"/>
  <c r="J19" i="9" s="1"/>
  <c r="G18" i="9"/>
  <c r="E35" i="9"/>
  <c r="F35" i="9" s="1"/>
  <c r="G34" i="9"/>
  <c r="E36" i="9" l="1"/>
  <c r="F36" i="9" s="1"/>
  <c r="G35" i="9"/>
  <c r="F19" i="9"/>
  <c r="J35" i="9"/>
  <c r="J36" i="9" s="1"/>
  <c r="E37" i="9" l="1"/>
  <c r="J37" i="9" s="1"/>
  <c r="G36" i="9"/>
  <c r="E20" i="9"/>
  <c r="J20" i="9" s="1"/>
  <c r="G19" i="9"/>
  <c r="F20" i="9" l="1"/>
  <c r="F37" i="9"/>
  <c r="E21" i="9" l="1"/>
  <c r="J21" i="9" s="1"/>
  <c r="G20" i="9"/>
  <c r="E38" i="9"/>
  <c r="J38" i="9" s="1"/>
  <c r="G37" i="9"/>
  <c r="F21" i="9" l="1"/>
  <c r="F38" i="9"/>
  <c r="E39" i="9" l="1"/>
  <c r="J39" i="9" s="1"/>
  <c r="G38" i="9"/>
  <c r="E22" i="9"/>
  <c r="J22" i="9" s="1"/>
  <c r="F22" i="9"/>
  <c r="G21" i="9"/>
  <c r="E23" i="9" l="1"/>
  <c r="E25" i="9" s="1"/>
  <c r="G22" i="9"/>
  <c r="F39" i="9"/>
  <c r="J23" i="9" l="1"/>
  <c r="J24" i="9" s="1"/>
  <c r="F23" i="9"/>
  <c r="F24" i="9"/>
  <c r="G24" i="9" s="1"/>
  <c r="G23" i="9"/>
  <c r="E40" i="9"/>
  <c r="G39" i="9"/>
  <c r="E41" i="9" l="1"/>
  <c r="J40" i="9"/>
  <c r="F40" i="9"/>
  <c r="E43" i="9" l="1"/>
  <c r="G40" i="9"/>
  <c r="F43" i="9" l="1"/>
  <c r="J43" i="9"/>
  <c r="E44" i="9" l="1"/>
  <c r="F44" i="9" s="1"/>
  <c r="G43" i="9"/>
  <c r="E45" i="9" l="1"/>
  <c r="F45" i="9" s="1"/>
  <c r="G44" i="9"/>
  <c r="J44" i="9"/>
  <c r="J45" i="9" s="1"/>
  <c r="E46" i="9" l="1"/>
  <c r="J46" i="9" s="1"/>
  <c r="G45" i="9"/>
  <c r="F46" i="9" l="1"/>
  <c r="G46" i="9"/>
  <c r="E47" i="9" l="1"/>
  <c r="J47" i="9" s="1"/>
  <c r="F47" i="9" l="1"/>
  <c r="G47" i="9" l="1"/>
  <c r="E48" i="9"/>
  <c r="J48" i="9" s="1"/>
  <c r="F48" i="9"/>
  <c r="G48" i="9" l="1"/>
  <c r="E49" i="9"/>
  <c r="J49" i="9" s="1"/>
  <c r="F49" i="9"/>
  <c r="G49" i="9" s="1"/>
  <c r="E50" i="9"/>
  <c r="J50" i="9" s="1"/>
  <c r="F50" i="9" l="1"/>
  <c r="E51" i="9" l="1"/>
  <c r="J51" i="9" s="1"/>
  <c r="G50" i="9"/>
  <c r="F51" i="9" l="1"/>
  <c r="E52" i="9" l="1"/>
  <c r="G51" i="9"/>
  <c r="G74" i="9" s="1"/>
  <c r="J52" i="9" l="1"/>
  <c r="F52" i="9"/>
  <c r="E53" i="9" l="1"/>
  <c r="J53" i="9" s="1"/>
  <c r="G52" i="9"/>
  <c r="F53" i="9" l="1"/>
  <c r="G53" i="9"/>
  <c r="E54" i="9"/>
  <c r="E55" i="9" s="1"/>
  <c r="F54" i="9" l="1"/>
  <c r="J54" i="9"/>
  <c r="G54" i="9"/>
  <c r="D69" i="9" l="1"/>
  <c r="E57" i="9"/>
  <c r="J57" i="9" l="1"/>
  <c r="F57" i="9"/>
  <c r="G57" i="9" l="1"/>
  <c r="E58" i="9"/>
  <c r="J58" i="9" l="1"/>
  <c r="F58" i="9"/>
  <c r="E59" i="9" l="1"/>
  <c r="G58" i="9"/>
  <c r="J59" i="9" l="1"/>
  <c r="F59" i="9"/>
  <c r="G59" i="9" l="1"/>
  <c r="E60" i="9"/>
  <c r="F60" i="9" s="1"/>
  <c r="J60" i="9" l="1"/>
  <c r="G60" i="9"/>
  <c r="E61" i="9"/>
  <c r="F61" i="9" s="1"/>
  <c r="J61" i="9" l="1"/>
  <c r="G61" i="9"/>
  <c r="E62" i="9"/>
  <c r="F62" i="9" l="1"/>
  <c r="J62" i="9"/>
  <c r="G62" i="9" l="1"/>
  <c r="E63" i="9"/>
  <c r="J63" i="9" s="1"/>
  <c r="F63" i="9" l="1"/>
  <c r="G63" i="9" l="1"/>
  <c r="E64" i="9"/>
  <c r="J64" i="9" s="1"/>
  <c r="F64" i="9" l="1"/>
  <c r="E65" i="9" s="1"/>
  <c r="J65" i="9" s="1"/>
  <c r="G64" i="9" l="1"/>
  <c r="F65" i="9"/>
  <c r="G65" i="9" l="1"/>
  <c r="E66" i="9"/>
  <c r="J66" i="9" s="1"/>
  <c r="F66" i="9" l="1"/>
  <c r="G66" i="9" l="1"/>
  <c r="E67" i="9"/>
  <c r="J67" i="9" s="1"/>
  <c r="F67" i="9" l="1"/>
  <c r="G67" i="9" l="1"/>
  <c r="E68" i="9"/>
  <c r="F68" i="9" l="1"/>
  <c r="G68" i="9" s="1"/>
  <c r="G77" i="9"/>
  <c r="G78" i="9" s="1"/>
  <c r="G82" i="9" s="1"/>
  <c r="E69" i="9"/>
  <c r="J68" i="9"/>
</calcChain>
</file>

<file path=xl/sharedStrings.xml><?xml version="1.0" encoding="utf-8"?>
<sst xmlns="http://schemas.openxmlformats.org/spreadsheetml/2006/main" count="78" uniqueCount="42">
  <si>
    <t>Utah Demand-Side Management Balance Account Analysis</t>
  </si>
  <si>
    <t/>
  </si>
  <si>
    <t>Monthly Program Costs - Fixed Assets</t>
  </si>
  <si>
    <t>Accrued Program Costs</t>
  </si>
  <si>
    <t>Rate Recovery</t>
  </si>
  <si>
    <t xml:space="preserve">Carrying Charge </t>
  </si>
  <si>
    <t>Cash Basis Accumulated Balance</t>
  </si>
  <si>
    <t xml:space="preserve">Accrual Based Accumulated Balance </t>
  </si>
  <si>
    <t xml:space="preserve">Accumulated Balance Total Carrying Costs 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</si>
  <si>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</si>
  <si>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</si>
  <si>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</si>
  <si>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</si>
  <si>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</si>
  <si>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</si>
  <si>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</si>
  <si>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</si>
  <si>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</si>
  <si>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</si>
  <si>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</si>
  <si>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</si>
  <si>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2011 totals</t>
  </si>
  <si>
    <t>2012 totals</t>
  </si>
  <si>
    <t>2013 totals</t>
  </si>
  <si>
    <t>2014 totals</t>
  </si>
  <si>
    <t>Notes:</t>
  </si>
  <si>
    <t>2015 totals</t>
  </si>
  <si>
    <t>2016 totals</t>
  </si>
  <si>
    <t>Total Accurals</t>
  </si>
  <si>
    <t>2017 totals</t>
  </si>
  <si>
    <t>Forecast DSM balancing account as of December 31, 2017</t>
  </si>
  <si>
    <t>Carrying Charge Rate</t>
  </si>
  <si>
    <t>2018 totals</t>
  </si>
  <si>
    <t>DSM balancing account as of Sept 30, 2017</t>
  </si>
  <si>
    <t>Forecast DSM expenses through December 2018</t>
  </si>
  <si>
    <t>Forecast carrying charges through December 2018</t>
  </si>
  <si>
    <t>Total expenses through December 2018</t>
  </si>
  <si>
    <t>Total DSM surcharge collections through December 2018</t>
  </si>
  <si>
    <t xml:space="preserve">   Figures provided through Sept 2017 are actuals.</t>
  </si>
  <si>
    <t xml:space="preserve">   Rate Recovery estimates for 2018 calc from July 2017 forecast from Regulation</t>
  </si>
  <si>
    <t>Exhibit C</t>
  </si>
  <si>
    <t>Using proposed rate of 3.66% effective January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</si>
</sst>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TimesNewRomanPS"/>
    </font>
    <font>
      <sz val="10"/>
      <name val="LinePrinter"/>
      <family val="3"/>
    </font>
    <font>
      <sz val="11"/>
      <color theme="1"/>
      <name val="Calibri"/>
      <family val="2"/>
      <scheme val="minor"/>
    </font>
    <font>
      <sz val="12"/>
      <name val="Arial MT"/>
    </font>
    <font>
      <sz val="10"/>
      <name val="LinePrinter"/>
    </font>
    <font>
      <sz val="12"/>
      <name val="Arial"/>
      <family val="2"/>
    </font>
    <font>
      <b/>
      <u/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8">
    <xf numFmtId="0" fontId="0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37" fontId="6" fillId="0" borderId="0" applyNumberFormat="0" applyFill="0" applyBorder="0"/>
    <xf numFmtId="9" fontId="1" fillId="0" borderId="0" applyFont="0" applyFill="0" applyBorder="0" applyAlignment="0" applyProtection="0"/>
    <xf numFmtId="165" fontId="7" fillId="0" borderId="0">
      <alignment horizontal="left"/>
    </xf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9" fillId="0" borderId="0"/>
    <xf numFmtId="9" fontId="3" fillId="0" borderId="0" applyFont="0" applyFill="0" applyBorder="0" applyAlignment="0" applyProtection="0"/>
    <xf numFmtId="165" fontId="10" fillId="0" borderId="0">
      <alignment horizontal="left"/>
    </xf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6" applyNumberFormat="0" applyAlignment="0" applyProtection="0"/>
    <xf numFmtId="0" fontId="27" fillId="8" borderId="7" applyNumberFormat="0" applyAlignment="0" applyProtection="0"/>
    <xf numFmtId="0" fontId="28" fillId="8" borderId="6" applyNumberFormat="0" applyAlignment="0" applyProtection="0"/>
    <xf numFmtId="0" fontId="29" fillId="0" borderId="8" applyNumberFormat="0" applyFill="0" applyAlignment="0" applyProtection="0"/>
    <xf numFmtId="0" fontId="30" fillId="9" borderId="9" applyNumberFormat="0" applyAlignment="0" applyProtection="0"/>
    <xf numFmtId="0" fontId="31" fillId="0" borderId="0" applyNumberFormat="0" applyFill="0" applyBorder="0" applyAlignment="0" applyProtection="0"/>
    <xf numFmtId="0" fontId="8" fillId="10" borderId="10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0" applyNumberFormat="0" applyBorder="0" applyAlignment="0" applyProtection="0"/>
    <xf numFmtId="165" fontId="7" fillId="0" borderId="0">
      <alignment horizontal="left"/>
    </xf>
    <xf numFmtId="0" fontId="8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Alignment="1" applyProtection="1">
      <alignment horizontal="centerContinuous" vertical="center"/>
      <protection locked="0"/>
    </xf>
    <xf numFmtId="0" fontId="12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13" fillId="0" borderId="0" xfId="8" applyFont="1" applyAlignment="1" applyProtection="1">
      <alignment horizontal="centerContinuous"/>
      <protection locked="0"/>
    </xf>
    <xf numFmtId="0" fontId="14" fillId="0" borderId="0" xfId="8" applyFont="1" applyAlignment="1" applyProtection="1">
      <alignment horizontal="center"/>
      <protection locked="0"/>
    </xf>
    <xf numFmtId="0" fontId="14" fillId="0" borderId="0" xfId="8" applyFont="1" applyAlignment="1" applyProtection="1">
      <protection locked="0"/>
    </xf>
    <xf numFmtId="0" fontId="3" fillId="0" borderId="0" xfId="8" applyFont="1"/>
    <xf numFmtId="0" fontId="15" fillId="0" borderId="0" xfId="0" applyFont="1"/>
    <xf numFmtId="0" fontId="16" fillId="0" borderId="0" xfId="8" quotePrefix="1" applyFont="1" applyFill="1" applyAlignment="1" applyProtection="1">
      <alignment horizontal="center"/>
      <protection locked="0"/>
    </xf>
    <xf numFmtId="0" fontId="14" fillId="0" borderId="0" xfId="8" quotePrefix="1" applyFont="1" applyAlignment="1" applyProtection="1">
      <alignment horizontal="center"/>
      <protection locked="0"/>
    </xf>
    <xf numFmtId="0" fontId="14" fillId="0" borderId="0" xfId="8" applyFont="1"/>
    <xf numFmtId="0" fontId="14" fillId="0" borderId="0" xfId="8" quotePrefix="1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40" fontId="18" fillId="0" borderId="0" xfId="0" quotePrefix="1" applyNumberFormat="1" applyFont="1" applyFill="1" applyAlignment="1" applyProtection="1">
      <alignment horizontal="center" wrapText="1"/>
      <protection locked="0"/>
    </xf>
    <xf numFmtId="10" fontId="18" fillId="0" borderId="0" xfId="0" quotePrefix="1" applyNumberFormat="1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8" applyFont="1" applyFill="1" applyAlignment="1" applyProtection="1">
      <alignment horizontal="center"/>
      <protection locked="0"/>
    </xf>
    <xf numFmtId="44" fontId="3" fillId="0" borderId="0" xfId="8" applyNumberFormat="1" applyFont="1" applyFill="1" applyBorder="1" applyAlignment="1" applyProtection="1">
      <protection locked="0"/>
    </xf>
    <xf numFmtId="10" fontId="3" fillId="0" borderId="0" xfId="16" applyNumberFormat="1" applyFont="1" applyAlignment="1" applyProtection="1">
      <alignment horizontal="center"/>
      <protection locked="0"/>
    </xf>
    <xf numFmtId="44" fontId="3" fillId="0" borderId="0" xfId="8" applyNumberFormat="1" applyFont="1" applyFill="1" applyAlignment="1" applyProtection="1">
      <protection locked="0"/>
    </xf>
    <xf numFmtId="44" fontId="2" fillId="0" borderId="0" xfId="12" quotePrefix="1" applyFont="1" applyAlignment="1" applyProtection="1">
      <alignment horizontal="center"/>
      <protection locked="0"/>
    </xf>
    <xf numFmtId="10" fontId="3" fillId="0" borderId="0" xfId="8" applyNumberFormat="1" applyFont="1" applyAlignment="1" applyProtection="1">
      <protection locked="0"/>
    </xf>
    <xf numFmtId="44" fontId="3" fillId="0" borderId="0" xfId="12" applyFont="1" applyAlignment="1" applyProtection="1">
      <alignment horizontal="center"/>
      <protection locked="0"/>
    </xf>
    <xf numFmtId="0" fontId="3" fillId="0" borderId="0" xfId="8" applyFont="1" applyAlignment="1" applyProtection="1">
      <protection locked="0"/>
    </xf>
    <xf numFmtId="0" fontId="3" fillId="0" borderId="0" xfId="8" applyFont="1" applyFill="1" applyAlignment="1" applyProtection="1">
      <protection locked="0"/>
    </xf>
    <xf numFmtId="0" fontId="3" fillId="0" borderId="0" xfId="8" applyFont="1" applyBorder="1" applyAlignment="1" applyProtection="1">
      <protection locked="0"/>
    </xf>
    <xf numFmtId="0" fontId="3" fillId="0" borderId="0" xfId="8" applyFont="1" applyFill="1" applyBorder="1" applyAlignment="1" applyProtection="1">
      <protection locked="0"/>
    </xf>
    <xf numFmtId="0" fontId="3" fillId="0" borderId="0" xfId="8" applyFont="1" applyFill="1"/>
    <xf numFmtId="0" fontId="3" fillId="0" borderId="0" xfId="80" applyFont="1" applyFill="1"/>
    <xf numFmtId="0" fontId="3" fillId="0" borderId="0" xfId="80" applyFill="1"/>
    <xf numFmtId="0" fontId="3" fillId="0" borderId="0" xfId="80" applyFont="1" applyFill="1" applyBorder="1" applyAlignment="1" applyProtection="1">
      <protection locked="0"/>
    </xf>
    <xf numFmtId="0" fontId="3" fillId="0" borderId="0" xfId="80" applyFont="1" applyFill="1" applyAlignment="1">
      <alignment horizontal="left" indent="1"/>
    </xf>
    <xf numFmtId="164" fontId="3" fillId="0" borderId="0" xfId="8" applyNumberFormat="1" applyFont="1" applyFill="1" applyAlignment="1" applyProtection="1">
      <protection locked="0"/>
    </xf>
    <xf numFmtId="164" fontId="3" fillId="0" borderId="0" xfId="8" applyNumberFormat="1" applyFont="1" applyAlignment="1" applyProtection="1">
      <protection locked="0"/>
    </xf>
    <xf numFmtId="164" fontId="3" fillId="0" borderId="0" xfId="12" applyNumberFormat="1" applyFont="1" applyBorder="1" applyAlignment="1" applyProtection="1">
      <protection locked="0"/>
    </xf>
    <xf numFmtId="164" fontId="3" fillId="0" borderId="0" xfId="12" applyNumberFormat="1" applyFont="1" applyAlignment="1" applyProtection="1">
      <protection locked="0"/>
    </xf>
    <xf numFmtId="164" fontId="3" fillId="0" borderId="1" xfId="12" applyNumberFormat="1" applyFont="1" applyBorder="1" applyAlignment="1" applyProtection="1">
      <protection locked="0"/>
    </xf>
    <xf numFmtId="164" fontId="3" fillId="2" borderId="0" xfId="8" applyNumberFormat="1" applyFont="1" applyFill="1" applyAlignment="1" applyProtection="1">
      <protection locked="0"/>
    </xf>
    <xf numFmtId="164" fontId="3" fillId="3" borderId="0" xfId="8" applyNumberFormat="1" applyFont="1" applyFill="1" applyAlignment="1" applyProtection="1">
      <protection locked="0"/>
    </xf>
    <xf numFmtId="164" fontId="15" fillId="0" borderId="0" xfId="0" applyNumberFormat="1" applyFont="1"/>
    <xf numFmtId="164" fontId="15" fillId="0" borderId="1" xfId="0" applyNumberFormat="1" applyFont="1" applyBorder="1"/>
    <xf numFmtId="164" fontId="15" fillId="0" borderId="2" xfId="0" applyNumberFormat="1" applyFont="1" applyBorder="1"/>
    <xf numFmtId="164" fontId="3" fillId="0" borderId="0" xfId="8" applyNumberFormat="1" applyFont="1" applyFill="1" applyBorder="1" applyAlignment="1" applyProtection="1">
      <protection locked="0"/>
    </xf>
    <xf numFmtId="164" fontId="3" fillId="0" borderId="1" xfId="12" applyNumberFormat="1" applyFont="1" applyFill="1" applyBorder="1" applyAlignment="1" applyProtection="1">
      <protection locked="0"/>
    </xf>
    <xf numFmtId="164" fontId="3" fillId="0" borderId="0" xfId="12" applyNumberFormat="1" applyFont="1" applyFill="1" applyAlignment="1" applyProtection="1">
      <protection locked="0"/>
    </xf>
    <xf numFmtId="44" fontId="3" fillId="0" borderId="0" xfId="12" applyFont="1" applyFill="1" applyAlignment="1" applyProtection="1">
      <alignment horizontal="center"/>
      <protection locked="0"/>
    </xf>
    <xf numFmtId="164" fontId="3" fillId="0" borderId="0" xfId="12" applyNumberFormat="1" applyFont="1" applyFill="1" applyBorder="1" applyAlignment="1" applyProtection="1">
      <protection locked="0"/>
    </xf>
    <xf numFmtId="164" fontId="15" fillId="0" borderId="0" xfId="0" applyNumberFormat="1" applyFont="1" applyFill="1"/>
    <xf numFmtId="0" fontId="15" fillId="0" borderId="0" xfId="0" applyFont="1" applyFill="1"/>
    <xf numFmtId="10" fontId="3" fillId="0" borderId="0" xfId="12" applyNumberFormat="1" applyFont="1" applyAlignment="1" applyProtection="1">
      <alignment horizontal="right"/>
      <protection locked="0"/>
    </xf>
    <xf numFmtId="164" fontId="15" fillId="0" borderId="0" xfId="0" applyNumberFormat="1" applyFont="1" applyBorder="1"/>
    <xf numFmtId="43" fontId="3" fillId="0" borderId="0" xfId="8" applyNumberFormat="1" applyFont="1" applyFill="1" applyAlignment="1" applyProtection="1">
      <protection locked="0"/>
    </xf>
    <xf numFmtId="43" fontId="3" fillId="0" borderId="0" xfId="12" applyNumberFormat="1" applyFont="1" applyFill="1" applyAlignment="1" applyProtection="1">
      <protection locked="0"/>
    </xf>
    <xf numFmtId="10" fontId="3" fillId="0" borderId="0" xfId="8" applyNumberFormat="1" applyFont="1" applyFill="1" applyAlignment="1" applyProtection="1">
      <protection locked="0"/>
    </xf>
    <xf numFmtId="0" fontId="2" fillId="0" borderId="0" xfId="0" applyFont="1" applyFill="1" applyAlignment="1" applyProtection="1">
      <alignment horizontal="center" vertical="center"/>
      <protection locked="0"/>
    </xf>
  </cellXfs>
  <cellStyles count="278">
    <cellStyle name="20% - Accent1" xfId="103" builtinId="30" customBuiltin="1"/>
    <cellStyle name="20% - Accent2" xfId="107" builtinId="34" customBuiltin="1"/>
    <cellStyle name="20% - Accent3" xfId="111" builtinId="38" customBuiltin="1"/>
    <cellStyle name="20% - Accent4" xfId="115" builtinId="42" customBuiltin="1"/>
    <cellStyle name="20% - Accent5" xfId="119" builtinId="46" customBuiltin="1"/>
    <cellStyle name="20% - Accent6" xfId="123" builtinId="50" customBuiltin="1"/>
    <cellStyle name="40% - Accent1" xfId="104" builtinId="31" customBuiltin="1"/>
    <cellStyle name="40% - Accent2" xfId="108" builtinId="35" customBuiltin="1"/>
    <cellStyle name="40% - Accent3" xfId="112" builtinId="39" customBuiltin="1"/>
    <cellStyle name="40% - Accent4" xfId="116" builtinId="43" customBuiltin="1"/>
    <cellStyle name="40% - Accent5" xfId="120" builtinId="47" customBuiltin="1"/>
    <cellStyle name="40% - Accent6" xfId="124" builtinId="51" customBuiltin="1"/>
    <cellStyle name="60% - Accent1" xfId="105" builtinId="32" customBuiltin="1"/>
    <cellStyle name="60% - Accent2" xfId="109" builtinId="36" customBuiltin="1"/>
    <cellStyle name="60% - Accent3" xfId="113" builtinId="40" customBuiltin="1"/>
    <cellStyle name="60% - Accent4" xfId="117" builtinId="44" customBuiltin="1"/>
    <cellStyle name="60% - Accent5" xfId="121" builtinId="48" customBuiltin="1"/>
    <cellStyle name="60% - Accent6" xfId="125" builtinId="52" customBuiltin="1"/>
    <cellStyle name="Accent1" xfId="102" builtinId="29" customBuiltin="1"/>
    <cellStyle name="Accent2" xfId="106" builtinId="33" customBuiltin="1"/>
    <cellStyle name="Accent3" xfId="110" builtinId="37" customBuiltin="1"/>
    <cellStyle name="Accent4" xfId="114" builtinId="41" customBuiltin="1"/>
    <cellStyle name="Accent5" xfId="118" builtinId="45" customBuiltin="1"/>
    <cellStyle name="Accent6" xfId="122" builtinId="49" customBuiltin="1"/>
    <cellStyle name="Bad" xfId="91" builtinId="27" customBuiltin="1"/>
    <cellStyle name="Calculation" xfId="95" builtinId="22" customBuiltin="1"/>
    <cellStyle name="Check Cell" xfId="97" builtinId="23" customBuiltin="1"/>
    <cellStyle name="Comma 10" xfId="33"/>
    <cellStyle name="Comma 11" xfId="35"/>
    <cellStyle name="Comma 12" xfId="37"/>
    <cellStyle name="Comma 13" xfId="39"/>
    <cellStyle name="Comma 14" xfId="41"/>
    <cellStyle name="Comma 15" xfId="43"/>
    <cellStyle name="Comma 16" xfId="45"/>
    <cellStyle name="Comma 17" xfId="47"/>
    <cellStyle name="Comma 18" xfId="49"/>
    <cellStyle name="Comma 19" xfId="51"/>
    <cellStyle name="Comma 2" xfId="2"/>
    <cellStyle name="Comma 2 2" xfId="11"/>
    <cellStyle name="Comma 2 3" xfId="83"/>
    <cellStyle name="Comma 2 4" xfId="10"/>
    <cellStyle name="Comma 20" xfId="53"/>
    <cellStyle name="Comma 21" xfId="55"/>
    <cellStyle name="Comma 22" xfId="57"/>
    <cellStyle name="Comma 23" xfId="59"/>
    <cellStyle name="Comma 24" xfId="61"/>
    <cellStyle name="Comma 25" xfId="63"/>
    <cellStyle name="Comma 26" xfId="67"/>
    <cellStyle name="Comma 27" xfId="69"/>
    <cellStyle name="Comma 28" xfId="71"/>
    <cellStyle name="Comma 29" xfId="73"/>
    <cellStyle name="Comma 3" xfId="19"/>
    <cellStyle name="Comma 3 2" xfId="157"/>
    <cellStyle name="Comma 3 2 2" xfId="177"/>
    <cellStyle name="Comma 3 2 3" xfId="231"/>
    <cellStyle name="Comma 3 3" xfId="176"/>
    <cellStyle name="Comma 3 4" xfId="230"/>
    <cellStyle name="Comma 3 5" xfId="135"/>
    <cellStyle name="Comma 30" xfId="75"/>
    <cellStyle name="Comma 31" xfId="77"/>
    <cellStyle name="Comma 32" xfId="79"/>
    <cellStyle name="Comma 33" xfId="9"/>
    <cellStyle name="Comma 4" xfId="21"/>
    <cellStyle name="Comma 4 2" xfId="169"/>
    <cellStyle name="Comma 4 2 2" xfId="178"/>
    <cellStyle name="Comma 4 2 3" xfId="232"/>
    <cellStyle name="Comma 4 3" xfId="175"/>
    <cellStyle name="Comma 4 4" xfId="225"/>
    <cellStyle name="Comma 4 5" xfId="229"/>
    <cellStyle name="Comma 5" xfId="23"/>
    <cellStyle name="Comma 5 2" xfId="172"/>
    <cellStyle name="Comma 5 2 2" xfId="180"/>
    <cellStyle name="Comma 5 2 3" xfId="234"/>
    <cellStyle name="Comma 5 3" xfId="179"/>
    <cellStyle name="Comma 5 4" xfId="233"/>
    <cellStyle name="Comma 6" xfId="25"/>
    <cellStyle name="Comma 7" xfId="27"/>
    <cellStyle name="Comma 8" xfId="29"/>
    <cellStyle name="Comma 9" xfId="31"/>
    <cellStyle name="Currency 2" xfId="3"/>
    <cellStyle name="Currency 2 2" xfId="82"/>
    <cellStyle name="Currency 2 3" xfId="13"/>
    <cellStyle name="Currency 3" xfId="18"/>
    <cellStyle name="Currency 3 2" xfId="158"/>
    <cellStyle name="Currency 3 2 2" xfId="182"/>
    <cellStyle name="Currency 3 2 3" xfId="236"/>
    <cellStyle name="Currency 3 3" xfId="181"/>
    <cellStyle name="Currency 3 4" xfId="235"/>
    <cellStyle name="Currency 3 5" xfId="136"/>
    <cellStyle name="Currency 4" xfId="12"/>
    <cellStyle name="Explanatory Text" xfId="100" builtinId="53" customBuiltin="1"/>
    <cellStyle name="General" xfId="4"/>
    <cellStyle name="Good" xfId="90" builtinId="26" customBuiltin="1"/>
    <cellStyle name="Heading 1" xfId="86" builtinId="16" customBuiltin="1"/>
    <cellStyle name="Heading 2" xfId="87" builtinId="17" customBuiltin="1"/>
    <cellStyle name="Heading 3" xfId="88" builtinId="18" customBuiltin="1"/>
    <cellStyle name="Heading 4" xfId="89" builtinId="19" customBuiltin="1"/>
    <cellStyle name="Hyperlink 2" xfId="128"/>
    <cellStyle name="Input" xfId="93" builtinId="20" customBuiltin="1"/>
    <cellStyle name="Linked Cell" xfId="96" builtinId="24" customBuiltin="1"/>
    <cellStyle name="Neutral" xfId="92" builtinId="28" customBuiltin="1"/>
    <cellStyle name="nONE" xfId="5"/>
    <cellStyle name="Normal" xfId="0" builtinId="0"/>
    <cellStyle name="Normal 10" xfId="32"/>
    <cellStyle name="Normal 11" xfId="34"/>
    <cellStyle name="Normal 12" xfId="36"/>
    <cellStyle name="Normal 13" xfId="38"/>
    <cellStyle name="Normal 14" xfId="40"/>
    <cellStyle name="Normal 15" xfId="42"/>
    <cellStyle name="Normal 16" xfId="44"/>
    <cellStyle name="Normal 17" xfId="46"/>
    <cellStyle name="Normal 18" xfId="48"/>
    <cellStyle name="Normal 19" xfId="50"/>
    <cellStyle name="Normal 2" xfId="1"/>
    <cellStyle name="Normal 2 2" xfId="64"/>
    <cellStyle name="Normal 2 2 2" xfId="133"/>
    <cellStyle name="Normal 2 2 2 2" xfId="143"/>
    <cellStyle name="Normal 2 2 2 2 2" xfId="165"/>
    <cellStyle name="Normal 2 2 2 2 2 2" xfId="187"/>
    <cellStyle name="Normal 2 2 2 2 2 3" xfId="241"/>
    <cellStyle name="Normal 2 2 2 2 3" xfId="186"/>
    <cellStyle name="Normal 2 2 2 2 4" xfId="240"/>
    <cellStyle name="Normal 2 2 2 3" xfId="154"/>
    <cellStyle name="Normal 2 2 2 3 2" xfId="188"/>
    <cellStyle name="Normal 2 2 2 3 3" xfId="242"/>
    <cellStyle name="Normal 2 2 2 4" xfId="185"/>
    <cellStyle name="Normal 2 2 2 5" xfId="239"/>
    <cellStyle name="Normal 2 2 3" xfId="139"/>
    <cellStyle name="Normal 2 2 3 2" xfId="161"/>
    <cellStyle name="Normal 2 2 3 2 2" xfId="190"/>
    <cellStyle name="Normal 2 2 3 2 3" xfId="244"/>
    <cellStyle name="Normal 2 2 3 3" xfId="189"/>
    <cellStyle name="Normal 2 2 3 4" xfId="243"/>
    <cellStyle name="Normal 2 2 4" xfId="150"/>
    <cellStyle name="Normal 2 2 4 2" xfId="191"/>
    <cellStyle name="Normal 2 2 4 3" xfId="245"/>
    <cellStyle name="Normal 2 2 5" xfId="184"/>
    <cellStyle name="Normal 2 2 6" xfId="238"/>
    <cellStyle name="Normal 2 2 7" xfId="129"/>
    <cellStyle name="Normal 2 3" xfId="84"/>
    <cellStyle name="Normal 2 3 2" xfId="141"/>
    <cellStyle name="Normal 2 3 2 2" xfId="163"/>
    <cellStyle name="Normal 2 3 2 2 2" xfId="194"/>
    <cellStyle name="Normal 2 3 2 2 3" xfId="248"/>
    <cellStyle name="Normal 2 3 2 3" xfId="193"/>
    <cellStyle name="Normal 2 3 2 4" xfId="247"/>
    <cellStyle name="Normal 2 3 3" xfId="152"/>
    <cellStyle name="Normal 2 3 3 2" xfId="195"/>
    <cellStyle name="Normal 2 3 3 3" xfId="249"/>
    <cellStyle name="Normal 2 3 4" xfId="192"/>
    <cellStyle name="Normal 2 3 5" xfId="246"/>
    <cellStyle name="Normal 2 3 6" xfId="131"/>
    <cellStyle name="Normal 2 4" xfId="14"/>
    <cellStyle name="Normal 2 4 2" xfId="159"/>
    <cellStyle name="Normal 2 4 2 2" xfId="197"/>
    <cellStyle name="Normal 2 4 2 3" xfId="251"/>
    <cellStyle name="Normal 2 4 3" xfId="196"/>
    <cellStyle name="Normal 2 4 4" xfId="250"/>
    <cellStyle name="Normal 2 5" xfId="146"/>
    <cellStyle name="Normal 2 6" xfId="148"/>
    <cellStyle name="Normal 2 6 2" xfId="198"/>
    <cellStyle name="Normal 2 6 3" xfId="252"/>
    <cellStyle name="Normal 2 7" xfId="183"/>
    <cellStyle name="Normal 2 8" xfId="237"/>
    <cellStyle name="Normal 20" xfId="52"/>
    <cellStyle name="Normal 21" xfId="54"/>
    <cellStyle name="Normal 22" xfId="56"/>
    <cellStyle name="Normal 23" xfId="58"/>
    <cellStyle name="Normal 24" xfId="60"/>
    <cellStyle name="Normal 25" xfId="62"/>
    <cellStyle name="Normal 26" xfId="66"/>
    <cellStyle name="Normal 27" xfId="68"/>
    <cellStyle name="Normal 28" xfId="70"/>
    <cellStyle name="Normal 29" xfId="72"/>
    <cellStyle name="Normal 3" xfId="15"/>
    <cellStyle name="Normal 3 2" xfId="80"/>
    <cellStyle name="Normal 3 2 2" xfId="134"/>
    <cellStyle name="Normal 3 2 2 2" xfId="144"/>
    <cellStyle name="Normal 3 2 2 2 2" xfId="166"/>
    <cellStyle name="Normal 3 2 2 2 2 2" xfId="203"/>
    <cellStyle name="Normal 3 2 2 2 2 3" xfId="257"/>
    <cellStyle name="Normal 3 2 2 2 3" xfId="202"/>
    <cellStyle name="Normal 3 2 2 2 4" xfId="256"/>
    <cellStyle name="Normal 3 2 2 3" xfId="155"/>
    <cellStyle name="Normal 3 2 2 3 2" xfId="204"/>
    <cellStyle name="Normal 3 2 2 3 3" xfId="258"/>
    <cellStyle name="Normal 3 2 2 4" xfId="201"/>
    <cellStyle name="Normal 3 2 2 5" xfId="255"/>
    <cellStyle name="Normal 3 2 3" xfId="140"/>
    <cellStyle name="Normal 3 2 3 2" xfId="162"/>
    <cellStyle name="Normal 3 2 3 2 2" xfId="206"/>
    <cellStyle name="Normal 3 2 3 2 3" xfId="260"/>
    <cellStyle name="Normal 3 2 3 3" xfId="205"/>
    <cellStyle name="Normal 3 2 3 4" xfId="259"/>
    <cellStyle name="Normal 3 2 4" xfId="151"/>
    <cellStyle name="Normal 3 2 4 2" xfId="207"/>
    <cellStyle name="Normal 3 2 4 3" xfId="261"/>
    <cellStyle name="Normal 3 2 5" xfId="200"/>
    <cellStyle name="Normal 3 2 6" xfId="254"/>
    <cellStyle name="Normal 3 2 7" xfId="130"/>
    <cellStyle name="Normal 3 3" xfId="132"/>
    <cellStyle name="Normal 3 3 2" xfId="142"/>
    <cellStyle name="Normal 3 3 2 2" xfId="164"/>
    <cellStyle name="Normal 3 3 2 2 2" xfId="210"/>
    <cellStyle name="Normal 3 3 2 2 3" xfId="264"/>
    <cellStyle name="Normal 3 3 2 3" xfId="209"/>
    <cellStyle name="Normal 3 3 2 4" xfId="263"/>
    <cellStyle name="Normal 3 3 3" xfId="153"/>
    <cellStyle name="Normal 3 3 3 2" xfId="211"/>
    <cellStyle name="Normal 3 3 3 3" xfId="265"/>
    <cellStyle name="Normal 3 3 4" xfId="208"/>
    <cellStyle name="Normal 3 3 5" xfId="262"/>
    <cellStyle name="Normal 3 4" xfId="138"/>
    <cellStyle name="Normal 3 4 2" xfId="160"/>
    <cellStyle name="Normal 3 4 2 2" xfId="213"/>
    <cellStyle name="Normal 3 4 2 3" xfId="267"/>
    <cellStyle name="Normal 3 4 3" xfId="212"/>
    <cellStyle name="Normal 3 4 4" xfId="266"/>
    <cellStyle name="Normal 3 5" xfId="149"/>
    <cellStyle name="Normal 3 5 2" xfId="214"/>
    <cellStyle name="Normal 3 5 3" xfId="268"/>
    <cellStyle name="Normal 3 6" xfId="199"/>
    <cellStyle name="Normal 3 7" xfId="253"/>
    <cellStyle name="Normal 3 8" xfId="127"/>
    <cellStyle name="Normal 30" xfId="74"/>
    <cellStyle name="Normal 31" xfId="76"/>
    <cellStyle name="Normal 32" xfId="78"/>
    <cellStyle name="Normal 33" xfId="8"/>
    <cellStyle name="Normal 4" xfId="20"/>
    <cellStyle name="Normal 4 2" xfId="137"/>
    <cellStyle name="Normal 5" xfId="22"/>
    <cellStyle name="Normal 5 2" xfId="156"/>
    <cellStyle name="Normal 5 2 2" xfId="216"/>
    <cellStyle name="Normal 5 2 3" xfId="270"/>
    <cellStyle name="Normal 5 3" xfId="215"/>
    <cellStyle name="Normal 5 4" xfId="269"/>
    <cellStyle name="Normal 6" xfId="24"/>
    <cellStyle name="Normal 6 2" xfId="167"/>
    <cellStyle name="Normal 6 2 2" xfId="217"/>
    <cellStyle name="Normal 6 2 3" xfId="271"/>
    <cellStyle name="Normal 6 3" xfId="173"/>
    <cellStyle name="Normal 6 4" xfId="223"/>
    <cellStyle name="Normal 6 5" xfId="227"/>
    <cellStyle name="Normal 7" xfId="26"/>
    <cellStyle name="Normal 7 2" xfId="171"/>
    <cellStyle name="Normal 7 2 2" xfId="219"/>
    <cellStyle name="Normal 7 2 3" xfId="273"/>
    <cellStyle name="Normal 7 3" xfId="218"/>
    <cellStyle name="Normal 7 4" xfId="226"/>
    <cellStyle name="Normal 7 5" xfId="272"/>
    <cellStyle name="Normal 8" xfId="28"/>
    <cellStyle name="Normal 9" xfId="30"/>
    <cellStyle name="Note" xfId="99" builtinId="10" customBuiltin="1"/>
    <cellStyle name="Output" xfId="94" builtinId="21" customBuiltin="1"/>
    <cellStyle name="Percent 2" xfId="6"/>
    <cellStyle name="Percent 2 2" xfId="81"/>
    <cellStyle name="Percent 2 3" xfId="65"/>
    <cellStyle name="Percent 3" xfId="16"/>
    <cellStyle name="Percent 3 2" xfId="168"/>
    <cellStyle name="Percent 3 2 2" xfId="220"/>
    <cellStyle name="Percent 3 2 3" xfId="274"/>
    <cellStyle name="Percent 3 3" xfId="174"/>
    <cellStyle name="Percent 3 4" xfId="224"/>
    <cellStyle name="Percent 3 5" xfId="228"/>
    <cellStyle name="Percent 3 6" xfId="145"/>
    <cellStyle name="Percent 4" xfId="147"/>
    <cellStyle name="Percent 4 2" xfId="170"/>
    <cellStyle name="Percent 4 2 2" xfId="222"/>
    <cellStyle name="Percent 4 2 3" xfId="276"/>
    <cellStyle name="Percent 4 3" xfId="221"/>
    <cellStyle name="Percent 4 4" xfId="275"/>
    <cellStyle name="Percent 5" xfId="277"/>
    <cellStyle name="Title" xfId="85" builtinId="15" customBuiltin="1"/>
    <cellStyle name="Total" xfId="101" builtinId="25" customBuiltin="1"/>
    <cellStyle name="TRANSMISSION RELIABILITY PORTION OF PROJECT" xfId="7"/>
    <cellStyle name="TRANSMISSION RELIABILITY PORTION OF PROJECT 2" xfId="17"/>
    <cellStyle name="TRANSMISSION RELIABILITY PORTION OF PROJECT 2 2" xfId="126"/>
    <cellStyle name="Warning Text" xfId="98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sc.state.ut.us/SHR02/ACCTNG/GENERAL/JAN%20LEWIS/DSM/Recovery%20Files/RECOV03-May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87"/>
  <sheetViews>
    <sheetView tabSelected="1" zoomScale="90" zoomScaleNormal="90" workbookViewId="0">
      <selection activeCell="N47" sqref="N47"/>
    </sheetView>
  </sheetViews>
  <sheetFormatPr defaultColWidth="9.140625" defaultRowHeight="14.25"/>
  <cols>
    <col min="1" max="1" width="17.5703125" style="11" customWidth="1"/>
    <col min="2" max="2" width="17.28515625" style="11" customWidth="1"/>
    <col min="3" max="3" width="15.28515625" style="11" customWidth="1"/>
    <col min="4" max="4" width="17" style="11" customWidth="1"/>
    <col min="5" max="5" width="15.7109375" style="11" bestFit="1" customWidth="1"/>
    <col min="6" max="6" width="17" style="11" bestFit="1" customWidth="1"/>
    <col min="7" max="7" width="16.85546875" style="11" customWidth="1"/>
    <col min="8" max="8" width="9.28515625" style="11" customWidth="1"/>
    <col min="9" max="9" width="1.42578125" style="11" customWidth="1"/>
    <col min="10" max="10" width="16.42578125" style="11" customWidth="1"/>
    <col min="11" max="11" width="2.7109375" style="11" customWidth="1"/>
    <col min="12" max="16384" width="9.140625" style="11"/>
  </cols>
  <sheetData>
    <row r="1" spans="1:134" s="5" customFormat="1" ht="12.75" customHeight="1">
      <c r="A1" s="1" t="s">
        <v>40</v>
      </c>
      <c r="B1" s="1"/>
      <c r="C1" s="1"/>
      <c r="D1" s="2"/>
      <c r="E1" s="1"/>
      <c r="F1" s="1"/>
      <c r="G1" s="1"/>
      <c r="H1" s="3"/>
      <c r="I1" s="4"/>
      <c r="J1" s="4"/>
    </row>
    <row r="2" spans="1:134" s="6" customFormat="1" ht="12.75" customHeight="1">
      <c r="A2" s="1" t="s">
        <v>0</v>
      </c>
      <c r="B2" s="1"/>
      <c r="C2" s="1"/>
      <c r="D2" s="2"/>
      <c r="E2" s="1"/>
      <c r="F2" s="1"/>
      <c r="G2" s="1"/>
      <c r="H2" s="3"/>
      <c r="I2" s="4"/>
      <c r="J2" s="4"/>
    </row>
    <row r="3" spans="1:134" s="6" customFormat="1" ht="12.75" customHeight="1">
      <c r="A3" s="58" t="s">
        <v>41</v>
      </c>
      <c r="B3" s="58"/>
      <c r="C3" s="58"/>
      <c r="D3" s="58"/>
      <c r="E3" s="58"/>
      <c r="F3" s="58"/>
      <c r="G3" s="58"/>
      <c r="H3" s="58"/>
      <c r="I3" s="58"/>
      <c r="J3" s="58"/>
    </row>
    <row r="4" spans="1:134">
      <c r="A4" s="7"/>
      <c r="B4" s="8"/>
      <c r="C4" s="8"/>
      <c r="D4" s="8"/>
      <c r="E4" s="12"/>
      <c r="F4" s="13" t="s">
        <v>1</v>
      </c>
      <c r="G4" s="13"/>
      <c r="H4" s="14"/>
      <c r="I4" s="10"/>
      <c r="J4" s="1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</row>
    <row r="5" spans="1:134" s="5" customFormat="1" ht="51" customHeight="1">
      <c r="A5" s="16"/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8" t="s">
        <v>31</v>
      </c>
      <c r="I5" s="19"/>
      <c r="J5" s="18" t="s">
        <v>8</v>
      </c>
    </row>
    <row r="6" spans="1:134" ht="6.75" customHeight="1">
      <c r="A6" s="20"/>
      <c r="B6" s="21"/>
      <c r="C6" s="21"/>
      <c r="D6" s="21"/>
      <c r="E6" s="21"/>
      <c r="F6" s="21"/>
      <c r="G6" s="21"/>
      <c r="H6" s="22"/>
      <c r="I6" s="10"/>
      <c r="J6" s="23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9"/>
      <c r="EA6" s="9"/>
      <c r="EB6" s="9"/>
      <c r="EC6" s="10"/>
      <c r="ED6" s="10"/>
    </row>
    <row r="7" spans="1:134">
      <c r="A7" s="24" t="s">
        <v>21</v>
      </c>
      <c r="B7" s="40">
        <v>43638929.749999993</v>
      </c>
      <c r="C7" s="40">
        <v>3865060.19</v>
      </c>
      <c r="D7" s="40">
        <v>-54147493.57</v>
      </c>
      <c r="E7" s="40">
        <v>-428385</v>
      </c>
      <c r="F7" s="37">
        <v>-8770676.345999999</v>
      </c>
      <c r="G7" s="37">
        <v>-4905616.1559999995</v>
      </c>
      <c r="H7" s="26"/>
      <c r="I7" s="10"/>
      <c r="J7" s="46"/>
    </row>
    <row r="8" spans="1:134" ht="7.5" customHeight="1">
      <c r="A8" s="24"/>
      <c r="B8" s="38"/>
      <c r="C8" s="38"/>
      <c r="D8" s="38"/>
      <c r="E8" s="38"/>
      <c r="F8" s="39"/>
      <c r="G8" s="39"/>
      <c r="H8" s="26"/>
      <c r="I8" s="10"/>
      <c r="J8" s="46"/>
    </row>
    <row r="9" spans="1:134">
      <c r="A9" s="24" t="s">
        <v>22</v>
      </c>
      <c r="B9" s="40">
        <v>44887095</v>
      </c>
      <c r="C9" s="40">
        <v>781573.44000000018</v>
      </c>
      <c r="D9" s="40">
        <v>-47901079.229999989</v>
      </c>
      <c r="E9" s="40">
        <v>-1154860</v>
      </c>
      <c r="F9" s="39">
        <v>-12939520.576000005</v>
      </c>
      <c r="G9" s="39">
        <v>-8292886.9460000051</v>
      </c>
      <c r="H9" s="53">
        <v>7.8299999999999995E-2</v>
      </c>
      <c r="I9" s="10"/>
      <c r="J9" s="46">
        <v>3416696</v>
      </c>
    </row>
    <row r="10" spans="1:134" ht="6" customHeight="1">
      <c r="A10" s="24"/>
      <c r="B10" s="38"/>
      <c r="C10" s="38"/>
      <c r="D10" s="38"/>
      <c r="E10" s="38"/>
      <c r="F10" s="39"/>
      <c r="G10" s="39"/>
      <c r="H10" s="26"/>
      <c r="I10" s="10"/>
      <c r="J10" s="46"/>
    </row>
    <row r="11" spans="1:134">
      <c r="A11" s="24" t="s">
        <v>23</v>
      </c>
      <c r="B11" s="47">
        <v>51076863.060000002</v>
      </c>
      <c r="C11" s="47">
        <f>-1985771.98-1</f>
        <v>-1985772.98</v>
      </c>
      <c r="D11" s="47">
        <v>-45941420.799999997</v>
      </c>
      <c r="E11" s="47">
        <v>-1128853</v>
      </c>
      <c r="F11" s="48">
        <v>-8932931.3160000034</v>
      </c>
      <c r="G11" s="48">
        <v>-6272069.6660000021</v>
      </c>
      <c r="H11" s="53">
        <v>7.7700000000000005E-2</v>
      </c>
      <c r="I11" s="31"/>
      <c r="J11" s="46">
        <v>2287843</v>
      </c>
    </row>
    <row r="12" spans="1:134" ht="6.75" customHeight="1">
      <c r="A12" s="24"/>
      <c r="B12" s="50"/>
      <c r="C12" s="50"/>
      <c r="D12" s="50"/>
      <c r="E12" s="50"/>
      <c r="F12" s="48"/>
      <c r="G12" s="48"/>
      <c r="H12" s="49"/>
      <c r="I12" s="31"/>
      <c r="J12" s="46"/>
    </row>
    <row r="13" spans="1:134" hidden="1">
      <c r="A13" s="27" t="s">
        <v>9</v>
      </c>
      <c r="B13" s="36">
        <v>4196557.4000000004</v>
      </c>
      <c r="C13" s="36">
        <v>1838939.81</v>
      </c>
      <c r="D13" s="36">
        <v>-4530672.1500000004</v>
      </c>
      <c r="E13" s="36">
        <f>ROUND((((B13+D13)/2)+F11)*(7.77%/12),0)</f>
        <v>-58922</v>
      </c>
      <c r="F13" s="36">
        <f>+F11+B13+D13+E13</f>
        <v>-9325968.0660000034</v>
      </c>
      <c r="G13" s="36">
        <f>SUM(C13)+$C$7+$C$9+$C$11+F13</f>
        <v>-4826167.6060000025</v>
      </c>
      <c r="H13" s="25">
        <v>7.7600000000000002E-2</v>
      </c>
      <c r="I13" s="31"/>
      <c r="J13" s="36">
        <f>+J11+E13</f>
        <v>2228921</v>
      </c>
    </row>
    <row r="14" spans="1:134" hidden="1">
      <c r="A14" s="28" t="s">
        <v>10</v>
      </c>
      <c r="B14" s="36">
        <v>7301899.2400000002</v>
      </c>
      <c r="C14" s="36">
        <v>-719294.72</v>
      </c>
      <c r="D14" s="36">
        <v>-3936377.67</v>
      </c>
      <c r="E14" s="36">
        <f t="shared" ref="E14:E23" si="0">ROUND((((B14+D14)/2)+F13)*(7.77%/12),0)</f>
        <v>-49490</v>
      </c>
      <c r="F14" s="36">
        <f t="shared" ref="F14:F24" si="1">+F13+B14+D14+E14</f>
        <v>-6009936.4960000031</v>
      </c>
      <c r="G14" s="36">
        <f>SUM(C13:C14)+$C$7+$C$9+$C$11+F14</f>
        <v>-2229430.7560000024</v>
      </c>
      <c r="H14" s="25">
        <v>7.7600000000000002E-2</v>
      </c>
      <c r="I14" s="31"/>
      <c r="J14" s="36">
        <f t="shared" ref="J14:J19" si="2">+J13+E14</f>
        <v>2179431</v>
      </c>
    </row>
    <row r="15" spans="1:134" hidden="1">
      <c r="A15" s="29" t="s">
        <v>11</v>
      </c>
      <c r="B15" s="36">
        <v>9513000.9499999993</v>
      </c>
      <c r="C15" s="36">
        <v>107508.32</v>
      </c>
      <c r="D15" s="36">
        <v>-4826683.72</v>
      </c>
      <c r="E15" s="36">
        <f t="shared" si="0"/>
        <v>-23742</v>
      </c>
      <c r="F15" s="36">
        <f t="shared" si="1"/>
        <v>-1347361.2660000036</v>
      </c>
      <c r="G15" s="36">
        <f>SUM(C13:C15)+$C$7+$C$9+$C$11+F15</f>
        <v>2540652.7939999965</v>
      </c>
      <c r="H15" s="25">
        <v>7.7600000000000002E-2</v>
      </c>
      <c r="I15" s="30"/>
      <c r="J15" s="36">
        <f t="shared" si="2"/>
        <v>2155689</v>
      </c>
    </row>
    <row r="16" spans="1:134" hidden="1">
      <c r="A16" s="27" t="s">
        <v>12</v>
      </c>
      <c r="B16" s="36">
        <v>8332524.4299999997</v>
      </c>
      <c r="C16" s="36">
        <v>-364021.59</v>
      </c>
      <c r="D16" s="36">
        <v>-4024107.75</v>
      </c>
      <c r="E16" s="36">
        <f t="shared" si="0"/>
        <v>5224</v>
      </c>
      <c r="F16" s="36">
        <f t="shared" si="1"/>
        <v>2966279.4139999961</v>
      </c>
      <c r="G16" s="36">
        <f>SUM(C13:C16)+$C$7+$C$9+$C$11+F16</f>
        <v>6490271.8839999959</v>
      </c>
      <c r="H16" s="25">
        <v>7.7600000000000002E-2</v>
      </c>
      <c r="I16" s="31"/>
      <c r="J16" s="36">
        <f t="shared" si="2"/>
        <v>2160913</v>
      </c>
    </row>
    <row r="17" spans="1:10" hidden="1">
      <c r="A17" s="28" t="s">
        <v>13</v>
      </c>
      <c r="B17" s="36">
        <v>5867664.04</v>
      </c>
      <c r="C17" s="36">
        <v>86444.05</v>
      </c>
      <c r="D17" s="36">
        <v>-4206797.6900000004</v>
      </c>
      <c r="E17" s="36">
        <f t="shared" si="0"/>
        <v>24584</v>
      </c>
      <c r="F17" s="36">
        <f t="shared" si="1"/>
        <v>4651729.7639999958</v>
      </c>
      <c r="G17" s="36">
        <f>SUM(C13:C17)+$C$7+$C$9+$C$11+F17</f>
        <v>8262166.2839999963</v>
      </c>
      <c r="H17" s="25">
        <v>7.7600000000000002E-2</v>
      </c>
      <c r="I17" s="31"/>
      <c r="J17" s="36">
        <f t="shared" si="2"/>
        <v>2185497</v>
      </c>
    </row>
    <row r="18" spans="1:10" hidden="1">
      <c r="A18" s="28" t="s">
        <v>14</v>
      </c>
      <c r="B18" s="36">
        <v>9395350.6799999997</v>
      </c>
      <c r="C18" s="36">
        <v>-224949.94</v>
      </c>
      <c r="D18" s="36">
        <v>-5230146.9000000004</v>
      </c>
      <c r="E18" s="36">
        <f t="shared" si="0"/>
        <v>43605</v>
      </c>
      <c r="F18" s="36">
        <f t="shared" si="1"/>
        <v>8860538.5439999942</v>
      </c>
      <c r="G18" s="36">
        <f>SUM(C13:C18)+$C$7+$C$9+$C$11+F18</f>
        <v>12246025.123999994</v>
      </c>
      <c r="H18" s="25">
        <v>7.7600000000000002E-2</v>
      </c>
      <c r="I18" s="31"/>
      <c r="J18" s="36">
        <f t="shared" si="2"/>
        <v>2229102</v>
      </c>
    </row>
    <row r="19" spans="1:10" hidden="1">
      <c r="A19" s="27" t="s">
        <v>15</v>
      </c>
      <c r="B19" s="36">
        <v>6005272.6799999997</v>
      </c>
      <c r="C19" s="36">
        <v>707312.72</v>
      </c>
      <c r="D19" s="36">
        <v>-6293445.3200000003</v>
      </c>
      <c r="E19" s="36">
        <f t="shared" si="0"/>
        <v>56439</v>
      </c>
      <c r="F19" s="36">
        <f t="shared" si="1"/>
        <v>8628804.9039999936</v>
      </c>
      <c r="G19" s="36">
        <f>SUM(C13:C19)+$C$7+$C$9+$C$11+F19</f>
        <v>12721604.203999994</v>
      </c>
      <c r="H19" s="25">
        <v>7.7600000000000002E-2</v>
      </c>
      <c r="I19" s="31"/>
      <c r="J19" s="36">
        <f t="shared" si="2"/>
        <v>2285541</v>
      </c>
    </row>
    <row r="20" spans="1:10" hidden="1">
      <c r="A20" s="27" t="s">
        <v>16</v>
      </c>
      <c r="B20" s="36">
        <v>5839647.3200000003</v>
      </c>
      <c r="C20" s="36">
        <v>1966034.46</v>
      </c>
      <c r="D20" s="36">
        <v>-6733047.1699999999</v>
      </c>
      <c r="E20" s="36">
        <f t="shared" si="0"/>
        <v>52979</v>
      </c>
      <c r="F20" s="36">
        <f t="shared" si="1"/>
        <v>7788384.053999994</v>
      </c>
      <c r="G20" s="36">
        <f>SUM(C13:C20)+$C$7+$C$9+$C$11+F20</f>
        <v>13847217.813999996</v>
      </c>
      <c r="H20" s="25">
        <v>7.7600000000000002E-2</v>
      </c>
      <c r="I20" s="31"/>
      <c r="J20" s="36">
        <f>+J19+E20</f>
        <v>2338520</v>
      </c>
    </row>
    <row r="21" spans="1:10" hidden="1">
      <c r="A21" s="27" t="s">
        <v>17</v>
      </c>
      <c r="B21" s="36">
        <v>4767034.04</v>
      </c>
      <c r="C21" s="36">
        <v>334494.95</v>
      </c>
      <c r="D21" s="36">
        <v>-5742216.3899999997</v>
      </c>
      <c r="E21" s="36">
        <f t="shared" si="0"/>
        <v>47273</v>
      </c>
      <c r="F21" s="36">
        <f t="shared" si="1"/>
        <v>6860474.7039999934</v>
      </c>
      <c r="G21" s="36">
        <f>SUM(C13:C21)+$C$7+$C$9+$C$11+F21</f>
        <v>13253803.413999993</v>
      </c>
      <c r="H21" s="25">
        <v>7.7600000000000002E-2</v>
      </c>
      <c r="I21" s="31"/>
      <c r="J21" s="36">
        <f>+J20+E21</f>
        <v>2385793</v>
      </c>
    </row>
    <row r="22" spans="1:10" hidden="1">
      <c r="A22" s="27" t="s">
        <v>18</v>
      </c>
      <c r="B22" s="36">
        <v>5954205.6799999997</v>
      </c>
      <c r="C22" s="36">
        <v>-1449084.99</v>
      </c>
      <c r="D22" s="36">
        <v>-4844019.55</v>
      </c>
      <c r="E22" s="36">
        <f t="shared" si="0"/>
        <v>48016</v>
      </c>
      <c r="F22" s="36">
        <f t="shared" si="1"/>
        <v>8018676.8339999923</v>
      </c>
      <c r="G22" s="36">
        <f>SUM(C13:C22)+$C$7+$C$9+$C$11+F22</f>
        <v>12962920.553999994</v>
      </c>
      <c r="H22" s="25">
        <v>7.7600000000000002E-2</v>
      </c>
      <c r="I22" s="31"/>
      <c r="J22" s="36">
        <f>+J21+E22</f>
        <v>2433809</v>
      </c>
    </row>
    <row r="23" spans="1:10" hidden="1">
      <c r="A23" s="27" t="s">
        <v>19</v>
      </c>
      <c r="B23" s="36">
        <v>8026170.0499999998</v>
      </c>
      <c r="C23" s="36">
        <v>-832510.46</v>
      </c>
      <c r="D23" s="36">
        <v>-4253145.43</v>
      </c>
      <c r="E23" s="36">
        <f t="shared" si="0"/>
        <v>64136</v>
      </c>
      <c r="F23" s="36">
        <f t="shared" si="1"/>
        <v>11855837.453999992</v>
      </c>
      <c r="G23" s="36">
        <f>SUM(C13:C23)+$C$7+$C$9+$C$11+F23</f>
        <v>15967570.713999994</v>
      </c>
      <c r="H23" s="25">
        <v>7.7600000000000002E-2</v>
      </c>
      <c r="I23" s="31"/>
      <c r="J23" s="36">
        <f>+J22+E23</f>
        <v>2497945</v>
      </c>
    </row>
    <row r="24" spans="1:10" hidden="1">
      <c r="A24" s="27" t="s">
        <v>20</v>
      </c>
      <c r="B24" s="36">
        <v>6528307.1600000001</v>
      </c>
      <c r="C24" s="36">
        <v>572303.66</v>
      </c>
      <c r="D24" s="36">
        <v>-4736239.2699999996</v>
      </c>
      <c r="E24" s="36">
        <v>82192</v>
      </c>
      <c r="F24" s="36">
        <f t="shared" si="1"/>
        <v>13730097.343999993</v>
      </c>
      <c r="G24" s="36">
        <f>SUM(C13:C24)+$C$7+$C$9+$C$11+F24</f>
        <v>18414134.263999995</v>
      </c>
      <c r="H24" s="25">
        <v>7.7600000000000002E-2</v>
      </c>
      <c r="I24" s="31"/>
      <c r="J24" s="36">
        <f>+J23+E24</f>
        <v>2580137</v>
      </c>
    </row>
    <row r="25" spans="1:10">
      <c r="A25" s="24" t="s">
        <v>24</v>
      </c>
      <c r="B25" s="40">
        <f>SUM(B13:B24)</f>
        <v>81727633.670000002</v>
      </c>
      <c r="C25" s="40">
        <f>SUM(C13:C24)</f>
        <v>2023176.2700000005</v>
      </c>
      <c r="D25" s="40">
        <f>SUM(D13:D24)</f>
        <v>-59356899.010000005</v>
      </c>
      <c r="E25" s="47">
        <f>SUM(E13:E24)</f>
        <v>292294</v>
      </c>
      <c r="F25" s="48">
        <v>13730097.343999993</v>
      </c>
      <c r="G25" s="48">
        <v>18414135.263999995</v>
      </c>
      <c r="H25" s="53">
        <v>7.7600000000000002E-2</v>
      </c>
      <c r="I25" s="31"/>
      <c r="J25" s="46">
        <v>2580137</v>
      </c>
    </row>
    <row r="26" spans="1:10" ht="5.25" customHeight="1">
      <c r="B26" s="43"/>
      <c r="C26" s="43"/>
      <c r="D26" s="43"/>
      <c r="E26" s="51"/>
      <c r="F26" s="51"/>
      <c r="G26" s="51"/>
      <c r="H26" s="52"/>
      <c r="I26" s="52"/>
      <c r="J26" s="51"/>
    </row>
    <row r="27" spans="1:10">
      <c r="A27" s="24" t="s">
        <v>26</v>
      </c>
      <c r="B27" s="40">
        <v>62241103.639999993</v>
      </c>
      <c r="C27" s="40">
        <v>822220.69999999984</v>
      </c>
      <c r="D27" s="40">
        <v>-68050713.420000002</v>
      </c>
      <c r="E27" s="47">
        <v>843168</v>
      </c>
      <c r="F27" s="48">
        <v>8763655.5639999919</v>
      </c>
      <c r="G27" s="48">
        <v>14269914.183999993</v>
      </c>
      <c r="H27" s="25">
        <v>7.3200000000000001E-2</v>
      </c>
      <c r="I27" s="31"/>
      <c r="J27" s="46">
        <v>3423305</v>
      </c>
    </row>
    <row r="28" spans="1:10" ht="7.5" customHeight="1">
      <c r="B28" s="43"/>
      <c r="C28" s="43"/>
      <c r="D28" s="43"/>
      <c r="E28" s="51"/>
      <c r="F28" s="51"/>
      <c r="G28" s="51"/>
      <c r="H28" s="52"/>
      <c r="I28" s="52"/>
      <c r="J28" s="51"/>
    </row>
    <row r="29" spans="1:10" hidden="1">
      <c r="A29" s="27" t="s">
        <v>9</v>
      </c>
      <c r="B29" s="36">
        <v>3957447.2</v>
      </c>
      <c r="C29" s="36">
        <v>-640324.02</v>
      </c>
      <c r="D29" s="36">
        <v>-6219136.7800000003</v>
      </c>
      <c r="E29" s="36">
        <f>ROUND((((B29+D29)/2)+F27)*(7.74%/12),0)</f>
        <v>49232</v>
      </c>
      <c r="F29" s="36">
        <f>+F27+B29+D29+E29</f>
        <v>6551197.9839999909</v>
      </c>
      <c r="G29" s="36">
        <f>SUM(C29)+$C$7+$C$9+$C$11+F29+C27+C25</f>
        <v>11417131.583999991</v>
      </c>
      <c r="H29" s="25">
        <v>7.7399999999999997E-2</v>
      </c>
      <c r="I29" s="25">
        <v>7.7600000000000002E-2</v>
      </c>
      <c r="J29" s="36">
        <f>+J27+E29</f>
        <v>3472537</v>
      </c>
    </row>
    <row r="30" spans="1:10" hidden="1">
      <c r="A30" s="28" t="s">
        <v>10</v>
      </c>
      <c r="B30" s="36">
        <v>5502164.0700000003</v>
      </c>
      <c r="C30" s="36">
        <v>-97140.5</v>
      </c>
      <c r="D30" s="36">
        <v>-5812722.0199999996</v>
      </c>
      <c r="E30" s="36">
        <f>ROUND((((B30+D30)/2)+F29)*(7.74%/12),0)</f>
        <v>41254</v>
      </c>
      <c r="F30" s="36">
        <f t="shared" ref="F30:F40" si="3">+F29+B30+D30+E30</f>
        <v>6281894.0339999907</v>
      </c>
      <c r="G30" s="36">
        <f>SUM(C29:C30)+$C$7+$C$9+$C$11+F30+C27+C25</f>
        <v>11050687.133999992</v>
      </c>
      <c r="H30" s="25">
        <v>7.7399999999999997E-2</v>
      </c>
      <c r="I30" s="25">
        <v>7.7600000000000002E-2</v>
      </c>
      <c r="J30" s="36">
        <f t="shared" ref="J30:J35" si="4">+J29+E30</f>
        <v>3513791</v>
      </c>
    </row>
    <row r="31" spans="1:10" hidden="1">
      <c r="A31" s="29" t="s">
        <v>11</v>
      </c>
      <c r="B31" s="36">
        <v>4010642.76</v>
      </c>
      <c r="C31" s="36">
        <v>-101375.81</v>
      </c>
      <c r="D31" s="36">
        <v>-5114181.01</v>
      </c>
      <c r="E31" s="36">
        <f>ROUND((((B31+D31)/2)+F30)*(4.45%/12),0)+25</f>
        <v>21274</v>
      </c>
      <c r="F31" s="36">
        <f t="shared" si="3"/>
        <v>5199629.7839999907</v>
      </c>
      <c r="G31" s="36">
        <f>SUM(C29:C31)+$C$7+$C$9+$C$11+F31+C27+C25</f>
        <v>9867047.0739999916</v>
      </c>
      <c r="H31" s="25">
        <v>4.4499999999999998E-2</v>
      </c>
      <c r="I31" s="25">
        <v>7.7600000000000002E-2</v>
      </c>
      <c r="J31" s="36">
        <f t="shared" si="4"/>
        <v>3535065</v>
      </c>
    </row>
    <row r="32" spans="1:10" hidden="1">
      <c r="A32" s="27" t="s">
        <v>12</v>
      </c>
      <c r="B32" s="36">
        <v>3649184.13</v>
      </c>
      <c r="C32" s="36">
        <v>1887278.57</v>
      </c>
      <c r="D32" s="36">
        <v>-5036556.5999999996</v>
      </c>
      <c r="E32" s="36">
        <f t="shared" ref="E32:E40" si="5">ROUND((((B32+D32)/2)+F31)*(4.45%/12),0)</f>
        <v>16710</v>
      </c>
      <c r="F32" s="36">
        <f t="shared" si="3"/>
        <v>3828967.31399999</v>
      </c>
      <c r="G32" s="36">
        <f>SUM(C29:C32)+$C$7+$C$9+$C$11+F32+C27+C25</f>
        <v>10383663.173999991</v>
      </c>
      <c r="H32" s="25">
        <v>4.4499999999999998E-2</v>
      </c>
      <c r="I32" s="25">
        <v>7.7600000000000002E-2</v>
      </c>
      <c r="J32" s="36">
        <f t="shared" si="4"/>
        <v>3551775</v>
      </c>
    </row>
    <row r="33" spans="1:10" hidden="1">
      <c r="A33" s="28" t="s">
        <v>13</v>
      </c>
      <c r="B33" s="36">
        <v>4189551.42</v>
      </c>
      <c r="C33" s="36">
        <v>-1727121.6</v>
      </c>
      <c r="D33" s="36">
        <v>-5313045.41</v>
      </c>
      <c r="E33" s="36">
        <f t="shared" si="5"/>
        <v>12116</v>
      </c>
      <c r="F33" s="36">
        <f t="shared" si="3"/>
        <v>2717589.3239999898</v>
      </c>
      <c r="G33" s="36">
        <f>SUM(C29:C33)+$C$7+$C$9+$C$11+F33+C27+C25</f>
        <v>7545163.5839999914</v>
      </c>
      <c r="H33" s="25">
        <v>4.4499999999999998E-2</v>
      </c>
      <c r="I33" s="25">
        <v>7.7600000000000002E-2</v>
      </c>
      <c r="J33" s="36">
        <f t="shared" si="4"/>
        <v>3563891</v>
      </c>
    </row>
    <row r="34" spans="1:10" hidden="1">
      <c r="A34" s="28" t="s">
        <v>14</v>
      </c>
      <c r="B34" s="36">
        <v>7211523.1900000004</v>
      </c>
      <c r="C34" s="36">
        <v>-962707.25</v>
      </c>
      <c r="D34" s="36">
        <v>-6686874.79</v>
      </c>
      <c r="E34" s="36">
        <f t="shared" si="5"/>
        <v>11051</v>
      </c>
      <c r="F34" s="36">
        <f t="shared" si="3"/>
        <v>3253288.7239999911</v>
      </c>
      <c r="G34" s="36">
        <f>SUM(C29:C34)+$C$7+$C$9+$C$11+F34+C27+C25</f>
        <v>7118155.7339999918</v>
      </c>
      <c r="H34" s="25">
        <v>4.4499999999999998E-2</v>
      </c>
      <c r="I34" s="25">
        <v>7.7600000000000002E-2</v>
      </c>
      <c r="J34" s="36">
        <f t="shared" si="4"/>
        <v>3574942</v>
      </c>
    </row>
    <row r="35" spans="1:10" hidden="1">
      <c r="A35" s="27" t="s">
        <v>15</v>
      </c>
      <c r="B35" s="36">
        <v>3541877.75</v>
      </c>
      <c r="C35" s="36">
        <v>1301932.5900000001</v>
      </c>
      <c r="D35" s="36">
        <v>-8541981.0299999993</v>
      </c>
      <c r="E35" s="36">
        <f t="shared" si="5"/>
        <v>2793</v>
      </c>
      <c r="F35" s="36">
        <f t="shared" si="3"/>
        <v>-1744021.5560000082</v>
      </c>
      <c r="G35" s="36">
        <f>SUM(C29:C35)+$C$7+$C$9+$C$11+F35+C27+C25</f>
        <v>3422778.0439999923</v>
      </c>
      <c r="H35" s="25">
        <v>4.4499999999999998E-2</v>
      </c>
      <c r="I35" s="25">
        <v>7.7600000000000002E-2</v>
      </c>
      <c r="J35" s="36">
        <f t="shared" si="4"/>
        <v>3577735</v>
      </c>
    </row>
    <row r="36" spans="1:10" hidden="1">
      <c r="A36" s="27" t="s">
        <v>16</v>
      </c>
      <c r="B36" s="36">
        <v>5719255.9699999997</v>
      </c>
      <c r="C36" s="36">
        <v>-1630704.05</v>
      </c>
      <c r="D36" s="36">
        <v>-8970590.6500000004</v>
      </c>
      <c r="E36" s="36">
        <f t="shared" si="5"/>
        <v>-12496</v>
      </c>
      <c r="F36" s="36">
        <f t="shared" si="3"/>
        <v>-5007852.2360000089</v>
      </c>
      <c r="G36" s="36">
        <f>SUM(C29:C36)+$C$7+$C$9+$C$11+F36+C27+C25</f>
        <v>-1471756.6860000086</v>
      </c>
      <c r="H36" s="25">
        <v>4.4499999999999998E-2</v>
      </c>
      <c r="I36" s="25">
        <v>7.7600000000000002E-2</v>
      </c>
      <c r="J36" s="36">
        <f>+J35+E36</f>
        <v>3565239</v>
      </c>
    </row>
    <row r="37" spans="1:10" hidden="1">
      <c r="A37" s="27" t="s">
        <v>17</v>
      </c>
      <c r="B37" s="36">
        <v>4877905.8099999996</v>
      </c>
      <c r="C37" s="36">
        <v>1748387.19</v>
      </c>
      <c r="D37" s="36">
        <v>-7603915.2000000002</v>
      </c>
      <c r="E37" s="36">
        <f t="shared" si="5"/>
        <v>-23625</v>
      </c>
      <c r="F37" s="36">
        <f t="shared" si="3"/>
        <v>-7757486.6260000095</v>
      </c>
      <c r="G37" s="36">
        <f>SUM(C29:C37)+$C$7+$C$9+$C$11+F37+C27+C25</f>
        <v>-2473003.8860000093</v>
      </c>
      <c r="H37" s="25">
        <v>4.4499999999999998E-2</v>
      </c>
      <c r="I37" s="25">
        <v>7.7600000000000002E-2</v>
      </c>
      <c r="J37" s="36">
        <f>+J36+E37</f>
        <v>3541614</v>
      </c>
    </row>
    <row r="38" spans="1:10" hidden="1">
      <c r="A38" s="27" t="s">
        <v>18</v>
      </c>
      <c r="B38" s="36">
        <v>5085219.01</v>
      </c>
      <c r="C38" s="36">
        <v>-1078842.01</v>
      </c>
      <c r="D38" s="36">
        <v>-5966674.4800000004</v>
      </c>
      <c r="E38" s="36">
        <f t="shared" si="5"/>
        <v>-30402</v>
      </c>
      <c r="F38" s="36">
        <f t="shared" si="3"/>
        <v>-8669344.0960000101</v>
      </c>
      <c r="G38" s="36">
        <f>SUM(C29:C38)+$C$7+$C$9+$C$11+F38+C27+C25</f>
        <v>-4463703.3660000097</v>
      </c>
      <c r="H38" s="25">
        <v>4.4499999999999998E-2</v>
      </c>
      <c r="I38" s="25">
        <v>7.7600000000000002E-2</v>
      </c>
      <c r="J38" s="36">
        <f>+J37+E38</f>
        <v>3511212</v>
      </c>
    </row>
    <row r="39" spans="1:10" hidden="1">
      <c r="A39" s="27" t="s">
        <v>19</v>
      </c>
      <c r="B39" s="36">
        <v>7231444.2699999996</v>
      </c>
      <c r="C39" s="36">
        <v>-769695.04</v>
      </c>
      <c r="D39" s="36">
        <v>-5240777.22</v>
      </c>
      <c r="E39" s="36">
        <f t="shared" si="5"/>
        <v>-28458</v>
      </c>
      <c r="F39" s="36">
        <f t="shared" si="3"/>
        <v>-6707135.0460000103</v>
      </c>
      <c r="G39" s="36">
        <f>SUM(C29:C39)+$C$7+$C$9+$C$11+F39+C27+C25</f>
        <v>-3271189.3560000099</v>
      </c>
      <c r="H39" s="25">
        <v>4.4499999999999998E-2</v>
      </c>
      <c r="I39" s="25">
        <v>7.7600000000000002E-2</v>
      </c>
      <c r="J39" s="36">
        <f>+J38+E39</f>
        <v>3482754</v>
      </c>
    </row>
    <row r="40" spans="1:10" hidden="1">
      <c r="A40" s="27" t="s">
        <v>20</v>
      </c>
      <c r="B40" s="36">
        <v>5685830.6699999999</v>
      </c>
      <c r="C40" s="36">
        <v>-742557.7</v>
      </c>
      <c r="D40" s="36">
        <v>-6051035.9400000004</v>
      </c>
      <c r="E40" s="36">
        <f t="shared" si="5"/>
        <v>-25549</v>
      </c>
      <c r="F40" s="55">
        <f t="shared" si="3"/>
        <v>-7097889.3160000108</v>
      </c>
      <c r="G40" s="36">
        <f>SUM(C29:C40)+$C$7+$C$9+$C$11+F40+C27+C25</f>
        <v>-4404501.3260000097</v>
      </c>
      <c r="H40" s="25">
        <v>4.4499999999999998E-2</v>
      </c>
      <c r="I40" s="25">
        <v>7.7600000000000002E-2</v>
      </c>
      <c r="J40" s="36">
        <f>+J39+E40</f>
        <v>3457205</v>
      </c>
    </row>
    <row r="41" spans="1:10">
      <c r="A41" s="24" t="s">
        <v>27</v>
      </c>
      <c r="B41" s="40">
        <f>SUM(B29:B40)</f>
        <v>60662046.25</v>
      </c>
      <c r="C41" s="40">
        <f>SUM(C29:C40)</f>
        <v>-2812869.63</v>
      </c>
      <c r="D41" s="40">
        <f>SUM(D29:D40)</f>
        <v>-76557491.13000001</v>
      </c>
      <c r="E41" s="47">
        <f>SUM(E29:E40)</f>
        <v>33900</v>
      </c>
      <c r="F41" s="56">
        <v>-7097889.3160000108</v>
      </c>
      <c r="G41" s="56">
        <v>-4404501.3260000097</v>
      </c>
      <c r="H41" s="25">
        <v>4.4499999999999998E-2</v>
      </c>
      <c r="I41" s="31">
        <v>7.7600000000000002E-2</v>
      </c>
      <c r="J41" s="46">
        <v>3457205</v>
      </c>
    </row>
    <row r="42" spans="1:10">
      <c r="A42" s="24"/>
      <c r="B42" s="38"/>
      <c r="C42" s="38"/>
      <c r="D42" s="38"/>
      <c r="E42" s="50"/>
      <c r="F42" s="48"/>
      <c r="G42" s="48"/>
      <c r="H42" s="49"/>
      <c r="I42" s="31"/>
      <c r="J42" s="46"/>
    </row>
    <row r="43" spans="1:10">
      <c r="A43" s="27" t="s">
        <v>9</v>
      </c>
      <c r="B43" s="36">
        <v>2648142.14</v>
      </c>
      <c r="C43" s="36">
        <v>262689.32</v>
      </c>
      <c r="D43" s="36">
        <v>-6073074.8499999996</v>
      </c>
      <c r="E43" s="36">
        <f>ROUND((((B43+D43)/2)+F40)*(10.65%/12),0)</f>
        <v>-78192</v>
      </c>
      <c r="F43" s="36">
        <f>+F40+B43+D43+E43</f>
        <v>-10601014.02600001</v>
      </c>
      <c r="G43" s="36">
        <f>SUM(C43)+$C$7+$C$9+$C$11+F43+$C$41+$C$27+$C$25</f>
        <v>-7644936.7160000084</v>
      </c>
      <c r="H43" s="25">
        <v>0.1065</v>
      </c>
      <c r="I43" s="25">
        <v>7.7600000000000002E-2</v>
      </c>
      <c r="J43" s="36">
        <f>+J40+E43</f>
        <v>3379013</v>
      </c>
    </row>
    <row r="44" spans="1:10">
      <c r="A44" s="28" t="s">
        <v>10</v>
      </c>
      <c r="B44" s="36">
        <v>3754612.25</v>
      </c>
      <c r="C44" s="36">
        <v>348092.95</v>
      </c>
      <c r="D44" s="36">
        <v>-5423643.7199999997</v>
      </c>
      <c r="E44" s="36">
        <f t="shared" ref="E44:E54" si="6">ROUND((((B44+D44)/2)+F43)*(10.65%/12),0)</f>
        <v>-101490</v>
      </c>
      <c r="F44" s="36">
        <f t="shared" ref="F44:F54" si="7">+F43+B44+D44+E44</f>
        <v>-12371535.496000011</v>
      </c>
      <c r="G44" s="36">
        <f>SUM(C43:C44)+$C$7+$C$9+$C$11+F44+$C$41+$C$27+$C$25</f>
        <v>-9067365.2360000126</v>
      </c>
      <c r="H44" s="25">
        <v>0.1065</v>
      </c>
      <c r="I44" s="25">
        <v>7.7600000000000002E-2</v>
      </c>
      <c r="J44" s="36">
        <f t="shared" ref="J44:J49" si="8">+J43+E44</f>
        <v>3277523</v>
      </c>
    </row>
    <row r="45" spans="1:10">
      <c r="A45" s="29" t="s">
        <v>11</v>
      </c>
      <c r="B45" s="36">
        <v>3478015.21</v>
      </c>
      <c r="C45" s="36">
        <v>-117206.13</v>
      </c>
      <c r="D45" s="36">
        <v>-4738882.53</v>
      </c>
      <c r="E45" s="36">
        <f t="shared" si="6"/>
        <v>-115392</v>
      </c>
      <c r="F45" s="36">
        <f t="shared" si="7"/>
        <v>-13747794.816000011</v>
      </c>
      <c r="G45" s="36">
        <f>SUM(C43:C45)+$C$7+$C$9+$C$11+F45+$C$41+$C$27+$C$25</f>
        <v>-10560830.686000012</v>
      </c>
      <c r="H45" s="25">
        <v>0.1065</v>
      </c>
      <c r="I45" s="25">
        <v>7.7600000000000002E-2</v>
      </c>
      <c r="J45" s="36">
        <f t="shared" si="8"/>
        <v>3162131</v>
      </c>
    </row>
    <row r="46" spans="1:10">
      <c r="A46" s="27" t="s">
        <v>12</v>
      </c>
      <c r="B46" s="36">
        <v>4355254.13</v>
      </c>
      <c r="C46" s="36">
        <v>586847.75</v>
      </c>
      <c r="D46" s="36">
        <v>-4768815.47</v>
      </c>
      <c r="E46" s="36">
        <f t="shared" si="6"/>
        <v>-123847</v>
      </c>
      <c r="F46" s="36">
        <f t="shared" si="7"/>
        <v>-14285203.156000011</v>
      </c>
      <c r="G46" s="36">
        <f>SUM(C43:C46)+$C$7+$C$9+$C$11+F46+$C$41+$C$27+$C$25</f>
        <v>-10511391.276000012</v>
      </c>
      <c r="H46" s="25">
        <v>0.1065</v>
      </c>
      <c r="I46" s="25">
        <v>7.7600000000000002E-2</v>
      </c>
      <c r="J46" s="36">
        <f t="shared" si="8"/>
        <v>3038284</v>
      </c>
    </row>
    <row r="47" spans="1:10">
      <c r="A47" s="28" t="s">
        <v>13</v>
      </c>
      <c r="B47" s="36">
        <v>3686016.71</v>
      </c>
      <c r="C47" s="36">
        <v>-291172.46000000002</v>
      </c>
      <c r="D47" s="36">
        <v>-4697674.28</v>
      </c>
      <c r="E47" s="36">
        <f t="shared" si="6"/>
        <v>-131270</v>
      </c>
      <c r="F47" s="36">
        <f t="shared" si="7"/>
        <v>-15428130.726000011</v>
      </c>
      <c r="G47" s="36">
        <f>SUM(C43:C47)+$C$7+$C$9+$C$11+F47+$C$41+$C$27+$C$25</f>
        <v>-11945491.306000013</v>
      </c>
      <c r="H47" s="25">
        <v>0.1065</v>
      </c>
      <c r="I47" s="25">
        <v>7.7600000000000002E-2</v>
      </c>
      <c r="J47" s="36">
        <f t="shared" si="8"/>
        <v>2907014</v>
      </c>
    </row>
    <row r="48" spans="1:10">
      <c r="A48" s="28" t="s">
        <v>14</v>
      </c>
      <c r="B48" s="36">
        <v>3848077.12</v>
      </c>
      <c r="C48" s="36">
        <v>669594.25</v>
      </c>
      <c r="D48" s="36">
        <v>-6153679.0999999996</v>
      </c>
      <c r="E48" s="36">
        <f t="shared" si="6"/>
        <v>-147156</v>
      </c>
      <c r="F48" s="36">
        <f t="shared" si="7"/>
        <v>-17880888.706000008</v>
      </c>
      <c r="G48" s="36">
        <f>SUM(C43:C48)+$C$7+$C$9+$C$11+F48+$C$41+$C$27+$C$25</f>
        <v>-13728655.03600001</v>
      </c>
      <c r="H48" s="25">
        <v>0.1065</v>
      </c>
      <c r="I48" s="25">
        <v>7.7600000000000002E-2</v>
      </c>
      <c r="J48" s="36">
        <f t="shared" si="8"/>
        <v>2759858</v>
      </c>
    </row>
    <row r="49" spans="1:10">
      <c r="A49" s="27" t="s">
        <v>15</v>
      </c>
      <c r="B49" s="36">
        <v>3924228.51</v>
      </c>
      <c r="C49" s="36">
        <v>1047010.21</v>
      </c>
      <c r="D49" s="36">
        <v>-7926360.2999999998</v>
      </c>
      <c r="E49" s="36">
        <f t="shared" si="6"/>
        <v>-176452</v>
      </c>
      <c r="F49" s="36">
        <f t="shared" si="7"/>
        <v>-22059472.496000007</v>
      </c>
      <c r="G49" s="36">
        <f>SUM(C43:C49)+$C$7+$C$9+$C$11+F49+$C$41+$C$27+$C$25</f>
        <v>-16860228.616000008</v>
      </c>
      <c r="H49" s="25">
        <v>0.1065</v>
      </c>
      <c r="I49" s="25">
        <v>7.7600000000000002E-2</v>
      </c>
      <c r="J49" s="36">
        <f t="shared" si="8"/>
        <v>2583406</v>
      </c>
    </row>
    <row r="50" spans="1:10">
      <c r="A50" s="27" t="s">
        <v>16</v>
      </c>
      <c r="B50" s="36">
        <v>4036552.51</v>
      </c>
      <c r="C50" s="36">
        <v>-195748.57</v>
      </c>
      <c r="D50" s="36">
        <v>-4808276.18</v>
      </c>
      <c r="E50" s="36">
        <f t="shared" si="6"/>
        <v>-199202</v>
      </c>
      <c r="F50" s="36">
        <f t="shared" si="7"/>
        <v>-23030398.166000009</v>
      </c>
      <c r="G50" s="36">
        <f>SUM(C43:C50)+$C$7+$C$9+$C$11+F50+$C$41+$C$27+$C$25</f>
        <v>-18026902.85600001</v>
      </c>
      <c r="H50" s="25">
        <v>0.1065</v>
      </c>
      <c r="I50" s="25">
        <v>7.7600000000000002E-2</v>
      </c>
      <c r="J50" s="36">
        <f>+J49+E50</f>
        <v>2384204</v>
      </c>
    </row>
    <row r="51" spans="1:10">
      <c r="A51" s="27" t="s">
        <v>17</v>
      </c>
      <c r="B51" s="36">
        <v>2972860.29</v>
      </c>
      <c r="C51" s="36">
        <v>924940.05</v>
      </c>
      <c r="D51" s="36">
        <v>9655.39</v>
      </c>
      <c r="E51" s="36">
        <f t="shared" si="6"/>
        <v>-191160</v>
      </c>
      <c r="F51" s="36">
        <f t="shared" si="7"/>
        <v>-20239042.486000009</v>
      </c>
      <c r="G51" s="41">
        <f>SUM(C43:C51)+$C$7+$C$9+$C$11+F51+$C$41+$C$27+$C$25</f>
        <v>-14310607.126000009</v>
      </c>
      <c r="H51" s="25">
        <v>0.1065</v>
      </c>
      <c r="I51" s="25">
        <v>7.7600000000000002E-2</v>
      </c>
      <c r="J51" s="36">
        <f>+J50+E51</f>
        <v>2193044</v>
      </c>
    </row>
    <row r="52" spans="1:10">
      <c r="A52" s="27" t="s">
        <v>18</v>
      </c>
      <c r="B52" s="42">
        <v>7440193.4966666652</v>
      </c>
      <c r="C52" s="42"/>
      <c r="D52" s="42"/>
      <c r="E52" s="42">
        <f t="shared" si="6"/>
        <v>-146606</v>
      </c>
      <c r="F52" s="36">
        <f t="shared" si="7"/>
        <v>-12945454.989333343</v>
      </c>
      <c r="G52" s="36">
        <f>SUM(C43:C52)+$C$7+$C$9+$C$11+F52+$C$41+$C$27+$C$25</f>
        <v>-7017019.6293333424</v>
      </c>
      <c r="H52" s="25">
        <v>0.1065</v>
      </c>
      <c r="I52" s="25">
        <v>7.7600000000000002E-2</v>
      </c>
      <c r="J52" s="36">
        <f>+J51+E52</f>
        <v>2046438</v>
      </c>
    </row>
    <row r="53" spans="1:10">
      <c r="A53" s="27" t="s">
        <v>19</v>
      </c>
      <c r="B53" s="42">
        <v>7633646.296666665</v>
      </c>
      <c r="C53" s="42"/>
      <c r="D53" s="42"/>
      <c r="E53" s="42">
        <f t="shared" si="6"/>
        <v>-81017</v>
      </c>
      <c r="F53" s="36">
        <f t="shared" si="7"/>
        <v>-5392825.6926666778</v>
      </c>
      <c r="G53" s="36">
        <f>SUM(C43:C53)+$C$7+$C$9+$C$11+F53+$C$41+$C$27+$C$25</f>
        <v>535609.66733332397</v>
      </c>
      <c r="H53" s="25">
        <v>0.1065</v>
      </c>
      <c r="I53" s="25">
        <v>7.7600000000000002E-2</v>
      </c>
      <c r="J53" s="36">
        <f>+J52+E53</f>
        <v>1965421</v>
      </c>
    </row>
    <row r="54" spans="1:10">
      <c r="A54" s="27" t="s">
        <v>20</v>
      </c>
      <c r="B54" s="42">
        <v>7642537.296666665</v>
      </c>
      <c r="C54" s="42"/>
      <c r="D54" s="42"/>
      <c r="E54" s="42">
        <f t="shared" si="6"/>
        <v>-13948</v>
      </c>
      <c r="F54" s="36">
        <f t="shared" si="7"/>
        <v>2235763.6039999872</v>
      </c>
      <c r="G54" s="36">
        <f>SUM(C43:C54)+$C$7+$C$9+$C$11+F54+$C$41+$C$27+$C$25</f>
        <v>8164198.9639999894</v>
      </c>
      <c r="H54" s="25">
        <v>0.1065</v>
      </c>
      <c r="I54" s="25">
        <v>7.7600000000000002E-2</v>
      </c>
      <c r="J54" s="36">
        <f>+J53+E54</f>
        <v>1951473</v>
      </c>
    </row>
    <row r="55" spans="1:10">
      <c r="A55" s="24" t="s">
        <v>29</v>
      </c>
      <c r="B55" s="40">
        <f>SUM(B43:B54)</f>
        <v>55420135.959999993</v>
      </c>
      <c r="C55" s="40">
        <f>SUM(C43:C54)</f>
        <v>3235047.37</v>
      </c>
      <c r="D55" s="40">
        <f>SUM(D43:D54)</f>
        <v>-44580751.039999999</v>
      </c>
      <c r="E55" s="47">
        <f>SUM(E43:E54)</f>
        <v>-1505732</v>
      </c>
      <c r="F55" s="48"/>
      <c r="G55" s="48"/>
      <c r="H55" s="49"/>
      <c r="I55" s="31"/>
      <c r="J55" s="46"/>
    </row>
    <row r="56" spans="1:10">
      <c r="A56" s="24"/>
      <c r="B56" s="38"/>
      <c r="C56" s="38"/>
      <c r="D56" s="38"/>
      <c r="E56" s="50"/>
      <c r="F56" s="48"/>
      <c r="G56" s="48"/>
      <c r="H56" s="49"/>
      <c r="I56" s="31"/>
      <c r="J56" s="46"/>
    </row>
    <row r="57" spans="1:10">
      <c r="A57" s="27" t="s">
        <v>9</v>
      </c>
      <c r="B57" s="42">
        <v>4569851.166666666</v>
      </c>
      <c r="C57" s="42"/>
      <c r="D57" s="42">
        <v>-4903469.1730491463</v>
      </c>
      <c r="E57" s="42">
        <f>ROUND((((B57+D57)/2)+F54)*(10.65%/12),0)</f>
        <v>18362</v>
      </c>
      <c r="F57" s="36">
        <f>+F54+B57+D57+E57</f>
        <v>1920507.597617507</v>
      </c>
      <c r="G57" s="36">
        <f>SUM(C57)+$C$7+$C$9+$C$11+F57+$C$41+$C$27+$C$25+C55</f>
        <v>7848942.9576175073</v>
      </c>
      <c r="H57" s="57">
        <v>0.1065</v>
      </c>
      <c r="I57" s="57">
        <v>7.7600000000000002E-2</v>
      </c>
      <c r="J57" s="36">
        <f>+J54+E57</f>
        <v>1969835</v>
      </c>
    </row>
    <row r="58" spans="1:10">
      <c r="A58" s="28" t="s">
        <v>10</v>
      </c>
      <c r="B58" s="42">
        <v>4552689.166666666</v>
      </c>
      <c r="C58" s="42"/>
      <c r="D58" s="42">
        <v>-4805112.0001739198</v>
      </c>
      <c r="E58" s="42">
        <f t="shared" ref="E58:E68" si="9">ROUND((((B58+D58)/2)+F57)*(10.65%/12),0)</f>
        <v>15924</v>
      </c>
      <c r="F58" s="36">
        <f t="shared" ref="F58:F68" si="10">+F57+B58+D58+E58</f>
        <v>1684008.7641102532</v>
      </c>
      <c r="G58" s="36">
        <f>SUM(C57:C58)+$C$7+$C$9+$C$11+F58+$C$41+$C$27+$C$25+C55</f>
        <v>7612444.1241102526</v>
      </c>
      <c r="H58" s="57">
        <v>0.1065</v>
      </c>
      <c r="I58" s="57">
        <v>7.7600000000000002E-2</v>
      </c>
      <c r="J58" s="36">
        <f t="shared" ref="J58:J63" si="11">+J57+E58</f>
        <v>1985759</v>
      </c>
    </row>
    <row r="59" spans="1:10">
      <c r="A59" s="29" t="s">
        <v>11</v>
      </c>
      <c r="B59" s="42">
        <v>5631689.166666666</v>
      </c>
      <c r="C59" s="42"/>
      <c r="D59" s="42">
        <v>-5034036.8275557505</v>
      </c>
      <c r="E59" s="42">
        <f t="shared" si="9"/>
        <v>17598</v>
      </c>
      <c r="F59" s="36">
        <f t="shared" si="10"/>
        <v>2299259.1032211687</v>
      </c>
      <c r="G59" s="36">
        <f>SUM(C57:C59)+$C$7+$C$9+$C$11+F59+$C$41+$C$27+$C$25+C55</f>
        <v>8227694.4632211691</v>
      </c>
      <c r="H59" s="57">
        <v>0.1065</v>
      </c>
      <c r="I59" s="57">
        <v>7.7600000000000002E-2</v>
      </c>
      <c r="J59" s="36">
        <f t="shared" si="11"/>
        <v>2003357</v>
      </c>
    </row>
    <row r="60" spans="1:10">
      <c r="A60" s="27" t="s">
        <v>12</v>
      </c>
      <c r="B60" s="42">
        <v>5122689.166666666</v>
      </c>
      <c r="C60" s="42"/>
      <c r="D60" s="42">
        <v>-4742078.3349884916</v>
      </c>
      <c r="E60" s="42">
        <f t="shared" si="9"/>
        <v>22095</v>
      </c>
      <c r="F60" s="36">
        <f t="shared" si="10"/>
        <v>2701964.9348993432</v>
      </c>
      <c r="G60" s="36">
        <f>SUM(C57:C60)+$C$7+$C$9+$C$11+F60+$C$41+$C$27+$C$25+C55</f>
        <v>8630400.2948993444</v>
      </c>
      <c r="H60" s="57">
        <v>0.1065</v>
      </c>
      <c r="I60" s="57">
        <v>7.7600000000000002E-2</v>
      </c>
      <c r="J60" s="36">
        <f t="shared" si="11"/>
        <v>2025452</v>
      </c>
    </row>
    <row r="61" spans="1:10">
      <c r="A61" s="28" t="s">
        <v>13</v>
      </c>
      <c r="B61" s="42">
        <v>4547689.166666666</v>
      </c>
      <c r="C61" s="42"/>
      <c r="D61" s="42">
        <v>-5548304.0453585787</v>
      </c>
      <c r="E61" s="42">
        <f t="shared" si="9"/>
        <v>19540</v>
      </c>
      <c r="F61" s="36">
        <f t="shared" si="10"/>
        <v>1720890.0562074305</v>
      </c>
      <c r="G61" s="36">
        <f>SUM(C57:C61)+$C$7+$C$9+$C$11+F61+$C$41+$C$27+$C$25+C55</f>
        <v>7649325.41620743</v>
      </c>
      <c r="H61" s="57">
        <v>0.1065</v>
      </c>
      <c r="I61" s="57">
        <v>7.7600000000000002E-2</v>
      </c>
      <c r="J61" s="36">
        <f t="shared" si="11"/>
        <v>2044992</v>
      </c>
    </row>
    <row r="62" spans="1:10">
      <c r="A62" s="28" t="s">
        <v>14</v>
      </c>
      <c r="B62" s="42">
        <v>5056689.166666666</v>
      </c>
      <c r="C62" s="42"/>
      <c r="D62" s="42">
        <v>-6356397.5588371037</v>
      </c>
      <c r="E62" s="42">
        <f t="shared" si="9"/>
        <v>9505</v>
      </c>
      <c r="F62" s="36">
        <f t="shared" si="10"/>
        <v>430686.66403699294</v>
      </c>
      <c r="G62" s="36">
        <f>SUM(C57:C62)+$C$7+$C$9+$C$11+F62+$C$41+$C$27+$C$25+C55</f>
        <v>6359122.0240369933</v>
      </c>
      <c r="H62" s="57">
        <v>0.1065</v>
      </c>
      <c r="I62" s="57">
        <v>7.7600000000000002E-2</v>
      </c>
      <c r="J62" s="36">
        <f t="shared" si="11"/>
        <v>2054497</v>
      </c>
    </row>
    <row r="63" spans="1:10">
      <c r="A63" s="27" t="s">
        <v>15</v>
      </c>
      <c r="B63" s="42">
        <v>4547689.166666666</v>
      </c>
      <c r="C63" s="42"/>
      <c r="D63" s="42">
        <v>-7707482.4238910135</v>
      </c>
      <c r="E63" s="42">
        <f t="shared" si="9"/>
        <v>-10199</v>
      </c>
      <c r="F63" s="36">
        <f t="shared" si="10"/>
        <v>-2739305.5931873545</v>
      </c>
      <c r="G63" s="36">
        <f>SUM(C57:C63)+$C$7+$C$9+$C$11+F63+$C$41+$C$27+$C$25+C55</f>
        <v>3189129.7668126458</v>
      </c>
      <c r="H63" s="57">
        <v>0.1065</v>
      </c>
      <c r="I63" s="57">
        <v>7.7600000000000002E-2</v>
      </c>
      <c r="J63" s="36">
        <f t="shared" si="11"/>
        <v>2044298</v>
      </c>
    </row>
    <row r="64" spans="1:10">
      <c r="A64" s="27" t="s">
        <v>16</v>
      </c>
      <c r="B64" s="42">
        <v>4547689.166666666</v>
      </c>
      <c r="C64" s="42"/>
      <c r="D64" s="42">
        <v>-7362382.3466768293</v>
      </c>
      <c r="E64" s="42">
        <f t="shared" si="9"/>
        <v>-36802</v>
      </c>
      <c r="F64" s="36">
        <f t="shared" si="10"/>
        <v>-5590800.7731975177</v>
      </c>
      <c r="G64" s="36">
        <f>SUM(C57:C64)+$C$7+$C$9+$C$11+F64+$C$41+$C$27+$C$25+C55</f>
        <v>337634.58680248354</v>
      </c>
      <c r="H64" s="57">
        <v>0.1065</v>
      </c>
      <c r="I64" s="57">
        <v>7.7600000000000002E-2</v>
      </c>
      <c r="J64" s="36">
        <f>+J63+E64</f>
        <v>2007496</v>
      </c>
    </row>
    <row r="65" spans="1:10">
      <c r="A65" s="27" t="s">
        <v>17</v>
      </c>
      <c r="B65" s="42">
        <v>5056689.166666666</v>
      </c>
      <c r="C65" s="42"/>
      <c r="D65" s="42">
        <v>-6120262.1943367971</v>
      </c>
      <c r="E65" s="42">
        <f t="shared" si="9"/>
        <v>-54338</v>
      </c>
      <c r="F65" s="36">
        <f t="shared" si="10"/>
        <v>-6708711.8008676488</v>
      </c>
      <c r="G65" s="36">
        <f>SUM(C57:C65)+$C$7+$C$9+$C$11+F65+$C$41+$C$27+$C$25+C55</f>
        <v>-780276.44086764846</v>
      </c>
      <c r="H65" s="57">
        <v>0.1065</v>
      </c>
      <c r="I65" s="57">
        <v>7.7600000000000002E-2</v>
      </c>
      <c r="J65" s="36">
        <f>+J64+E65</f>
        <v>1953158</v>
      </c>
    </row>
    <row r="66" spans="1:10">
      <c r="A66" s="27" t="s">
        <v>18</v>
      </c>
      <c r="B66" s="42">
        <v>4552689.166666666</v>
      </c>
      <c r="C66" s="42"/>
      <c r="D66" s="42">
        <v>-4921241.2091231644</v>
      </c>
      <c r="E66" s="42">
        <f t="shared" si="9"/>
        <v>-61175</v>
      </c>
      <c r="F66" s="36">
        <f t="shared" si="10"/>
        <v>-7138438.8433241472</v>
      </c>
      <c r="G66" s="36">
        <f>SUM(C57:C66)+$C$7+$C$9+$C$11+F66+$C$41+$C$27+$C$25+C55</f>
        <v>-1210003.4833241459</v>
      </c>
      <c r="H66" s="57">
        <v>0.1065</v>
      </c>
      <c r="I66" s="57">
        <v>7.7600000000000002E-2</v>
      </c>
      <c r="J66" s="36">
        <f>+J65+E66</f>
        <v>1891983</v>
      </c>
    </row>
    <row r="67" spans="1:10">
      <c r="A67" s="27" t="s">
        <v>19</v>
      </c>
      <c r="B67" s="42">
        <v>6752689.166666666</v>
      </c>
      <c r="C67" s="42"/>
      <c r="D67" s="42">
        <v>-4966249.1450784011</v>
      </c>
      <c r="E67" s="42">
        <f t="shared" si="9"/>
        <v>-55426</v>
      </c>
      <c r="F67" s="36">
        <f t="shared" si="10"/>
        <v>-5407424.8217358822</v>
      </c>
      <c r="G67" s="36">
        <f>SUM(C57:C67)+$C$7+$C$9+$C$11+F67+$C$41+$C$27+$C$25+C55</f>
        <v>521010.53826411907</v>
      </c>
      <c r="H67" s="57">
        <v>0.1065</v>
      </c>
      <c r="I67" s="57">
        <v>7.7600000000000002E-2</v>
      </c>
      <c r="J67" s="36">
        <f>+J66+E67</f>
        <v>1836557</v>
      </c>
    </row>
    <row r="68" spans="1:10">
      <c r="A68" s="27" t="s">
        <v>20</v>
      </c>
      <c r="B68" s="42">
        <v>5159689.166666666</v>
      </c>
      <c r="C68" s="42"/>
      <c r="D68" s="42">
        <v>-5472882.297055006</v>
      </c>
      <c r="E68" s="42">
        <f t="shared" si="9"/>
        <v>-49381</v>
      </c>
      <c r="F68" s="36">
        <f t="shared" si="10"/>
        <v>-5769998.9521242222</v>
      </c>
      <c r="G68" s="36">
        <f>SUM(C57:C68)+$C$7+$C$9+$C$11+F68+$C$41+$C$27+$C$25+C55</f>
        <v>158436.40787577908</v>
      </c>
      <c r="H68" s="57">
        <v>0.1065</v>
      </c>
      <c r="I68" s="57">
        <v>7.7600000000000002E-2</v>
      </c>
      <c r="J68" s="36">
        <f>+J67+E68</f>
        <v>1787176</v>
      </c>
    </row>
    <row r="69" spans="1:10">
      <c r="A69" s="24" t="s">
        <v>32</v>
      </c>
      <c r="B69" s="40">
        <f>SUM(B57:B68)</f>
        <v>60098431.999999978</v>
      </c>
      <c r="C69" s="40">
        <f>SUM(C57:C68)</f>
        <v>0</v>
      </c>
      <c r="D69" s="40">
        <f>SUM(D57:D68)</f>
        <v>-67939897.556124195</v>
      </c>
      <c r="E69" s="47">
        <f>SUM(E57:E68)</f>
        <v>-164297</v>
      </c>
      <c r="F69" s="48"/>
      <c r="G69" s="48"/>
      <c r="H69" s="49"/>
      <c r="I69" s="31"/>
      <c r="J69" s="46"/>
    </row>
    <row r="70" spans="1:10">
      <c r="A70" s="24"/>
      <c r="B70" s="38"/>
      <c r="C70" s="38"/>
      <c r="D70" s="38"/>
      <c r="E70" s="50"/>
      <c r="F70" s="48"/>
      <c r="G70" s="48"/>
      <c r="H70" s="49"/>
      <c r="I70" s="31"/>
      <c r="J70" s="46"/>
    </row>
    <row r="71" spans="1:10">
      <c r="A71" s="24"/>
      <c r="B71" s="38"/>
      <c r="C71" s="38"/>
      <c r="D71" s="38"/>
      <c r="E71" s="50"/>
      <c r="F71" s="48"/>
      <c r="G71" s="48"/>
      <c r="H71" s="49"/>
      <c r="I71" s="31"/>
      <c r="J71" s="46"/>
    </row>
    <row r="72" spans="1:10">
      <c r="A72" s="27" t="s">
        <v>28</v>
      </c>
      <c r="B72" s="43"/>
      <c r="C72" s="38">
        <f>+C27+C25+C11+C9+C7+C41+C55</f>
        <v>5928435.3600000003</v>
      </c>
      <c r="D72" s="43"/>
      <c r="E72" s="51"/>
      <c r="F72" s="51"/>
      <c r="G72" s="51"/>
      <c r="H72" s="52"/>
      <c r="I72" s="52"/>
      <c r="J72" s="51"/>
    </row>
    <row r="73" spans="1:10" ht="20.25" customHeight="1">
      <c r="B73" s="43"/>
      <c r="C73" s="54"/>
      <c r="D73" s="43"/>
      <c r="E73" s="51"/>
      <c r="F73" s="51"/>
      <c r="G73" s="51"/>
      <c r="H73" s="52"/>
      <c r="I73" s="52"/>
      <c r="J73" s="51"/>
    </row>
    <row r="74" spans="1:10">
      <c r="A74" s="32" t="s">
        <v>33</v>
      </c>
      <c r="B74" s="43"/>
      <c r="C74" s="43"/>
      <c r="D74" s="43"/>
      <c r="E74" s="43"/>
      <c r="F74" s="43"/>
      <c r="G74" s="43">
        <f>+G51</f>
        <v>-14310607.126000009</v>
      </c>
      <c r="J74" s="43"/>
    </row>
    <row r="75" spans="1:10" ht="8.25" customHeight="1">
      <c r="A75" s="33"/>
      <c r="B75" s="43"/>
      <c r="C75" s="43"/>
      <c r="D75" s="43"/>
      <c r="E75" s="43"/>
      <c r="F75" s="43"/>
      <c r="G75" s="43"/>
      <c r="J75" s="43"/>
    </row>
    <row r="76" spans="1:10">
      <c r="A76" s="32" t="s">
        <v>34</v>
      </c>
      <c r="B76" s="43"/>
      <c r="C76" s="43"/>
      <c r="D76" s="43"/>
      <c r="E76" s="43"/>
      <c r="F76" s="43"/>
      <c r="G76" s="43">
        <f>+SUM(B52:B54)+SUM(B57:B68)</f>
        <v>82814809.089999974</v>
      </c>
      <c r="J76" s="43"/>
    </row>
    <row r="77" spans="1:10">
      <c r="A77" s="32" t="s">
        <v>35</v>
      </c>
      <c r="B77" s="43"/>
      <c r="C77" s="43"/>
      <c r="D77" s="43"/>
      <c r="E77" s="43"/>
      <c r="F77" s="43"/>
      <c r="G77" s="43">
        <f>+SUM(E52:E54)+SUM(E57:E68)</f>
        <v>-405868</v>
      </c>
    </row>
    <row r="78" spans="1:10">
      <c r="A78" s="32" t="s">
        <v>36</v>
      </c>
      <c r="B78" s="43"/>
      <c r="C78" s="43"/>
      <c r="D78" s="43"/>
      <c r="E78" s="43"/>
      <c r="F78" s="43"/>
      <c r="G78" s="44">
        <f>SUM(G76:G77)</f>
        <v>82408941.089999974</v>
      </c>
    </row>
    <row r="79" spans="1:10" ht="9" customHeight="1">
      <c r="A79" s="33"/>
      <c r="B79" s="43"/>
      <c r="C79" s="43"/>
      <c r="D79" s="43"/>
      <c r="E79" s="43"/>
      <c r="F79" s="43"/>
      <c r="G79" s="43"/>
    </row>
    <row r="80" spans="1:10">
      <c r="A80" s="32" t="s">
        <v>37</v>
      </c>
      <c r="B80" s="43"/>
      <c r="C80" s="43"/>
      <c r="D80" s="43"/>
      <c r="E80" s="43"/>
      <c r="F80" s="43"/>
      <c r="G80" s="43">
        <f>SUM(D52:D54)+SUM(D57:D68)</f>
        <v>-67939897.556124195</v>
      </c>
    </row>
    <row r="81" spans="1:7" ht="9" customHeight="1">
      <c r="A81" s="34"/>
      <c r="B81" s="43"/>
      <c r="C81" s="43"/>
      <c r="D81" s="43"/>
      <c r="E81" s="43"/>
      <c r="F81" s="43"/>
      <c r="G81" s="43"/>
    </row>
    <row r="82" spans="1:7" ht="15" thickBot="1">
      <c r="A82" s="32" t="s">
        <v>30</v>
      </c>
      <c r="B82" s="43"/>
      <c r="C82" s="43"/>
      <c r="D82" s="43"/>
      <c r="E82" s="43"/>
      <c r="F82" s="43"/>
      <c r="G82" s="45">
        <f>+G74+G78+G80</f>
        <v>158436.40787576139</v>
      </c>
    </row>
    <row r="83" spans="1:7" ht="15" thickTop="1">
      <c r="A83" s="33"/>
      <c r="B83" s="43"/>
      <c r="C83" s="43"/>
      <c r="D83" s="43"/>
      <c r="E83" s="43"/>
      <c r="F83" s="43"/>
      <c r="G83" s="43"/>
    </row>
    <row r="84" spans="1:7">
      <c r="A84" s="35" t="s">
        <v>25</v>
      </c>
      <c r="B84" s="43"/>
      <c r="C84" s="43"/>
      <c r="D84" s="43"/>
      <c r="E84" s="43"/>
      <c r="F84" s="43"/>
      <c r="G84" s="43"/>
    </row>
    <row r="85" spans="1:7">
      <c r="A85" s="35" t="s">
        <v>38</v>
      </c>
      <c r="B85" s="43"/>
      <c r="C85" s="51"/>
      <c r="D85" s="51"/>
      <c r="E85" s="43"/>
      <c r="F85" s="43"/>
      <c r="G85" s="43"/>
    </row>
    <row r="86" spans="1:7" ht="14.25" customHeight="1">
      <c r="A86" s="35" t="s">
        <v>39</v>
      </c>
      <c r="B86" s="51"/>
      <c r="C86" s="51"/>
      <c r="D86" s="51"/>
      <c r="E86" s="51"/>
      <c r="F86" s="51"/>
      <c r="G86" s="43"/>
    </row>
    <row r="87" spans="1:7">
      <c r="A87" s="35"/>
    </row>
  </sheetData>
  <mergeCells count="1">
    <mergeCell ref="A3:J3"/>
  </mergeCells>
  <pageMargins left="0.45" right="0.2" top="0.75" bottom="0.75" header="0.3" footer="0.3"/>
  <pageSetup scale="68" orientation="portrait" horizontalDpi="1200" verticalDpi="1200" r:id="rId1"/>
  <ignoredErrors>
    <ignoredError sqref="B55:B56 D55:D56 E43:J43 E52:J69 E44:F51 H44:J51 D69 B69 C52:C72 B41:E41 B10:E25" unlockedFormula="1"/>
    <ignoredError sqref="G44:G51" formulaRange="1" unlockedFormula="1"/>
    <ignoredError sqref="G76:G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 C-Forecast with Prop 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2010-11-01T19:40:29Z</dcterms:created>
  <dcterms:modified xsi:type="dcterms:W3CDTF">2017-11-15T18:33:00Z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