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580"/>
  </bookViews>
  <sheets>
    <sheet name="(Exh.1) Comm Ord Meth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>'[4]1993'!#REF!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FuelCost">#REF!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Burn">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[12]MarketData!#REF!</definedName>
    <definedName name="contractsymbol">[9]Futures!$B$2:$B$500</definedName>
    <definedName name="ContractTypeDol">'[13]Check Dollars'!$R$258:$S$643</definedName>
    <definedName name="ContractTypeMWh">'[13]Check MWh'!$R$258:$S$643</definedName>
    <definedName name="COSFacVal">[5]Inputs!$W$11</definedName>
    <definedName name="Cost">#REF!</definedName>
    <definedName name="DATA5">[14]DS13!$E$2:$E$103</definedName>
    <definedName name="DATA6">[14]DS13!$F$2:$F$103</definedName>
    <definedName name="_xlnm.Database">[15]Invoice!#REF!</definedName>
    <definedName name="DataCheck">'[16]Base NPC'!#REF!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'[17]on off peak hours'!$C$15:$Z$15</definedName>
    <definedName name="Debt">[11]Variables!$AQ$25</definedName>
    <definedName name="DebtCost">[11]Variables!$AT$25</definedName>
    <definedName name="Demand">[18]Inputs!$D$9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'[16]Exhibit 1'!#REF!</definedName>
    <definedName name="DUDE" hidden="1">#REF!</definedName>
    <definedName name="ECDQF_Exp">#REF!</definedName>
    <definedName name="ECDQF_MW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'[16]Base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OFFSET([19]FTE!$A$1,0,0,COUNTA([19]FTE!$A$1:$A$65536),12)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'[12]Main Page'!#REF!</definedName>
    <definedName name="GrossReceipts">[7]Variables!$B$31</definedName>
    <definedName name="Header">#REF!</definedName>
    <definedName name="HenryHub___Nymex">[12]MarketData!#REF!</definedName>
    <definedName name="Hide_Rows">#REF!</definedName>
    <definedName name="Hide_Rows_Recon">#REF!</definedName>
    <definedName name="High_Plan">#REF!</definedName>
    <definedName name="HoursHoliday">'[17]on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[18]Inputs!$Y$11</definedName>
    <definedName name="INSERTPOINT">'[20]REX Data'!#REF!</definedName>
    <definedName name="INSERTPOINT2">'[20]REX Data'!#REF!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[21]!Macro2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[22]lookup!$C$98:$D$107</definedName>
    <definedName name="Mill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#REF!</definedName>
    <definedName name="MSPAverageInput">[6]Inputs!#REF!</definedName>
    <definedName name="MSPYearEndInput">[6]Inputs!#REF!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FPC_Date">[23]VDOC!$O$4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'[4]1993'!#REF!</definedName>
    <definedName name="PE_Lookup">'[16]Exhibit 1'!#REF!</definedName>
    <definedName name="Peak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[24]Inputs!#REF!</definedName>
    <definedName name="_xlnm.Print_Area">#REF!</definedName>
    <definedName name="PSATable">[13]Hermiston!$A$41:$E$56</definedName>
    <definedName name="Purchases">[22]lookup!$C$21:$D$64</definedName>
    <definedName name="QFs">[22]lookup!$C$66:$D$96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[22]lookup!$C$3:$D$19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rtMWh">#REF!</definedName>
    <definedName name="StartTheMill">#REF!</definedName>
    <definedName name="StartTheRack">#REF!</definedName>
    <definedName name="State">[5]Inputs!$C$5</definedName>
    <definedName name="Storage">[22]lookup!$C$109:$D$126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[25]Transm2!$A$1:$M$461:'[25]10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[26]Inputs!#REF!</definedName>
    <definedName name="WinterPeak">'[27]Load Data'!$D$9:$H$12,'[27]Load Data'!$D$20:$H$22</definedName>
    <definedName name="Workforce_Data">OFFSET([28]Workforce!$A$1,0,0,COUNTA([28]Workforce!$A$1:$A$65536),COUNTA([28]Workforce!$A$1:$IV$1))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hidden="1">#REF!</definedName>
    <definedName name="Z_01844156_6462_4A28_9785_1A86F4D0C834_.wvu.PrintTitles" hidden="1">#REF!</definedName>
  </definedNames>
  <calcPr calcId="152511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2" i="1" l="1"/>
  <c r="S56" i="1"/>
  <c r="S51" i="1"/>
  <c r="S49" i="1"/>
  <c r="G48" i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Q42" i="1"/>
  <c r="P42" i="1"/>
  <c r="O42" i="1"/>
  <c r="N42" i="1"/>
  <c r="M42" i="1"/>
  <c r="L42" i="1"/>
  <c r="K42" i="1"/>
  <c r="J42" i="1"/>
  <c r="I42" i="1"/>
  <c r="H42" i="1"/>
  <c r="G42" i="1"/>
  <c r="F42" i="1"/>
  <c r="S42" i="1" s="1"/>
  <c r="Q40" i="1"/>
  <c r="P40" i="1"/>
  <c r="O40" i="1"/>
  <c r="N40" i="1"/>
  <c r="M40" i="1"/>
  <c r="L40" i="1"/>
  <c r="K40" i="1"/>
  <c r="J40" i="1"/>
  <c r="I40" i="1"/>
  <c r="H40" i="1"/>
  <c r="G40" i="1"/>
  <c r="F40" i="1"/>
  <c r="S40" i="1" s="1"/>
  <c r="G38" i="1"/>
  <c r="G37" i="1"/>
  <c r="F37" i="1"/>
  <c r="Q36" i="1"/>
  <c r="P36" i="1"/>
  <c r="O36" i="1"/>
  <c r="N36" i="1"/>
  <c r="M36" i="1"/>
  <c r="L36" i="1"/>
  <c r="K36" i="1"/>
  <c r="J36" i="1"/>
  <c r="I36" i="1"/>
  <c r="H36" i="1"/>
  <c r="G36" i="1"/>
  <c r="F36" i="1"/>
  <c r="Q34" i="1"/>
  <c r="P34" i="1"/>
  <c r="O34" i="1"/>
  <c r="N34" i="1"/>
  <c r="M34" i="1"/>
  <c r="L34" i="1"/>
  <c r="K34" i="1"/>
  <c r="J34" i="1"/>
  <c r="I34" i="1"/>
  <c r="H34" i="1"/>
  <c r="G34" i="1"/>
  <c r="F34" i="1"/>
  <c r="S34" i="1" s="1"/>
  <c r="Q24" i="1"/>
  <c r="P24" i="1"/>
  <c r="O24" i="1"/>
  <c r="N24" i="1"/>
  <c r="M24" i="1"/>
  <c r="L24" i="1"/>
  <c r="K24" i="1"/>
  <c r="J24" i="1"/>
  <c r="I24" i="1"/>
  <c r="H24" i="1"/>
  <c r="G24" i="1"/>
  <c r="F24" i="1"/>
  <c r="S24" i="1" s="1"/>
  <c r="G22" i="1"/>
  <c r="G26" i="1" s="1"/>
  <c r="G21" i="1"/>
  <c r="F21" i="1"/>
  <c r="D21" i="1"/>
  <c r="G20" i="1"/>
  <c r="F20" i="1"/>
  <c r="D20" i="1"/>
  <c r="F14" i="1"/>
  <c r="D14" i="1"/>
  <c r="F11" i="1"/>
  <c r="D11" i="1"/>
  <c r="Q10" i="1"/>
  <c r="P10" i="1"/>
  <c r="O10" i="1"/>
  <c r="N10" i="1"/>
  <c r="M10" i="1"/>
  <c r="L10" i="1"/>
  <c r="K10" i="1"/>
  <c r="J10" i="1"/>
  <c r="I10" i="1"/>
  <c r="H10" i="1"/>
  <c r="G10" i="1"/>
  <c r="F10" i="1"/>
  <c r="F12" i="1" s="1"/>
  <c r="D10" i="1"/>
  <c r="G6" i="1"/>
  <c r="G11" i="1" s="1"/>
  <c r="G12" i="1" s="1"/>
  <c r="A3" i="1"/>
  <c r="A2" i="1"/>
  <c r="A1" i="1"/>
  <c r="F16" i="1" l="1"/>
  <c r="S10" i="1"/>
  <c r="F22" i="1"/>
  <c r="A10" i="1"/>
  <c r="G14" i="1"/>
  <c r="G16" i="1" s="1"/>
  <c r="G30" i="1" s="1"/>
  <c r="G32" i="1" s="1"/>
  <c r="G44" i="1" s="1"/>
  <c r="G50" i="1" s="1"/>
  <c r="H37" i="1"/>
  <c r="A11" i="1"/>
  <c r="H6" i="1"/>
  <c r="F38" i="1"/>
  <c r="S36" i="1"/>
  <c r="H20" i="1" l="1"/>
  <c r="H11" i="1"/>
  <c r="I6" i="1"/>
  <c r="H14" i="1"/>
  <c r="H21" i="1"/>
  <c r="I37" i="1"/>
  <c r="H38" i="1"/>
  <c r="F26" i="1"/>
  <c r="F30" i="1" s="1"/>
  <c r="F32" i="1" s="1"/>
  <c r="D12" i="1"/>
  <c r="A12" i="1"/>
  <c r="F44" i="1" l="1"/>
  <c r="D16" i="1"/>
  <c r="A14" i="1"/>
  <c r="A16" i="1"/>
  <c r="I21" i="1"/>
  <c r="I20" i="1"/>
  <c r="I22" i="1" s="1"/>
  <c r="I26" i="1" s="1"/>
  <c r="I14" i="1"/>
  <c r="J6" i="1"/>
  <c r="I11" i="1"/>
  <c r="I12" i="1" s="1"/>
  <c r="H12" i="1"/>
  <c r="I38" i="1"/>
  <c r="H22" i="1"/>
  <c r="J37" i="1"/>
  <c r="J38" i="1" l="1"/>
  <c r="H16" i="1"/>
  <c r="A20" i="1"/>
  <c r="I16" i="1"/>
  <c r="I30" i="1" s="1"/>
  <c r="I32" i="1" s="1"/>
  <c r="I44" i="1" s="1"/>
  <c r="I50" i="1" s="1"/>
  <c r="H26" i="1"/>
  <c r="K37" i="1"/>
  <c r="J14" i="1"/>
  <c r="J21" i="1"/>
  <c r="J20" i="1"/>
  <c r="J22" i="1" s="1"/>
  <c r="J26" i="1" s="1"/>
  <c r="J11" i="1"/>
  <c r="J12" i="1" s="1"/>
  <c r="K6" i="1"/>
  <c r="F50" i="1"/>
  <c r="F53" i="1" l="1"/>
  <c r="G49" i="1" s="1"/>
  <c r="F52" i="1"/>
  <c r="K11" i="1"/>
  <c r="K12" i="1" s="1"/>
  <c r="K16" i="1" s="1"/>
  <c r="L6" i="1"/>
  <c r="K14" i="1"/>
  <c r="K20" i="1"/>
  <c r="K21" i="1"/>
  <c r="K38" i="1"/>
  <c r="D22" i="1"/>
  <c r="J16" i="1"/>
  <c r="J30" i="1" s="1"/>
  <c r="J32" i="1" s="1"/>
  <c r="J44" i="1" s="1"/>
  <c r="J50" i="1" s="1"/>
  <c r="A21" i="1"/>
  <c r="H30" i="1"/>
  <c r="H32" i="1" s="1"/>
  <c r="A22" i="1"/>
  <c r="L37" i="1"/>
  <c r="L38" i="1" s="1"/>
  <c r="H44" i="1" l="1"/>
  <c r="M37" i="1"/>
  <c r="L20" i="1"/>
  <c r="L11" i="1"/>
  <c r="L12" i="1" s="1"/>
  <c r="M6" i="1"/>
  <c r="L14" i="1"/>
  <c r="L21" i="1"/>
  <c r="G52" i="1"/>
  <c r="G53" i="1"/>
  <c r="H49" i="1" s="1"/>
  <c r="K22" i="1"/>
  <c r="A24" i="1"/>
  <c r="L22" i="1" l="1"/>
  <c r="L26" i="1" s="1"/>
  <c r="D26" i="1"/>
  <c r="M38" i="1"/>
  <c r="N37" i="1"/>
  <c r="M21" i="1"/>
  <c r="M14" i="1"/>
  <c r="M11" i="1"/>
  <c r="M12" i="1" s="1"/>
  <c r="M16" i="1" s="1"/>
  <c r="N6" i="1"/>
  <c r="M20" i="1"/>
  <c r="M22" i="1" s="1"/>
  <c r="M26" i="1" s="1"/>
  <c r="A26" i="1"/>
  <c r="K26" i="1"/>
  <c r="K30" i="1" s="1"/>
  <c r="K32" i="1" s="1"/>
  <c r="L16" i="1"/>
  <c r="L30" i="1" s="1"/>
  <c r="L32" i="1" s="1"/>
  <c r="L44" i="1" s="1"/>
  <c r="L50" i="1" s="1"/>
  <c r="H50" i="1"/>
  <c r="N14" i="1" l="1"/>
  <c r="N21" i="1"/>
  <c r="N20" i="1"/>
  <c r="N22" i="1" s="1"/>
  <c r="N26" i="1" s="1"/>
  <c r="O6" i="1"/>
  <c r="N11" i="1"/>
  <c r="N12" i="1" s="1"/>
  <c r="N16" i="1" s="1"/>
  <c r="N38" i="1"/>
  <c r="O37" i="1"/>
  <c r="K44" i="1"/>
  <c r="M30" i="1"/>
  <c r="M32" i="1" s="1"/>
  <c r="M44" i="1" s="1"/>
  <c r="M50" i="1" s="1"/>
  <c r="H52" i="1"/>
  <c r="D30" i="1"/>
  <c r="A30" i="1"/>
  <c r="D32" i="1" l="1"/>
  <c r="A32" i="1"/>
  <c r="O38" i="1"/>
  <c r="P37" i="1"/>
  <c r="O21" i="1"/>
  <c r="O20" i="1"/>
  <c r="O11" i="1"/>
  <c r="O12" i="1" s="1"/>
  <c r="P6" i="1"/>
  <c r="O14" i="1"/>
  <c r="K50" i="1"/>
  <c r="H53" i="1"/>
  <c r="I49" i="1" s="1"/>
  <c r="N30" i="1"/>
  <c r="N32" i="1" s="1"/>
  <c r="N44" i="1" s="1"/>
  <c r="N50" i="1" s="1"/>
  <c r="P20" i="1" l="1"/>
  <c r="P11" i="1"/>
  <c r="P12" i="1" s="1"/>
  <c r="Q6" i="1"/>
  <c r="P14" i="1"/>
  <c r="P21" i="1"/>
  <c r="P38" i="1"/>
  <c r="Q37" i="1"/>
  <c r="O16" i="1"/>
  <c r="I52" i="1"/>
  <c r="I53" i="1"/>
  <c r="J49" i="1" s="1"/>
  <c r="O22" i="1"/>
  <c r="A34" i="1"/>
  <c r="A36" i="1" s="1"/>
  <c r="O26" i="1" l="1"/>
  <c r="O30" i="1" s="1"/>
  <c r="O32" i="1" s="1"/>
  <c r="O44" i="1" s="1"/>
  <c r="P22" i="1"/>
  <c r="P26" i="1" s="1"/>
  <c r="D38" i="1"/>
  <c r="A37" i="1"/>
  <c r="A38" i="1" s="1"/>
  <c r="A40" i="1" s="1"/>
  <c r="A42" i="1" s="1"/>
  <c r="A44" i="1" s="1"/>
  <c r="J52" i="1"/>
  <c r="J53" i="1" s="1"/>
  <c r="K49" i="1" s="1"/>
  <c r="Q38" i="1"/>
  <c r="S38" i="1" s="1"/>
  <c r="S37" i="1"/>
  <c r="Q21" i="1"/>
  <c r="S21" i="1" s="1"/>
  <c r="Q14" i="1"/>
  <c r="S14" i="1" s="1"/>
  <c r="Q11" i="1"/>
  <c r="Q20" i="1"/>
  <c r="D44" i="1"/>
  <c r="P16" i="1"/>
  <c r="P30" i="1" s="1"/>
  <c r="P32" i="1" s="1"/>
  <c r="P44" i="1" s="1"/>
  <c r="P50" i="1" s="1"/>
  <c r="K52" i="1" l="1"/>
  <c r="K53" i="1" s="1"/>
  <c r="L49" i="1" s="1"/>
  <c r="O50" i="1"/>
  <c r="Q12" i="1"/>
  <c r="S11" i="1"/>
  <c r="Q22" i="1"/>
  <c r="S20" i="1"/>
  <c r="D50" i="1"/>
  <c r="A48" i="1"/>
  <c r="L52" i="1" l="1"/>
  <c r="L53" i="1" s="1"/>
  <c r="M49" i="1" s="1"/>
  <c r="Q16" i="1"/>
  <c r="S12" i="1"/>
  <c r="S16" i="1" s="1"/>
  <c r="S30" i="1" s="1"/>
  <c r="Q26" i="1"/>
  <c r="S22" i="1"/>
  <c r="S26" i="1" s="1"/>
  <c r="A49" i="1"/>
  <c r="M52" i="1" l="1"/>
  <c r="M53" i="1" s="1"/>
  <c r="N49" i="1" s="1"/>
  <c r="A50" i="1"/>
  <c r="A51" i="1" s="1"/>
  <c r="A52" i="1" s="1"/>
  <c r="A53" i="1" s="1"/>
  <c r="D52" i="1"/>
  <c r="Q30" i="1"/>
  <c r="Q32" i="1" s="1"/>
  <c r="N53" i="1" l="1"/>
  <c r="O49" i="1" s="1"/>
  <c r="N52" i="1"/>
  <c r="D58" i="1"/>
  <c r="D64" i="1"/>
  <c r="D49" i="1"/>
  <c r="A56" i="1"/>
  <c r="A58" i="1" s="1"/>
  <c r="A60" i="1" s="1"/>
  <c r="D53" i="1"/>
  <c r="Q44" i="1"/>
  <c r="S32" i="1"/>
  <c r="O52" i="1" l="1"/>
  <c r="O53" i="1" s="1"/>
  <c r="P49" i="1" s="1"/>
  <c r="Q50" i="1"/>
  <c r="S50" i="1" s="1"/>
  <c r="S44" i="1"/>
  <c r="D62" i="1"/>
  <c r="A62" i="1"/>
  <c r="A64" i="1" s="1"/>
  <c r="P52" i="1" l="1"/>
  <c r="P53" i="1" s="1"/>
  <c r="Q49" i="1" s="1"/>
  <c r="Q52" i="1" l="1"/>
  <c r="S52" i="1" s="1"/>
  <c r="S53" i="1" s="1"/>
  <c r="S64" i="1" l="1"/>
  <c r="S58" i="1"/>
  <c r="Q53" i="1"/>
</calcChain>
</file>

<file path=xl/sharedStrings.xml><?xml version="1.0" encoding="utf-8"?>
<sst xmlns="http://schemas.openxmlformats.org/spreadsheetml/2006/main" count="50" uniqueCount="44">
  <si>
    <t>Line No.</t>
  </si>
  <si>
    <t>Reference</t>
  </si>
  <si>
    <t>Total</t>
  </si>
  <si>
    <t>Actual: Utah Allocated</t>
  </si>
  <si>
    <t>NPC</t>
  </si>
  <si>
    <t>Wheeling Revenue</t>
  </si>
  <si>
    <t>Jurisdictional Sales</t>
  </si>
  <si>
    <t>Actual Utah $/MWh</t>
  </si>
  <si>
    <t>Base:  Utah Allocated</t>
  </si>
  <si>
    <t>Base Utah $/MWh</t>
  </si>
  <si>
    <t>Deferral:</t>
  </si>
  <si>
    <t>$/MWH Differential</t>
  </si>
  <si>
    <t>EBA Deferrable</t>
  </si>
  <si>
    <t>Incremental Non-Fuel FAS 106 Savings</t>
  </si>
  <si>
    <t>Workpaper (6.1)</t>
  </si>
  <si>
    <t>Special Contract Customer Adjustment Subject to Deadband</t>
  </si>
  <si>
    <t>Workpaper (7.1)</t>
  </si>
  <si>
    <t>Symmetrical Deadband</t>
  </si>
  <si>
    <t>Docket 16-035-33</t>
  </si>
  <si>
    <t>Total Special Contract Adjustment</t>
  </si>
  <si>
    <t>Adjustment for Non-Generation Agreement</t>
  </si>
  <si>
    <t>Workpaper (8.1)</t>
  </si>
  <si>
    <t>Adjustment for Subscriber Solar Program</t>
  </si>
  <si>
    <t>Workpaper (9.1)</t>
  </si>
  <si>
    <t>Total Incremental EBA Deferral</t>
  </si>
  <si>
    <t>Energy Balancing Account:</t>
  </si>
  <si>
    <t>Monthly Interest Rate (6% Annual)</t>
  </si>
  <si>
    <t>Note 1</t>
  </si>
  <si>
    <t>Beginning Balance</t>
  </si>
  <si>
    <t>Incremental Deferral</t>
  </si>
  <si>
    <t>2017 EBA Settlement</t>
  </si>
  <si>
    <t>Docket 17-035-01</t>
  </si>
  <si>
    <t>Interest</t>
  </si>
  <si>
    <t>Ending Balance</t>
  </si>
  <si>
    <t>Deer Creek Mine Amortization</t>
  </si>
  <si>
    <t>Accrued Interest through April 30, 2018</t>
  </si>
  <si>
    <t>Special Contract Customer Settlement</t>
  </si>
  <si>
    <t>Docket 17-035-54</t>
  </si>
  <si>
    <t>Accrued Interest from February 1, 2018 through April 30, 2018</t>
  </si>
  <si>
    <t>Requested EBA Recovery</t>
  </si>
  <si>
    <t xml:space="preserve">Note: </t>
  </si>
  <si>
    <t>Docket No. 09-035-15, March 2, 2011 Report and Order, Page 79 and</t>
  </si>
  <si>
    <t>Docket No. 15-035-69, January 20, 2016 Order, Page 16 and</t>
  </si>
  <si>
    <t>Docket No. 09-035-15, February 16, 2017 Order, Page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</si>
</sst>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\ #,##0.00_);_(&quot;$&quot;* \(#,##0.00\);_(&quot;$&quot;* &quot;-&quot;??_);_(@_)"/>
    <numFmt numFmtId="167" formatCode="_(&quot;$&quot;* #,##0.0000_);_(&quot;$&quot;* \(#,##0.0000\);_(&quot;$&quot;* &quot;-&quot;??_);_(@_)"/>
    <numFmt numFmtId="168" formatCode="_(&quot;$&quot;\ #,##0.00_);_(&quot;$&quot;\ \(#,##0.00\);_(&quot;$&quot;\ &quot;-&quot;??_);_(@_)"/>
    <numFmt numFmtId="169" formatCode="_(&quot;$&quot;* #,##0_);_(&quot;$&quot;* \(#,##0\);_(&quot;$&quot;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8" fontId="3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horizontal="center" vertical="center"/>
    </xf>
    <xf numFmtId="41" fontId="3" fillId="0" borderId="0" xfId="0" quotePrefix="1" applyNumberFormat="1" applyFont="1" applyFill="1" applyAlignment="1">
      <alignment horizontal="center" vertical="center" wrapText="1"/>
    </xf>
    <xf numFmtId="42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0" xfId="0" quotePrefix="1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horizontal="right" vertical="center"/>
    </xf>
    <xf numFmtId="42" fontId="3" fillId="0" borderId="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166" fontId="4" fillId="0" borderId="0" xfId="2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168" fontId="3" fillId="0" borderId="0" xfId="2" applyNumberFormat="1" applyFont="1" applyFill="1" applyAlignment="1">
      <alignment horizontal="right" vertical="center"/>
    </xf>
    <xf numFmtId="166" fontId="3" fillId="0" borderId="0" xfId="2" applyNumberFormat="1" applyFont="1" applyFill="1" applyAlignment="1">
      <alignment horizontal="right" vertical="center"/>
    </xf>
    <xf numFmtId="42" fontId="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42" fontId="3" fillId="0" borderId="0" xfId="0" applyNumberFormat="1" applyFont="1" applyFill="1" applyBorder="1" applyAlignment="1">
      <alignment horizontal="right" vertical="center"/>
    </xf>
    <xf numFmtId="0" fontId="1" fillId="0" borderId="0" xfId="3" applyFont="1" applyFill="1" applyAlignment="1">
      <alignment horizontal="left" vertical="center" wrapText="1"/>
    </xf>
    <xf numFmtId="169" fontId="3" fillId="0" borderId="0" xfId="2" applyNumberFormat="1" applyFont="1" applyFill="1" applyAlignment="1">
      <alignment horizontal="right" vertical="center"/>
    </xf>
    <xf numFmtId="0" fontId="0" fillId="0" borderId="0" xfId="3" applyFont="1" applyFill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right" vertical="center"/>
    </xf>
    <xf numFmtId="169" fontId="3" fillId="0" borderId="0" xfId="2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38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10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2" fontId="4" fillId="0" borderId="3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38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right"/>
    </xf>
    <xf numFmtId="169" fontId="4" fillId="0" borderId="0" xfId="2" applyNumberFormat="1" applyFont="1" applyFill="1" applyAlignment="1">
      <alignment horizontal="right" vertical="center"/>
    </xf>
    <xf numFmtId="42" fontId="3" fillId="0" borderId="0" xfId="0" applyNumberFormat="1" applyFont="1" applyFill="1" applyAlignment="1">
      <alignment horizontal="right"/>
    </xf>
    <xf numFmtId="169" fontId="2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7" fontId="3" fillId="0" borderId="0" xfId="0" applyNumberFormat="1" applyFont="1" applyFill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Normal 2 10 2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CAM\UT\UT%2018-035-01%20(2018%20EBA)\Testimony%20&amp;%20Exhibits\Wilding%20Confidential%20EBA%20Workpap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(Exh.1) Comm Ord Methd"/>
      <sheetName val="(2.1) UT Allocated Actual NPC"/>
      <sheetName val="(2.2) Adj Actual NPC by Cat"/>
      <sheetName val="(2.3) Adj Actual NPC"/>
      <sheetName val="(2.4) Adjustments"/>
      <sheetName val="(2.5) Actual NPC"/>
      <sheetName val="(3.1) Allctd Base NPC (GRC14)"/>
      <sheetName val="(3.2) BaseNPC by Cat (GRC14) S2"/>
      <sheetName val="(3.3) Base UTGRC14 Stlmt NPC S2"/>
      <sheetName val="(4.1) Wheeling Revenues"/>
      <sheetName val="(5.1) Actual Factors"/>
      <sheetName val="(5.2) Utah Sales"/>
      <sheetName val="(6.1) Deer Creek"/>
      <sheetName val="(7.1) Special Contract Customer"/>
      <sheetName val="(8.1) Non-Generation Agreement"/>
      <sheetName val="(9.1) Utah Community Solar"/>
    </sheetNames>
    <sheetDataSet>
      <sheetData sheetId="0"/>
      <sheetData sheetId="1"/>
      <sheetData sheetId="2"/>
      <sheetData sheetId="3">
        <row r="78">
          <cell r="I78">
            <v>59536220.254782371</v>
          </cell>
          <cell r="J78">
            <v>50243034.315591805</v>
          </cell>
          <cell r="K78">
            <v>48618458.568117872</v>
          </cell>
          <cell r="L78">
            <v>46598916.733276352</v>
          </cell>
          <cell r="M78">
            <v>49671729.066826388</v>
          </cell>
          <cell r="N78">
            <v>53937516.679526143</v>
          </cell>
          <cell r="O78">
            <v>65872281.313147068</v>
          </cell>
          <cell r="P78">
            <v>71167260.108198047</v>
          </cell>
          <cell r="Q78">
            <v>56603193.515454084</v>
          </cell>
          <cell r="R78">
            <v>51308324.006789759</v>
          </cell>
          <cell r="S78">
            <v>48674586.434872337</v>
          </cell>
          <cell r="T78">
            <v>55362728.135007098</v>
          </cell>
        </row>
      </sheetData>
      <sheetData sheetId="4"/>
      <sheetData sheetId="5"/>
      <sheetData sheetId="6"/>
      <sheetData sheetId="7"/>
      <sheetData sheetId="8">
        <row r="47">
          <cell r="I47">
            <v>7</v>
          </cell>
          <cell r="J47">
            <v>8</v>
          </cell>
          <cell r="K47">
            <v>9</v>
          </cell>
          <cell r="L47">
            <v>10</v>
          </cell>
          <cell r="M47">
            <v>11</v>
          </cell>
          <cell r="N47">
            <v>12</v>
          </cell>
          <cell r="O47">
            <v>1</v>
          </cell>
          <cell r="P47">
            <v>2</v>
          </cell>
          <cell r="Q47">
            <v>3</v>
          </cell>
          <cell r="R47">
            <v>4</v>
          </cell>
          <cell r="S47">
            <v>5</v>
          </cell>
          <cell r="T47">
            <v>6</v>
          </cell>
        </row>
        <row r="83">
          <cell r="I83">
            <v>60534576.222015001</v>
          </cell>
          <cell r="J83">
            <v>60895339.604102701</v>
          </cell>
          <cell r="K83">
            <v>49740054.401154719</v>
          </cell>
          <cell r="L83">
            <v>49325488.310134262</v>
          </cell>
          <cell r="M83">
            <v>49731889.450345367</v>
          </cell>
          <cell r="N83">
            <v>53488152.98428151</v>
          </cell>
          <cell r="O83">
            <v>52951274.091305241</v>
          </cell>
          <cell r="P83">
            <v>49340602.199419484</v>
          </cell>
          <cell r="Q83">
            <v>52632441.352353275</v>
          </cell>
          <cell r="R83">
            <v>48247357.847752899</v>
          </cell>
          <cell r="S83">
            <v>49229411.982862458</v>
          </cell>
          <cell r="T83">
            <v>51883411.554273084</v>
          </cell>
        </row>
      </sheetData>
      <sheetData sheetId="9"/>
      <sheetData sheetId="10"/>
      <sheetData sheetId="11">
        <row r="10">
          <cell r="C10" t="str">
            <v>FERC</v>
          </cell>
          <cell r="D10" t="str">
            <v>Firm / Non-Firm</v>
          </cell>
          <cell r="E10" t="str">
            <v>SAP</v>
          </cell>
          <cell r="F10" t="str">
            <v>Description</v>
          </cell>
          <cell r="G10">
            <v>42736</v>
          </cell>
          <cell r="H10">
            <v>42767</v>
          </cell>
          <cell r="I10">
            <v>42795</v>
          </cell>
          <cell r="J10">
            <v>42826</v>
          </cell>
          <cell r="K10">
            <v>42856</v>
          </cell>
          <cell r="L10">
            <v>42887</v>
          </cell>
          <cell r="M10">
            <v>42917</v>
          </cell>
          <cell r="N10">
            <v>42948</v>
          </cell>
          <cell r="O10">
            <v>42979</v>
          </cell>
          <cell r="P10">
            <v>43009</v>
          </cell>
          <cell r="Q10">
            <v>43040</v>
          </cell>
          <cell r="R10">
            <v>43070</v>
          </cell>
          <cell r="T10" t="str">
            <v>Total</v>
          </cell>
        </row>
        <row r="52">
          <cell r="F52" t="str">
            <v>Utah Allocated Actual Wheeling Revenues</v>
          </cell>
          <cell r="G52">
            <v>-3631046.833623705</v>
          </cell>
          <cell r="H52">
            <v>-3237946.0765219522</v>
          </cell>
          <cell r="I52">
            <v>-3422841.355412018</v>
          </cell>
          <cell r="J52">
            <v>-4531323.6479095658</v>
          </cell>
          <cell r="K52">
            <v>-4628204.0606530504</v>
          </cell>
          <cell r="L52">
            <v>-5340101.670071438</v>
          </cell>
          <cell r="M52">
            <v>-4910828.8232040247</v>
          </cell>
          <cell r="N52">
            <v>-4393424.7244758829</v>
          </cell>
          <cell r="O52">
            <v>-4568141.0158230513</v>
          </cell>
          <cell r="P52">
            <v>-3874694.9723340371</v>
          </cell>
          <cell r="Q52">
            <v>-3758607.7085778695</v>
          </cell>
          <cell r="R52">
            <v>-3845198.6877877442</v>
          </cell>
          <cell r="T52">
            <v>-50142359.576394334</v>
          </cell>
        </row>
        <row r="58">
          <cell r="G58">
            <v>42736</v>
          </cell>
          <cell r="H58">
            <v>42767</v>
          </cell>
          <cell r="I58">
            <v>42795</v>
          </cell>
          <cell r="J58">
            <v>42826</v>
          </cell>
          <cell r="K58">
            <v>42856</v>
          </cell>
          <cell r="L58">
            <v>42887</v>
          </cell>
          <cell r="M58">
            <v>42917</v>
          </cell>
          <cell r="N58">
            <v>42948</v>
          </cell>
          <cell r="O58">
            <v>42979</v>
          </cell>
          <cell r="P58">
            <v>43009</v>
          </cell>
          <cell r="Q58">
            <v>43040</v>
          </cell>
          <cell r="R58">
            <v>43070</v>
          </cell>
        </row>
        <row r="66">
          <cell r="G66">
            <v>-3422346.376176998</v>
          </cell>
          <cell r="H66">
            <v>-3422346.376176998</v>
          </cell>
          <cell r="I66">
            <v>-3422346.376176998</v>
          </cell>
          <cell r="J66">
            <v>-3422346.376176998</v>
          </cell>
          <cell r="K66">
            <v>-3422346.376176998</v>
          </cell>
          <cell r="L66">
            <v>-3422346.376176998</v>
          </cell>
          <cell r="M66">
            <v>-3422346.376176998</v>
          </cell>
          <cell r="N66">
            <v>-3422346.376176998</v>
          </cell>
          <cell r="O66">
            <v>-3422346.376176998</v>
          </cell>
          <cell r="P66">
            <v>-3422346.376176998</v>
          </cell>
          <cell r="Q66">
            <v>-3422346.376176998</v>
          </cell>
          <cell r="R66">
            <v>-3422346.376176998</v>
          </cell>
        </row>
      </sheetData>
      <sheetData sheetId="12"/>
      <sheetData sheetId="13">
        <row r="9">
          <cell r="E9">
            <v>42736</v>
          </cell>
          <cell r="F9">
            <v>42767</v>
          </cell>
          <cell r="G9">
            <v>42795</v>
          </cell>
          <cell r="H9">
            <v>42826</v>
          </cell>
          <cell r="I9">
            <v>42856</v>
          </cell>
          <cell r="J9">
            <v>42887</v>
          </cell>
          <cell r="K9">
            <v>42917</v>
          </cell>
          <cell r="L9">
            <v>42948</v>
          </cell>
          <cell r="M9">
            <v>42979</v>
          </cell>
          <cell r="N9">
            <v>43009</v>
          </cell>
          <cell r="O9">
            <v>43040</v>
          </cell>
          <cell r="P9">
            <v>43070</v>
          </cell>
          <cell r="R9" t="str">
            <v>Total</v>
          </cell>
        </row>
        <row r="19">
          <cell r="C19" t="str">
            <v>Total Utah Retail Sales</v>
          </cell>
          <cell r="E19">
            <v>2077692.3099999996</v>
          </cell>
          <cell r="F19">
            <v>1733671.4010000001</v>
          </cell>
          <cell r="G19">
            <v>1850795.0220000001</v>
          </cell>
          <cell r="H19">
            <v>1841537.2049999998</v>
          </cell>
          <cell r="I19">
            <v>1903587.825</v>
          </cell>
          <cell r="J19">
            <v>2233179.0759999999</v>
          </cell>
          <cell r="K19">
            <v>2491035.2709999997</v>
          </cell>
          <cell r="L19">
            <v>2366421.568</v>
          </cell>
          <cell r="M19">
            <v>1953694.8709999998</v>
          </cell>
          <cell r="N19">
            <v>1855065.71</v>
          </cell>
          <cell r="O19">
            <v>1841574.8119999999</v>
          </cell>
          <cell r="P19">
            <v>2064967.311</v>
          </cell>
          <cell r="R19">
            <v>24213222.381999999</v>
          </cell>
        </row>
        <row r="27">
          <cell r="E27">
            <v>2191141.30568837</v>
          </cell>
          <cell r="F27">
            <v>2157502.0906118797</v>
          </cell>
          <cell r="G27">
            <v>1865836.6002939758</v>
          </cell>
          <cell r="H27">
            <v>1829380.8936000003</v>
          </cell>
          <cell r="I27">
            <v>1877678.2182000002</v>
          </cell>
          <cell r="J27">
            <v>2013528.5713025413</v>
          </cell>
          <cell r="K27">
            <v>2020369.6340750149</v>
          </cell>
          <cell r="L27">
            <v>1829853.6334000006</v>
          </cell>
          <cell r="M27">
            <v>1902391.4871999996</v>
          </cell>
          <cell r="N27">
            <v>1832113.2551000002</v>
          </cell>
          <cell r="O27">
            <v>1821070.3979</v>
          </cell>
          <cell r="P27">
            <v>1903418.8341139755</v>
          </cell>
        </row>
      </sheetData>
      <sheetData sheetId="14">
        <row r="12">
          <cell r="P12">
            <v>9059510.0377223883</v>
          </cell>
        </row>
        <row r="20">
          <cell r="P20">
            <v>2906573.215039134</v>
          </cell>
        </row>
      </sheetData>
      <sheetData sheetId="15">
        <row r="19">
          <cell r="D19">
            <v>-285275.66655580763</v>
          </cell>
          <cell r="E19">
            <v>294598.6297961917</v>
          </cell>
          <cell r="F19">
            <v>1404035.1091200467</v>
          </cell>
          <cell r="G19">
            <v>1807242.9641605315</v>
          </cell>
          <cell r="H19">
            <v>799696.57598223269</v>
          </cell>
          <cell r="I19">
            <v>714505.01003578538</v>
          </cell>
          <cell r="J19">
            <v>70023.735327665592</v>
          </cell>
          <cell r="K19">
            <v>-380327.24408123741</v>
          </cell>
          <cell r="L19">
            <v>-164325.0697467711</v>
          </cell>
          <cell r="M19">
            <v>77222.998862918059</v>
          </cell>
          <cell r="N19">
            <v>10904.828510854826</v>
          </cell>
          <cell r="O19">
            <v>35434.042581291134</v>
          </cell>
        </row>
      </sheetData>
      <sheetData sheetId="16">
        <row r="15">
          <cell r="O15">
            <v>-463555.77506184939</v>
          </cell>
        </row>
      </sheetData>
      <sheetData sheetId="17">
        <row r="18">
          <cell r="D18">
            <v>71773.52</v>
          </cell>
          <cell r="E18">
            <v>-69182.820000000007</v>
          </cell>
          <cell r="F18">
            <v>-20774.049999999988</v>
          </cell>
          <cell r="G18">
            <v>28222.440000000002</v>
          </cell>
          <cell r="H18">
            <v>110879.63200000004</v>
          </cell>
          <cell r="I18">
            <v>126246.49160000001</v>
          </cell>
          <cell r="J18">
            <v>76204.33520000003</v>
          </cell>
          <cell r="K18">
            <v>65966.415599999978</v>
          </cell>
          <cell r="L18">
            <v>21193.653200000001</v>
          </cell>
          <cell r="M18">
            <v>10127.204000000027</v>
          </cell>
          <cell r="N18">
            <v>-74835.391999999993</v>
          </cell>
          <cell r="O18">
            <v>-88130.220400000006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4"/>
  <sheetViews>
    <sheetView tabSelected="1" zoomScale="80" zoomScaleNormal="80" workbookViewId="0"/>
  </sheetViews>
  <sheetFormatPr defaultColWidth="9.140625" defaultRowHeight="12.75" x14ac:dyDescent="0.2"/>
  <cols>
    <col min="1" max="1" width="5.5703125" style="7" customWidth="1"/>
    <col min="2" max="2" width="36.42578125" style="8" customWidth="1"/>
    <col min="3" max="3" width="2.28515625" style="9" customWidth="1"/>
    <col min="4" max="4" width="25.140625" style="10" customWidth="1"/>
    <col min="5" max="5" width="2.28515625" style="9" customWidth="1"/>
    <col min="6" max="6" width="12.85546875" style="9" bestFit="1" customWidth="1"/>
    <col min="7" max="7" width="13.5703125" style="9" bestFit="1" customWidth="1"/>
    <col min="8" max="8" width="13.140625" style="9" bestFit="1" customWidth="1"/>
    <col min="9" max="9" width="13.5703125" style="9" bestFit="1" customWidth="1"/>
    <col min="10" max="10" width="13.140625" style="9" bestFit="1" customWidth="1"/>
    <col min="11" max="13" width="13.5703125" style="9" bestFit="1" customWidth="1"/>
    <col min="14" max="14" width="13.85546875" style="9" bestFit="1" customWidth="1"/>
    <col min="15" max="16" width="13.5703125" style="9" bestFit="1" customWidth="1"/>
    <col min="17" max="17" width="13.85546875" style="9" bestFit="1" customWidth="1"/>
    <col min="18" max="18" width="2.28515625" style="9" customWidth="1"/>
    <col min="19" max="19" width="17.7109375" style="9" customWidth="1"/>
    <col min="20" max="20" width="2.28515625" style="9" customWidth="1"/>
    <col min="21" max="21" width="20.28515625" style="12" customWidth="1"/>
    <col min="22" max="23" width="9.7109375" style="9" customWidth="1"/>
    <col min="24" max="16384" width="9.140625" style="9"/>
  </cols>
  <sheetData>
    <row r="1" spans="1:21" s="3" customFormat="1" x14ac:dyDescent="0.2">
      <c r="A1" s="1" t="str">
        <f>+#REF!</f>
        <v>Utah Energy Balancing Account Mechanism</v>
      </c>
      <c r="B1" s="2"/>
      <c r="D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s="3" customFormat="1" x14ac:dyDescent="0.2">
      <c r="A2" s="1" t="str">
        <f>+#REF!</f>
        <v>January 1, 2017 - December 31, 2017</v>
      </c>
      <c r="B2" s="2"/>
      <c r="D2" s="4"/>
      <c r="U2" s="6"/>
    </row>
    <row r="3" spans="1:21" s="3" customFormat="1" x14ac:dyDescent="0.2">
      <c r="A3" s="1" t="str">
        <f>+#REF!&amp;" - "&amp;#REF!</f>
        <v>Exhibit 1 - Commission Order Calculation Method (Dynamic Annual Allocation Factor)</v>
      </c>
      <c r="B3" s="2"/>
      <c r="D3" s="4"/>
      <c r="U3" s="6"/>
    </row>
    <row r="4" spans="1:21" ht="15.75" customHeight="1" x14ac:dyDescent="0.2"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"/>
    </row>
    <row r="5" spans="1:21" ht="15.75" customHeight="1" x14ac:dyDescent="0.2">
      <c r="A5" s="9"/>
      <c r="B5" s="13"/>
      <c r="R5" s="3"/>
    </row>
    <row r="6" spans="1:21" ht="25.5" x14ac:dyDescent="0.2">
      <c r="A6" s="14" t="s">
        <v>0</v>
      </c>
      <c r="B6" s="15"/>
      <c r="C6" s="3"/>
      <c r="D6" s="16" t="s">
        <v>1</v>
      </c>
      <c r="E6" s="3"/>
      <c r="F6" s="17">
        <v>42736</v>
      </c>
      <c r="G6" s="17">
        <f>EDATE(F6,1)</f>
        <v>42767</v>
      </c>
      <c r="H6" s="17">
        <f t="shared" ref="H6:O6" si="0">EDATE(G6,1)</f>
        <v>42795</v>
      </c>
      <c r="I6" s="17">
        <f t="shared" si="0"/>
        <v>42826</v>
      </c>
      <c r="J6" s="17">
        <f t="shared" si="0"/>
        <v>42856</v>
      </c>
      <c r="K6" s="17">
        <f t="shared" si="0"/>
        <v>42887</v>
      </c>
      <c r="L6" s="17">
        <f t="shared" si="0"/>
        <v>42917</v>
      </c>
      <c r="M6" s="17">
        <f t="shared" si="0"/>
        <v>42948</v>
      </c>
      <c r="N6" s="17">
        <f t="shared" si="0"/>
        <v>42979</v>
      </c>
      <c r="O6" s="17">
        <f t="shared" si="0"/>
        <v>43009</v>
      </c>
      <c r="P6" s="17">
        <f>EDATE(O6,1)</f>
        <v>43040</v>
      </c>
      <c r="Q6" s="17">
        <f>EDATE(P6,1)</f>
        <v>43070</v>
      </c>
      <c r="R6" s="3"/>
      <c r="S6" s="17" t="s">
        <v>2</v>
      </c>
      <c r="T6" s="18"/>
    </row>
    <row r="7" spans="1:21" ht="15.75" customHeight="1" x14ac:dyDescent="0.2">
      <c r="A7" s="19"/>
      <c r="B7" s="20"/>
      <c r="C7" s="3"/>
      <c r="D7" s="21"/>
      <c r="E7" s="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3"/>
      <c r="S7" s="22"/>
      <c r="T7" s="23"/>
      <c r="U7" s="24"/>
    </row>
    <row r="8" spans="1:21" x14ac:dyDescent="0.2">
      <c r="A8" s="25" t="s">
        <v>3</v>
      </c>
      <c r="B8" s="2"/>
      <c r="C8" s="3"/>
      <c r="D8" s="21"/>
      <c r="E8" s="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"/>
      <c r="S8" s="23"/>
      <c r="T8" s="23"/>
      <c r="U8" s="24"/>
    </row>
    <row r="9" spans="1:21" x14ac:dyDescent="0.2">
      <c r="A9" s="26"/>
      <c r="B9" s="20"/>
      <c r="C9" s="25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"/>
      <c r="S9" s="28"/>
      <c r="T9" s="23"/>
      <c r="U9" s="24"/>
    </row>
    <row r="10" spans="1:21" x14ac:dyDescent="0.2">
      <c r="A10" s="26">
        <f>+MAX($A$1:A9)+1</f>
        <v>1</v>
      </c>
      <c r="B10" s="21" t="s">
        <v>4</v>
      </c>
      <c r="D10" s="29" t="str">
        <f>+#REF!</f>
        <v>(2.1)</v>
      </c>
      <c r="F10" s="30">
        <f>+'[29](2.1) UT Allocated Actual NPC'!I$78</f>
        <v>59536220.254782371</v>
      </c>
      <c r="G10" s="30">
        <f>+'[29](2.1) UT Allocated Actual NPC'!J$78</f>
        <v>50243034.315591805</v>
      </c>
      <c r="H10" s="30">
        <f>+'[29](2.1) UT Allocated Actual NPC'!K$78</f>
        <v>48618458.568117872</v>
      </c>
      <c r="I10" s="30">
        <f>+'[29](2.1) UT Allocated Actual NPC'!L$78</f>
        <v>46598916.733276352</v>
      </c>
      <c r="J10" s="30">
        <f>+'[29](2.1) UT Allocated Actual NPC'!M$78</f>
        <v>49671729.066826388</v>
      </c>
      <c r="K10" s="30">
        <f>+'[29](2.1) UT Allocated Actual NPC'!N$78</f>
        <v>53937516.679526143</v>
      </c>
      <c r="L10" s="30">
        <f>+'[29](2.1) UT Allocated Actual NPC'!O$78</f>
        <v>65872281.313147068</v>
      </c>
      <c r="M10" s="30">
        <f>+'[29](2.1) UT Allocated Actual NPC'!P$78</f>
        <v>71167260.108198047</v>
      </c>
      <c r="N10" s="30">
        <f>+'[29](2.1) UT Allocated Actual NPC'!Q$78</f>
        <v>56603193.515454084</v>
      </c>
      <c r="O10" s="30">
        <f>+'[29](2.1) UT Allocated Actual NPC'!R$78</f>
        <v>51308324.006789759</v>
      </c>
      <c r="P10" s="30">
        <f>+'[29](2.1) UT Allocated Actual NPC'!S$78</f>
        <v>48674586.434872337</v>
      </c>
      <c r="Q10" s="30">
        <f>+'[29](2.1) UT Allocated Actual NPC'!T$78</f>
        <v>55362728.135007098</v>
      </c>
      <c r="R10" s="31"/>
      <c r="S10" s="30">
        <f>+SUM(F10:Q10)</f>
        <v>657594249.13158953</v>
      </c>
      <c r="T10" s="23"/>
      <c r="U10" s="24"/>
    </row>
    <row r="11" spans="1:21" x14ac:dyDescent="0.2">
      <c r="A11" s="26">
        <f>+MAX($A$1:A10)+1</f>
        <v>2</v>
      </c>
      <c r="B11" s="21" t="s">
        <v>5</v>
      </c>
      <c r="D11" s="32" t="str">
        <f>+#REF!</f>
        <v>(4.1)</v>
      </c>
      <c r="F11" s="33">
        <f>+INDEX('[29](4.1) Wheeling Revenues'!$52:$52,1,MATCH(F$6,'[29](4.1) Wheeling Revenues'!$10:$10,0))</f>
        <v>-3631046.833623705</v>
      </c>
      <c r="G11" s="33">
        <f>+INDEX('[29](4.1) Wheeling Revenues'!$52:$52,1,MATCH(G$6,'[29](4.1) Wheeling Revenues'!$10:$10,0))</f>
        <v>-3237946.0765219522</v>
      </c>
      <c r="H11" s="33">
        <f>+INDEX('[29](4.1) Wheeling Revenues'!$52:$52,1,MATCH(H$6,'[29](4.1) Wheeling Revenues'!$10:$10,0))</f>
        <v>-3422841.355412018</v>
      </c>
      <c r="I11" s="33">
        <f>+INDEX('[29](4.1) Wheeling Revenues'!$52:$52,1,MATCH(I$6,'[29](4.1) Wheeling Revenues'!$10:$10,0))</f>
        <v>-4531323.6479095658</v>
      </c>
      <c r="J11" s="33">
        <f>+INDEX('[29](4.1) Wheeling Revenues'!$52:$52,1,MATCH(J$6,'[29](4.1) Wheeling Revenues'!$10:$10,0))</f>
        <v>-4628204.0606530504</v>
      </c>
      <c r="K11" s="33">
        <f>+INDEX('[29](4.1) Wheeling Revenues'!$52:$52,1,MATCH(K$6,'[29](4.1) Wheeling Revenues'!$10:$10,0))</f>
        <v>-5340101.670071438</v>
      </c>
      <c r="L11" s="33">
        <f>+INDEX('[29](4.1) Wheeling Revenues'!$52:$52,1,MATCH(L$6,'[29](4.1) Wheeling Revenues'!$10:$10,0))</f>
        <v>-4910828.8232040247</v>
      </c>
      <c r="M11" s="33">
        <f>+INDEX('[29](4.1) Wheeling Revenues'!$52:$52,1,MATCH(M$6,'[29](4.1) Wheeling Revenues'!$10:$10,0))</f>
        <v>-4393424.7244758829</v>
      </c>
      <c r="N11" s="33">
        <f>+INDEX('[29](4.1) Wheeling Revenues'!$52:$52,1,MATCH(N$6,'[29](4.1) Wheeling Revenues'!$10:$10,0))</f>
        <v>-4568141.0158230513</v>
      </c>
      <c r="O11" s="33">
        <f>+INDEX('[29](4.1) Wheeling Revenues'!$52:$52,1,MATCH(O$6,'[29](4.1) Wheeling Revenues'!$10:$10,0))</f>
        <v>-3874694.9723340371</v>
      </c>
      <c r="P11" s="33">
        <f>+INDEX('[29](4.1) Wheeling Revenues'!$52:$52,1,MATCH(P$6,'[29](4.1) Wheeling Revenues'!$10:$10,0))</f>
        <v>-3758607.7085778695</v>
      </c>
      <c r="Q11" s="33">
        <f>+INDEX('[29](4.1) Wheeling Revenues'!$52:$52,1,MATCH(Q$6,'[29](4.1) Wheeling Revenues'!$10:$10,0))</f>
        <v>-3845198.6877877442</v>
      </c>
      <c r="R11" s="31"/>
      <c r="S11" s="33">
        <f>+SUM(F11:Q11)</f>
        <v>-50142359.576394334</v>
      </c>
      <c r="T11" s="23"/>
      <c r="U11" s="24"/>
    </row>
    <row r="12" spans="1:21" x14ac:dyDescent="0.2">
      <c r="A12" s="26">
        <f>+MAX($A$1:A11)+1</f>
        <v>3</v>
      </c>
      <c r="B12" s="21" t="s">
        <v>2</v>
      </c>
      <c r="D12" s="10" t="str">
        <f>"∑ Lines "&amp;$A$10&amp;":"&amp;$A$11&amp;""</f>
        <v>∑ Lines 1:2</v>
      </c>
      <c r="F12" s="34">
        <f>+SUM(F10:F11)</f>
        <v>55905173.421158664</v>
      </c>
      <c r="G12" s="34">
        <f>+SUM(G10:G11)</f>
        <v>47005088.239069849</v>
      </c>
      <c r="H12" s="34">
        <f>+SUM(H10:H11)</f>
        <v>45195617.212705851</v>
      </c>
      <c r="I12" s="34">
        <f t="shared" ref="I12:Q12" si="1">+SUM(I10:I11)</f>
        <v>42067593.085366786</v>
      </c>
      <c r="J12" s="34">
        <f t="shared" si="1"/>
        <v>45043525.006173335</v>
      </c>
      <c r="K12" s="34">
        <f t="shared" si="1"/>
        <v>48597415.009454705</v>
      </c>
      <c r="L12" s="34">
        <f t="shared" si="1"/>
        <v>60961452.489943042</v>
      </c>
      <c r="M12" s="34">
        <f t="shared" si="1"/>
        <v>66773835.383722164</v>
      </c>
      <c r="N12" s="34">
        <f t="shared" si="1"/>
        <v>52035052.499631032</v>
      </c>
      <c r="O12" s="34">
        <f t="shared" si="1"/>
        <v>47433629.034455724</v>
      </c>
      <c r="P12" s="34">
        <f t="shared" si="1"/>
        <v>44915978.726294465</v>
      </c>
      <c r="Q12" s="34">
        <f t="shared" si="1"/>
        <v>51517529.447219357</v>
      </c>
      <c r="R12" s="31"/>
      <c r="S12" s="34">
        <f>+SUM(F12:Q12)</f>
        <v>607451889.55519509</v>
      </c>
      <c r="T12" s="23"/>
      <c r="U12" s="24"/>
    </row>
    <row r="13" spans="1:21" x14ac:dyDescent="0.2">
      <c r="A13" s="26"/>
      <c r="B13" s="21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1"/>
      <c r="S13" s="35"/>
      <c r="T13" s="23"/>
      <c r="U13" s="24"/>
    </row>
    <row r="14" spans="1:21" x14ac:dyDescent="0.2">
      <c r="A14" s="26">
        <f>+MAX($A$1:A13)+1</f>
        <v>4</v>
      </c>
      <c r="B14" s="21" t="s">
        <v>6</v>
      </c>
      <c r="D14" s="32" t="str">
        <f>+#REF!</f>
        <v>(5.2)</v>
      </c>
      <c r="F14" s="35">
        <f>+INDEX('[29](5.2) Utah Sales'!19:19,MATCH(F6,'[29](5.2) Utah Sales'!9:9,0))</f>
        <v>2077692.3099999996</v>
      </c>
      <c r="G14" s="35">
        <f>+INDEX('[29](5.2) Utah Sales'!19:19,MATCH(G6,'[29](5.2) Utah Sales'!9:9,0))</f>
        <v>1733671.4010000001</v>
      </c>
      <c r="H14" s="35">
        <f>+INDEX('[29](5.2) Utah Sales'!19:19,MATCH(H6,'[29](5.2) Utah Sales'!9:9,0))</f>
        <v>1850795.0220000001</v>
      </c>
      <c r="I14" s="35">
        <f>+INDEX('[29](5.2) Utah Sales'!19:19,MATCH(I6,'[29](5.2) Utah Sales'!9:9,0))</f>
        <v>1841537.2049999998</v>
      </c>
      <c r="J14" s="35">
        <f>+INDEX('[29](5.2) Utah Sales'!19:19,MATCH(J6,'[29](5.2) Utah Sales'!9:9,0))</f>
        <v>1903587.825</v>
      </c>
      <c r="K14" s="35">
        <f>+INDEX('[29](5.2) Utah Sales'!19:19,MATCH(K6,'[29](5.2) Utah Sales'!9:9,0))</f>
        <v>2233179.0759999999</v>
      </c>
      <c r="L14" s="35">
        <f>+INDEX('[29](5.2) Utah Sales'!19:19,MATCH(L6,'[29](5.2) Utah Sales'!9:9,0))</f>
        <v>2491035.2709999997</v>
      </c>
      <c r="M14" s="35">
        <f>+INDEX('[29](5.2) Utah Sales'!19:19,MATCH(M6,'[29](5.2) Utah Sales'!9:9,0))</f>
        <v>2366421.568</v>
      </c>
      <c r="N14" s="35">
        <f>+INDEX('[29](5.2) Utah Sales'!19:19,MATCH(N6,'[29](5.2) Utah Sales'!9:9,0))</f>
        <v>1953694.8709999998</v>
      </c>
      <c r="O14" s="35">
        <f>+INDEX('[29](5.2) Utah Sales'!19:19,MATCH(O6,'[29](5.2) Utah Sales'!9:9,0))</f>
        <v>1855065.71</v>
      </c>
      <c r="P14" s="35">
        <f>+INDEX('[29](5.2) Utah Sales'!19:19,MATCH(P6,'[29](5.2) Utah Sales'!9:9,0))</f>
        <v>1841574.8119999999</v>
      </c>
      <c r="Q14" s="35">
        <f>+INDEX('[29](5.2) Utah Sales'!19:19,MATCH(Q6,'[29](5.2) Utah Sales'!9:9,0))</f>
        <v>2064967.311</v>
      </c>
      <c r="R14" s="31"/>
      <c r="S14" s="35">
        <f>+SUM(F14:Q14)</f>
        <v>24213222.381999999</v>
      </c>
      <c r="T14" s="23"/>
      <c r="U14" s="24"/>
    </row>
    <row r="15" spans="1:21" x14ac:dyDescent="0.2">
      <c r="A15" s="26"/>
      <c r="B15" s="21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1"/>
      <c r="S15" s="36"/>
      <c r="T15" s="23"/>
      <c r="U15" s="24"/>
    </row>
    <row r="16" spans="1:21" x14ac:dyDescent="0.2">
      <c r="A16" s="26">
        <f>+MAX($A$1:A15)+1</f>
        <v>5</v>
      </c>
      <c r="B16" s="21" t="s">
        <v>7</v>
      </c>
      <c r="D16" s="10" t="str">
        <f>"Line "&amp;$A$12&amp;" / Line "&amp;$A$14&amp;""</f>
        <v>Line 3 / Line 4</v>
      </c>
      <c r="F16" s="37">
        <f>+F12/F14</f>
        <v>26.907340009916421</v>
      </c>
      <c r="G16" s="37">
        <f>+G12/G14</f>
        <v>27.1130320382264</v>
      </c>
      <c r="H16" s="37">
        <f t="shared" ref="H16:J16" si="2">+H12/H14</f>
        <v>24.419569252929321</v>
      </c>
      <c r="I16" s="37">
        <f t="shared" si="2"/>
        <v>22.843737813793879</v>
      </c>
      <c r="J16" s="37">
        <f t="shared" si="2"/>
        <v>23.662435961510383</v>
      </c>
      <c r="K16" s="37">
        <f>+K12/K14</f>
        <v>21.761539650685275</v>
      </c>
      <c r="L16" s="37">
        <f t="shared" ref="L16:Q16" si="3">+L12/L14</f>
        <v>24.472336140576086</v>
      </c>
      <c r="M16" s="37">
        <f t="shared" si="3"/>
        <v>28.217218895683327</v>
      </c>
      <c r="N16" s="37">
        <f t="shared" si="3"/>
        <v>26.634175721102682</v>
      </c>
      <c r="O16" s="37">
        <f t="shared" si="3"/>
        <v>25.569783743377869</v>
      </c>
      <c r="P16" s="37">
        <f t="shared" si="3"/>
        <v>24.389983200038721</v>
      </c>
      <c r="Q16" s="37">
        <f t="shared" si="3"/>
        <v>24.94835108177621</v>
      </c>
      <c r="R16" s="37"/>
      <c r="S16" s="37">
        <f>+S12/S14</f>
        <v>25.087610396159914</v>
      </c>
      <c r="T16" s="23"/>
      <c r="U16" s="24"/>
    </row>
    <row r="17" spans="1:21" x14ac:dyDescent="0.2">
      <c r="A17" s="26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1"/>
      <c r="S17" s="38"/>
      <c r="T17" s="23"/>
      <c r="U17" s="24"/>
    </row>
    <row r="18" spans="1:21" x14ac:dyDescent="0.2">
      <c r="A18" s="39" t="s">
        <v>8</v>
      </c>
      <c r="B18" s="40"/>
      <c r="C18" s="41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31"/>
      <c r="S18" s="42"/>
      <c r="T18" s="23"/>
      <c r="U18" s="24"/>
    </row>
    <row r="19" spans="1:21" x14ac:dyDescent="0.2">
      <c r="A19" s="39"/>
      <c r="B19" s="40"/>
      <c r="C19" s="41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31"/>
      <c r="S19" s="42"/>
      <c r="T19" s="23"/>
      <c r="U19" s="24"/>
    </row>
    <row r="20" spans="1:21" x14ac:dyDescent="0.2">
      <c r="A20" s="26">
        <f>+MAX($A$1:A19)+1</f>
        <v>6</v>
      </c>
      <c r="B20" s="21" t="s">
        <v>4</v>
      </c>
      <c r="C20" s="25"/>
      <c r="D20" s="32" t="str">
        <f>+#REF!</f>
        <v>(3.1)</v>
      </c>
      <c r="E20" s="27"/>
      <c r="F20" s="30">
        <f>+INDEX('[29](3.1) Allctd Base NPC (GRC14)'!$I$83:$T$83,1,MATCH(MONTH(F$6),'[29](3.1) Allctd Base NPC (GRC14)'!$I$47:$T$47,0))</f>
        <v>52951274.091305241</v>
      </c>
      <c r="G20" s="30">
        <f>+INDEX('[29](3.1) Allctd Base NPC (GRC14)'!$I$83:$T$83,1,MATCH(MONTH(G$6),'[29](3.1) Allctd Base NPC (GRC14)'!$I$47:$T$47,0))</f>
        <v>49340602.199419484</v>
      </c>
      <c r="H20" s="30">
        <f>+INDEX('[29](3.1) Allctd Base NPC (GRC14)'!$I$83:$T$83,1,MATCH(MONTH(H$6),'[29](3.1) Allctd Base NPC (GRC14)'!$I$47:$T$47,0))</f>
        <v>52632441.352353275</v>
      </c>
      <c r="I20" s="30">
        <f>+INDEX('[29](3.1) Allctd Base NPC (GRC14)'!$I$83:$T$83,1,MATCH(MONTH(I$6),'[29](3.1) Allctd Base NPC (GRC14)'!$I$47:$T$47,0))</f>
        <v>48247357.847752899</v>
      </c>
      <c r="J20" s="30">
        <f>+INDEX('[29](3.1) Allctd Base NPC (GRC14)'!$I$83:$T$83,1,MATCH(MONTH(J$6),'[29](3.1) Allctd Base NPC (GRC14)'!$I$47:$T$47,0))</f>
        <v>49229411.982862458</v>
      </c>
      <c r="K20" s="30">
        <f>+INDEX('[29](3.1) Allctd Base NPC (GRC14)'!$I$83:$T$83,1,MATCH(MONTH(K$6),'[29](3.1) Allctd Base NPC (GRC14)'!$I$47:$T$47,0))</f>
        <v>51883411.554273084</v>
      </c>
      <c r="L20" s="30">
        <f>+INDEX('[29](3.1) Allctd Base NPC (GRC14)'!$I$83:$T$83,1,MATCH(MONTH(L$6),'[29](3.1) Allctd Base NPC (GRC14)'!$I$47:$T$47,0))</f>
        <v>60534576.222015001</v>
      </c>
      <c r="M20" s="30">
        <f>+INDEX('[29](3.1) Allctd Base NPC (GRC14)'!$I$83:$T$83,1,MATCH(MONTH(M$6),'[29](3.1) Allctd Base NPC (GRC14)'!$I$47:$T$47,0))</f>
        <v>60895339.604102701</v>
      </c>
      <c r="N20" s="30">
        <f>+INDEX('[29](3.1) Allctd Base NPC (GRC14)'!$I$83:$T$83,1,MATCH(MONTH(N$6),'[29](3.1) Allctd Base NPC (GRC14)'!$I$47:$T$47,0))</f>
        <v>49740054.401154719</v>
      </c>
      <c r="O20" s="30">
        <f>+INDEX('[29](3.1) Allctd Base NPC (GRC14)'!$I$83:$T$83,1,MATCH(MONTH(O$6),'[29](3.1) Allctd Base NPC (GRC14)'!$I$47:$T$47,0))</f>
        <v>49325488.310134262</v>
      </c>
      <c r="P20" s="30">
        <f>+INDEX('[29](3.1) Allctd Base NPC (GRC14)'!$I$83:$T$83,1,MATCH(MONTH(P$6),'[29](3.1) Allctd Base NPC (GRC14)'!$I$47:$T$47,0))</f>
        <v>49731889.450345367</v>
      </c>
      <c r="Q20" s="30">
        <f>+INDEX('[29](3.1) Allctd Base NPC (GRC14)'!$I$83:$T$83,1,MATCH(MONTH(Q$6),'[29](3.1) Allctd Base NPC (GRC14)'!$I$47:$T$47,0))</f>
        <v>53488152.98428151</v>
      </c>
      <c r="R20" s="31"/>
      <c r="S20" s="30">
        <f>+SUM(F20:Q20)</f>
        <v>628000000</v>
      </c>
      <c r="T20" s="23"/>
      <c r="U20" s="44"/>
    </row>
    <row r="21" spans="1:21" x14ac:dyDescent="0.2">
      <c r="A21" s="26">
        <f>+MAX($A$1:A20)+1</f>
        <v>7</v>
      </c>
      <c r="B21" s="21" t="s">
        <v>5</v>
      </c>
      <c r="C21" s="25"/>
      <c r="D21" s="32" t="str">
        <f>+#REF!</f>
        <v>(4.1)</v>
      </c>
      <c r="E21" s="27"/>
      <c r="F21" s="33">
        <f>+INDEX('[29](4.1) Wheeling Revenues'!$G$66:$R$66,MATCH(F$6,'[29](4.1) Wheeling Revenues'!$G$58:$R$58,0))</f>
        <v>-3422346.376176998</v>
      </c>
      <c r="G21" s="33">
        <f>+INDEX('[29](4.1) Wheeling Revenues'!$G$66:$R$66,MATCH(G$6,'[29](4.1) Wheeling Revenues'!$G$58:$R$58,0))</f>
        <v>-3422346.376176998</v>
      </c>
      <c r="H21" s="33">
        <f>+INDEX('[29](4.1) Wheeling Revenues'!$G$66:$R$66,MATCH(H$6,'[29](4.1) Wheeling Revenues'!$G$58:$R$58,0))</f>
        <v>-3422346.376176998</v>
      </c>
      <c r="I21" s="33">
        <f>+INDEX('[29](4.1) Wheeling Revenues'!$G$66:$R$66,MATCH(I$6,'[29](4.1) Wheeling Revenues'!$G$58:$R$58,0))</f>
        <v>-3422346.376176998</v>
      </c>
      <c r="J21" s="33">
        <f>+INDEX('[29](4.1) Wheeling Revenues'!$G$66:$R$66,MATCH(J$6,'[29](4.1) Wheeling Revenues'!$G$58:$R$58,0))</f>
        <v>-3422346.376176998</v>
      </c>
      <c r="K21" s="33">
        <f>+INDEX('[29](4.1) Wheeling Revenues'!$G$66:$R$66,MATCH(K$6,'[29](4.1) Wheeling Revenues'!$G$58:$R$58,0))</f>
        <v>-3422346.376176998</v>
      </c>
      <c r="L21" s="33">
        <f>+INDEX('[29](4.1) Wheeling Revenues'!$G$66:$R$66,MATCH(L$6,'[29](4.1) Wheeling Revenues'!$G$58:$R$58,0))</f>
        <v>-3422346.376176998</v>
      </c>
      <c r="M21" s="33">
        <f>+INDEX('[29](4.1) Wheeling Revenues'!$G$66:$R$66,MATCH(M$6,'[29](4.1) Wheeling Revenues'!$G$58:$R$58,0))</f>
        <v>-3422346.376176998</v>
      </c>
      <c r="N21" s="33">
        <f>+INDEX('[29](4.1) Wheeling Revenues'!$G$66:$R$66,MATCH(N$6,'[29](4.1) Wheeling Revenues'!$G$58:$R$58,0))</f>
        <v>-3422346.376176998</v>
      </c>
      <c r="O21" s="33">
        <f>+INDEX('[29](4.1) Wheeling Revenues'!$G$66:$R$66,MATCH(O$6,'[29](4.1) Wheeling Revenues'!$G$58:$R$58,0))</f>
        <v>-3422346.376176998</v>
      </c>
      <c r="P21" s="33">
        <f>+INDEX('[29](4.1) Wheeling Revenues'!$G$66:$R$66,MATCH(P$6,'[29](4.1) Wheeling Revenues'!$G$58:$R$58,0))</f>
        <v>-3422346.376176998</v>
      </c>
      <c r="Q21" s="33">
        <f>+INDEX('[29](4.1) Wheeling Revenues'!$G$66:$R$66,MATCH(Q$6,'[29](4.1) Wheeling Revenues'!$G$58:$R$58,0))</f>
        <v>-3422346.376176998</v>
      </c>
      <c r="R21" s="31"/>
      <c r="S21" s="33">
        <f>+SUM(F21:Q21)</f>
        <v>-41068156.514123976</v>
      </c>
      <c r="T21" s="45"/>
      <c r="U21" s="24"/>
    </row>
    <row r="22" spans="1:21" x14ac:dyDescent="0.2">
      <c r="A22" s="26">
        <f>+MAX($A$1:A21)+1</f>
        <v>8</v>
      </c>
      <c r="B22" s="21" t="s">
        <v>2</v>
      </c>
      <c r="C22" s="25"/>
      <c r="D22" s="10" t="str">
        <f>"∑ Lines "&amp;$A$20&amp;":"&amp;$A$21&amp;""</f>
        <v>∑ Lines 6:7</v>
      </c>
      <c r="E22" s="27"/>
      <c r="F22" s="34">
        <f>+SUM(F20:F21)</f>
        <v>49528927.715128243</v>
      </c>
      <c r="G22" s="34">
        <f>+SUM(G20:G21)</f>
        <v>45918255.823242486</v>
      </c>
      <c r="H22" s="34">
        <f>+SUM(H20:H21)</f>
        <v>49210094.976176277</v>
      </c>
      <c r="I22" s="34">
        <f t="shared" ref="I22:Q22" si="4">+SUM(I20:I21)</f>
        <v>44825011.471575901</v>
      </c>
      <c r="J22" s="34">
        <f t="shared" si="4"/>
        <v>45807065.60668546</v>
      </c>
      <c r="K22" s="34">
        <f t="shared" si="4"/>
        <v>48461065.178096086</v>
      </c>
      <c r="L22" s="34">
        <f t="shared" si="4"/>
        <v>57112229.845838003</v>
      </c>
      <c r="M22" s="34">
        <f t="shared" si="4"/>
        <v>57472993.227925703</v>
      </c>
      <c r="N22" s="34">
        <f t="shared" si="4"/>
        <v>46317708.024977721</v>
      </c>
      <c r="O22" s="34">
        <f t="shared" si="4"/>
        <v>45903141.933957264</v>
      </c>
      <c r="P22" s="34">
        <f t="shared" si="4"/>
        <v>46309543.074168369</v>
      </c>
      <c r="Q22" s="34">
        <f t="shared" si="4"/>
        <v>50065806.608104512</v>
      </c>
      <c r="R22" s="31"/>
      <c r="S22" s="34">
        <f>+SUM(F22:Q22)</f>
        <v>586931843.48587608</v>
      </c>
      <c r="T22" s="23"/>
      <c r="U22" s="46"/>
    </row>
    <row r="23" spans="1:21" x14ac:dyDescent="0.2">
      <c r="A23" s="26"/>
      <c r="B23" s="21"/>
      <c r="C23" s="25"/>
      <c r="E23" s="27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1"/>
      <c r="S23" s="35"/>
      <c r="T23" s="23"/>
      <c r="U23" s="24"/>
    </row>
    <row r="24" spans="1:21" x14ac:dyDescent="0.2">
      <c r="A24" s="26">
        <f>+MAX($A$1:A23)+1</f>
        <v>9</v>
      </c>
      <c r="B24" s="21" t="s">
        <v>6</v>
      </c>
      <c r="C24" s="25"/>
      <c r="D24" s="32"/>
      <c r="E24" s="27"/>
      <c r="F24" s="35">
        <f>+'[29](5.2) Utah Sales'!K27</f>
        <v>2020369.6340750149</v>
      </c>
      <c r="G24" s="35">
        <f>+'[29](5.2) Utah Sales'!L27</f>
        <v>1829853.6334000006</v>
      </c>
      <c r="H24" s="35">
        <f>+'[29](5.2) Utah Sales'!M27</f>
        <v>1902391.4871999996</v>
      </c>
      <c r="I24" s="35">
        <f>+'[29](5.2) Utah Sales'!N27</f>
        <v>1832113.2551000002</v>
      </c>
      <c r="J24" s="35">
        <f>+'[29](5.2) Utah Sales'!O27</f>
        <v>1821070.3979</v>
      </c>
      <c r="K24" s="35">
        <f>+'[29](5.2) Utah Sales'!P27</f>
        <v>1903418.8341139755</v>
      </c>
      <c r="L24" s="35">
        <f>+'[29](5.2) Utah Sales'!E27</f>
        <v>2191141.30568837</v>
      </c>
      <c r="M24" s="35">
        <f>+'[29](5.2) Utah Sales'!F27</f>
        <v>2157502.0906118797</v>
      </c>
      <c r="N24" s="35">
        <f>+'[29](5.2) Utah Sales'!G27</f>
        <v>1865836.6002939758</v>
      </c>
      <c r="O24" s="35">
        <f>+'[29](5.2) Utah Sales'!H27</f>
        <v>1829380.8936000003</v>
      </c>
      <c r="P24" s="35">
        <f>+'[29](5.2) Utah Sales'!I27</f>
        <v>1877678.2182000002</v>
      </c>
      <c r="Q24" s="35">
        <f>+'[29](5.2) Utah Sales'!J27</f>
        <v>2013528.5713025413</v>
      </c>
      <c r="R24" s="31"/>
      <c r="S24" s="35">
        <f>+SUM(F24:Q24)</f>
        <v>23244284.921485759</v>
      </c>
      <c r="T24" s="23"/>
      <c r="U24" s="24"/>
    </row>
    <row r="25" spans="1:21" x14ac:dyDescent="0.2">
      <c r="A25" s="26"/>
      <c r="B25" s="21"/>
      <c r="C25" s="25"/>
      <c r="E25" s="2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1"/>
      <c r="S25" s="36"/>
      <c r="T25" s="23"/>
      <c r="U25" s="24"/>
    </row>
    <row r="26" spans="1:21" x14ac:dyDescent="0.2">
      <c r="A26" s="26">
        <f>+MAX($A$1:A25)+1</f>
        <v>10</v>
      </c>
      <c r="B26" s="21" t="s">
        <v>9</v>
      </c>
      <c r="C26" s="25"/>
      <c r="D26" s="10" t="str">
        <f>"Line "&amp;$A$22&amp;" / Line "&amp;$A$24&amp;""</f>
        <v>Line 8 / Line 9</v>
      </c>
      <c r="E26" s="27"/>
      <c r="F26" s="37">
        <f>+F22/F24</f>
        <v>24.514785255027878</v>
      </c>
      <c r="G26" s="37">
        <f>+G22/G24</f>
        <v>25.093950130821685</v>
      </c>
      <c r="H26" s="37">
        <f>+H22/H24</f>
        <v>25.867491159038597</v>
      </c>
      <c r="I26" s="37">
        <f t="shared" ref="I26:J26" si="5">+I22/I24</f>
        <v>24.46628850416197</v>
      </c>
      <c r="J26" s="37">
        <f t="shared" si="5"/>
        <v>25.15392357127363</v>
      </c>
      <c r="K26" s="37">
        <f>+K22/K24</f>
        <v>25.460011380340408</v>
      </c>
      <c r="L26" s="37">
        <f t="shared" ref="L26:Q26" si="6">+L22/L24</f>
        <v>26.065060111627805</v>
      </c>
      <c r="M26" s="37">
        <f t="shared" si="6"/>
        <v>26.63867324996475</v>
      </c>
      <c r="N26" s="37">
        <f t="shared" si="6"/>
        <v>24.824096610432036</v>
      </c>
      <c r="O26" s="37">
        <f t="shared" si="6"/>
        <v>25.092173037636485</v>
      </c>
      <c r="P26" s="37">
        <f t="shared" si="6"/>
        <v>24.663194484176376</v>
      </c>
      <c r="Q26" s="37">
        <f t="shared" si="6"/>
        <v>24.864711294221763</v>
      </c>
      <c r="R26" s="31"/>
      <c r="S26" s="37">
        <f>+S22/S24</f>
        <v>25.250587207496672</v>
      </c>
      <c r="T26" s="23"/>
      <c r="U26" s="24"/>
    </row>
    <row r="27" spans="1:21" x14ac:dyDescent="0.2">
      <c r="A27" s="26"/>
      <c r="B27" s="47"/>
      <c r="C27" s="25"/>
      <c r="E27" s="2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1"/>
      <c r="S27" s="36"/>
      <c r="T27" s="23"/>
      <c r="U27" s="24"/>
    </row>
    <row r="28" spans="1:21" x14ac:dyDescent="0.2">
      <c r="A28" s="25" t="s">
        <v>10</v>
      </c>
      <c r="B28" s="47"/>
      <c r="C28" s="25"/>
      <c r="E28" s="2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1"/>
      <c r="S28" s="36"/>
      <c r="T28" s="23"/>
      <c r="U28" s="24"/>
    </row>
    <row r="29" spans="1:21" x14ac:dyDescent="0.2">
      <c r="A29" s="25"/>
      <c r="B29" s="47"/>
      <c r="C29" s="25"/>
      <c r="E29" s="2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1"/>
      <c r="S29" s="36"/>
      <c r="T29" s="23"/>
      <c r="U29" s="24"/>
    </row>
    <row r="30" spans="1:21" x14ac:dyDescent="0.2">
      <c r="A30" s="26">
        <f>+MAX($A$1:A28)+1</f>
        <v>11</v>
      </c>
      <c r="B30" s="21" t="s">
        <v>11</v>
      </c>
      <c r="C30" s="25"/>
      <c r="D30" s="10" t="str">
        <f>"Line "&amp;$A$16&amp;" - Line "&amp;$A$26&amp;""</f>
        <v>Line 5 - Line 10</v>
      </c>
      <c r="E30" s="27"/>
      <c r="F30" s="48">
        <f t="shared" ref="F30:Q30" si="7">+F16-F26</f>
        <v>2.3925547548885433</v>
      </c>
      <c r="G30" s="48">
        <f t="shared" si="7"/>
        <v>2.0190819074047148</v>
      </c>
      <c r="H30" s="48">
        <f t="shared" si="7"/>
        <v>-1.4479219061092756</v>
      </c>
      <c r="I30" s="48">
        <f t="shared" si="7"/>
        <v>-1.6225506903680902</v>
      </c>
      <c r="J30" s="48">
        <f t="shared" si="7"/>
        <v>-1.4914876097632472</v>
      </c>
      <c r="K30" s="48">
        <f t="shared" si="7"/>
        <v>-3.6984717296551324</v>
      </c>
      <c r="L30" s="48">
        <f t="shared" si="7"/>
        <v>-1.5927239710517185</v>
      </c>
      <c r="M30" s="48">
        <f t="shared" si="7"/>
        <v>1.5785456457185774</v>
      </c>
      <c r="N30" s="48">
        <f t="shared" si="7"/>
        <v>1.810079110670646</v>
      </c>
      <c r="O30" s="48">
        <f t="shared" si="7"/>
        <v>0.47761070574138387</v>
      </c>
      <c r="P30" s="48">
        <f t="shared" si="7"/>
        <v>-0.2732112841376555</v>
      </c>
      <c r="Q30" s="48">
        <f t="shared" si="7"/>
        <v>8.3639787554446343E-2</v>
      </c>
      <c r="R30" s="48"/>
      <c r="S30" s="48">
        <f>+S16-S26</f>
        <v>-0.16297681133675823</v>
      </c>
      <c r="T30" s="23"/>
      <c r="U30" s="24"/>
    </row>
    <row r="31" spans="1:21" x14ac:dyDescent="0.2">
      <c r="A31" s="26"/>
      <c r="B31" s="21"/>
      <c r="C31" s="25"/>
      <c r="E31" s="27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31"/>
      <c r="S31" s="49"/>
      <c r="T31" s="23"/>
      <c r="U31" s="24"/>
    </row>
    <row r="32" spans="1:21" x14ac:dyDescent="0.2">
      <c r="A32" s="26">
        <f>+MAX($A$1:A31)+1</f>
        <v>12</v>
      </c>
      <c r="B32" s="21" t="s">
        <v>12</v>
      </c>
      <c r="C32" s="25"/>
      <c r="D32" s="10" t="str">
        <f>"Line "&amp;$A$14&amp;" * Line "&amp;$A$30&amp;""</f>
        <v>Line 4 * Line 11</v>
      </c>
      <c r="E32" s="27"/>
      <c r="F32" s="50">
        <f t="shared" ref="F32:Q32" si="8">F30*F14</f>
        <v>4970992.61548586</v>
      </c>
      <c r="G32" s="50">
        <f t="shared" si="8"/>
        <v>3500424.5591440843</v>
      </c>
      <c r="H32" s="50">
        <f t="shared" si="8"/>
        <v>-2679806.6560717989</v>
      </c>
      <c r="I32" s="50">
        <f t="shared" si="8"/>
        <v>-2987987.4633112731</v>
      </c>
      <c r="J32" s="50">
        <f t="shared" si="8"/>
        <v>-2839177.6550836684</v>
      </c>
      <c r="K32" s="50">
        <f t="shared" si="8"/>
        <v>-8259349.6798433699</v>
      </c>
      <c r="L32" s="50">
        <f t="shared" si="8"/>
        <v>-3967531.5888570133</v>
      </c>
      <c r="M32" s="50">
        <f t="shared" si="8"/>
        <v>3735504.4621009282</v>
      </c>
      <c r="N32" s="50">
        <f t="shared" si="8"/>
        <v>3536342.274621482</v>
      </c>
      <c r="O32" s="50">
        <f t="shared" si="8"/>
        <v>885999.24294974131</v>
      </c>
      <c r="P32" s="50">
        <f t="shared" si="8"/>
        <v>-503139.01922208146</v>
      </c>
      <c r="Q32" s="50">
        <f t="shared" si="8"/>
        <v>172713.42719891632</v>
      </c>
      <c r="R32" s="51"/>
      <c r="S32" s="50">
        <f>+SUM(F32:Q32)</f>
        <v>-4435015.4808881907</v>
      </c>
      <c r="T32" s="23"/>
      <c r="U32" s="24"/>
    </row>
    <row r="33" spans="1:21" x14ac:dyDescent="0.2">
      <c r="A33" s="26"/>
      <c r="B33" s="21"/>
      <c r="C33" s="25"/>
      <c r="E33" s="27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31"/>
      <c r="S33" s="52"/>
      <c r="T33" s="23"/>
      <c r="U33" s="24"/>
    </row>
    <row r="34" spans="1:21" x14ac:dyDescent="0.2">
      <c r="A34" s="26">
        <f>+MAX($A$1:A33)+1</f>
        <v>13</v>
      </c>
      <c r="B34" s="53" t="s">
        <v>13</v>
      </c>
      <c r="C34" s="25"/>
      <c r="D34" s="10" t="s">
        <v>14</v>
      </c>
      <c r="E34" s="27"/>
      <c r="F34" s="54">
        <f>'[29](6.1) Deer Creek'!$P$20/12*-1</f>
        <v>-242214.43458659449</v>
      </c>
      <c r="G34" s="54">
        <f>'[29](6.1) Deer Creek'!$P$20/12*-1</f>
        <v>-242214.43458659449</v>
      </c>
      <c r="H34" s="54">
        <f>'[29](6.1) Deer Creek'!$P$20/12*-1</f>
        <v>-242214.43458659449</v>
      </c>
      <c r="I34" s="54">
        <f>'[29](6.1) Deer Creek'!$P$20/12*-1</f>
        <v>-242214.43458659449</v>
      </c>
      <c r="J34" s="54">
        <f>'[29](6.1) Deer Creek'!$P$20/12*-1</f>
        <v>-242214.43458659449</v>
      </c>
      <c r="K34" s="54">
        <f>'[29](6.1) Deer Creek'!$P$20/12*-1</f>
        <v>-242214.43458659449</v>
      </c>
      <c r="L34" s="54">
        <f>'[29](6.1) Deer Creek'!$P$20/12*-1</f>
        <v>-242214.43458659449</v>
      </c>
      <c r="M34" s="54">
        <f>'[29](6.1) Deer Creek'!$P$20/12*-1</f>
        <v>-242214.43458659449</v>
      </c>
      <c r="N34" s="54">
        <f>'[29](6.1) Deer Creek'!$P$20/12*-1</f>
        <v>-242214.43458659449</v>
      </c>
      <c r="O34" s="54">
        <f>'[29](6.1) Deer Creek'!$P$20/12*-1</f>
        <v>-242214.43458659449</v>
      </c>
      <c r="P34" s="54">
        <f>'[29](6.1) Deer Creek'!$P$20/12*-1</f>
        <v>-242214.43458659449</v>
      </c>
      <c r="Q34" s="54">
        <f>'[29](6.1) Deer Creek'!$P$20/12*-1</f>
        <v>-242214.43458659449</v>
      </c>
      <c r="R34" s="54"/>
      <c r="S34" s="54">
        <f>SUM(F34:Q34)</f>
        <v>-2906573.2150391336</v>
      </c>
      <c r="T34" s="23"/>
      <c r="U34" s="24"/>
    </row>
    <row r="35" spans="1:21" x14ac:dyDescent="0.2">
      <c r="A35" s="26"/>
      <c r="B35" s="53"/>
      <c r="C35" s="25"/>
      <c r="E35" s="27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23"/>
      <c r="U35" s="24"/>
    </row>
    <row r="36" spans="1:21" ht="25.5" x14ac:dyDescent="0.2">
      <c r="A36" s="26">
        <f>+MAX($A$1:A35)+1</f>
        <v>14</v>
      </c>
      <c r="B36" s="55" t="s">
        <v>15</v>
      </c>
      <c r="C36" s="25"/>
      <c r="D36" s="10" t="s">
        <v>16</v>
      </c>
      <c r="E36" s="27"/>
      <c r="F36" s="56">
        <f>'[29](7.1) Special Contract Customer'!D19</f>
        <v>-285275.66655580763</v>
      </c>
      <c r="G36" s="56">
        <f>'[29](7.1) Special Contract Customer'!E19</f>
        <v>294598.6297961917</v>
      </c>
      <c r="H36" s="56">
        <f>'[29](7.1) Special Contract Customer'!F19</f>
        <v>1404035.1091200467</v>
      </c>
      <c r="I36" s="56">
        <f>'[29](7.1) Special Contract Customer'!G19</f>
        <v>1807242.9641605315</v>
      </c>
      <c r="J36" s="56">
        <f>'[29](7.1) Special Contract Customer'!H19</f>
        <v>799696.57598223269</v>
      </c>
      <c r="K36" s="56">
        <f>'[29](7.1) Special Contract Customer'!I19</f>
        <v>714505.01003578538</v>
      </c>
      <c r="L36" s="56">
        <f>'[29](7.1) Special Contract Customer'!J19</f>
        <v>70023.735327665592</v>
      </c>
      <c r="M36" s="56">
        <f>'[29](7.1) Special Contract Customer'!K19</f>
        <v>-380327.24408123741</v>
      </c>
      <c r="N36" s="56">
        <f>'[29](7.1) Special Contract Customer'!L19</f>
        <v>-164325.0697467711</v>
      </c>
      <c r="O36" s="56">
        <f>'[29](7.1) Special Contract Customer'!M19</f>
        <v>77222.998862918059</v>
      </c>
      <c r="P36" s="56">
        <f>'[29](7.1) Special Contract Customer'!N19</f>
        <v>10904.828510854826</v>
      </c>
      <c r="Q36" s="56">
        <f>'[29](7.1) Special Contract Customer'!O19</f>
        <v>35434.042581291134</v>
      </c>
      <c r="R36" s="54"/>
      <c r="S36" s="54">
        <f>SUM(F36:Q36)</f>
        <v>4383735.9139937013</v>
      </c>
      <c r="T36" s="23"/>
      <c r="U36" s="24"/>
    </row>
    <row r="37" spans="1:21" x14ac:dyDescent="0.2">
      <c r="A37" s="26">
        <f>+MAX($A$1:A36)+1</f>
        <v>15</v>
      </c>
      <c r="B37" s="57" t="s">
        <v>17</v>
      </c>
      <c r="C37" s="25"/>
      <c r="D37" s="10" t="s">
        <v>18</v>
      </c>
      <c r="E37" s="27"/>
      <c r="F37" s="58">
        <f>IF(SUM($F$36:F36)&gt;350000,350000,IF(SUM($F$36:F36)&lt;-350000,-350000,F36))</f>
        <v>-285275.66655580763</v>
      </c>
      <c r="G37" s="58">
        <f>IF(SUM($F$36:G36)&gt;350000,350000-SUM($F$37:F37),IF(SUM($F$36:G36)&lt;-350000,-350000-SUM($F$37:F37),G36))</f>
        <v>294598.6297961917</v>
      </c>
      <c r="H37" s="58">
        <f>IF(SUM($F$36:H36)&gt;350000,350000-SUM($F$37:G37),IF(SUM($F$36:H36)&lt;-350000,-350000-SUM($F$37:G37),H36))</f>
        <v>340677.03675961593</v>
      </c>
      <c r="I37" s="58">
        <f>IF(SUM($F$36:I36)&gt;350000,350000-SUM($F$37:H37),IF(SUM($F$36:I36)&lt;-350000,-350000-SUM($F$37:H37),I36))</f>
        <v>0</v>
      </c>
      <c r="J37" s="58">
        <f>IF(SUM($F$36:J36)&gt;350000,350000-SUM($F$37:I37),IF(SUM($F$36:J36)&lt;-350000,-350000-SUM($F$37:I37),J36))</f>
        <v>0</v>
      </c>
      <c r="K37" s="58">
        <f>IF(SUM($F$36:K36)&gt;350000,350000-SUM($F$37:J37),IF(SUM($F$36:K36)&lt;-350000,-350000-SUM($F$37:J37),K36))</f>
        <v>0</v>
      </c>
      <c r="L37" s="58">
        <f>IF(SUM($F$36:L36)&gt;350000,350000-SUM($F$37:K37),IF(SUM($F$36:L36)&lt;-350000,-350000-SUM($F$37:K37),L36))</f>
        <v>0</v>
      </c>
      <c r="M37" s="58">
        <f>IF(SUM($F$36:M36)&gt;350000,350000-SUM($F$37:L37),IF(SUM($F$36:M36)&lt;-350000,-350000-SUM($F$37:L37),M36))</f>
        <v>0</v>
      </c>
      <c r="N37" s="58">
        <f>IF(SUM($F$36:N36)&gt;350000,350000-SUM($F$37:M37),IF(SUM($F$36:N36)&lt;-350000,-350000-SUM($F$37:M37),N36))</f>
        <v>0</v>
      </c>
      <c r="O37" s="58">
        <f>IF(SUM($F$36:O36)&gt;350000,350000-SUM($F$37:N37),IF(SUM($F$36:O36)&lt;-350000,-350000-SUM($F$37:N37),O36))</f>
        <v>0</v>
      </c>
      <c r="P37" s="58">
        <f>IF(SUM($F$36:P36)&gt;350000,350000-SUM($F$37:O37),IF(SUM($F$36:P36)&lt;-350000,-350000-SUM($F$37:O37),P36))</f>
        <v>0</v>
      </c>
      <c r="Q37" s="58">
        <f>IF(SUM($F$36:Q36)&gt;350000,350000-SUM($F$37:P37),IF(SUM($F$36:Q36)&lt;-350000,-350000-SUM($F$37:P37),Q36))</f>
        <v>0</v>
      </c>
      <c r="R37" s="54"/>
      <c r="S37" s="58">
        <f>SUM(F37:Q37)</f>
        <v>350000</v>
      </c>
      <c r="T37" s="23"/>
      <c r="U37" s="24"/>
    </row>
    <row r="38" spans="1:21" x14ac:dyDescent="0.2">
      <c r="A38" s="26">
        <f>+MAX($A$1:A37)+1</f>
        <v>16</v>
      </c>
      <c r="B38" s="55" t="s">
        <v>19</v>
      </c>
      <c r="C38" s="25"/>
      <c r="D38" s="10" t="str">
        <f>"Line "&amp;$A$36&amp;" - Line "&amp;$A$37&amp;""</f>
        <v>Line 14 - Line 15</v>
      </c>
      <c r="E38" s="27"/>
      <c r="F38" s="59">
        <f t="shared" ref="F38:P38" si="9">F36-F37</f>
        <v>0</v>
      </c>
      <c r="G38" s="59">
        <f t="shared" si="9"/>
        <v>0</v>
      </c>
      <c r="H38" s="59">
        <f t="shared" si="9"/>
        <v>1063358.0723604308</v>
      </c>
      <c r="I38" s="59">
        <f t="shared" si="9"/>
        <v>1807242.9641605315</v>
      </c>
      <c r="J38" s="59">
        <f t="shared" si="9"/>
        <v>799696.57598223269</v>
      </c>
      <c r="K38" s="59">
        <f t="shared" si="9"/>
        <v>714505.01003578538</v>
      </c>
      <c r="L38" s="59">
        <f t="shared" si="9"/>
        <v>70023.735327665592</v>
      </c>
      <c r="M38" s="59">
        <f t="shared" si="9"/>
        <v>-380327.24408123741</v>
      </c>
      <c r="N38" s="59">
        <f t="shared" si="9"/>
        <v>-164325.0697467711</v>
      </c>
      <c r="O38" s="59">
        <f t="shared" si="9"/>
        <v>77222.998862918059</v>
      </c>
      <c r="P38" s="59">
        <f t="shared" si="9"/>
        <v>10904.828510854826</v>
      </c>
      <c r="Q38" s="59">
        <f>Q36-Q37</f>
        <v>35434.042581291134</v>
      </c>
      <c r="R38" s="54"/>
      <c r="S38" s="54">
        <f>+SUM(F38:Q38)</f>
        <v>4033735.9139937013</v>
      </c>
      <c r="T38" s="23"/>
      <c r="U38" s="24"/>
    </row>
    <row r="39" spans="1:21" x14ac:dyDescent="0.2">
      <c r="A39" s="26"/>
      <c r="B39" s="55"/>
      <c r="C39" s="25"/>
      <c r="D39" s="60"/>
      <c r="E39" s="27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4"/>
      <c r="S39" s="54"/>
      <c r="T39" s="23"/>
      <c r="U39" s="24"/>
    </row>
    <row r="40" spans="1:21" ht="12.75" customHeight="1" x14ac:dyDescent="0.2">
      <c r="A40" s="26">
        <f>+MAX($A$1:A39)+1</f>
        <v>17</v>
      </c>
      <c r="B40" s="55" t="s">
        <v>20</v>
      </c>
      <c r="C40" s="25"/>
      <c r="D40" s="10" t="s">
        <v>21</v>
      </c>
      <c r="E40" s="56"/>
      <c r="F40" s="56">
        <f>'[29](8.1) Non-Generation Agreement'!D15</f>
        <v>0</v>
      </c>
      <c r="G40" s="56">
        <f>'[29](8.1) Non-Generation Agreement'!E15</f>
        <v>0</v>
      </c>
      <c r="H40" s="56">
        <f>'[29](8.1) Non-Generation Agreement'!F15</f>
        <v>0</v>
      </c>
      <c r="I40" s="56">
        <f>'[29](8.1) Non-Generation Agreement'!G15</f>
        <v>0</v>
      </c>
      <c r="J40" s="56">
        <f>'[29](8.1) Non-Generation Agreement'!H15</f>
        <v>0</v>
      </c>
      <c r="K40" s="56">
        <f>'[29](8.1) Non-Generation Agreement'!I15</f>
        <v>0</v>
      </c>
      <c r="L40" s="56">
        <f>'[29](8.1) Non-Generation Agreement'!J15</f>
        <v>0</v>
      </c>
      <c r="M40" s="56">
        <f>'[29](8.1) Non-Generation Agreement'!K15</f>
        <v>0</v>
      </c>
      <c r="N40" s="56">
        <f>'[29](8.1) Non-Generation Agreement'!L15</f>
        <v>0</v>
      </c>
      <c r="O40" s="56">
        <f>'[29](8.1) Non-Generation Agreement'!M15</f>
        <v>0</v>
      </c>
      <c r="P40" s="56">
        <f>'[29](8.1) Non-Generation Agreement'!N15</f>
        <v>0</v>
      </c>
      <c r="Q40" s="56">
        <f>'[29](8.1) Non-Generation Agreement'!O15</f>
        <v>-463555.77506184939</v>
      </c>
      <c r="R40" s="54"/>
      <c r="S40" s="54">
        <f>SUM(F40:Q40)</f>
        <v>-463555.77506184939</v>
      </c>
      <c r="T40" s="23"/>
      <c r="U40" s="24"/>
    </row>
    <row r="41" spans="1:21" ht="12.75" customHeight="1" x14ac:dyDescent="0.2">
      <c r="A41" s="26"/>
      <c r="B41" s="55"/>
      <c r="C41" s="2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4"/>
      <c r="S41" s="54"/>
      <c r="T41" s="23"/>
      <c r="U41" s="24"/>
    </row>
    <row r="42" spans="1:21" ht="12.75" customHeight="1" x14ac:dyDescent="0.2">
      <c r="A42" s="26">
        <f>+MAX($A$1:A41)+1</f>
        <v>18</v>
      </c>
      <c r="B42" s="55" t="s">
        <v>22</v>
      </c>
      <c r="C42" s="25"/>
      <c r="D42" s="10" t="s">
        <v>23</v>
      </c>
      <c r="E42" s="56"/>
      <c r="F42" s="56">
        <f>'[29](9.1) Utah Community Solar'!D18</f>
        <v>71773.52</v>
      </c>
      <c r="G42" s="56">
        <f>'[29](9.1) Utah Community Solar'!E18</f>
        <v>-69182.820000000007</v>
      </c>
      <c r="H42" s="56">
        <f>'[29](9.1) Utah Community Solar'!F18</f>
        <v>-20774.049999999988</v>
      </c>
      <c r="I42" s="56">
        <f>'[29](9.1) Utah Community Solar'!G18</f>
        <v>28222.440000000002</v>
      </c>
      <c r="J42" s="56">
        <f>'[29](9.1) Utah Community Solar'!H18</f>
        <v>110879.63200000004</v>
      </c>
      <c r="K42" s="56">
        <f>'[29](9.1) Utah Community Solar'!I18</f>
        <v>126246.49160000001</v>
      </c>
      <c r="L42" s="56">
        <f>'[29](9.1) Utah Community Solar'!J18</f>
        <v>76204.33520000003</v>
      </c>
      <c r="M42" s="56">
        <f>'[29](9.1) Utah Community Solar'!K18</f>
        <v>65966.415599999978</v>
      </c>
      <c r="N42" s="56">
        <f>'[29](9.1) Utah Community Solar'!L18</f>
        <v>21193.653200000001</v>
      </c>
      <c r="O42" s="56">
        <f>'[29](9.1) Utah Community Solar'!M18</f>
        <v>10127.204000000027</v>
      </c>
      <c r="P42" s="56">
        <f>'[29](9.1) Utah Community Solar'!N18</f>
        <v>-74835.391999999993</v>
      </c>
      <c r="Q42" s="56">
        <f>'[29](9.1) Utah Community Solar'!O18</f>
        <v>-88130.220400000006</v>
      </c>
      <c r="R42" s="54"/>
      <c r="S42" s="54">
        <f>SUM(F42:Q42)</f>
        <v>257691.2092000001</v>
      </c>
      <c r="T42" s="23"/>
      <c r="U42" s="24"/>
    </row>
    <row r="43" spans="1:21" x14ac:dyDescent="0.2">
      <c r="A43" s="26"/>
      <c r="B43" s="53"/>
      <c r="C43" s="25"/>
      <c r="E43" s="27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23"/>
      <c r="U43" s="24"/>
    </row>
    <row r="44" spans="1:21" x14ac:dyDescent="0.2">
      <c r="A44" s="26">
        <f>+MAX($A$1:A43)+1</f>
        <v>19</v>
      </c>
      <c r="B44" s="53" t="s">
        <v>24</v>
      </c>
      <c r="C44" s="25"/>
      <c r="D44" s="10" t="str">
        <f>"∑ Lines "&amp;$A$32&amp;":"&amp;$A$34&amp;" and Lines "&amp;$A$38&amp;":"&amp;$A$40&amp;" "</f>
        <v xml:space="preserve">∑ Lines 12:13 and Lines 16:17 </v>
      </c>
      <c r="E44" s="27"/>
      <c r="F44" s="50">
        <f>+F32+F34+F38+F40+F42</f>
        <v>4800551.7008992648</v>
      </c>
      <c r="G44" s="50">
        <f t="shared" ref="G44:Q44" si="10">+G32+G34+G38+G40+G42</f>
        <v>3189027.3045574902</v>
      </c>
      <c r="H44" s="50">
        <f t="shared" si="10"/>
        <v>-1879437.0682979624</v>
      </c>
      <c r="I44" s="50">
        <f t="shared" si="10"/>
        <v>-1394736.493737336</v>
      </c>
      <c r="J44" s="50">
        <f t="shared" si="10"/>
        <v>-2170815.88168803</v>
      </c>
      <c r="K44" s="50">
        <f t="shared" si="10"/>
        <v>-7660812.6127941785</v>
      </c>
      <c r="L44" s="50">
        <f t="shared" si="10"/>
        <v>-4063517.9529159418</v>
      </c>
      <c r="M44" s="50">
        <f t="shared" si="10"/>
        <v>3178929.1990330964</v>
      </c>
      <c r="N44" s="50">
        <f t="shared" si="10"/>
        <v>3150996.4234881168</v>
      </c>
      <c r="O44" s="50">
        <f t="shared" si="10"/>
        <v>731135.01122606487</v>
      </c>
      <c r="P44" s="50">
        <f t="shared" si="10"/>
        <v>-809284.01729782112</v>
      </c>
      <c r="Q44" s="50">
        <f t="shared" si="10"/>
        <v>-585752.96026823646</v>
      </c>
      <c r="R44" s="52"/>
      <c r="S44" s="50">
        <f>+SUM(F44:Q44)</f>
        <v>-3513717.3477954743</v>
      </c>
      <c r="T44" s="23"/>
      <c r="U44" s="24"/>
    </row>
    <row r="45" spans="1:21" x14ac:dyDescent="0.2">
      <c r="A45" s="26"/>
      <c r="B45" s="21"/>
      <c r="C45" s="25"/>
      <c r="E45" s="27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31"/>
      <c r="S45" s="52"/>
      <c r="T45" s="23"/>
      <c r="U45" s="24"/>
    </row>
    <row r="46" spans="1:21" x14ac:dyDescent="0.2">
      <c r="A46" s="25" t="s">
        <v>25</v>
      </c>
      <c r="B46" s="47"/>
      <c r="C46" s="25"/>
      <c r="E46" s="27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1"/>
      <c r="S46" s="36"/>
      <c r="T46" s="23"/>
      <c r="U46" s="24"/>
    </row>
    <row r="47" spans="1:21" x14ac:dyDescent="0.2">
      <c r="A47" s="26"/>
      <c r="B47" s="47"/>
      <c r="C47" s="61"/>
      <c r="E47" s="62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1"/>
      <c r="S47" s="36"/>
      <c r="T47" s="63"/>
      <c r="U47" s="24"/>
    </row>
    <row r="48" spans="1:21" x14ac:dyDescent="0.2">
      <c r="A48" s="26">
        <f>+MAX($A$1:A47)+1</f>
        <v>20</v>
      </c>
      <c r="B48" s="21" t="s">
        <v>26</v>
      </c>
      <c r="C48" s="64"/>
      <c r="D48" s="10" t="s">
        <v>27</v>
      </c>
      <c r="E48" s="65"/>
      <c r="F48" s="66">
        <v>5.0000000000000001E-3</v>
      </c>
      <c r="G48" s="66">
        <f>+F48</f>
        <v>5.0000000000000001E-3</v>
      </c>
      <c r="H48" s="66">
        <f t="shared" ref="H48:M48" si="11">+G48</f>
        <v>5.0000000000000001E-3</v>
      </c>
      <c r="I48" s="66">
        <f t="shared" si="11"/>
        <v>5.0000000000000001E-3</v>
      </c>
      <c r="J48" s="66">
        <f t="shared" si="11"/>
        <v>5.0000000000000001E-3</v>
      </c>
      <c r="K48" s="66">
        <f t="shared" si="11"/>
        <v>5.0000000000000001E-3</v>
      </c>
      <c r="L48" s="66">
        <f t="shared" si="11"/>
        <v>5.0000000000000001E-3</v>
      </c>
      <c r="M48" s="66">
        <f t="shared" si="11"/>
        <v>5.0000000000000001E-3</v>
      </c>
      <c r="N48" s="66">
        <f>+M48</f>
        <v>5.0000000000000001E-3</v>
      </c>
      <c r="O48" s="66">
        <f t="shared" ref="O48:P48" si="12">+N48</f>
        <v>5.0000000000000001E-3</v>
      </c>
      <c r="P48" s="66">
        <f t="shared" si="12"/>
        <v>5.0000000000000001E-3</v>
      </c>
      <c r="Q48" s="66">
        <f>+P48</f>
        <v>5.0000000000000001E-3</v>
      </c>
      <c r="R48" s="31"/>
      <c r="S48" s="66"/>
      <c r="T48" s="11"/>
      <c r="U48" s="24"/>
    </row>
    <row r="49" spans="1:21" x14ac:dyDescent="0.2">
      <c r="A49" s="26">
        <f>+MAX($A$1:A48)+1</f>
        <v>21</v>
      </c>
      <c r="B49" s="21" t="s">
        <v>28</v>
      </c>
      <c r="C49" s="64"/>
      <c r="D49" s="10" t="str">
        <f>"Prior Month Line "&amp;$A$53&amp;""</f>
        <v>Prior Month Line 25</v>
      </c>
      <c r="E49" s="65"/>
      <c r="F49" s="30">
        <v>0</v>
      </c>
      <c r="G49" s="30">
        <f>+F53</f>
        <v>2005553.080151513</v>
      </c>
      <c r="H49" s="30">
        <f t="shared" ref="H49:Q49" si="13">+G53</f>
        <v>5212580.7183711547</v>
      </c>
      <c r="I49" s="30">
        <f t="shared" si="13"/>
        <v>3354507.9609943028</v>
      </c>
      <c r="J49" s="30">
        <f t="shared" si="13"/>
        <v>1973057.1658275949</v>
      </c>
      <c r="K49" s="30">
        <f t="shared" si="13"/>
        <v>-193320.46973551714</v>
      </c>
      <c r="L49" s="30">
        <f t="shared" si="13"/>
        <v>-7874251.7164103584</v>
      </c>
      <c r="M49" s="30">
        <f t="shared" si="13"/>
        <v>-11987299.722790642</v>
      </c>
      <c r="N49" s="30">
        <f t="shared" si="13"/>
        <v>-8860359.6993739158</v>
      </c>
      <c r="O49" s="30">
        <f t="shared" si="13"/>
        <v>-5745787.5833239481</v>
      </c>
      <c r="P49" s="30">
        <f t="shared" si="13"/>
        <v>-5041553.6724864384</v>
      </c>
      <c r="Q49" s="30">
        <f t="shared" si="13"/>
        <v>-5878068.6681899363</v>
      </c>
      <c r="R49" s="31"/>
      <c r="S49" s="30">
        <f>+F49</f>
        <v>0</v>
      </c>
      <c r="T49" s="67"/>
      <c r="U49" s="24"/>
    </row>
    <row r="50" spans="1:21" x14ac:dyDescent="0.2">
      <c r="A50" s="26">
        <f>+MAX($A$1:A49)+1</f>
        <v>22</v>
      </c>
      <c r="B50" s="21" t="s">
        <v>29</v>
      </c>
      <c r="C50" s="64"/>
      <c r="D50" s="10" t="str">
        <f>"Line "&amp;A44</f>
        <v>Line 19</v>
      </c>
      <c r="E50" s="65"/>
      <c r="F50" s="33">
        <f>+F44</f>
        <v>4800551.7008992648</v>
      </c>
      <c r="G50" s="33">
        <f>+G44</f>
        <v>3189027.3045574902</v>
      </c>
      <c r="H50" s="33">
        <f t="shared" ref="H50:P50" si="14">+H44</f>
        <v>-1879437.0682979624</v>
      </c>
      <c r="I50" s="33">
        <f t="shared" si="14"/>
        <v>-1394736.493737336</v>
      </c>
      <c r="J50" s="33">
        <f t="shared" si="14"/>
        <v>-2170815.88168803</v>
      </c>
      <c r="K50" s="33">
        <f t="shared" si="14"/>
        <v>-7660812.6127941785</v>
      </c>
      <c r="L50" s="33">
        <f t="shared" si="14"/>
        <v>-4063517.9529159418</v>
      </c>
      <c r="M50" s="33">
        <f t="shared" si="14"/>
        <v>3178929.1990330964</v>
      </c>
      <c r="N50" s="33">
        <f t="shared" si="14"/>
        <v>3150996.4234881168</v>
      </c>
      <c r="O50" s="33">
        <f t="shared" si="14"/>
        <v>731135.01122606487</v>
      </c>
      <c r="P50" s="33">
        <f t="shared" si="14"/>
        <v>-809284.01729782112</v>
      </c>
      <c r="Q50" s="33">
        <f>+Q44</f>
        <v>-585752.96026823646</v>
      </c>
      <c r="R50" s="31"/>
      <c r="S50" s="33">
        <f>+SUM(F50:Q50)</f>
        <v>-3513717.3477954743</v>
      </c>
      <c r="T50" s="67"/>
      <c r="U50" s="24"/>
    </row>
    <row r="51" spans="1:21" x14ac:dyDescent="0.2">
      <c r="A51" s="26">
        <f>+MAX($A$1:A50)+1</f>
        <v>23</v>
      </c>
      <c r="B51" s="2" t="s">
        <v>30</v>
      </c>
      <c r="C51" s="25"/>
      <c r="D51" s="10" t="s">
        <v>31</v>
      </c>
      <c r="E51" s="65"/>
      <c r="F51" s="33">
        <v>-2800000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1"/>
      <c r="S51" s="33">
        <f>+SUM(F51:Q51)</f>
        <v>-2800000</v>
      </c>
      <c r="T51" s="67"/>
      <c r="U51" s="24"/>
    </row>
    <row r="52" spans="1:21" ht="22.5" x14ac:dyDescent="0.2">
      <c r="A52" s="26">
        <f>+MAX($A$1:A51)+1</f>
        <v>24</v>
      </c>
      <c r="B52" s="68" t="s">
        <v>32</v>
      </c>
      <c r="C52" s="64"/>
      <c r="D52" s="10" t="str">
        <f>"Line "&amp;$A$48&amp;" * ( Line "&amp;$A$49&amp;" + 50% x Line "&amp;$A$50&amp;")"</f>
        <v>Line 20 * ( Line 21 + 50% x Line 22)</v>
      </c>
      <c r="E52" s="65"/>
      <c r="F52" s="58">
        <f t="shared" ref="F52:Q52" si="15">+(F49+0.5*SUM(F50:F51))*F48</f>
        <v>5001.3792522481617</v>
      </c>
      <c r="G52" s="58">
        <f t="shared" si="15"/>
        <v>18000.33366215129</v>
      </c>
      <c r="H52" s="58">
        <f t="shared" si="15"/>
        <v>21364.310921110871</v>
      </c>
      <c r="I52" s="58">
        <f t="shared" si="15"/>
        <v>13285.698570628174</v>
      </c>
      <c r="J52" s="58">
        <f t="shared" si="15"/>
        <v>4438.2461249178996</v>
      </c>
      <c r="K52" s="58">
        <f t="shared" si="15"/>
        <v>-20118.633880663034</v>
      </c>
      <c r="L52" s="58">
        <f t="shared" si="15"/>
        <v>-49530.053464341647</v>
      </c>
      <c r="M52" s="58">
        <f t="shared" si="15"/>
        <v>-51989.17561637047</v>
      </c>
      <c r="N52" s="58">
        <f t="shared" si="15"/>
        <v>-36424.307438149284</v>
      </c>
      <c r="O52" s="58">
        <f t="shared" si="15"/>
        <v>-26901.100388554576</v>
      </c>
      <c r="P52" s="58">
        <f t="shared" si="15"/>
        <v>-27230.978405676746</v>
      </c>
      <c r="Q52" s="58">
        <f t="shared" si="15"/>
        <v>-30854.725741620274</v>
      </c>
      <c r="R52" s="31"/>
      <c r="S52" s="33">
        <f>+SUM(F52:Q52)</f>
        <v>-180959.00640431963</v>
      </c>
      <c r="T52" s="67"/>
      <c r="U52" s="24"/>
    </row>
    <row r="53" spans="1:21" ht="13.5" thickBot="1" x14ac:dyDescent="0.25">
      <c r="A53" s="26">
        <f>+MAX($A$1:A52)+1</f>
        <v>25</v>
      </c>
      <c r="B53" s="47" t="s">
        <v>33</v>
      </c>
      <c r="C53" s="64"/>
      <c r="D53" s="10" t="str">
        <f>"∑ Lines "&amp;$A$49&amp;":"&amp;$A$52&amp;""</f>
        <v>∑ Lines 21:24</v>
      </c>
      <c r="E53" s="65"/>
      <c r="F53" s="69">
        <f>+SUM(F49:F52)</f>
        <v>2005553.080151513</v>
      </c>
      <c r="G53" s="69">
        <f>+SUM(G49:G52)</f>
        <v>5212580.7183711547</v>
      </c>
      <c r="H53" s="69">
        <f t="shared" ref="H53:M53" si="16">+SUM(H49:H52)</f>
        <v>3354507.9609943028</v>
      </c>
      <c r="I53" s="69">
        <f t="shared" si="16"/>
        <v>1973057.1658275949</v>
      </c>
      <c r="J53" s="69">
        <f t="shared" si="16"/>
        <v>-193320.46973551714</v>
      </c>
      <c r="K53" s="69">
        <f>+SUM(K49:K52)</f>
        <v>-7874251.7164103584</v>
      </c>
      <c r="L53" s="69">
        <f t="shared" si="16"/>
        <v>-11987299.722790642</v>
      </c>
      <c r="M53" s="69">
        <f t="shared" si="16"/>
        <v>-8860359.6993739158</v>
      </c>
      <c r="N53" s="69">
        <f>+SUM(N49:N52)</f>
        <v>-5745787.5833239481</v>
      </c>
      <c r="O53" s="69">
        <f t="shared" ref="O53:P53" si="17">+SUM(O49:O52)</f>
        <v>-5041553.6724864384</v>
      </c>
      <c r="P53" s="69">
        <f t="shared" si="17"/>
        <v>-5878068.6681899363</v>
      </c>
      <c r="Q53" s="69">
        <f>+SUM(Q49:Q52)</f>
        <v>-6494676.3541997932</v>
      </c>
      <c r="R53" s="31"/>
      <c r="S53" s="69">
        <f>+SUM(S49:S52)</f>
        <v>-6494676.3541997941</v>
      </c>
      <c r="T53" s="67"/>
      <c r="U53" s="24"/>
    </row>
    <row r="54" spans="1:21" ht="13.5" thickTop="1" x14ac:dyDescent="0.2">
      <c r="A54" s="26"/>
      <c r="B54" s="25"/>
      <c r="C54" s="25"/>
      <c r="D54" s="4"/>
      <c r="E54" s="25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3"/>
      <c r="S54" s="11"/>
      <c r="T54" s="11"/>
      <c r="U54" s="24"/>
    </row>
    <row r="55" spans="1:21" x14ac:dyDescent="0.2">
      <c r="A55" s="20"/>
      <c r="B55" s="71"/>
      <c r="C55" s="25"/>
      <c r="E55" s="25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3"/>
      <c r="S55" s="72"/>
      <c r="T55" s="11"/>
      <c r="U55" s="24"/>
    </row>
    <row r="56" spans="1:21" x14ac:dyDescent="0.2">
      <c r="A56" s="26">
        <f>+MAX($A$1:A55)+1</f>
        <v>26</v>
      </c>
      <c r="B56" s="2" t="s">
        <v>34</v>
      </c>
      <c r="C56" s="25"/>
      <c r="D56" s="10" t="s">
        <v>14</v>
      </c>
      <c r="E56" s="25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3"/>
      <c r="S56" s="73">
        <f>+'[29](6.1) Deer Creek'!P12</f>
        <v>9059510.0377223883</v>
      </c>
      <c r="T56" s="11"/>
      <c r="U56" s="24"/>
    </row>
    <row r="57" spans="1:21" x14ac:dyDescent="0.2">
      <c r="A57" s="26"/>
      <c r="B57" s="2"/>
      <c r="C57" s="25"/>
      <c r="E57" s="25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3"/>
      <c r="S57" s="74"/>
      <c r="T57" s="11"/>
      <c r="U57" s="24"/>
    </row>
    <row r="58" spans="1:21" ht="22.5" x14ac:dyDescent="0.2">
      <c r="A58" s="26">
        <f>+MAX($A$1:A57)+1</f>
        <v>27</v>
      </c>
      <c r="B58" s="21" t="s">
        <v>35</v>
      </c>
      <c r="C58" s="25"/>
      <c r="D58" s="10" t="str">
        <f>"∑ Lines "&amp;$A$53&amp;":"&amp;$A$56&amp;" * (1 + 1.06% / 12) ^ 4 - ∑ Lines "&amp;$A$53&amp;":"&amp;$A$56</f>
        <v>∑ Lines 25:26 * (1 + 1.06% / 12) ^ 4 - ∑ Lines 25:26</v>
      </c>
      <c r="E58" s="25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3"/>
      <c r="S58" s="73">
        <f>+(S53+S56)*(1+0.06/12)^4-(S53+S56)</f>
        <v>51682.682742841542</v>
      </c>
      <c r="T58" s="11"/>
      <c r="U58" s="24"/>
    </row>
    <row r="59" spans="1:21" x14ac:dyDescent="0.2">
      <c r="A59" s="26"/>
      <c r="B59" s="71"/>
      <c r="C59" s="25"/>
      <c r="E59" s="25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3"/>
      <c r="S59" s="72"/>
      <c r="T59" s="11"/>
      <c r="U59" s="24"/>
    </row>
    <row r="60" spans="1:21" x14ac:dyDescent="0.2">
      <c r="A60" s="26">
        <f>+MAX($A$1:A59)+1</f>
        <v>28</v>
      </c>
      <c r="B60" s="2" t="s">
        <v>36</v>
      </c>
      <c r="C60" s="25"/>
      <c r="D60" s="10" t="s">
        <v>37</v>
      </c>
      <c r="E60" s="25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3"/>
      <c r="S60" s="73">
        <v>147929.94</v>
      </c>
      <c r="T60" s="11"/>
      <c r="U60" s="24"/>
    </row>
    <row r="61" spans="1:21" x14ac:dyDescent="0.2">
      <c r="A61" s="26"/>
      <c r="B61" s="2"/>
      <c r="C61" s="25"/>
      <c r="E61" s="25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3"/>
      <c r="S61" s="73"/>
      <c r="T61" s="11"/>
      <c r="U61" s="24"/>
    </row>
    <row r="62" spans="1:21" ht="25.5" x14ac:dyDescent="0.2">
      <c r="A62" s="26">
        <f>+MAX($A$1:A61)+1</f>
        <v>29</v>
      </c>
      <c r="B62" s="21" t="s">
        <v>38</v>
      </c>
      <c r="C62" s="25"/>
      <c r="D62" s="10" t="str">
        <f>"Line "&amp;$A$60&amp;" * (1 + 1.06% / 12) ^ 3 - Line "&amp;$A$60&amp;""</f>
        <v>Line 28 * (1 + 1.06% / 12) ^ 3 - Line 28</v>
      </c>
      <c r="E62" s="25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3"/>
      <c r="S62" s="75">
        <f>+(S60)*(1+0.06/12)^3-(S60)</f>
        <v>2230.0623367424414</v>
      </c>
      <c r="T62" s="11"/>
      <c r="U62" s="24"/>
    </row>
    <row r="63" spans="1:21" x14ac:dyDescent="0.2">
      <c r="A63" s="26"/>
      <c r="B63" s="71"/>
      <c r="C63" s="25"/>
      <c r="E63" s="25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3"/>
      <c r="S63" s="72"/>
      <c r="T63" s="11"/>
      <c r="U63" s="24"/>
    </row>
    <row r="64" spans="1:21" ht="13.5" thickBot="1" x14ac:dyDescent="0.25">
      <c r="A64" s="26">
        <f>+MAX($A$1:A63)+1</f>
        <v>30</v>
      </c>
      <c r="B64" s="47" t="s">
        <v>39</v>
      </c>
      <c r="C64" s="25"/>
      <c r="D64" s="10" t="str">
        <f>"∑ Lines "&amp;$A$53&amp;":"&amp;$A$60&amp;""</f>
        <v>∑ Lines 25:28</v>
      </c>
      <c r="E64" s="25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3"/>
      <c r="S64" s="76">
        <f>SUM(S53:S62)</f>
        <v>2766676.3686021781</v>
      </c>
      <c r="T64" s="11"/>
      <c r="U64" s="24"/>
    </row>
    <row r="65" spans="1:21" ht="13.5" thickTop="1" x14ac:dyDescent="0.2">
      <c r="A65" s="26"/>
      <c r="B65" s="20"/>
      <c r="C65" s="25"/>
      <c r="D65" s="4"/>
      <c r="E65" s="25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3"/>
      <c r="S65" s="11"/>
      <c r="T65" s="11"/>
      <c r="U65" s="24"/>
    </row>
    <row r="66" spans="1:21" x14ac:dyDescent="0.2">
      <c r="A66" s="3" t="s">
        <v>40</v>
      </c>
      <c r="C66" s="25"/>
      <c r="D66" s="4"/>
      <c r="E66" s="25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3"/>
      <c r="S66" s="11"/>
      <c r="T66" s="11"/>
      <c r="U66" s="24"/>
    </row>
    <row r="67" spans="1:21" x14ac:dyDescent="0.2">
      <c r="A67" s="77">
        <v>1</v>
      </c>
      <c r="B67" s="78" t="s">
        <v>41</v>
      </c>
      <c r="C67" s="27"/>
      <c r="E67" s="27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3"/>
      <c r="S67" s="11"/>
      <c r="T67" s="11"/>
      <c r="U67" s="24"/>
    </row>
    <row r="68" spans="1:21" x14ac:dyDescent="0.2">
      <c r="A68" s="77"/>
      <c r="B68" s="78" t="s">
        <v>42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3"/>
      <c r="S68" s="79"/>
      <c r="T68" s="79"/>
      <c r="U68" s="24"/>
    </row>
    <row r="69" spans="1:21" x14ac:dyDescent="0.2">
      <c r="B69" s="78" t="s">
        <v>43</v>
      </c>
      <c r="R69" s="3"/>
      <c r="S69" s="79"/>
      <c r="T69" s="79"/>
      <c r="U69" s="24"/>
    </row>
    <row r="70" spans="1:21" x14ac:dyDescent="0.2"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3"/>
      <c r="S70" s="79"/>
      <c r="T70" s="79"/>
      <c r="U70" s="24"/>
    </row>
    <row r="71" spans="1:21" x14ac:dyDescent="0.2">
      <c r="R71" s="3"/>
      <c r="S71" s="79"/>
      <c r="T71" s="79"/>
      <c r="U71" s="24"/>
    </row>
    <row r="72" spans="1:21" x14ac:dyDescent="0.2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3"/>
      <c r="S72" s="79"/>
      <c r="T72" s="79"/>
      <c r="U72" s="24"/>
    </row>
    <row r="73" spans="1:21" x14ac:dyDescent="0.2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3"/>
      <c r="S73" s="79"/>
      <c r="T73" s="79"/>
      <c r="U73" s="24"/>
    </row>
    <row r="74" spans="1:21" x14ac:dyDescent="0.2">
      <c r="R74" s="3"/>
      <c r="S74" s="79"/>
      <c r="T74" s="79"/>
      <c r="U74" s="24"/>
    </row>
    <row r="75" spans="1:21" x14ac:dyDescent="0.2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3"/>
      <c r="S75" s="79"/>
      <c r="T75" s="79"/>
      <c r="U75" s="24"/>
    </row>
    <row r="76" spans="1:21" x14ac:dyDescent="0.2">
      <c r="R76" s="3"/>
      <c r="S76" s="79"/>
      <c r="T76" s="79"/>
      <c r="U76" s="24"/>
    </row>
    <row r="77" spans="1:21" x14ac:dyDescent="0.2">
      <c r="R77" s="3"/>
      <c r="U77" s="24"/>
    </row>
    <row r="78" spans="1:21" x14ac:dyDescent="0.2">
      <c r="R78" s="3"/>
      <c r="U78" s="24"/>
    </row>
    <row r="79" spans="1:21" x14ac:dyDescent="0.2">
      <c r="R79" s="3"/>
      <c r="U79" s="24"/>
    </row>
    <row r="80" spans="1:21" x14ac:dyDescent="0.2">
      <c r="R80" s="3"/>
      <c r="U80" s="24"/>
    </row>
    <row r="81" spans="18:21" s="9" customFormat="1" x14ac:dyDescent="0.2">
      <c r="R81" s="3"/>
      <c r="U81" s="24"/>
    </row>
    <row r="82" spans="18:21" s="9" customFormat="1" x14ac:dyDescent="0.2">
      <c r="R82" s="3"/>
      <c r="U82" s="24"/>
    </row>
    <row r="83" spans="18:21" s="9" customFormat="1" x14ac:dyDescent="0.2">
      <c r="R83" s="3"/>
      <c r="U83" s="24"/>
    </row>
    <row r="84" spans="18:21" s="9" customFormat="1" x14ac:dyDescent="0.2">
      <c r="R84" s="3"/>
      <c r="U84" s="24"/>
    </row>
    <row r="85" spans="18:21" s="9" customFormat="1" x14ac:dyDescent="0.2">
      <c r="R85" s="3"/>
      <c r="U85" s="24"/>
    </row>
    <row r="86" spans="18:21" s="9" customFormat="1" x14ac:dyDescent="0.2">
      <c r="R86" s="3"/>
      <c r="U86" s="24"/>
    </row>
    <row r="87" spans="18:21" s="9" customFormat="1" x14ac:dyDescent="0.2">
      <c r="R87" s="3"/>
      <c r="U87" s="24"/>
    </row>
    <row r="88" spans="18:21" s="9" customFormat="1" x14ac:dyDescent="0.2">
      <c r="R88" s="3"/>
      <c r="U88" s="24"/>
    </row>
    <row r="89" spans="18:21" s="9" customFormat="1" x14ac:dyDescent="0.2">
      <c r="R89" s="3"/>
      <c r="U89" s="24"/>
    </row>
    <row r="90" spans="18:21" s="9" customFormat="1" x14ac:dyDescent="0.2">
      <c r="R90" s="3"/>
      <c r="U90" s="24"/>
    </row>
    <row r="91" spans="18:21" s="9" customFormat="1" x14ac:dyDescent="0.2">
      <c r="R91" s="3"/>
      <c r="U91" s="24"/>
    </row>
    <row r="92" spans="18:21" s="9" customFormat="1" x14ac:dyDescent="0.2">
      <c r="R92" s="3"/>
      <c r="U92" s="24"/>
    </row>
    <row r="93" spans="18:21" s="9" customFormat="1" x14ac:dyDescent="0.2">
      <c r="R93" s="3"/>
      <c r="U93" s="24"/>
    </row>
    <row r="94" spans="18:21" s="9" customFormat="1" x14ac:dyDescent="0.2">
      <c r="R94" s="3"/>
      <c r="U94" s="24"/>
    </row>
    <row r="95" spans="18:21" s="9" customFormat="1" x14ac:dyDescent="0.2">
      <c r="R95" s="3"/>
      <c r="U95" s="24"/>
    </row>
    <row r="96" spans="18:21" s="9" customFormat="1" x14ac:dyDescent="0.2">
      <c r="R96" s="3"/>
      <c r="U96" s="24"/>
    </row>
    <row r="97" spans="18:21" s="9" customFormat="1" x14ac:dyDescent="0.2">
      <c r="R97" s="3"/>
      <c r="U97" s="24"/>
    </row>
    <row r="98" spans="18:21" s="9" customFormat="1" x14ac:dyDescent="0.2">
      <c r="R98" s="3"/>
      <c r="U98" s="24"/>
    </row>
    <row r="99" spans="18:21" s="9" customFormat="1" x14ac:dyDescent="0.2">
      <c r="R99" s="3"/>
      <c r="U99" s="24"/>
    </row>
    <row r="100" spans="18:21" s="9" customFormat="1" x14ac:dyDescent="0.2">
      <c r="R100" s="3"/>
      <c r="U100" s="24"/>
    </row>
    <row r="101" spans="18:21" s="9" customFormat="1" x14ac:dyDescent="0.2">
      <c r="R101" s="3"/>
      <c r="U101" s="24"/>
    </row>
    <row r="102" spans="18:21" s="9" customFormat="1" x14ac:dyDescent="0.2">
      <c r="R102" s="3"/>
      <c r="U102" s="24"/>
    </row>
    <row r="103" spans="18:21" s="9" customFormat="1" x14ac:dyDescent="0.2">
      <c r="R103" s="3"/>
      <c r="U103" s="24"/>
    </row>
    <row r="104" spans="18:21" s="9" customFormat="1" x14ac:dyDescent="0.2">
      <c r="R104" s="3"/>
      <c r="U104" s="24"/>
    </row>
    <row r="105" spans="18:21" s="9" customFormat="1" x14ac:dyDescent="0.2">
      <c r="R105" s="3"/>
      <c r="U105" s="24"/>
    </row>
    <row r="106" spans="18:21" s="9" customFormat="1" x14ac:dyDescent="0.2">
      <c r="R106" s="3"/>
      <c r="U106" s="24"/>
    </row>
    <row r="107" spans="18:21" s="9" customFormat="1" x14ac:dyDescent="0.2">
      <c r="R107" s="3"/>
      <c r="U107" s="24"/>
    </row>
    <row r="108" spans="18:21" s="9" customFormat="1" x14ac:dyDescent="0.2">
      <c r="R108" s="3"/>
      <c r="U108" s="24"/>
    </row>
    <row r="109" spans="18:21" s="9" customFormat="1" x14ac:dyDescent="0.2">
      <c r="R109" s="3"/>
      <c r="U109" s="24"/>
    </row>
    <row r="110" spans="18:21" s="9" customFormat="1" x14ac:dyDescent="0.2">
      <c r="R110" s="3"/>
      <c r="U110" s="24"/>
    </row>
    <row r="111" spans="18:21" s="9" customFormat="1" x14ac:dyDescent="0.2">
      <c r="R111" s="3"/>
      <c r="U111" s="24"/>
    </row>
    <row r="112" spans="18:21" s="9" customFormat="1" x14ac:dyDescent="0.2">
      <c r="R112" s="3"/>
      <c r="U112" s="24"/>
    </row>
    <row r="113" spans="18:21" s="9" customFormat="1" x14ac:dyDescent="0.2">
      <c r="R113" s="3"/>
      <c r="U113" s="24"/>
    </row>
    <row r="114" spans="18:21" s="9" customFormat="1" x14ac:dyDescent="0.2">
      <c r="R114" s="3"/>
      <c r="U114" s="24"/>
    </row>
    <row r="115" spans="18:21" s="9" customFormat="1" x14ac:dyDescent="0.2">
      <c r="R115" s="3"/>
      <c r="U115" s="24"/>
    </row>
    <row r="116" spans="18:21" s="9" customFormat="1" x14ac:dyDescent="0.2">
      <c r="R116" s="3"/>
      <c r="U116" s="24"/>
    </row>
    <row r="117" spans="18:21" s="9" customFormat="1" x14ac:dyDescent="0.2">
      <c r="R117" s="3"/>
      <c r="U117" s="24"/>
    </row>
    <row r="118" spans="18:21" s="9" customFormat="1" x14ac:dyDescent="0.2">
      <c r="R118" s="3"/>
      <c r="U118" s="24"/>
    </row>
    <row r="119" spans="18:21" s="9" customFormat="1" x14ac:dyDescent="0.2">
      <c r="R119" s="3"/>
      <c r="U119" s="24"/>
    </row>
    <row r="120" spans="18:21" s="9" customFormat="1" x14ac:dyDescent="0.2">
      <c r="R120" s="3"/>
      <c r="U120" s="24"/>
    </row>
    <row r="121" spans="18:21" s="9" customFormat="1" x14ac:dyDescent="0.2">
      <c r="R121" s="3"/>
      <c r="U121" s="24"/>
    </row>
    <row r="122" spans="18:21" s="9" customFormat="1" x14ac:dyDescent="0.2">
      <c r="R122" s="3"/>
      <c r="U122" s="24"/>
    </row>
    <row r="123" spans="18:21" s="9" customFormat="1" x14ac:dyDescent="0.2">
      <c r="R123" s="3"/>
      <c r="U123" s="24"/>
    </row>
    <row r="124" spans="18:21" s="9" customFormat="1" x14ac:dyDescent="0.2">
      <c r="R124" s="3"/>
      <c r="U124" s="24"/>
    </row>
    <row r="125" spans="18:21" s="9" customFormat="1" x14ac:dyDescent="0.2">
      <c r="R125" s="3"/>
      <c r="U125" s="24"/>
    </row>
    <row r="126" spans="18:21" s="9" customFormat="1" x14ac:dyDescent="0.2">
      <c r="R126" s="3"/>
      <c r="U126" s="24"/>
    </row>
    <row r="127" spans="18:21" s="9" customFormat="1" x14ac:dyDescent="0.2">
      <c r="R127" s="3"/>
      <c r="U127" s="24"/>
    </row>
    <row r="128" spans="18:21" s="9" customFormat="1" x14ac:dyDescent="0.2">
      <c r="R128" s="3"/>
      <c r="U128" s="24"/>
    </row>
    <row r="129" spans="18:21" s="9" customFormat="1" x14ac:dyDescent="0.2">
      <c r="R129" s="3"/>
      <c r="U129" s="24"/>
    </row>
    <row r="130" spans="18:21" s="9" customFormat="1" x14ac:dyDescent="0.2">
      <c r="R130" s="3"/>
      <c r="U130" s="24"/>
    </row>
    <row r="131" spans="18:21" s="9" customFormat="1" x14ac:dyDescent="0.2">
      <c r="R131" s="3"/>
      <c r="U131" s="24"/>
    </row>
    <row r="132" spans="18:21" s="9" customFormat="1" x14ac:dyDescent="0.2">
      <c r="R132" s="3"/>
      <c r="U132" s="24"/>
    </row>
    <row r="133" spans="18:21" s="9" customFormat="1" x14ac:dyDescent="0.2">
      <c r="R133" s="3"/>
      <c r="U133" s="24"/>
    </row>
    <row r="134" spans="18:21" s="9" customFormat="1" x14ac:dyDescent="0.2">
      <c r="R134" s="3"/>
      <c r="U134" s="24"/>
    </row>
    <row r="135" spans="18:21" s="9" customFormat="1" x14ac:dyDescent="0.2">
      <c r="R135" s="3"/>
      <c r="U135" s="24"/>
    </row>
    <row r="136" spans="18:21" s="9" customFormat="1" x14ac:dyDescent="0.2">
      <c r="R136" s="3"/>
      <c r="U136" s="24"/>
    </row>
    <row r="137" spans="18:21" s="9" customFormat="1" x14ac:dyDescent="0.2">
      <c r="R137" s="3"/>
      <c r="U137" s="24"/>
    </row>
    <row r="138" spans="18:21" s="9" customFormat="1" x14ac:dyDescent="0.2">
      <c r="R138" s="3"/>
      <c r="U138" s="24"/>
    </row>
    <row r="139" spans="18:21" s="9" customFormat="1" x14ac:dyDescent="0.2">
      <c r="R139" s="3"/>
      <c r="U139" s="24"/>
    </row>
    <row r="140" spans="18:21" s="9" customFormat="1" x14ac:dyDescent="0.2">
      <c r="R140" s="3"/>
      <c r="U140" s="24"/>
    </row>
    <row r="141" spans="18:21" s="9" customFormat="1" x14ac:dyDescent="0.2">
      <c r="R141" s="3"/>
      <c r="U141" s="24"/>
    </row>
    <row r="142" spans="18:21" s="9" customFormat="1" x14ac:dyDescent="0.2">
      <c r="R142" s="3"/>
      <c r="U142" s="24"/>
    </row>
    <row r="143" spans="18:21" s="9" customFormat="1" x14ac:dyDescent="0.2">
      <c r="R143" s="3"/>
      <c r="U143" s="24"/>
    </row>
    <row r="144" spans="18:21" s="9" customFormat="1" x14ac:dyDescent="0.2">
      <c r="R144" s="3"/>
      <c r="U144" s="24"/>
    </row>
    <row r="145" spans="18:21" s="9" customFormat="1" x14ac:dyDescent="0.2">
      <c r="R145" s="3"/>
      <c r="U145" s="24"/>
    </row>
    <row r="146" spans="18:21" s="9" customFormat="1" x14ac:dyDescent="0.2">
      <c r="R146" s="3"/>
      <c r="U146" s="24"/>
    </row>
    <row r="147" spans="18:21" s="9" customFormat="1" x14ac:dyDescent="0.2">
      <c r="R147" s="3"/>
      <c r="U147" s="24"/>
    </row>
    <row r="148" spans="18:21" s="9" customFormat="1" x14ac:dyDescent="0.2">
      <c r="R148" s="3"/>
      <c r="U148" s="24"/>
    </row>
    <row r="149" spans="18:21" s="9" customFormat="1" x14ac:dyDescent="0.2">
      <c r="R149" s="3"/>
      <c r="U149" s="24"/>
    </row>
    <row r="150" spans="18:21" s="9" customFormat="1" x14ac:dyDescent="0.2">
      <c r="R150" s="3"/>
      <c r="U150" s="24"/>
    </row>
    <row r="151" spans="18:21" s="9" customFormat="1" x14ac:dyDescent="0.2">
      <c r="R151" s="3"/>
      <c r="U151" s="24"/>
    </row>
    <row r="152" spans="18:21" s="9" customFormat="1" x14ac:dyDescent="0.2">
      <c r="R152" s="3"/>
      <c r="U152" s="24"/>
    </row>
    <row r="153" spans="18:21" s="9" customFormat="1" x14ac:dyDescent="0.2">
      <c r="R153" s="3"/>
      <c r="U153" s="24"/>
    </row>
    <row r="154" spans="18:21" s="9" customFormat="1" x14ac:dyDescent="0.2">
      <c r="R154" s="3"/>
      <c r="U154" s="24"/>
    </row>
    <row r="155" spans="18:21" s="9" customFormat="1" x14ac:dyDescent="0.2">
      <c r="R155" s="3"/>
      <c r="U155" s="24"/>
    </row>
    <row r="156" spans="18:21" s="9" customFormat="1" ht="11.25" x14ac:dyDescent="0.2">
      <c r="U156" s="24"/>
    </row>
    <row r="157" spans="18:21" s="9" customFormat="1" ht="11.25" x14ac:dyDescent="0.2">
      <c r="U157" s="24"/>
    </row>
    <row r="158" spans="18:21" s="9" customFormat="1" ht="11.25" x14ac:dyDescent="0.2">
      <c r="U158" s="24"/>
    </row>
    <row r="159" spans="18:21" s="9" customFormat="1" ht="11.25" x14ac:dyDescent="0.2">
      <c r="U159" s="24"/>
    </row>
    <row r="160" spans="18:21" s="9" customFormat="1" ht="11.25" x14ac:dyDescent="0.2">
      <c r="U160" s="24"/>
    </row>
    <row r="161" spans="21:21" s="9" customFormat="1" ht="11.25" x14ac:dyDescent="0.2">
      <c r="U161" s="24"/>
    </row>
    <row r="162" spans="21:21" s="9" customFormat="1" ht="11.25" x14ac:dyDescent="0.2">
      <c r="U162" s="24"/>
    </row>
    <row r="163" spans="21:21" s="9" customFormat="1" ht="11.25" x14ac:dyDescent="0.2">
      <c r="U163" s="24"/>
    </row>
    <row r="164" spans="21:21" s="9" customFormat="1" ht="11.25" x14ac:dyDescent="0.2">
      <c r="U164" s="24"/>
    </row>
    <row r="165" spans="21:21" s="9" customFormat="1" ht="11.25" x14ac:dyDescent="0.2">
      <c r="U165" s="24"/>
    </row>
    <row r="166" spans="21:21" s="9" customFormat="1" ht="11.25" x14ac:dyDescent="0.2">
      <c r="U166" s="24"/>
    </row>
    <row r="167" spans="21:21" s="9" customFormat="1" ht="11.25" x14ac:dyDescent="0.2">
      <c r="U167" s="24"/>
    </row>
    <row r="168" spans="21:21" s="9" customFormat="1" ht="11.25" x14ac:dyDescent="0.2">
      <c r="U168" s="24"/>
    </row>
    <row r="169" spans="21:21" s="9" customFormat="1" ht="11.25" x14ac:dyDescent="0.2">
      <c r="U169" s="24"/>
    </row>
    <row r="170" spans="21:21" s="9" customFormat="1" ht="11.25" x14ac:dyDescent="0.2">
      <c r="U170" s="24"/>
    </row>
    <row r="171" spans="21:21" s="9" customFormat="1" ht="11.25" x14ac:dyDescent="0.2">
      <c r="U171" s="24"/>
    </row>
    <row r="172" spans="21:21" s="9" customFormat="1" ht="11.25" x14ac:dyDescent="0.2">
      <c r="U172" s="24"/>
    </row>
    <row r="173" spans="21:21" s="9" customFormat="1" ht="11.25" x14ac:dyDescent="0.2">
      <c r="U173" s="24"/>
    </row>
    <row r="174" spans="21:21" s="9" customFormat="1" ht="11.25" x14ac:dyDescent="0.2">
      <c r="U174" s="24"/>
    </row>
  </sheetData>
  <pageMargins left="0.25" right="0.25" top="0.5" bottom="0.25" header="0" footer="0.3"/>
  <pageSetup scale="53" fitToWidth="0" fitToHeight="0" orientation="landscape" r:id="rId1"/>
  <headerFooter alignWithMargins="0">
    <oddFooter>&amp;C&amp;"arial"&amp;11Exhibit 2 - Docket 09-035-15 Commission Order Calculation (Dynamic Annual Allocation Factor)&amp;R&amp;"arial"&amp;11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(Exh.1) Comm Ord Methd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2018-03-15T15:54:38Z</dcterms:created>
  <dcterms:modified xsi:type="dcterms:W3CDTF">2018-03-15T15:59:56Z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