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Websites\Pscweb\utilities\electric\18docs\1803525\"/>
    </mc:Choice>
  </mc:AlternateContent>
  <bookViews>
    <workbookView xWindow="0" yWindow="0" windowWidth="28800" windowHeight="11835"/>
  </bookViews>
  <sheets>
    <sheet name="TOTAL FUNCFAC" sheetId="1" r:id="rId1"/>
    <sheet name="TAX DEPR" sheetId="2" r:id="rId2"/>
    <sheet name="GROSS PLANT" sheetId="3" r:id="rId3"/>
    <sheet name="FORM 1" sheetId="4" r:id="rId4"/>
    <sheet name="BOOKDPR" sheetId="5" r:id="rId5"/>
    <sheet name="ELEC OPS" sheetId="6" r:id="rId6"/>
    <sheet name="GP" sheetId="7" r:id="rId7"/>
    <sheet name="IP" sheetId="8" r:id="rId8"/>
    <sheet name="SCH M" sheetId="9" r:id="rId9"/>
    <sheet name="REGASS&amp;DDS" sheetId="10" r:id="rId10"/>
    <sheet name="ACCUMDIT" sheetId="11" r:id="rId11"/>
  </sheets>
  <definedNames>
    <definedName name="Z_20A63875_964B_11D5_AAED_0004762A99E9_.wvu.PrintArea" localSheetId="5" hidden="1">'ELEC OPS'!$A$7:$I$38</definedName>
    <definedName name="Z_20A63875_964B_11D5_AAED_0004762A99E9_.wvu.PrintArea" localSheetId="9" hidden="1">'REGASS&amp;DDS'!$B$6:$J$82</definedName>
    <definedName name="Z_20A63875_964B_11D5_AAED_0004762A99E9_.wvu.PrintArea" localSheetId="8" hidden="1">'SCH M'!$B$6:$J$152</definedName>
    <definedName name="Z_20A63875_964B_11D5_AAED_0004762A99E9_.wvu.PrintArea" localSheetId="0" hidden="1">'TOTAL FUNCFAC'!$A$7:$H$63</definedName>
    <definedName name="Z_20A63875_964B_11D5_AAED_0004762A99E9_.wvu.PrintTitles" localSheetId="5" hidden="1">'ELEC OPS'!$1:$6</definedName>
    <definedName name="Z_20A63875_964B_11D5_AAED_0004762A99E9_.wvu.PrintTitles" localSheetId="9" hidden="1">'REGASS&amp;DDS'!$1:$5</definedName>
    <definedName name="Z_20A63875_964B_11D5_AAED_0004762A99E9_.wvu.PrintTitles" localSheetId="8" hidden="1">'SCH M'!$1:$5</definedName>
    <definedName name="Z_20A63875_964B_11D5_AAED_0004762A99E9_.wvu.PrintTitles" localSheetId="0" hidden="1">'TOTAL FUNCFAC'!$1:$6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2" i="11" l="1"/>
  <c r="G72" i="11"/>
  <c r="D72" i="11"/>
  <c r="C70" i="11"/>
  <c r="H68" i="11"/>
  <c r="G68" i="11"/>
  <c r="G39" i="11" s="1"/>
  <c r="F68" i="11"/>
  <c r="C67" i="11"/>
  <c r="C63" i="11"/>
  <c r="C62" i="11"/>
  <c r="C60" i="11"/>
  <c r="C59" i="11"/>
  <c r="C54" i="11"/>
  <c r="C46" i="11"/>
  <c r="H44" i="11"/>
  <c r="G44" i="11"/>
  <c r="F44" i="11"/>
  <c r="E44" i="11"/>
  <c r="D44" i="11"/>
  <c r="H43" i="11"/>
  <c r="G43" i="11"/>
  <c r="F43" i="11"/>
  <c r="E43" i="11"/>
  <c r="D43" i="11"/>
  <c r="H41" i="11"/>
  <c r="G41" i="11"/>
  <c r="F41" i="11"/>
  <c r="E41" i="11"/>
  <c r="D41" i="11"/>
  <c r="H40" i="11"/>
  <c r="G40" i="11"/>
  <c r="F40" i="11"/>
  <c r="E40" i="11"/>
  <c r="D40" i="11"/>
  <c r="F39" i="11"/>
  <c r="G38" i="11"/>
  <c r="F38" i="11"/>
  <c r="H37" i="11"/>
  <c r="G37" i="11"/>
  <c r="F37" i="11"/>
  <c r="E37" i="11"/>
  <c r="D37" i="11"/>
  <c r="H36" i="11"/>
  <c r="G36" i="11"/>
  <c r="F36" i="11"/>
  <c r="E36" i="11"/>
  <c r="D36" i="11"/>
  <c r="H34" i="11"/>
  <c r="G34" i="11"/>
  <c r="F34" i="11"/>
  <c r="E34" i="11"/>
  <c r="D34" i="11"/>
  <c r="H33" i="11"/>
  <c r="G33" i="11"/>
  <c r="F33" i="11"/>
  <c r="E33" i="11"/>
  <c r="D33" i="11"/>
  <c r="H32" i="11"/>
  <c r="G32" i="11"/>
  <c r="F32" i="11"/>
  <c r="E32" i="11"/>
  <c r="D32" i="11"/>
  <c r="H31" i="11"/>
  <c r="G31" i="11"/>
  <c r="F31" i="11"/>
  <c r="E31" i="11"/>
  <c r="D31" i="11"/>
  <c r="H30" i="11"/>
  <c r="G30" i="11"/>
  <c r="F30" i="11"/>
  <c r="E30" i="11"/>
  <c r="D30" i="11"/>
  <c r="H29" i="11"/>
  <c r="G29" i="11"/>
  <c r="F29" i="11"/>
  <c r="E29" i="11"/>
  <c r="D29" i="11"/>
  <c r="H28" i="11"/>
  <c r="G28" i="11"/>
  <c r="F28" i="11"/>
  <c r="E28" i="11"/>
  <c r="D28" i="11"/>
  <c r="C25" i="11"/>
  <c r="H23" i="11"/>
  <c r="G23" i="11"/>
  <c r="F23" i="11"/>
  <c r="E23" i="11"/>
  <c r="D23" i="11"/>
  <c r="H21" i="11"/>
  <c r="G21" i="11"/>
  <c r="F21" i="11"/>
  <c r="E21" i="11"/>
  <c r="D21" i="11"/>
  <c r="H20" i="11"/>
  <c r="G20" i="11"/>
  <c r="F20" i="11"/>
  <c r="E20" i="11"/>
  <c r="D20" i="11"/>
  <c r="H19" i="11"/>
  <c r="G19" i="11"/>
  <c r="F19" i="11"/>
  <c r="E19" i="11"/>
  <c r="D19" i="11"/>
  <c r="C16" i="11"/>
  <c r="H14" i="11"/>
  <c r="G14" i="11"/>
  <c r="F14" i="11"/>
  <c r="E14" i="11"/>
  <c r="D14" i="11"/>
  <c r="H12" i="11"/>
  <c r="G12" i="11"/>
  <c r="F12" i="11"/>
  <c r="E12" i="11"/>
  <c r="D12" i="11"/>
  <c r="H11" i="11"/>
  <c r="G11" i="11"/>
  <c r="F11" i="11"/>
  <c r="E11" i="11"/>
  <c r="D11" i="11"/>
  <c r="H10" i="11"/>
  <c r="G10" i="11"/>
  <c r="F10" i="11"/>
  <c r="E10" i="11"/>
  <c r="D10" i="11"/>
  <c r="A2" i="11"/>
  <c r="A1" i="11"/>
  <c r="J83" i="10"/>
  <c r="I83" i="10"/>
  <c r="F83" i="10"/>
  <c r="J81" i="10"/>
  <c r="I81" i="10"/>
  <c r="H81" i="10"/>
  <c r="F81" i="10"/>
  <c r="J79" i="10"/>
  <c r="I79" i="10"/>
  <c r="H79" i="10"/>
  <c r="J78" i="10"/>
  <c r="I78" i="10"/>
  <c r="H78" i="10"/>
  <c r="G78" i="10"/>
  <c r="E76" i="10"/>
  <c r="E74" i="10"/>
  <c r="E73" i="10"/>
  <c r="E72" i="10"/>
  <c r="E71" i="10"/>
  <c r="E62" i="10"/>
  <c r="J60" i="10"/>
  <c r="I60" i="10"/>
  <c r="H60" i="10"/>
  <c r="G60" i="10"/>
  <c r="F60" i="10"/>
  <c r="E49" i="10"/>
  <c r="A47" i="10"/>
  <c r="J46" i="10"/>
  <c r="I46" i="10"/>
  <c r="F46" i="10"/>
  <c r="A46" i="10"/>
  <c r="J45" i="10"/>
  <c r="I45" i="10"/>
  <c r="F45" i="10"/>
  <c r="H43" i="10"/>
  <c r="G43" i="10"/>
  <c r="J41" i="10"/>
  <c r="I41" i="10"/>
  <c r="H41" i="10"/>
  <c r="G41" i="10"/>
  <c r="F41" i="10"/>
  <c r="J39" i="10"/>
  <c r="I39" i="10"/>
  <c r="H39" i="10"/>
  <c r="G39" i="10"/>
  <c r="F39" i="10"/>
  <c r="A39" i="10"/>
  <c r="J38" i="10"/>
  <c r="I38" i="10"/>
  <c r="H38" i="10"/>
  <c r="F38" i="10"/>
  <c r="A38" i="10"/>
  <c r="J37" i="10"/>
  <c r="H37" i="10"/>
  <c r="G37" i="10"/>
  <c r="A37" i="10"/>
  <c r="H36" i="10"/>
  <c r="G36" i="10"/>
  <c r="A36" i="10"/>
  <c r="E31" i="10"/>
  <c r="J28" i="10"/>
  <c r="I28" i="10"/>
  <c r="H28" i="10"/>
  <c r="G28" i="10"/>
  <c r="F28" i="10"/>
  <c r="A28" i="10"/>
  <c r="A27" i="10"/>
  <c r="J26" i="10"/>
  <c r="H26" i="10"/>
  <c r="G26" i="10"/>
  <c r="A26" i="10"/>
  <c r="A25" i="10"/>
  <c r="J24" i="10"/>
  <c r="I24" i="10"/>
  <c r="H24" i="10"/>
  <c r="G24" i="10"/>
  <c r="F24" i="10"/>
  <c r="A24" i="10"/>
  <c r="H23" i="10"/>
  <c r="G23" i="10"/>
  <c r="A23" i="10"/>
  <c r="J22" i="10"/>
  <c r="H22" i="10"/>
  <c r="G22" i="10"/>
  <c r="A22" i="10"/>
  <c r="J21" i="10"/>
  <c r="I21" i="10"/>
  <c r="H21" i="10"/>
  <c r="G21" i="10"/>
  <c r="F21" i="10"/>
  <c r="A21" i="10"/>
  <c r="A20" i="10"/>
  <c r="J19" i="10"/>
  <c r="I19" i="10"/>
  <c r="H19" i="10"/>
  <c r="G19" i="10"/>
  <c r="F19" i="10"/>
  <c r="A19" i="10"/>
  <c r="J18" i="10"/>
  <c r="H18" i="10"/>
  <c r="G18" i="10"/>
  <c r="A18" i="10"/>
  <c r="A17" i="10"/>
  <c r="J16" i="10"/>
  <c r="I16" i="10"/>
  <c r="H16" i="10"/>
  <c r="G16" i="10"/>
  <c r="F16" i="10"/>
  <c r="A16" i="10"/>
  <c r="J15" i="10"/>
  <c r="I15" i="10"/>
  <c r="H15" i="10"/>
  <c r="G15" i="10"/>
  <c r="F15" i="10"/>
  <c r="A15" i="10"/>
  <c r="J14" i="10"/>
  <c r="I14" i="10"/>
  <c r="F14" i="10"/>
  <c r="A14" i="10"/>
  <c r="H13" i="10"/>
  <c r="G13" i="10"/>
  <c r="A13" i="10"/>
  <c r="J12" i="10"/>
  <c r="I12" i="10"/>
  <c r="H12" i="10"/>
  <c r="G12" i="10"/>
  <c r="F12" i="10"/>
  <c r="A12" i="10"/>
  <c r="A11" i="10"/>
  <c r="J10" i="10"/>
  <c r="I10" i="10"/>
  <c r="H10" i="10"/>
  <c r="G10" i="10"/>
  <c r="F10" i="10"/>
  <c r="A10" i="10"/>
  <c r="J9" i="10"/>
  <c r="H9" i="10"/>
  <c r="G9" i="10"/>
  <c r="A9" i="10"/>
  <c r="J8" i="10"/>
  <c r="H8" i="10"/>
  <c r="G8" i="10"/>
  <c r="A8" i="10"/>
  <c r="J7" i="10"/>
  <c r="H7" i="10"/>
  <c r="G7" i="10"/>
  <c r="A7" i="10"/>
  <c r="J6" i="10"/>
  <c r="I6" i="10"/>
  <c r="H6" i="10"/>
  <c r="G6" i="10"/>
  <c r="A6" i="10"/>
  <c r="B2" i="10"/>
  <c r="B1" i="10"/>
  <c r="J152" i="9"/>
  <c r="I152" i="9"/>
  <c r="F152" i="9"/>
  <c r="J150" i="9"/>
  <c r="I150" i="9"/>
  <c r="H150" i="9"/>
  <c r="F150" i="9"/>
  <c r="J147" i="9"/>
  <c r="I147" i="9"/>
  <c r="I130" i="9" s="1"/>
  <c r="H147" i="9"/>
  <c r="G147" i="9"/>
  <c r="E144" i="9"/>
  <c r="E143" i="9"/>
  <c r="E141" i="9"/>
  <c r="E140" i="9"/>
  <c r="A138" i="9"/>
  <c r="A137" i="9"/>
  <c r="A135" i="9"/>
  <c r="A134" i="9"/>
  <c r="A132" i="9"/>
  <c r="A131" i="9"/>
  <c r="J130" i="9"/>
  <c r="G130" i="9"/>
  <c r="A130" i="9"/>
  <c r="A128" i="9"/>
  <c r="A127" i="9"/>
  <c r="A126" i="9"/>
  <c r="A125" i="9"/>
  <c r="A124" i="9"/>
  <c r="A123" i="9"/>
  <c r="A122" i="9"/>
  <c r="A121" i="9"/>
  <c r="A120" i="9"/>
  <c r="A119" i="9"/>
  <c r="A118" i="9"/>
  <c r="A117" i="9"/>
  <c r="A116" i="9"/>
  <c r="A115" i="9"/>
  <c r="A114" i="9"/>
  <c r="A113" i="9"/>
  <c r="A112" i="9"/>
  <c r="A111" i="9"/>
  <c r="A110" i="9"/>
  <c r="A109" i="9"/>
  <c r="A108" i="9"/>
  <c r="J107" i="9"/>
  <c r="I107" i="9"/>
  <c r="H107" i="9"/>
  <c r="G107" i="9"/>
  <c r="A107" i="9"/>
  <c r="A106" i="9"/>
  <c r="A105" i="9"/>
  <c r="A104" i="9"/>
  <c r="J103" i="9"/>
  <c r="I103" i="9"/>
  <c r="H103" i="9"/>
  <c r="G103" i="9"/>
  <c r="F103" i="9"/>
  <c r="A103" i="9"/>
  <c r="A102" i="9"/>
  <c r="A101" i="9"/>
  <c r="J100" i="9"/>
  <c r="I100" i="9"/>
  <c r="H100" i="9"/>
  <c r="A100" i="9"/>
  <c r="J99" i="9"/>
  <c r="I99" i="9"/>
  <c r="H99" i="9"/>
  <c r="G99" i="9"/>
  <c r="A99" i="9"/>
  <c r="A98" i="9"/>
  <c r="J97" i="9"/>
  <c r="I97" i="9"/>
  <c r="H97" i="9"/>
  <c r="G97" i="9"/>
  <c r="F97" i="9"/>
  <c r="A97" i="9"/>
  <c r="J96" i="9"/>
  <c r="I96" i="9"/>
  <c r="H96" i="9"/>
  <c r="G96" i="9"/>
  <c r="F96" i="9"/>
  <c r="A96" i="9"/>
  <c r="A95" i="9"/>
  <c r="J94" i="9"/>
  <c r="I94" i="9"/>
  <c r="H94" i="9"/>
  <c r="G94" i="9"/>
  <c r="F94" i="9"/>
  <c r="A94" i="9"/>
  <c r="A93" i="9"/>
  <c r="A92" i="9"/>
  <c r="A91" i="9"/>
  <c r="J90" i="9"/>
  <c r="I90" i="9"/>
  <c r="H90" i="9"/>
  <c r="G90" i="9"/>
  <c r="F90" i="9"/>
  <c r="A90" i="9"/>
  <c r="A89" i="9"/>
  <c r="J88" i="9"/>
  <c r="I88" i="9"/>
  <c r="G88" i="9"/>
  <c r="A88" i="9"/>
  <c r="J87" i="9"/>
  <c r="I87" i="9"/>
  <c r="H87" i="9"/>
  <c r="G87" i="9"/>
  <c r="F87" i="9"/>
  <c r="A87" i="9"/>
  <c r="J86" i="9"/>
  <c r="I86" i="9"/>
  <c r="G86" i="9"/>
  <c r="A86" i="9"/>
  <c r="I85" i="9"/>
  <c r="H85" i="9"/>
  <c r="A85" i="9"/>
  <c r="J84" i="9"/>
  <c r="I84" i="9"/>
  <c r="G84" i="9"/>
  <c r="A84" i="9"/>
  <c r="A83" i="9"/>
  <c r="J82" i="9"/>
  <c r="I82" i="9"/>
  <c r="H82" i="9"/>
  <c r="G82" i="9"/>
  <c r="A82" i="9"/>
  <c r="A81" i="9"/>
  <c r="J80" i="9"/>
  <c r="I80" i="9"/>
  <c r="H80" i="9"/>
  <c r="G80" i="9"/>
  <c r="F80" i="9"/>
  <c r="A80" i="9"/>
  <c r="J79" i="9"/>
  <c r="I79" i="9"/>
  <c r="H79" i="9"/>
  <c r="G79" i="9"/>
  <c r="F79" i="9"/>
  <c r="A79" i="9"/>
  <c r="A77" i="9"/>
  <c r="A76" i="9"/>
  <c r="A75" i="9"/>
  <c r="A73" i="9"/>
  <c r="A72" i="9"/>
  <c r="A71" i="9"/>
  <c r="J70" i="9"/>
  <c r="I70" i="9"/>
  <c r="H70" i="9"/>
  <c r="G70" i="9"/>
  <c r="A70" i="9"/>
  <c r="J69" i="9"/>
  <c r="I69" i="9"/>
  <c r="H69" i="9"/>
  <c r="G69" i="9"/>
  <c r="A69" i="9"/>
  <c r="A68" i="9"/>
  <c r="A67" i="9"/>
  <c r="A65" i="9"/>
  <c r="A64" i="9"/>
  <c r="A62" i="9"/>
  <c r="A61" i="9"/>
  <c r="J60" i="9"/>
  <c r="I60" i="9"/>
  <c r="H60" i="9"/>
  <c r="G60" i="9"/>
  <c r="A60" i="9"/>
  <c r="J59" i="9"/>
  <c r="I59" i="9"/>
  <c r="H59" i="9"/>
  <c r="G59" i="9"/>
  <c r="A59" i="9"/>
  <c r="A57" i="9"/>
  <c r="A55" i="9"/>
  <c r="A54" i="9"/>
  <c r="A52" i="9"/>
  <c r="A50" i="9"/>
  <c r="A49" i="9"/>
  <c r="I47" i="9"/>
  <c r="H47" i="9"/>
  <c r="A47" i="9"/>
  <c r="A46" i="9"/>
  <c r="J45" i="9"/>
  <c r="I45" i="9"/>
  <c r="H45" i="9"/>
  <c r="G45" i="9"/>
  <c r="A45" i="9"/>
  <c r="A44" i="9"/>
  <c r="A43" i="9"/>
  <c r="J42" i="9"/>
  <c r="I42" i="9"/>
  <c r="H42" i="9"/>
  <c r="G42" i="9"/>
  <c r="F42" i="9"/>
  <c r="A42" i="9"/>
  <c r="J41" i="9"/>
  <c r="I41" i="9"/>
  <c r="H41" i="9"/>
  <c r="G41" i="9"/>
  <c r="F41" i="9"/>
  <c r="A41" i="9"/>
  <c r="J40" i="9"/>
  <c r="I40" i="9"/>
  <c r="H40" i="9"/>
  <c r="G40" i="9"/>
  <c r="F40" i="9"/>
  <c r="A40" i="9"/>
  <c r="J39" i="9"/>
  <c r="I39" i="9"/>
  <c r="H39" i="9"/>
  <c r="G39" i="9"/>
  <c r="A39" i="9"/>
  <c r="J38" i="9"/>
  <c r="I38" i="9"/>
  <c r="H38" i="9"/>
  <c r="G38" i="9"/>
  <c r="F38" i="9"/>
  <c r="A38" i="9"/>
  <c r="A37" i="9"/>
  <c r="J36" i="9"/>
  <c r="I36" i="9"/>
  <c r="H36" i="9"/>
  <c r="G36" i="9"/>
  <c r="A36" i="9"/>
  <c r="A35" i="9"/>
  <c r="J34" i="9"/>
  <c r="I34" i="9"/>
  <c r="H34" i="9"/>
  <c r="G34" i="9"/>
  <c r="F34" i="9"/>
  <c r="A34" i="9"/>
  <c r="A33" i="9"/>
  <c r="A32" i="9"/>
  <c r="J31" i="9"/>
  <c r="I31" i="9"/>
  <c r="H31" i="9"/>
  <c r="G31" i="9"/>
  <c r="F31" i="9"/>
  <c r="A31" i="9"/>
  <c r="J30" i="9"/>
  <c r="I30" i="9"/>
  <c r="H30" i="9"/>
  <c r="G30" i="9"/>
  <c r="F30" i="9"/>
  <c r="A30" i="9"/>
  <c r="A29" i="9"/>
  <c r="A28" i="9"/>
  <c r="J27" i="9"/>
  <c r="I27" i="9"/>
  <c r="H27" i="9"/>
  <c r="G27" i="9"/>
  <c r="A27" i="9"/>
  <c r="J26" i="9"/>
  <c r="I26" i="9"/>
  <c r="H26" i="9"/>
  <c r="F26" i="9"/>
  <c r="A26" i="9"/>
  <c r="J25" i="9"/>
  <c r="I25" i="9"/>
  <c r="H25" i="9"/>
  <c r="G25" i="9"/>
  <c r="A25" i="9"/>
  <c r="J24" i="9"/>
  <c r="I24" i="9"/>
  <c r="H24" i="9"/>
  <c r="G24" i="9"/>
  <c r="F24" i="9"/>
  <c r="A24" i="9"/>
  <c r="J23" i="9"/>
  <c r="I23" i="9"/>
  <c r="H23" i="9"/>
  <c r="G23" i="9"/>
  <c r="A23" i="9"/>
  <c r="A22" i="9"/>
  <c r="A21" i="9"/>
  <c r="A20" i="9"/>
  <c r="J19" i="9"/>
  <c r="I19" i="9"/>
  <c r="H19" i="9"/>
  <c r="G19" i="9"/>
  <c r="F19" i="9"/>
  <c r="A19" i="9"/>
  <c r="J18" i="9"/>
  <c r="I18" i="9"/>
  <c r="H18" i="9"/>
  <c r="G18" i="9"/>
  <c r="F18" i="9"/>
  <c r="A18" i="9"/>
  <c r="A16" i="9"/>
  <c r="A15" i="9"/>
  <c r="A14" i="9"/>
  <c r="A13" i="9"/>
  <c r="A11" i="9"/>
  <c r="A10" i="9"/>
  <c r="J9" i="9"/>
  <c r="I9" i="9"/>
  <c r="H9" i="9"/>
  <c r="G9" i="9"/>
  <c r="A9" i="9"/>
  <c r="J8" i="9"/>
  <c r="I8" i="9"/>
  <c r="H8" i="9"/>
  <c r="G8" i="9"/>
  <c r="A8" i="9"/>
  <c r="A7" i="9"/>
  <c r="B2" i="9"/>
  <c r="E75" i="9" s="1"/>
  <c r="B1" i="9"/>
  <c r="H45" i="8"/>
  <c r="H20" i="8" s="1"/>
  <c r="G45" i="8"/>
  <c r="F45" i="8"/>
  <c r="E45" i="8"/>
  <c r="D45" i="8"/>
  <c r="C43" i="8"/>
  <c r="C42" i="8"/>
  <c r="H41" i="8"/>
  <c r="G41" i="8"/>
  <c r="G25" i="8" s="1"/>
  <c r="D41" i="8"/>
  <c r="H40" i="8"/>
  <c r="H24" i="8" s="1"/>
  <c r="G40" i="8"/>
  <c r="F40" i="8"/>
  <c r="D40" i="8"/>
  <c r="H39" i="8"/>
  <c r="G39" i="8"/>
  <c r="F39" i="8"/>
  <c r="F11" i="8" s="1"/>
  <c r="E39" i="8"/>
  <c r="H32" i="8"/>
  <c r="G32" i="8"/>
  <c r="F32" i="8"/>
  <c r="E32" i="8"/>
  <c r="D32" i="8"/>
  <c r="C32" i="8"/>
  <c r="H31" i="8"/>
  <c r="G31" i="8"/>
  <c r="F31" i="8"/>
  <c r="E31" i="8"/>
  <c r="D31" i="8"/>
  <c r="C31" i="8" s="1"/>
  <c r="C30" i="8"/>
  <c r="C28" i="8"/>
  <c r="H25" i="8"/>
  <c r="D25" i="8"/>
  <c r="G24" i="8"/>
  <c r="F24" i="8"/>
  <c r="H22" i="8"/>
  <c r="E22" i="8"/>
  <c r="H21" i="8"/>
  <c r="G21" i="8"/>
  <c r="F21" i="8"/>
  <c r="E21" i="8"/>
  <c r="D21" i="8"/>
  <c r="G20" i="8"/>
  <c r="F20" i="8"/>
  <c r="E20" i="8"/>
  <c r="H18" i="8"/>
  <c r="G18" i="8"/>
  <c r="D18" i="8"/>
  <c r="H17" i="8"/>
  <c r="G17" i="8"/>
  <c r="F17" i="8"/>
  <c r="D17" i="8"/>
  <c r="H15" i="8"/>
  <c r="E15" i="8"/>
  <c r="H14" i="8"/>
  <c r="G14" i="8"/>
  <c r="F14" i="8"/>
  <c r="E14" i="8"/>
  <c r="D14" i="8"/>
  <c r="H13" i="8"/>
  <c r="G13" i="8"/>
  <c r="F13" i="8"/>
  <c r="E13" i="8"/>
  <c r="D13" i="8"/>
  <c r="H12" i="8"/>
  <c r="E12" i="8"/>
  <c r="H11" i="8"/>
  <c r="E11" i="8"/>
  <c r="H10" i="8"/>
  <c r="G10" i="8"/>
  <c r="F10" i="8"/>
  <c r="D10" i="8"/>
  <c r="H9" i="8"/>
  <c r="E9" i="8"/>
  <c r="H8" i="8"/>
  <c r="E8" i="8"/>
  <c r="H7" i="8"/>
  <c r="G7" i="8"/>
  <c r="F7" i="8"/>
  <c r="E7" i="8"/>
  <c r="D7" i="8"/>
  <c r="A2" i="8"/>
  <c r="A1" i="8"/>
  <c r="C49" i="7"/>
  <c r="C48" i="7"/>
  <c r="H47" i="7"/>
  <c r="G47" i="7"/>
  <c r="D47" i="7"/>
  <c r="H46" i="7"/>
  <c r="G46" i="7"/>
  <c r="F46" i="7"/>
  <c r="G10" i="7" s="1"/>
  <c r="D46" i="7"/>
  <c r="H45" i="7"/>
  <c r="G45" i="7"/>
  <c r="F45" i="7"/>
  <c r="E45" i="7"/>
  <c r="D45" i="7"/>
  <c r="C45" i="7"/>
  <c r="D32" i="7"/>
  <c r="D39" i="7" s="1"/>
  <c r="D31" i="7"/>
  <c r="D30" i="7"/>
  <c r="G29" i="7"/>
  <c r="D29" i="7"/>
  <c r="E40" i="7" s="1"/>
  <c r="D28" i="7"/>
  <c r="D27" i="7"/>
  <c r="F26" i="7"/>
  <c r="D26" i="7"/>
  <c r="H21" i="7"/>
  <c r="G20" i="7"/>
  <c r="F20" i="7"/>
  <c r="I19" i="7"/>
  <c r="H19" i="7"/>
  <c r="G19" i="7"/>
  <c r="F19" i="7"/>
  <c r="E19" i="7"/>
  <c r="G18" i="7"/>
  <c r="F18" i="7"/>
  <c r="I17" i="7"/>
  <c r="H17" i="7"/>
  <c r="G17" i="7"/>
  <c r="G27" i="7" s="1"/>
  <c r="F17" i="7"/>
  <c r="F27" i="7" s="1"/>
  <c r="E17" i="7"/>
  <c r="G16" i="7"/>
  <c r="G26" i="7" s="1"/>
  <c r="F16" i="7"/>
  <c r="G15" i="7"/>
  <c r="F15" i="7"/>
  <c r="I12" i="7"/>
  <c r="H12" i="7"/>
  <c r="G12" i="7"/>
  <c r="F12" i="7"/>
  <c r="E12" i="7"/>
  <c r="I11" i="7"/>
  <c r="I10" i="7"/>
  <c r="H10" i="7"/>
  <c r="E10" i="7"/>
  <c r="H9" i="7"/>
  <c r="G9" i="7"/>
  <c r="F9" i="7"/>
  <c r="I8" i="7"/>
  <c r="I29" i="7" s="1"/>
  <c r="I35" i="7" s="1"/>
  <c r="H8" i="7"/>
  <c r="H29" i="7" s="1"/>
  <c r="H35" i="7" s="1"/>
  <c r="G8" i="7"/>
  <c r="F8" i="7"/>
  <c r="F29" i="7" s="1"/>
  <c r="F35" i="7" s="1"/>
  <c r="E8" i="7"/>
  <c r="E29" i="7" s="1"/>
  <c r="E35" i="7" s="1"/>
  <c r="I7" i="7"/>
  <c r="H7" i="7"/>
  <c r="G7" i="7"/>
  <c r="F7" i="7"/>
  <c r="E7" i="7"/>
  <c r="A2" i="7"/>
  <c r="A1" i="7"/>
  <c r="D37" i="6"/>
  <c r="D35" i="6"/>
  <c r="D34" i="6"/>
  <c r="I33" i="6"/>
  <c r="H33" i="6"/>
  <c r="E33" i="6"/>
  <c r="I32" i="6"/>
  <c r="H32" i="6"/>
  <c r="H10" i="6" s="1"/>
  <c r="G32" i="6"/>
  <c r="E32" i="6"/>
  <c r="I31" i="6"/>
  <c r="I9" i="6" s="1"/>
  <c r="H31" i="6"/>
  <c r="G31" i="6"/>
  <c r="F31" i="6"/>
  <c r="E27" i="6"/>
  <c r="I25" i="6"/>
  <c r="G35" i="1" s="1"/>
  <c r="D22" i="6"/>
  <c r="I21" i="6"/>
  <c r="I27" i="6" s="1"/>
  <c r="G39" i="1" s="1"/>
  <c r="E21" i="6"/>
  <c r="D21" i="6"/>
  <c r="D20" i="6"/>
  <c r="I19" i="6"/>
  <c r="D19" i="6"/>
  <c r="I18" i="6"/>
  <c r="H18" i="6"/>
  <c r="H24" i="6" s="1"/>
  <c r="G18" i="6"/>
  <c r="F18" i="6"/>
  <c r="E18" i="6"/>
  <c r="D18" i="6"/>
  <c r="G24" i="6" s="1"/>
  <c r="D17" i="6"/>
  <c r="I16" i="6"/>
  <c r="H16" i="6"/>
  <c r="G16" i="6"/>
  <c r="E16" i="6"/>
  <c r="I15" i="6"/>
  <c r="H15" i="6"/>
  <c r="G15" i="6"/>
  <c r="I14" i="6"/>
  <c r="I17" i="6" s="1"/>
  <c r="I23" i="6" s="1"/>
  <c r="H14" i="6"/>
  <c r="H17" i="6" s="1"/>
  <c r="H23" i="6" s="1"/>
  <c r="G14" i="6"/>
  <c r="G17" i="6" s="1"/>
  <c r="G23" i="6" s="1"/>
  <c r="E38" i="1" s="1"/>
  <c r="F14" i="6"/>
  <c r="E14" i="6"/>
  <c r="I13" i="6"/>
  <c r="H13" i="6"/>
  <c r="H21" i="6" s="1"/>
  <c r="H27" i="6" s="1"/>
  <c r="F39" i="1" s="1"/>
  <c r="G13" i="6"/>
  <c r="G21" i="6" s="1"/>
  <c r="G27" i="6" s="1"/>
  <c r="F13" i="6"/>
  <c r="F21" i="6" s="1"/>
  <c r="F27" i="6" s="1"/>
  <c r="D39" i="1" s="1"/>
  <c r="E13" i="6"/>
  <c r="I12" i="6"/>
  <c r="H12" i="6"/>
  <c r="E12" i="6"/>
  <c r="I11" i="6"/>
  <c r="I20" i="6" s="1"/>
  <c r="I26" i="6" s="1"/>
  <c r="H11" i="6"/>
  <c r="H20" i="6" s="1"/>
  <c r="H26" i="6" s="1"/>
  <c r="F36" i="1" s="1"/>
  <c r="F37" i="1" s="1"/>
  <c r="G11" i="6"/>
  <c r="I10" i="6"/>
  <c r="E10" i="6"/>
  <c r="H9" i="6"/>
  <c r="H19" i="6" s="1"/>
  <c r="H25" i="6" s="1"/>
  <c r="G9" i="6"/>
  <c r="F9" i="6"/>
  <c r="I8" i="6"/>
  <c r="H8" i="6"/>
  <c r="G8" i="6"/>
  <c r="E8" i="6"/>
  <c r="I7" i="6"/>
  <c r="H7" i="6"/>
  <c r="G7" i="6"/>
  <c r="A2" i="6"/>
  <c r="A1" i="6"/>
  <c r="G21" i="5"/>
  <c r="F21" i="5"/>
  <c r="C21" i="5"/>
  <c r="G18" i="5"/>
  <c r="F18" i="5"/>
  <c r="E18" i="5"/>
  <c r="E8" i="5" s="1"/>
  <c r="D18" i="5"/>
  <c r="D8" i="5" s="1"/>
  <c r="C18" i="5"/>
  <c r="G17" i="5"/>
  <c r="F17" i="5"/>
  <c r="F11" i="5" s="1"/>
  <c r="E17" i="5"/>
  <c r="C17" i="5"/>
  <c r="G16" i="5"/>
  <c r="F16" i="5"/>
  <c r="E16" i="5"/>
  <c r="D16" i="5"/>
  <c r="D9" i="5" s="1"/>
  <c r="B13" i="5"/>
  <c r="B12" i="5"/>
  <c r="G11" i="5"/>
  <c r="E11" i="5"/>
  <c r="C11" i="5"/>
  <c r="G9" i="5"/>
  <c r="F9" i="5"/>
  <c r="E9" i="5"/>
  <c r="G8" i="5"/>
  <c r="F8" i="5"/>
  <c r="C8" i="5"/>
  <c r="G7" i="5"/>
  <c r="F7" i="5"/>
  <c r="E7" i="5"/>
  <c r="D7" i="5"/>
  <c r="C7" i="5"/>
  <c r="A2" i="5"/>
  <c r="A1" i="5"/>
  <c r="G39" i="4"/>
  <c r="F39" i="4"/>
  <c r="E39" i="4"/>
  <c r="D39" i="4"/>
  <c r="B39" i="4"/>
  <c r="C37" i="4"/>
  <c r="C39" i="4" s="1"/>
  <c r="E32" i="4"/>
  <c r="D32" i="4"/>
  <c r="B30" i="4"/>
  <c r="D25" i="4"/>
  <c r="C25" i="4"/>
  <c r="F23" i="4"/>
  <c r="F25" i="4" s="1"/>
  <c r="B23" i="4"/>
  <c r="C13" i="4"/>
  <c r="C10" i="4"/>
  <c r="B9" i="4"/>
  <c r="E8" i="4"/>
  <c r="E10" i="4" s="1"/>
  <c r="E15" i="4" s="1"/>
  <c r="B15" i="4" s="1"/>
  <c r="D8" i="4"/>
  <c r="D10" i="4" s="1"/>
  <c r="C8" i="4"/>
  <c r="A1" i="4"/>
  <c r="D50" i="3"/>
  <c r="D49" i="3"/>
  <c r="I48" i="3"/>
  <c r="H48" i="3"/>
  <c r="E48" i="3"/>
  <c r="I47" i="3"/>
  <c r="H47" i="3"/>
  <c r="G47" i="3"/>
  <c r="G10" i="3" s="1"/>
  <c r="E47" i="3"/>
  <c r="I46" i="3"/>
  <c r="I9" i="3" s="1"/>
  <c r="H46" i="3"/>
  <c r="H9" i="3" s="1"/>
  <c r="G46" i="3"/>
  <c r="F46" i="3"/>
  <c r="E46" i="3"/>
  <c r="E9" i="3" s="1"/>
  <c r="D46" i="3"/>
  <c r="I37" i="3"/>
  <c r="D37" i="3"/>
  <c r="H37" i="3" s="1"/>
  <c r="C37" i="3"/>
  <c r="B37" i="3"/>
  <c r="D36" i="3"/>
  <c r="C36" i="3"/>
  <c r="B36" i="3"/>
  <c r="I35" i="3"/>
  <c r="D35" i="3"/>
  <c r="H35" i="3" s="1"/>
  <c r="C35" i="3"/>
  <c r="B35" i="3"/>
  <c r="D34" i="3"/>
  <c r="C34" i="3"/>
  <c r="B34" i="3"/>
  <c r="I33" i="3"/>
  <c r="D33" i="3"/>
  <c r="C33" i="3"/>
  <c r="B33" i="3"/>
  <c r="I32" i="3"/>
  <c r="H32" i="3"/>
  <c r="E32" i="3"/>
  <c r="D32" i="3"/>
  <c r="C32" i="3"/>
  <c r="B32" i="3"/>
  <c r="I31" i="3"/>
  <c r="D31" i="3"/>
  <c r="C31" i="3"/>
  <c r="B31" i="3"/>
  <c r="I30" i="3"/>
  <c r="H30" i="3"/>
  <c r="E30" i="3"/>
  <c r="D30" i="3"/>
  <c r="C30" i="3"/>
  <c r="B30" i="3"/>
  <c r="I29" i="3"/>
  <c r="D29" i="3"/>
  <c r="H29" i="3" s="1"/>
  <c r="C29" i="3"/>
  <c r="B29" i="3"/>
  <c r="I28" i="3"/>
  <c r="H28" i="3"/>
  <c r="E28" i="3"/>
  <c r="D28" i="3"/>
  <c r="C28" i="3"/>
  <c r="B28" i="3"/>
  <c r="I27" i="3"/>
  <c r="D27" i="3"/>
  <c r="C27" i="3"/>
  <c r="B27" i="3"/>
  <c r="D24" i="3"/>
  <c r="D23" i="3"/>
  <c r="H23" i="3" s="1"/>
  <c r="C23" i="3"/>
  <c r="B23" i="3"/>
  <c r="G22" i="3"/>
  <c r="F22" i="3"/>
  <c r="D22" i="3"/>
  <c r="C22" i="3"/>
  <c r="B22" i="3"/>
  <c r="G21" i="3"/>
  <c r="D21" i="3"/>
  <c r="C21" i="3"/>
  <c r="F21" i="3" s="1"/>
  <c r="B21" i="3"/>
  <c r="D20" i="3"/>
  <c r="C20" i="3"/>
  <c r="F20" i="3" s="1"/>
  <c r="B20" i="3"/>
  <c r="G19" i="3"/>
  <c r="F19" i="3"/>
  <c r="D19" i="3"/>
  <c r="H19" i="3" s="1"/>
  <c r="C19" i="3"/>
  <c r="B19" i="3"/>
  <c r="G18" i="3"/>
  <c r="F18" i="3"/>
  <c r="D18" i="3"/>
  <c r="C18" i="3"/>
  <c r="B18" i="3"/>
  <c r="G17" i="3"/>
  <c r="D17" i="3"/>
  <c r="C17" i="3"/>
  <c r="B17" i="3"/>
  <c r="D16" i="3"/>
  <c r="C16" i="3"/>
  <c r="F16" i="3" s="1"/>
  <c r="B16" i="3"/>
  <c r="G15" i="3"/>
  <c r="F15" i="3"/>
  <c r="D15" i="3"/>
  <c r="H15" i="3" s="1"/>
  <c r="C15" i="3"/>
  <c r="B15" i="3"/>
  <c r="G14" i="3"/>
  <c r="F14" i="3"/>
  <c r="D14" i="3"/>
  <c r="C14" i="3"/>
  <c r="B14" i="3"/>
  <c r="G12" i="3"/>
  <c r="F12" i="3"/>
  <c r="D12" i="3"/>
  <c r="D40" i="7" s="1"/>
  <c r="F40" i="7" s="1"/>
  <c r="I11" i="3"/>
  <c r="H11" i="3"/>
  <c r="G11" i="3"/>
  <c r="F11" i="3"/>
  <c r="E11" i="3"/>
  <c r="I10" i="3"/>
  <c r="H10" i="3"/>
  <c r="E10" i="3"/>
  <c r="G9" i="3"/>
  <c r="F9" i="3"/>
  <c r="A2" i="3"/>
  <c r="G330" i="2"/>
  <c r="F330" i="2"/>
  <c r="E330" i="2"/>
  <c r="D330" i="2"/>
  <c r="C330" i="2"/>
  <c r="C19" i="2"/>
  <c r="B19" i="2" s="1"/>
  <c r="F18" i="2"/>
  <c r="F21" i="2" s="1"/>
  <c r="E18" i="2"/>
  <c r="E21" i="2" s="1"/>
  <c r="B14" i="2"/>
  <c r="F8" i="2"/>
  <c r="G18" i="2" s="1"/>
  <c r="G21" i="2" s="1"/>
  <c r="C8" i="2"/>
  <c r="B8" i="2"/>
  <c r="A2" i="2"/>
  <c r="A1" i="2"/>
  <c r="H73" i="1"/>
  <c r="H72" i="1"/>
  <c r="H71" i="1"/>
  <c r="H70" i="1"/>
  <c r="H69" i="1"/>
  <c r="H68" i="1"/>
  <c r="H67" i="1"/>
  <c r="H66" i="1"/>
  <c r="H65" i="1"/>
  <c r="H64" i="1"/>
  <c r="G63" i="1"/>
  <c r="F63" i="1"/>
  <c r="C63" i="1"/>
  <c r="G61" i="1"/>
  <c r="F61" i="1"/>
  <c r="E61" i="1"/>
  <c r="C61" i="1"/>
  <c r="H52" i="1"/>
  <c r="H42" i="1"/>
  <c r="G40" i="1"/>
  <c r="F40" i="1"/>
  <c r="E40" i="1"/>
  <c r="D40" i="1"/>
  <c r="C40" i="1"/>
  <c r="E39" i="1"/>
  <c r="G38" i="1"/>
  <c r="F38" i="1"/>
  <c r="G36" i="1"/>
  <c r="G37" i="1" s="1"/>
  <c r="G33" i="1" s="1"/>
  <c r="F35" i="1"/>
  <c r="G34" i="1"/>
  <c r="E32" i="1"/>
  <c r="D32" i="1"/>
  <c r="F31" i="1"/>
  <c r="D31" i="1"/>
  <c r="C31" i="1"/>
  <c r="H28" i="1"/>
  <c r="H27" i="1"/>
  <c r="F22" i="1"/>
  <c r="E22" i="1"/>
  <c r="G21" i="1"/>
  <c r="G22" i="1" s="1"/>
  <c r="F21" i="1"/>
  <c r="E21" i="1"/>
  <c r="D21" i="1"/>
  <c r="D22" i="1" s="1"/>
  <c r="C21" i="1"/>
  <c r="G19" i="1"/>
  <c r="F19" i="1"/>
  <c r="E19" i="1"/>
  <c r="D19" i="1"/>
  <c r="C19" i="1"/>
  <c r="H19" i="1" s="1"/>
  <c r="H18" i="1"/>
  <c r="G17" i="1"/>
  <c r="F17" i="1"/>
  <c r="E17" i="1"/>
  <c r="D17" i="1"/>
  <c r="C17" i="1"/>
  <c r="H17" i="1" s="1"/>
  <c r="H16" i="1"/>
  <c r="H12" i="1"/>
  <c r="H10" i="1"/>
  <c r="H9" i="1"/>
  <c r="C22" i="1" l="1"/>
  <c r="H22" i="1" s="1"/>
  <c r="H21" i="1"/>
  <c r="F33" i="1"/>
  <c r="F34" i="1"/>
  <c r="D18" i="4"/>
  <c r="D14" i="4"/>
  <c r="D17" i="4"/>
  <c r="H15" i="7"/>
  <c r="H18" i="7"/>
  <c r="H27" i="7" s="1"/>
  <c r="H20" i="7"/>
  <c r="H30" i="7" s="1"/>
  <c r="H36" i="7" s="1"/>
  <c r="F25" i="1" s="1"/>
  <c r="H16" i="3"/>
  <c r="D38" i="3"/>
  <c r="D40" i="3" s="1"/>
  <c r="F27" i="3"/>
  <c r="G27" i="3"/>
  <c r="F31" i="3"/>
  <c r="G31" i="3"/>
  <c r="F33" i="3"/>
  <c r="G33" i="3"/>
  <c r="H14" i="3"/>
  <c r="G16" i="3"/>
  <c r="H18" i="3"/>
  <c r="G20" i="3"/>
  <c r="H22" i="3"/>
  <c r="H27" i="3"/>
  <c r="F28" i="3"/>
  <c r="G28" i="3"/>
  <c r="G30" i="3"/>
  <c r="H31" i="3"/>
  <c r="F32" i="3"/>
  <c r="G32" i="3"/>
  <c r="H33" i="3"/>
  <c r="B18" i="5"/>
  <c r="B19" i="5"/>
  <c r="F78" i="10"/>
  <c r="F147" i="9"/>
  <c r="C16" i="5"/>
  <c r="C9" i="5" s="1"/>
  <c r="B13" i="4"/>
  <c r="B16" i="5" s="1"/>
  <c r="D39" i="8"/>
  <c r="E31" i="6"/>
  <c r="E18" i="4"/>
  <c r="E66" i="11"/>
  <c r="G77" i="10"/>
  <c r="H22" i="6"/>
  <c r="H28" i="6" s="1"/>
  <c r="G10" i="6"/>
  <c r="G22" i="6" s="1"/>
  <c r="G28" i="6" s="1"/>
  <c r="G12" i="6"/>
  <c r="G20" i="6" s="1"/>
  <c r="G26" i="6" s="1"/>
  <c r="E36" i="1" s="1"/>
  <c r="E37" i="1" s="1"/>
  <c r="H11" i="7"/>
  <c r="H14" i="7"/>
  <c r="H20" i="3"/>
  <c r="F29" i="3"/>
  <c r="G29" i="3"/>
  <c r="H16" i="7"/>
  <c r="H26" i="7" s="1"/>
  <c r="E18" i="7"/>
  <c r="E27" i="7" s="1"/>
  <c r="E9" i="7"/>
  <c r="E16" i="7"/>
  <c r="E26" i="7" s="1"/>
  <c r="E15" i="7"/>
  <c r="E20" i="7"/>
  <c r="E30" i="7" s="1"/>
  <c r="E36" i="7" s="1"/>
  <c r="I18" i="7"/>
  <c r="I9" i="7"/>
  <c r="I28" i="7" s="1"/>
  <c r="I34" i="7" s="1"/>
  <c r="G24" i="1" s="1"/>
  <c r="I16" i="7"/>
  <c r="I26" i="7" s="1"/>
  <c r="I20" i="7"/>
  <c r="I30" i="7" s="1"/>
  <c r="I36" i="7" s="1"/>
  <c r="G25" i="1" s="1"/>
  <c r="F22" i="8"/>
  <c r="F9" i="8"/>
  <c r="F15" i="8"/>
  <c r="F8" i="8"/>
  <c r="H40" i="1"/>
  <c r="H17" i="3"/>
  <c r="H21" i="3"/>
  <c r="E27" i="3"/>
  <c r="E29" i="3"/>
  <c r="E31" i="3"/>
  <c r="E33" i="3"/>
  <c r="E35" i="3"/>
  <c r="E37" i="3"/>
  <c r="F77" i="10"/>
  <c r="D66" i="11"/>
  <c r="F146" i="9"/>
  <c r="G19" i="6"/>
  <c r="G25" i="6" s="1"/>
  <c r="E35" i="1" s="1"/>
  <c r="E24" i="6"/>
  <c r="D24" i="6" s="1"/>
  <c r="I24" i="6"/>
  <c r="D27" i="6"/>
  <c r="C39" i="1"/>
  <c r="H39" i="1" s="1"/>
  <c r="I15" i="7"/>
  <c r="E14" i="7"/>
  <c r="E21" i="7"/>
  <c r="E11" i="7"/>
  <c r="F12" i="8"/>
  <c r="G9" i="8"/>
  <c r="G12" i="8"/>
  <c r="G8" i="8"/>
  <c r="G11" i="8"/>
  <c r="G22" i="8"/>
  <c r="G15" i="8"/>
  <c r="I131" i="9"/>
  <c r="E131" i="9"/>
  <c r="E115" i="9"/>
  <c r="J131" i="9"/>
  <c r="F131" i="9"/>
  <c r="E114" i="9"/>
  <c r="H131" i="9"/>
  <c r="G112" i="9"/>
  <c r="G122" i="9" s="1"/>
  <c r="J111" i="9"/>
  <c r="J121" i="9" s="1"/>
  <c r="G57" i="1" s="1"/>
  <c r="I110" i="9"/>
  <c r="E110" i="9"/>
  <c r="E113" i="9"/>
  <c r="J110" i="9"/>
  <c r="F110" i="9"/>
  <c r="E109" i="9"/>
  <c r="J112" i="9"/>
  <c r="J122" i="9" s="1"/>
  <c r="J61" i="9"/>
  <c r="F61" i="9"/>
  <c r="E51" i="9"/>
  <c r="E48" i="9"/>
  <c r="G131" i="9"/>
  <c r="E117" i="9"/>
  <c r="I112" i="9"/>
  <c r="I122" i="9" s="1"/>
  <c r="I111" i="9"/>
  <c r="I121" i="9" s="1"/>
  <c r="F57" i="1" s="1"/>
  <c r="H110" i="9"/>
  <c r="E74" i="9"/>
  <c r="I61" i="9"/>
  <c r="E61" i="9"/>
  <c r="E49" i="9"/>
  <c r="E116" i="9"/>
  <c r="E112" i="9"/>
  <c r="G110" i="9"/>
  <c r="H61" i="9"/>
  <c r="E111" i="9"/>
  <c r="E13" i="9"/>
  <c r="H111" i="9"/>
  <c r="H121" i="9" s="1"/>
  <c r="E57" i="1" s="1"/>
  <c r="G61" i="9"/>
  <c r="E50" i="9"/>
  <c r="G146" i="9"/>
  <c r="D18" i="2"/>
  <c r="D21" i="2" s="1"/>
  <c r="E12" i="3"/>
  <c r="I12" i="3"/>
  <c r="E14" i="3"/>
  <c r="I14" i="3"/>
  <c r="E15" i="3"/>
  <c r="I15" i="3"/>
  <c r="E16" i="3"/>
  <c r="I16" i="3"/>
  <c r="E17" i="3"/>
  <c r="I17" i="3"/>
  <c r="E18" i="3"/>
  <c r="I18" i="3"/>
  <c r="E19" i="3"/>
  <c r="I19" i="3"/>
  <c r="E20" i="3"/>
  <c r="I20" i="3"/>
  <c r="E21" i="3"/>
  <c r="I21" i="3"/>
  <c r="E22" i="3"/>
  <c r="I22" i="3"/>
  <c r="E23" i="3"/>
  <c r="I23" i="3"/>
  <c r="B8" i="4"/>
  <c r="B10" i="4"/>
  <c r="D16" i="4" s="1"/>
  <c r="C16" i="4"/>
  <c r="C17" i="4"/>
  <c r="I77" i="10"/>
  <c r="G66" i="11"/>
  <c r="I146" i="9"/>
  <c r="G32" i="4"/>
  <c r="G32" i="1" s="1"/>
  <c r="C32" i="4"/>
  <c r="C32" i="1" s="1"/>
  <c r="F32" i="4"/>
  <c r="F32" i="1" s="1"/>
  <c r="B32" i="4"/>
  <c r="I22" i="6"/>
  <c r="I28" i="6" s="1"/>
  <c r="F15" i="6"/>
  <c r="F11" i="6"/>
  <c r="F7" i="6"/>
  <c r="I27" i="7"/>
  <c r="D41" i="7"/>
  <c r="C29" i="8"/>
  <c r="H28" i="8"/>
  <c r="H33" i="8" s="1"/>
  <c r="G29" i="1" s="1"/>
  <c r="G28" i="8"/>
  <c r="G33" i="8" s="1"/>
  <c r="F29" i="1" s="1"/>
  <c r="D24" i="8"/>
  <c r="C18" i="2"/>
  <c r="H12" i="3"/>
  <c r="B25" i="4"/>
  <c r="E25" i="4"/>
  <c r="G25" i="4"/>
  <c r="F24" i="6"/>
  <c r="G35" i="7"/>
  <c r="D35" i="7" s="1"/>
  <c r="I14" i="7"/>
  <c r="I21" i="7"/>
  <c r="F28" i="8"/>
  <c r="F33" i="8" s="1"/>
  <c r="E29" i="1" s="1"/>
  <c r="C45" i="8"/>
  <c r="D20" i="8"/>
  <c r="J85" i="9"/>
  <c r="J47" i="9"/>
  <c r="F85" i="9"/>
  <c r="F47" i="9"/>
  <c r="E118" i="9"/>
  <c r="E52" i="9"/>
  <c r="E14" i="9"/>
  <c r="I37" i="10"/>
  <c r="I49" i="10" s="1"/>
  <c r="I53" i="10" s="1"/>
  <c r="F15" i="1" s="1"/>
  <c r="I26" i="10"/>
  <c r="I22" i="10"/>
  <c r="I18" i="10"/>
  <c r="I43" i="10"/>
  <c r="I9" i="10"/>
  <c r="I7" i="10"/>
  <c r="I23" i="10"/>
  <c r="I36" i="10"/>
  <c r="I13" i="10"/>
  <c r="I8" i="10"/>
  <c r="H130" i="9"/>
  <c r="H88" i="9"/>
  <c r="H86" i="9"/>
  <c r="H112" i="9" s="1"/>
  <c r="H122" i="9" s="1"/>
  <c r="H84" i="9"/>
  <c r="J50" i="10"/>
  <c r="F50" i="10"/>
  <c r="H49" i="10"/>
  <c r="H53" i="10" s="1"/>
  <c r="E15" i="1" s="1"/>
  <c r="E30" i="10"/>
  <c r="I50" i="10"/>
  <c r="E50" i="10"/>
  <c r="E64" i="10" s="1"/>
  <c r="E48" i="10"/>
  <c r="J49" i="10"/>
  <c r="J53" i="10" s="1"/>
  <c r="G15" i="1" s="1"/>
  <c r="E29" i="10"/>
  <c r="G50" i="10"/>
  <c r="H50" i="10"/>
  <c r="H45" i="10"/>
  <c r="H46" i="10"/>
  <c r="H39" i="11"/>
  <c r="H38" i="11"/>
  <c r="E32" i="10"/>
  <c r="E51" i="10"/>
  <c r="E66" i="10" s="1"/>
  <c r="J43" i="10"/>
  <c r="J36" i="10"/>
  <c r="J23" i="10"/>
  <c r="J13" i="10"/>
  <c r="C48" i="11"/>
  <c r="G80" i="10" l="1"/>
  <c r="G149" i="9"/>
  <c r="E69" i="11"/>
  <c r="E44" i="8"/>
  <c r="D20" i="5"/>
  <c r="D10" i="5" s="1"/>
  <c r="D12" i="5" s="1"/>
  <c r="D13" i="5" s="1"/>
  <c r="D8" i="1" s="1"/>
  <c r="E50" i="7"/>
  <c r="F13" i="7" s="1"/>
  <c r="F51" i="3"/>
  <c r="F34" i="3" s="1"/>
  <c r="F36" i="6"/>
  <c r="H54" i="10"/>
  <c r="E14" i="1" s="1"/>
  <c r="F62" i="9"/>
  <c r="F72" i="9"/>
  <c r="F74" i="9" s="1"/>
  <c r="F76" i="9" s="1"/>
  <c r="F68" i="9"/>
  <c r="F98" i="9"/>
  <c r="F92" i="9"/>
  <c r="F44" i="9"/>
  <c r="F106" i="9"/>
  <c r="F32" i="9"/>
  <c r="F7" i="9"/>
  <c r="D46" i="8"/>
  <c r="F10" i="9"/>
  <c r="E52" i="3"/>
  <c r="F22" i="9"/>
  <c r="G42" i="10"/>
  <c r="G25" i="10"/>
  <c r="G17" i="10"/>
  <c r="G58" i="10"/>
  <c r="G47" i="10"/>
  <c r="G57" i="10"/>
  <c r="G11" i="10"/>
  <c r="D12" i="8"/>
  <c r="D8" i="8"/>
  <c r="D15" i="8"/>
  <c r="D11" i="8"/>
  <c r="C39" i="8"/>
  <c r="D22" i="8"/>
  <c r="D9" i="8"/>
  <c r="F43" i="10"/>
  <c r="F36" i="10"/>
  <c r="F23" i="10"/>
  <c r="F13" i="10"/>
  <c r="F37" i="10"/>
  <c r="F49" i="10" s="1"/>
  <c r="F53" i="10" s="1"/>
  <c r="F26" i="10"/>
  <c r="F18" i="10"/>
  <c r="F9" i="10"/>
  <c r="F7" i="10"/>
  <c r="E78" i="10"/>
  <c r="F6" i="10"/>
  <c r="F22" i="10"/>
  <c r="F8" i="10"/>
  <c r="H24" i="3"/>
  <c r="H28" i="7"/>
  <c r="H34" i="7" s="1"/>
  <c r="F24" i="1" s="1"/>
  <c r="G54" i="10"/>
  <c r="D14" i="1" s="1"/>
  <c r="J54" i="10"/>
  <c r="G14" i="1" s="1"/>
  <c r="J77" i="10"/>
  <c r="H66" i="11"/>
  <c r="J146" i="9"/>
  <c r="G31" i="1"/>
  <c r="B18" i="2"/>
  <c r="H32" i="1"/>
  <c r="I57" i="10"/>
  <c r="I58" i="10"/>
  <c r="I11" i="10"/>
  <c r="I42" i="10"/>
  <c r="I47" i="10"/>
  <c r="I48" i="10" s="1"/>
  <c r="I52" i="10" s="1"/>
  <c r="I17" i="10"/>
  <c r="I25" i="10"/>
  <c r="E24" i="3"/>
  <c r="G106" i="9"/>
  <c r="G98" i="9"/>
  <c r="G92" i="9"/>
  <c r="G32" i="9"/>
  <c r="G7" i="9"/>
  <c r="E46" i="8"/>
  <c r="E19" i="8" s="1"/>
  <c r="G68" i="9"/>
  <c r="G22" i="9"/>
  <c r="G48" i="9" s="1"/>
  <c r="G53" i="9" s="1"/>
  <c r="D47" i="1" s="1"/>
  <c r="G44" i="9"/>
  <c r="G72" i="9"/>
  <c r="G74" i="9" s="1"/>
  <c r="G76" i="9" s="1"/>
  <c r="D54" i="1" s="1"/>
  <c r="F52" i="3"/>
  <c r="F36" i="3" s="1"/>
  <c r="G10" i="9"/>
  <c r="E64" i="9"/>
  <c r="F120" i="9"/>
  <c r="I120" i="9"/>
  <c r="F132" i="9"/>
  <c r="E134" i="9"/>
  <c r="F42" i="10"/>
  <c r="F25" i="10"/>
  <c r="F17" i="10"/>
  <c r="F57" i="10"/>
  <c r="F47" i="10"/>
  <c r="F48" i="10" s="1"/>
  <c r="F52" i="10" s="1"/>
  <c r="F11" i="10"/>
  <c r="F29" i="10" s="1"/>
  <c r="F33" i="10" s="1"/>
  <c r="F58" i="10"/>
  <c r="F72" i="11"/>
  <c r="H83" i="10"/>
  <c r="H14" i="10" s="1"/>
  <c r="H152" i="9"/>
  <c r="F47" i="7"/>
  <c r="G33" i="6"/>
  <c r="E21" i="5"/>
  <c r="F41" i="8"/>
  <c r="G48" i="3"/>
  <c r="E63" i="1"/>
  <c r="G152" i="9"/>
  <c r="E152" i="9" s="1"/>
  <c r="G83" i="10"/>
  <c r="E41" i="8"/>
  <c r="E47" i="7"/>
  <c r="B18" i="4"/>
  <c r="B21" i="5" s="1"/>
  <c r="F48" i="3"/>
  <c r="D21" i="5"/>
  <c r="F33" i="6"/>
  <c r="D33" i="6" s="1"/>
  <c r="D63" i="1"/>
  <c r="H63" i="1" s="1"/>
  <c r="E72" i="11"/>
  <c r="C72" i="11" s="1"/>
  <c r="I98" i="9"/>
  <c r="I92" i="9"/>
  <c r="I44" i="9"/>
  <c r="I32" i="9"/>
  <c r="I22" i="9"/>
  <c r="I48" i="9" s="1"/>
  <c r="I53" i="9" s="1"/>
  <c r="F47" i="1" s="1"/>
  <c r="I72" i="9"/>
  <c r="I74" i="9" s="1"/>
  <c r="I76" i="9" s="1"/>
  <c r="F54" i="1" s="1"/>
  <c r="I68" i="9"/>
  <c r="I106" i="9"/>
  <c r="I10" i="9"/>
  <c r="H52" i="3"/>
  <c r="H36" i="3" s="1"/>
  <c r="I7" i="9"/>
  <c r="G46" i="8"/>
  <c r="G19" i="8" s="1"/>
  <c r="D69" i="11"/>
  <c r="F149" i="9"/>
  <c r="F80" i="10"/>
  <c r="D44" i="8"/>
  <c r="C20" i="5"/>
  <c r="C10" i="5" s="1"/>
  <c r="C12" i="5" s="1"/>
  <c r="C13" i="5" s="1"/>
  <c r="C8" i="1" s="1"/>
  <c r="D50" i="7"/>
  <c r="E36" i="6"/>
  <c r="E51" i="3"/>
  <c r="G132" i="9"/>
  <c r="C25" i="1"/>
  <c r="E34" i="1"/>
  <c r="E33" i="1"/>
  <c r="G150" i="9"/>
  <c r="F32" i="6"/>
  <c r="D17" i="5"/>
  <c r="D11" i="5" s="1"/>
  <c r="B14" i="4"/>
  <c r="B17" i="5" s="1"/>
  <c r="G81" i="10"/>
  <c r="E46" i="7"/>
  <c r="E40" i="8"/>
  <c r="F47" i="3"/>
  <c r="D61" i="1"/>
  <c r="H61" i="1" s="1"/>
  <c r="I54" i="10"/>
  <c r="F14" i="1" s="1"/>
  <c r="F54" i="10"/>
  <c r="G16" i="4"/>
  <c r="F16" i="4"/>
  <c r="E16" i="4"/>
  <c r="I24" i="3"/>
  <c r="H62" i="9"/>
  <c r="J62" i="9"/>
  <c r="H146" i="9"/>
  <c r="H77" i="10"/>
  <c r="F66" i="11"/>
  <c r="C66" i="11" s="1"/>
  <c r="E31" i="1"/>
  <c r="F79" i="10"/>
  <c r="D68" i="11"/>
  <c r="F148" i="9"/>
  <c r="B17" i="4"/>
  <c r="G62" i="9"/>
  <c r="G120" i="9"/>
  <c r="I62" i="9"/>
  <c r="H120" i="9"/>
  <c r="J120" i="9"/>
  <c r="H132" i="9"/>
  <c r="J132" i="9"/>
  <c r="I132" i="9"/>
  <c r="E28" i="7"/>
  <c r="E34" i="7" s="1"/>
  <c r="C21" i="2"/>
  <c r="D31" i="6"/>
  <c r="E9" i="6"/>
  <c r="E19" i="6" s="1"/>
  <c r="E25" i="6" s="1"/>
  <c r="E11" i="6"/>
  <c r="E20" i="6" s="1"/>
  <c r="E26" i="6" s="1"/>
  <c r="E15" i="6"/>
  <c r="E17" i="6" s="1"/>
  <c r="E23" i="6" s="1"/>
  <c r="E7" i="6"/>
  <c r="E147" i="9"/>
  <c r="F107" i="9"/>
  <c r="F99" i="9"/>
  <c r="F82" i="9"/>
  <c r="F70" i="9"/>
  <c r="F130" i="9"/>
  <c r="F86" i="9"/>
  <c r="F112" i="9" s="1"/>
  <c r="F122" i="9" s="1"/>
  <c r="E122" i="9" s="1"/>
  <c r="F59" i="9"/>
  <c r="F45" i="9"/>
  <c r="F39" i="9"/>
  <c r="F27" i="9"/>
  <c r="F25" i="9"/>
  <c r="F23" i="9"/>
  <c r="F60" i="9"/>
  <c r="F88" i="9"/>
  <c r="F36" i="9"/>
  <c r="F9" i="9"/>
  <c r="F69" i="9"/>
  <c r="F8" i="9"/>
  <c r="F84" i="9"/>
  <c r="F111" i="9" s="1"/>
  <c r="F121" i="9" s="1"/>
  <c r="E68" i="11"/>
  <c r="G79" i="10"/>
  <c r="G148" i="9"/>
  <c r="G100" i="9" s="1"/>
  <c r="C35" i="1" l="1"/>
  <c r="H35" i="1" s="1"/>
  <c r="D39" i="11"/>
  <c r="D38" i="11"/>
  <c r="C68" i="11"/>
  <c r="H69" i="11"/>
  <c r="J80" i="10"/>
  <c r="J149" i="9"/>
  <c r="H44" i="8"/>
  <c r="G20" i="5"/>
  <c r="G10" i="5" s="1"/>
  <c r="G12" i="5" s="1"/>
  <c r="G13" i="5" s="1"/>
  <c r="G8" i="1" s="1"/>
  <c r="H50" i="7"/>
  <c r="I13" i="7" s="1"/>
  <c r="I36" i="6"/>
  <c r="I51" i="3"/>
  <c r="I34" i="3" s="1"/>
  <c r="C46" i="7"/>
  <c r="F10" i="7"/>
  <c r="F16" i="6"/>
  <c r="F17" i="6" s="1"/>
  <c r="F23" i="6" s="1"/>
  <c r="D38" i="1" s="1"/>
  <c r="F12" i="6"/>
  <c r="F20" i="6" s="1"/>
  <c r="F26" i="6" s="1"/>
  <c r="D36" i="1" s="1"/>
  <c r="D37" i="1" s="1"/>
  <c r="F8" i="6"/>
  <c r="F22" i="6" s="1"/>
  <c r="F28" i="6" s="1"/>
  <c r="D32" i="6"/>
  <c r="F10" i="6"/>
  <c r="F19" i="6" s="1"/>
  <c r="F25" i="6" s="1"/>
  <c r="D35" i="1" s="1"/>
  <c r="E13" i="7"/>
  <c r="F93" i="9"/>
  <c r="F89" i="9"/>
  <c r="F113" i="9" s="1"/>
  <c r="F123" i="9" s="1"/>
  <c r="F37" i="9"/>
  <c r="F33" i="9"/>
  <c r="F51" i="9" s="1"/>
  <c r="F56" i="9" s="1"/>
  <c r="F29" i="9"/>
  <c r="F73" i="9"/>
  <c r="F108" i="9"/>
  <c r="F83" i="9"/>
  <c r="F11" i="9"/>
  <c r="F71" i="9"/>
  <c r="F75" i="9" s="1"/>
  <c r="F77" i="9" s="1"/>
  <c r="F46" i="9"/>
  <c r="E36" i="3"/>
  <c r="C57" i="1"/>
  <c r="E22" i="6"/>
  <c r="E28" i="6" s="1"/>
  <c r="E79" i="10"/>
  <c r="H58" i="10"/>
  <c r="H47" i="10"/>
  <c r="H48" i="10" s="1"/>
  <c r="H52" i="10" s="1"/>
  <c r="H57" i="10"/>
  <c r="H42" i="10"/>
  <c r="H25" i="10"/>
  <c r="H17" i="10"/>
  <c r="H11" i="10"/>
  <c r="G38" i="10"/>
  <c r="E81" i="10"/>
  <c r="G45" i="10"/>
  <c r="G46" i="10"/>
  <c r="G48" i="10" s="1"/>
  <c r="G52" i="10" s="1"/>
  <c r="E52" i="10" s="1"/>
  <c r="G47" i="9"/>
  <c r="G85" i="9"/>
  <c r="G111" i="9" s="1"/>
  <c r="G121" i="9" s="1"/>
  <c r="D57" i="1" s="1"/>
  <c r="E150" i="9"/>
  <c r="G26" i="9"/>
  <c r="B16" i="4"/>
  <c r="B20" i="5" s="1"/>
  <c r="F21" i="7"/>
  <c r="F30" i="7" s="1"/>
  <c r="F36" i="7" s="1"/>
  <c r="F11" i="7"/>
  <c r="F14" i="7"/>
  <c r="C47" i="7"/>
  <c r="F18" i="8"/>
  <c r="F25" i="8"/>
  <c r="C13" i="1"/>
  <c r="J72" i="9"/>
  <c r="J74" i="9" s="1"/>
  <c r="J76" i="9" s="1"/>
  <c r="G54" i="1" s="1"/>
  <c r="J68" i="9"/>
  <c r="J106" i="9"/>
  <c r="J98" i="9"/>
  <c r="J22" i="9"/>
  <c r="J48" i="9" s="1"/>
  <c r="J53" i="9" s="1"/>
  <c r="G47" i="1" s="1"/>
  <c r="J7" i="9"/>
  <c r="H46" i="8"/>
  <c r="H19" i="8" s="1"/>
  <c r="J92" i="9"/>
  <c r="J32" i="9"/>
  <c r="J10" i="9"/>
  <c r="I52" i="3"/>
  <c r="I36" i="3" s="1"/>
  <c r="J44" i="9"/>
  <c r="F51" i="10"/>
  <c r="E62" i="9"/>
  <c r="F31" i="7"/>
  <c r="F37" i="7" s="1"/>
  <c r="G108" i="9"/>
  <c r="G37" i="9"/>
  <c r="G33" i="9"/>
  <c r="G29" i="9"/>
  <c r="G93" i="9"/>
  <c r="G89" i="9"/>
  <c r="G113" i="9" s="1"/>
  <c r="G123" i="9" s="1"/>
  <c r="D59" i="1" s="1"/>
  <c r="G83" i="9"/>
  <c r="G73" i="9"/>
  <c r="G75" i="9" s="1"/>
  <c r="G77" i="9" s="1"/>
  <c r="D53" i="1" s="1"/>
  <c r="G71" i="9"/>
  <c r="G11" i="9"/>
  <c r="G13" i="9" s="1"/>
  <c r="G15" i="9" s="1"/>
  <c r="D44" i="1" s="1"/>
  <c r="G46" i="9"/>
  <c r="E38" i="11"/>
  <c r="E39" i="11"/>
  <c r="D23" i="6"/>
  <c r="C38" i="1"/>
  <c r="C24" i="2"/>
  <c r="B21" i="2"/>
  <c r="H106" i="9"/>
  <c r="H98" i="9"/>
  <c r="H92" i="9"/>
  <c r="H44" i="9"/>
  <c r="H32" i="9"/>
  <c r="H22" i="9"/>
  <c r="H48" i="9" s="1"/>
  <c r="H53" i="9" s="1"/>
  <c r="E47" i="1" s="1"/>
  <c r="H68" i="9"/>
  <c r="H10" i="9"/>
  <c r="G52" i="3"/>
  <c r="G36" i="3" s="1"/>
  <c r="H72" i="9"/>
  <c r="H74" i="9" s="1"/>
  <c r="H76" i="9" s="1"/>
  <c r="E54" i="1" s="1"/>
  <c r="F46" i="8"/>
  <c r="F19" i="8" s="1"/>
  <c r="H7" i="9"/>
  <c r="H80" i="10"/>
  <c r="F69" i="11"/>
  <c r="C69" i="11" s="1"/>
  <c r="H149" i="9"/>
  <c r="F50" i="7"/>
  <c r="G13" i="7" s="1"/>
  <c r="G36" i="6"/>
  <c r="G51" i="3"/>
  <c r="G34" i="3" s="1"/>
  <c r="F44" i="8"/>
  <c r="E20" i="5"/>
  <c r="E10" i="5" s="1"/>
  <c r="E12" i="5" s="1"/>
  <c r="E13" i="5" s="1"/>
  <c r="E8" i="1" s="1"/>
  <c r="E54" i="10"/>
  <c r="C14" i="1"/>
  <c r="H14" i="1" s="1"/>
  <c r="D47" i="3"/>
  <c r="F10" i="3"/>
  <c r="F17" i="3"/>
  <c r="F24" i="3" s="1"/>
  <c r="F30" i="3"/>
  <c r="E34" i="3"/>
  <c r="D16" i="8"/>
  <c r="D30" i="8" s="1"/>
  <c r="D35" i="8" s="1"/>
  <c r="D23" i="8"/>
  <c r="D29" i="8" s="1"/>
  <c r="D34" i="8" s="1"/>
  <c r="C44" i="8"/>
  <c r="E18" i="8"/>
  <c r="E25" i="8"/>
  <c r="C41" i="8"/>
  <c r="E132" i="9"/>
  <c r="G51" i="9"/>
  <c r="G56" i="9" s="1"/>
  <c r="D50" i="1" s="1"/>
  <c r="C15" i="1"/>
  <c r="D19" i="8"/>
  <c r="E76" i="9"/>
  <c r="C54" i="1"/>
  <c r="G59" i="10"/>
  <c r="G62" i="10" s="1"/>
  <c r="G64" i="10" s="1"/>
  <c r="G27" i="10"/>
  <c r="G44" i="10"/>
  <c r="G20" i="10"/>
  <c r="G30" i="10" s="1"/>
  <c r="G61" i="10"/>
  <c r="C36" i="1"/>
  <c r="D26" i="6"/>
  <c r="C24" i="1"/>
  <c r="E148" i="9"/>
  <c r="F100" i="9"/>
  <c r="H31" i="1"/>
  <c r="G69" i="11"/>
  <c r="I149" i="9"/>
  <c r="I80" i="10"/>
  <c r="H36" i="6"/>
  <c r="F20" i="5"/>
  <c r="F10" i="5" s="1"/>
  <c r="F12" i="5" s="1"/>
  <c r="F13" i="5" s="1"/>
  <c r="F8" i="1" s="1"/>
  <c r="H8" i="1" s="1"/>
  <c r="G50" i="7"/>
  <c r="H13" i="7" s="1"/>
  <c r="H51" i="3"/>
  <c r="H34" i="3" s="1"/>
  <c r="G44" i="8"/>
  <c r="E10" i="8"/>
  <c r="E24" i="8"/>
  <c r="E17" i="8"/>
  <c r="C40" i="8"/>
  <c r="D36" i="6"/>
  <c r="F59" i="10"/>
  <c r="F27" i="10"/>
  <c r="F31" i="10" s="1"/>
  <c r="F34" i="10" s="1"/>
  <c r="F44" i="10"/>
  <c r="F20" i="10"/>
  <c r="F32" i="10" s="1"/>
  <c r="F66" i="10" s="1"/>
  <c r="F61" i="10"/>
  <c r="F62" i="10" s="1"/>
  <c r="F64" i="10" s="1"/>
  <c r="F23" i="3"/>
  <c r="D48" i="3"/>
  <c r="F37" i="3"/>
  <c r="F35" i="3"/>
  <c r="E83" i="10"/>
  <c r="G14" i="10"/>
  <c r="G29" i="10" s="1"/>
  <c r="G33" i="10" s="1"/>
  <c r="E77" i="10"/>
  <c r="I29" i="10"/>
  <c r="I33" i="10" s="1"/>
  <c r="F13" i="1" s="1"/>
  <c r="J42" i="10"/>
  <c r="J25" i="10"/>
  <c r="J17" i="10"/>
  <c r="J58" i="10"/>
  <c r="J11" i="10"/>
  <c r="J57" i="10"/>
  <c r="J47" i="10"/>
  <c r="J48" i="10" s="1"/>
  <c r="J52" i="10" s="1"/>
  <c r="D28" i="8"/>
  <c r="D33" i="8" s="1"/>
  <c r="G31" i="10"/>
  <c r="G34" i="10" s="1"/>
  <c r="F48" i="9"/>
  <c r="F53" i="9" s="1"/>
  <c r="F14" i="9"/>
  <c r="F16" i="9" s="1"/>
  <c r="E146" i="9"/>
  <c r="E23" i="8"/>
  <c r="E29" i="8" s="1"/>
  <c r="E34" i="8" s="1"/>
  <c r="D30" i="1" s="1"/>
  <c r="E16" i="8"/>
  <c r="F13" i="9"/>
  <c r="F15" i="9" s="1"/>
  <c r="G23" i="3"/>
  <c r="G35" i="3"/>
  <c r="G37" i="3"/>
  <c r="G11" i="7"/>
  <c r="G14" i="7"/>
  <c r="G21" i="7"/>
  <c r="G30" i="7" s="1"/>
  <c r="G36" i="7" s="1"/>
  <c r="E25" i="1" s="1"/>
  <c r="E120" i="9"/>
  <c r="D13" i="1" l="1"/>
  <c r="D61" i="11"/>
  <c r="F142" i="9"/>
  <c r="C11" i="1"/>
  <c r="C34" i="8"/>
  <c r="C30" i="1"/>
  <c r="H30" i="1" s="1"/>
  <c r="C26" i="1"/>
  <c r="C53" i="1"/>
  <c r="C50" i="1"/>
  <c r="C44" i="1"/>
  <c r="C43" i="1"/>
  <c r="C33" i="8"/>
  <c r="C29" i="1"/>
  <c r="H29" i="1" s="1"/>
  <c r="E28" i="8"/>
  <c r="E33" i="8" s="1"/>
  <c r="D29" i="1" s="1"/>
  <c r="E30" i="8"/>
  <c r="E35" i="8" s="1"/>
  <c r="D26" i="1" s="1"/>
  <c r="H61" i="10"/>
  <c r="H44" i="10"/>
  <c r="H20" i="10"/>
  <c r="H27" i="10"/>
  <c r="H31" i="10" s="1"/>
  <c r="H34" i="10" s="1"/>
  <c r="H59" i="10"/>
  <c r="G14" i="9"/>
  <c r="G16" i="9" s="1"/>
  <c r="D43" i="1" s="1"/>
  <c r="E121" i="9"/>
  <c r="C59" i="1"/>
  <c r="E31" i="7"/>
  <c r="E37" i="7" s="1"/>
  <c r="E32" i="7"/>
  <c r="E38" i="7" s="1"/>
  <c r="F30" i="10"/>
  <c r="E53" i="9"/>
  <c r="C47" i="1"/>
  <c r="H47" i="1" s="1"/>
  <c r="G16" i="8"/>
  <c r="G30" i="8" s="1"/>
  <c r="G35" i="8" s="1"/>
  <c r="F26" i="1" s="1"/>
  <c r="G23" i="8"/>
  <c r="G29" i="8" s="1"/>
  <c r="G34" i="8" s="1"/>
  <c r="F30" i="1" s="1"/>
  <c r="H54" i="1"/>
  <c r="E38" i="3"/>
  <c r="E40" i="3" s="1"/>
  <c r="E42" i="3" s="1"/>
  <c r="G31" i="7"/>
  <c r="G37" i="7" s="1"/>
  <c r="G24" i="2"/>
  <c r="F24" i="2"/>
  <c r="E24" i="2"/>
  <c r="B24" i="2" s="1"/>
  <c r="D24" i="2"/>
  <c r="J75" i="9"/>
  <c r="J77" i="9" s="1"/>
  <c r="G53" i="1" s="1"/>
  <c r="D25" i="1"/>
  <c r="H25" i="1" s="1"/>
  <c r="D36" i="7"/>
  <c r="G49" i="10"/>
  <c r="G53" i="10" s="1"/>
  <c r="G51" i="10"/>
  <c r="H51" i="10"/>
  <c r="D33" i="1"/>
  <c r="D34" i="1"/>
  <c r="I38" i="3"/>
  <c r="I40" i="3" s="1"/>
  <c r="I42" i="3" s="1"/>
  <c r="H16" i="8"/>
  <c r="H30" i="8" s="1"/>
  <c r="H35" i="8" s="1"/>
  <c r="G26" i="1" s="1"/>
  <c r="H23" i="8"/>
  <c r="H29" i="8" s="1"/>
  <c r="H34" i="8" s="1"/>
  <c r="G30" i="1" s="1"/>
  <c r="D25" i="6"/>
  <c r="G28" i="7"/>
  <c r="G34" i="7" s="1"/>
  <c r="E24" i="1" s="1"/>
  <c r="G32" i="7"/>
  <c r="G38" i="7" s="1"/>
  <c r="E61" i="11"/>
  <c r="G142" i="9"/>
  <c r="D11" i="1"/>
  <c r="H40" i="3"/>
  <c r="H42" i="3" s="1"/>
  <c r="H38" i="3"/>
  <c r="I61" i="10"/>
  <c r="I44" i="10"/>
  <c r="I51" i="10" s="1"/>
  <c r="I20" i="10"/>
  <c r="I27" i="10"/>
  <c r="I31" i="10" s="1"/>
  <c r="I34" i="10" s="1"/>
  <c r="I59" i="10"/>
  <c r="I62" i="10" s="1"/>
  <c r="I64" i="10" s="1"/>
  <c r="G32" i="10"/>
  <c r="D51" i="3"/>
  <c r="F16" i="8"/>
  <c r="F30" i="8" s="1"/>
  <c r="F35" i="8" s="1"/>
  <c r="E26" i="1" s="1"/>
  <c r="F23" i="8"/>
  <c r="F29" i="8" s="1"/>
  <c r="F34" i="8" s="1"/>
  <c r="E30" i="1" s="1"/>
  <c r="H108" i="9"/>
  <c r="H93" i="9"/>
  <c r="H89" i="9"/>
  <c r="H113" i="9" s="1"/>
  <c r="H123" i="9" s="1"/>
  <c r="E59" i="1" s="1"/>
  <c r="H83" i="9"/>
  <c r="H73" i="9"/>
  <c r="H71" i="9"/>
  <c r="H75" i="9" s="1"/>
  <c r="H77" i="9" s="1"/>
  <c r="H46" i="9"/>
  <c r="H29" i="9"/>
  <c r="H33" i="9"/>
  <c r="H51" i="9" s="1"/>
  <c r="H56" i="9" s="1"/>
  <c r="H11" i="9"/>
  <c r="H13" i="9" s="1"/>
  <c r="H15" i="9" s="1"/>
  <c r="H37" i="9"/>
  <c r="D71" i="11"/>
  <c r="F151" i="9"/>
  <c r="F82" i="10"/>
  <c r="C62" i="1"/>
  <c r="H29" i="10"/>
  <c r="H33" i="10" s="1"/>
  <c r="E13" i="1" s="1"/>
  <c r="H62" i="10"/>
  <c r="H64" i="10" s="1"/>
  <c r="D28" i="6"/>
  <c r="E149" i="9"/>
  <c r="J93" i="9"/>
  <c r="J89" i="9"/>
  <c r="J113" i="9" s="1"/>
  <c r="J123" i="9" s="1"/>
  <c r="G59" i="1" s="1"/>
  <c r="J83" i="9"/>
  <c r="J108" i="9"/>
  <c r="J37" i="9"/>
  <c r="J33" i="9"/>
  <c r="J51" i="9" s="1"/>
  <c r="J56" i="9" s="1"/>
  <c r="G50" i="1" s="1"/>
  <c r="J29" i="9"/>
  <c r="J71" i="9"/>
  <c r="J46" i="9"/>
  <c r="J11" i="9"/>
  <c r="J14" i="9" s="1"/>
  <c r="J16" i="9" s="1"/>
  <c r="G43" i="1" s="1"/>
  <c r="J73" i="9"/>
  <c r="G24" i="3"/>
  <c r="G40" i="3"/>
  <c r="G42" i="3" s="1"/>
  <c r="J29" i="10"/>
  <c r="J33" i="10" s="1"/>
  <c r="G13" i="1" s="1"/>
  <c r="H13" i="1" s="1"/>
  <c r="E80" i="10"/>
  <c r="H31" i="7"/>
  <c r="H37" i="7" s="1"/>
  <c r="H32" i="7"/>
  <c r="H38" i="7" s="1"/>
  <c r="I93" i="9"/>
  <c r="I89" i="9"/>
  <c r="I113" i="9" s="1"/>
  <c r="I123" i="9" s="1"/>
  <c r="F59" i="1" s="1"/>
  <c r="I83" i="9"/>
  <c r="I46" i="9"/>
  <c r="I108" i="9"/>
  <c r="I33" i="9"/>
  <c r="I51" i="9" s="1"/>
  <c r="I56" i="9" s="1"/>
  <c r="F50" i="1" s="1"/>
  <c r="I29" i="9"/>
  <c r="I71" i="9"/>
  <c r="I37" i="9"/>
  <c r="I11" i="9"/>
  <c r="I73" i="9"/>
  <c r="H36" i="1"/>
  <c r="C37" i="1"/>
  <c r="C46" i="8"/>
  <c r="F38" i="3"/>
  <c r="F40" i="3" s="1"/>
  <c r="F42" i="3" s="1"/>
  <c r="G38" i="3"/>
  <c r="H38" i="1"/>
  <c r="H30" i="10"/>
  <c r="H57" i="1"/>
  <c r="D52" i="3"/>
  <c r="C50" i="7"/>
  <c r="F28" i="7"/>
  <c r="F34" i="7" s="1"/>
  <c r="F32" i="7"/>
  <c r="F38" i="7" s="1"/>
  <c r="I31" i="7"/>
  <c r="I37" i="7" s="1"/>
  <c r="I32" i="7"/>
  <c r="I38" i="7" s="1"/>
  <c r="J59" i="10"/>
  <c r="J62" i="10" s="1"/>
  <c r="J64" i="10" s="1"/>
  <c r="J27" i="10"/>
  <c r="J31" i="10" s="1"/>
  <c r="J34" i="10" s="1"/>
  <c r="J20" i="10"/>
  <c r="J32" i="10" s="1"/>
  <c r="J61" i="10"/>
  <c r="J44" i="10"/>
  <c r="J51" i="10" s="1"/>
  <c r="H61" i="11" l="1"/>
  <c r="J142" i="9"/>
  <c r="G11" i="1"/>
  <c r="E65" i="11"/>
  <c r="G145" i="9"/>
  <c r="G75" i="10"/>
  <c r="E51" i="7"/>
  <c r="D23" i="1"/>
  <c r="E44" i="1"/>
  <c r="F61" i="11"/>
  <c r="C61" i="11" s="1"/>
  <c r="H142" i="9"/>
  <c r="E11" i="1"/>
  <c r="E34" i="10"/>
  <c r="E50" i="1"/>
  <c r="H50" i="1" s="1"/>
  <c r="E56" i="9"/>
  <c r="E53" i="1"/>
  <c r="E77" i="9"/>
  <c r="J66" i="10"/>
  <c r="I13" i="9"/>
  <c r="I15" i="9" s="1"/>
  <c r="F44" i="1" s="1"/>
  <c r="I14" i="9"/>
  <c r="I16" i="9" s="1"/>
  <c r="F43" i="1" s="1"/>
  <c r="I30" i="10"/>
  <c r="I32" i="10"/>
  <c r="I66" i="10" s="1"/>
  <c r="J145" i="9"/>
  <c r="H65" i="11"/>
  <c r="J75" i="10"/>
  <c r="H51" i="7"/>
  <c r="G23" i="1"/>
  <c r="H14" i="9"/>
  <c r="H16" i="9" s="1"/>
  <c r="E43" i="1" s="1"/>
  <c r="J30" i="10"/>
  <c r="H53" i="1"/>
  <c r="H32" i="10"/>
  <c r="H66" i="10" s="1"/>
  <c r="G66" i="10"/>
  <c r="D15" i="1"/>
  <c r="H15" i="1" s="1"/>
  <c r="E53" i="10"/>
  <c r="D64" i="11"/>
  <c r="C22" i="5"/>
  <c r="D38" i="7"/>
  <c r="B22" i="5" s="1"/>
  <c r="C20" i="1"/>
  <c r="E123" i="9"/>
  <c r="E64" i="11"/>
  <c r="D22" i="5"/>
  <c r="D20" i="1"/>
  <c r="I75" i="9"/>
  <c r="I77" i="9" s="1"/>
  <c r="F53" i="1" s="1"/>
  <c r="F22" i="5"/>
  <c r="G64" i="11"/>
  <c r="F20" i="1"/>
  <c r="F64" i="11"/>
  <c r="E22" i="5"/>
  <c r="E20" i="1"/>
  <c r="J13" i="9"/>
  <c r="J15" i="9" s="1"/>
  <c r="G44" i="1" s="1"/>
  <c r="H71" i="11"/>
  <c r="J82" i="10"/>
  <c r="J151" i="9"/>
  <c r="J102" i="9" s="1"/>
  <c r="J116" i="9" s="1"/>
  <c r="J126" i="9" s="1"/>
  <c r="G62" i="1"/>
  <c r="D37" i="7"/>
  <c r="H43" i="1"/>
  <c r="H26" i="1"/>
  <c r="E33" i="10"/>
  <c r="F102" i="9"/>
  <c r="F116" i="9" s="1"/>
  <c r="F126" i="9" s="1"/>
  <c r="G65" i="11"/>
  <c r="I75" i="10"/>
  <c r="I145" i="9"/>
  <c r="G51" i="7"/>
  <c r="F23" i="1"/>
  <c r="G104" i="9"/>
  <c r="G95" i="9"/>
  <c r="H82" i="10"/>
  <c r="F71" i="11"/>
  <c r="H151" i="9"/>
  <c r="H102" i="9" s="1"/>
  <c r="H116" i="9" s="1"/>
  <c r="H126" i="9" s="1"/>
  <c r="E62" i="1"/>
  <c r="F145" i="9"/>
  <c r="F75" i="10"/>
  <c r="E75" i="10" s="1"/>
  <c r="D65" i="11"/>
  <c r="D51" i="7"/>
  <c r="D42" i="3"/>
  <c r="C23" i="1"/>
  <c r="H23" i="1" s="1"/>
  <c r="H59" i="1"/>
  <c r="H44" i="1"/>
  <c r="C33" i="1"/>
  <c r="H33" i="1" s="1"/>
  <c r="H37" i="1"/>
  <c r="C34" i="1"/>
  <c r="H34" i="1" s="1"/>
  <c r="F65" i="11"/>
  <c r="H75" i="10"/>
  <c r="H145" i="9"/>
  <c r="F51" i="7"/>
  <c r="E23" i="1"/>
  <c r="G71" i="11"/>
  <c r="I82" i="10"/>
  <c r="I151" i="9"/>
  <c r="I102" i="9" s="1"/>
  <c r="I116" i="9" s="1"/>
  <c r="I126" i="9" s="1"/>
  <c r="F62" i="1"/>
  <c r="H64" i="11"/>
  <c r="G22" i="5"/>
  <c r="G20" i="1"/>
  <c r="D24" i="1"/>
  <c r="H24" i="1" s="1"/>
  <c r="D34" i="7"/>
  <c r="G61" i="11"/>
  <c r="I142" i="9"/>
  <c r="F11" i="1"/>
  <c r="H11" i="1" s="1"/>
  <c r="E71" i="11"/>
  <c r="C71" i="11" s="1"/>
  <c r="G82" i="10"/>
  <c r="E82" i="10" s="1"/>
  <c r="G151" i="9"/>
  <c r="G102" i="9" s="1"/>
  <c r="G116" i="9" s="1"/>
  <c r="G126" i="9" s="1"/>
  <c r="D62" i="1"/>
  <c r="H62" i="1" s="1"/>
  <c r="E16" i="9"/>
  <c r="C35" i="8"/>
  <c r="F95" i="9"/>
  <c r="F104" i="9"/>
  <c r="H35" i="11" l="1"/>
  <c r="H46" i="11" s="1"/>
  <c r="H42" i="11"/>
  <c r="H22" i="11"/>
  <c r="H25" i="11" s="1"/>
  <c r="H13" i="11"/>
  <c r="H16" i="11" s="1"/>
  <c r="H105" i="9"/>
  <c r="H28" i="9"/>
  <c r="H49" i="9" s="1"/>
  <c r="H54" i="9" s="1"/>
  <c r="E49" i="1" s="1"/>
  <c r="H101" i="9"/>
  <c r="H35" i="9"/>
  <c r="H91" i="9"/>
  <c r="H114" i="9" s="1"/>
  <c r="H124" i="9" s="1"/>
  <c r="E60" i="1" s="1"/>
  <c r="H81" i="9"/>
  <c r="H20" i="9"/>
  <c r="H21" i="9"/>
  <c r="H43" i="9"/>
  <c r="H50" i="9" s="1"/>
  <c r="H55" i="9" s="1"/>
  <c r="E48" i="1" s="1"/>
  <c r="G22" i="11"/>
  <c r="G25" i="11" s="1"/>
  <c r="G35" i="11"/>
  <c r="G42" i="11"/>
  <c r="G13" i="11"/>
  <c r="G16" i="11" s="1"/>
  <c r="E42" i="11"/>
  <c r="E13" i="11"/>
  <c r="E16" i="11" s="1"/>
  <c r="E22" i="11"/>
  <c r="E25" i="11" s="1"/>
  <c r="E35" i="11"/>
  <c r="E46" i="11" s="1"/>
  <c r="C51" i="7"/>
  <c r="E126" i="9"/>
  <c r="F13" i="11"/>
  <c r="F16" i="11" s="1"/>
  <c r="F22" i="11"/>
  <c r="F25" i="11" s="1"/>
  <c r="F35" i="11"/>
  <c r="F42" i="11"/>
  <c r="D35" i="11"/>
  <c r="D46" i="11" s="1"/>
  <c r="D42" i="11"/>
  <c r="C64" i="11"/>
  <c r="D13" i="11"/>
  <c r="D16" i="11" s="1"/>
  <c r="D22" i="11"/>
  <c r="D25" i="11" s="1"/>
  <c r="E15" i="9"/>
  <c r="J95" i="9"/>
  <c r="J104" i="9"/>
  <c r="J117" i="9" s="1"/>
  <c r="J127" i="9" s="1"/>
  <c r="G58" i="1" s="1"/>
  <c r="F115" i="9"/>
  <c r="F125" i="9" s="1"/>
  <c r="H104" i="9"/>
  <c r="H95" i="9"/>
  <c r="H115" i="9" s="1"/>
  <c r="H125" i="9" s="1"/>
  <c r="I95" i="9"/>
  <c r="I104" i="9"/>
  <c r="F105" i="9"/>
  <c r="F117" i="9" s="1"/>
  <c r="F127" i="9" s="1"/>
  <c r="F101" i="9"/>
  <c r="F91" i="9"/>
  <c r="F114" i="9" s="1"/>
  <c r="F124" i="9" s="1"/>
  <c r="E145" i="9"/>
  <c r="F81" i="9"/>
  <c r="F43" i="9"/>
  <c r="F50" i="9" s="1"/>
  <c r="F55" i="9" s="1"/>
  <c r="F35" i="9"/>
  <c r="F28" i="9"/>
  <c r="F49" i="9" s="1"/>
  <c r="F54" i="9" s="1"/>
  <c r="F21" i="9"/>
  <c r="F20" i="9"/>
  <c r="E142" i="9"/>
  <c r="C65" i="11"/>
  <c r="I105" i="9"/>
  <c r="I101" i="9"/>
  <c r="I91" i="9"/>
  <c r="I114" i="9" s="1"/>
  <c r="I124" i="9" s="1"/>
  <c r="F60" i="1" s="1"/>
  <c r="I81" i="9"/>
  <c r="I28" i="9"/>
  <c r="I49" i="9" s="1"/>
  <c r="I54" i="9" s="1"/>
  <c r="F49" i="1" s="1"/>
  <c r="I20" i="9"/>
  <c r="I52" i="9" s="1"/>
  <c r="I21" i="9"/>
  <c r="I43" i="9"/>
  <c r="I50" i="9" s="1"/>
  <c r="I55" i="9" s="1"/>
  <c r="F48" i="1" s="1"/>
  <c r="I35" i="9"/>
  <c r="E151" i="9"/>
  <c r="H20" i="1"/>
  <c r="J105" i="9"/>
  <c r="J101" i="9"/>
  <c r="J91" i="9"/>
  <c r="J114" i="9" s="1"/>
  <c r="J124" i="9" s="1"/>
  <c r="G60" i="1" s="1"/>
  <c r="J43" i="9"/>
  <c r="J50" i="9" s="1"/>
  <c r="J55" i="9" s="1"/>
  <c r="G48" i="1" s="1"/>
  <c r="J35" i="9"/>
  <c r="J81" i="9"/>
  <c r="J21" i="9"/>
  <c r="J28" i="9"/>
  <c r="J49" i="9" s="1"/>
  <c r="J54" i="9" s="1"/>
  <c r="G49" i="1" s="1"/>
  <c r="J20" i="9"/>
  <c r="G91" i="9"/>
  <c r="G114" i="9" s="1"/>
  <c r="G124" i="9" s="1"/>
  <c r="D60" i="1" s="1"/>
  <c r="G81" i="9"/>
  <c r="G43" i="9"/>
  <c r="G50" i="9" s="1"/>
  <c r="G55" i="9" s="1"/>
  <c r="D48" i="1" s="1"/>
  <c r="G35" i="9"/>
  <c r="G21" i="9"/>
  <c r="G101" i="9"/>
  <c r="G115" i="9" s="1"/>
  <c r="G125" i="9" s="1"/>
  <c r="G105" i="9"/>
  <c r="G117" i="9" s="1"/>
  <c r="G127" i="9" s="1"/>
  <c r="D58" i="1" s="1"/>
  <c r="G28" i="9"/>
  <c r="G49" i="9" s="1"/>
  <c r="G54" i="9" s="1"/>
  <c r="D49" i="1" s="1"/>
  <c r="G20" i="9"/>
  <c r="G52" i="9" s="1"/>
  <c r="C58" i="1" l="1"/>
  <c r="G118" i="9"/>
  <c r="G109" i="9"/>
  <c r="G119" i="9" s="1"/>
  <c r="D56" i="1" s="1"/>
  <c r="I57" i="9"/>
  <c r="F45" i="1" s="1"/>
  <c r="I64" i="9"/>
  <c r="I65" i="9" s="1"/>
  <c r="F41" i="1" s="1"/>
  <c r="E124" i="9"/>
  <c r="C60" i="1"/>
  <c r="H60" i="1" s="1"/>
  <c r="I115" i="9"/>
  <c r="I125" i="9" s="1"/>
  <c r="E125" i="9" s="1"/>
  <c r="G48" i="11"/>
  <c r="G50" i="11" s="1"/>
  <c r="F7" i="1" s="1"/>
  <c r="G57" i="9"/>
  <c r="D45" i="1" s="1"/>
  <c r="G64" i="9"/>
  <c r="G65" i="9" s="1"/>
  <c r="D41" i="1" s="1"/>
  <c r="J118" i="9"/>
  <c r="J109" i="9"/>
  <c r="J119" i="9" s="1"/>
  <c r="G56" i="1" s="1"/>
  <c r="F52" i="9"/>
  <c r="E55" i="9"/>
  <c r="C48" i="1"/>
  <c r="H48" i="1" s="1"/>
  <c r="D48" i="11"/>
  <c r="D50" i="11" s="1"/>
  <c r="C7" i="1" s="1"/>
  <c r="H48" i="11"/>
  <c r="H50" i="11" s="1"/>
  <c r="G7" i="1" s="1"/>
  <c r="J52" i="9"/>
  <c r="I109" i="9"/>
  <c r="I119" i="9" s="1"/>
  <c r="F56" i="1" s="1"/>
  <c r="I118" i="9"/>
  <c r="F109" i="9"/>
  <c r="F119" i="9" s="1"/>
  <c r="F118" i="9"/>
  <c r="H117" i="9"/>
  <c r="H127" i="9" s="1"/>
  <c r="E58" i="1" s="1"/>
  <c r="J115" i="9"/>
  <c r="J125" i="9" s="1"/>
  <c r="F46" i="11"/>
  <c r="F48" i="11" s="1"/>
  <c r="F50" i="11" s="1"/>
  <c r="E7" i="1" s="1"/>
  <c r="F24" i="7"/>
  <c r="I22" i="7"/>
  <c r="H22" i="7"/>
  <c r="H25" i="7"/>
  <c r="H23" i="7"/>
  <c r="F22" i="7"/>
  <c r="I23" i="7"/>
  <c r="D23" i="7"/>
  <c r="G22" i="7"/>
  <c r="D22" i="7"/>
  <c r="H24" i="7"/>
  <c r="F23" i="7"/>
  <c r="E23" i="7"/>
  <c r="G24" i="7"/>
  <c r="E25" i="7"/>
  <c r="G23" i="7"/>
  <c r="I25" i="7"/>
  <c r="F25" i="7"/>
  <c r="E24" i="7"/>
  <c r="G25" i="7"/>
  <c r="D25" i="7"/>
  <c r="I24" i="7"/>
  <c r="D24" i="7"/>
  <c r="E22" i="7"/>
  <c r="E48" i="11"/>
  <c r="E50" i="11" s="1"/>
  <c r="D7" i="1" s="1"/>
  <c r="G46" i="11"/>
  <c r="H52" i="9"/>
  <c r="E54" i="9"/>
  <c r="C49" i="1"/>
  <c r="H49" i="1" s="1"/>
  <c r="I117" i="9"/>
  <c r="I127" i="9" s="1"/>
  <c r="F58" i="1" s="1"/>
  <c r="H109" i="9"/>
  <c r="H119" i="9" s="1"/>
  <c r="E56" i="1" s="1"/>
  <c r="H118" i="9"/>
  <c r="H128" i="9" l="1"/>
  <c r="E55" i="1" s="1"/>
  <c r="H134" i="9"/>
  <c r="H135" i="9" s="1"/>
  <c r="E51" i="1" s="1"/>
  <c r="E119" i="9"/>
  <c r="C56" i="1"/>
  <c r="H56" i="1" s="1"/>
  <c r="H57" i="9"/>
  <c r="E45" i="1" s="1"/>
  <c r="H64" i="9"/>
  <c r="H65" i="9" s="1"/>
  <c r="E41" i="1" s="1"/>
  <c r="I128" i="9"/>
  <c r="F55" i="1" s="1"/>
  <c r="I134" i="9"/>
  <c r="I135" i="9" s="1"/>
  <c r="F51" i="1" s="1"/>
  <c r="H7" i="1"/>
  <c r="J128" i="9"/>
  <c r="G55" i="1" s="1"/>
  <c r="J134" i="9"/>
  <c r="J135" i="9" s="1"/>
  <c r="G51" i="1" s="1"/>
  <c r="G128" i="9"/>
  <c r="D55" i="1" s="1"/>
  <c r="G134" i="9"/>
  <c r="G135" i="9" s="1"/>
  <c r="D51" i="1" s="1"/>
  <c r="F128" i="9"/>
  <c r="F134" i="9"/>
  <c r="F135" i="9" s="1"/>
  <c r="J57" i="9"/>
  <c r="G45" i="1" s="1"/>
  <c r="J64" i="9"/>
  <c r="J65" i="9" s="1"/>
  <c r="G41" i="1" s="1"/>
  <c r="H58" i="1"/>
  <c r="F57" i="9"/>
  <c r="F64" i="9"/>
  <c r="F65" i="9" s="1"/>
  <c r="E127" i="9"/>
  <c r="E65" i="9" l="1"/>
  <c r="C41" i="1"/>
  <c r="H41" i="1" s="1"/>
  <c r="E57" i="9"/>
  <c r="C45" i="1"/>
  <c r="H45" i="1" s="1"/>
  <c r="E135" i="9"/>
  <c r="C51" i="1"/>
  <c r="H51" i="1" s="1"/>
  <c r="C55" i="1"/>
  <c r="H55" i="1" s="1"/>
  <c r="E128" i="9"/>
</calcChain>
</file>

<file path=xl/sharedStrings.xml><?xml version="1.0" encoding="utf-8"?>
<sst xmlns="http://schemas.openxmlformats.org/spreadsheetml/2006/main" count="1116" uniqueCount="347">
  <si>
    <t>PacifiCorp</t>
  </si>
  <si>
    <t>12 Months Ended December 2017</t>
  </si>
  <si>
    <t xml:space="preserve">FUNCTIONAL FACTORS </t>
  </si>
  <si>
    <t>Function</t>
  </si>
  <si>
    <t>Description</t>
  </si>
  <si>
    <t>Production</t>
  </si>
  <si>
    <t>Transmission</t>
  </si>
  <si>
    <t>DPW</t>
  </si>
  <si>
    <t>CUST</t>
  </si>
  <si>
    <t>DMSC</t>
  </si>
  <si>
    <t>Total</t>
  </si>
  <si>
    <t>ACCMDIT</t>
  </si>
  <si>
    <t>Deferred Income Tax</t>
  </si>
  <si>
    <t>BOOKDEPR</t>
  </si>
  <si>
    <t>Book Depreciation</t>
  </si>
  <si>
    <t>COM_EQ</t>
  </si>
  <si>
    <t>Communication Equipment Acct 397</t>
  </si>
  <si>
    <t>Distribution Retail</t>
  </si>
  <si>
    <t>DDS2</t>
  </si>
  <si>
    <t>Deferred Debits - Situs</t>
  </si>
  <si>
    <t>DDS6</t>
  </si>
  <si>
    <t>DDSO2</t>
  </si>
  <si>
    <t>Deferred Debits - System Overhead</t>
  </si>
  <si>
    <t>DDSO6</t>
  </si>
  <si>
    <t>DEFSG</t>
  </si>
  <si>
    <t>Deferred Debit - System Generation</t>
  </si>
  <si>
    <t>Distribution Miscellaneous</t>
  </si>
  <si>
    <t>Distribution Poles &amp; Wires</t>
  </si>
  <si>
    <t>ESD</t>
  </si>
  <si>
    <t>Environmental Services Department</t>
  </si>
  <si>
    <t>FERC</t>
  </si>
  <si>
    <t>FERC Fees</t>
  </si>
  <si>
    <t>G</t>
  </si>
  <si>
    <t>General Plant</t>
  </si>
  <si>
    <t>G-DGP</t>
  </si>
  <si>
    <t>General Plant - DGP Factor</t>
  </si>
  <si>
    <t>G-DGU</t>
  </si>
  <si>
    <t>General Plant - DGU Factor</t>
  </si>
  <si>
    <t>GP</t>
  </si>
  <si>
    <t>Total Plant</t>
  </si>
  <si>
    <t>G-SG</t>
  </si>
  <si>
    <t>General Plant - SG Factor</t>
  </si>
  <si>
    <t>G-SITUS</t>
  </si>
  <si>
    <t>General Plant - SITUS Factor</t>
  </si>
  <si>
    <t>I</t>
  </si>
  <si>
    <t>Intangible Plant</t>
  </si>
  <si>
    <t>I-DGP</t>
  </si>
  <si>
    <t>Intangible Plant - DGP Factor</t>
  </si>
  <si>
    <t>I-DGU</t>
  </si>
  <si>
    <t>Intangible Plant - DGU Factor</t>
  </si>
  <si>
    <t>I-SG</t>
  </si>
  <si>
    <t>Intangible Plant - SG Factor</t>
  </si>
  <si>
    <t>I-SITUS</t>
  </si>
  <si>
    <t>Intangible Plant - SITUS Factor</t>
  </si>
  <si>
    <t>LABOR</t>
  </si>
  <si>
    <t>Direct Labor Expense</t>
  </si>
  <si>
    <t>MSS</t>
  </si>
  <si>
    <t>Materials &amp; Supplies</t>
  </si>
  <si>
    <t>OTHDGP</t>
  </si>
  <si>
    <t>Other Revenues - DGP Factor</t>
  </si>
  <si>
    <t>OTHDGU</t>
  </si>
  <si>
    <t>Other Revenues - DGU Factor</t>
  </si>
  <si>
    <t>OTHSE</t>
  </si>
  <si>
    <t>Other Revenues - SE Factor</t>
  </si>
  <si>
    <t>OTHSG</t>
  </si>
  <si>
    <t>Other Revenues - SG Factor</t>
  </si>
  <si>
    <t>OTHSGR</t>
  </si>
  <si>
    <t>Other Revenues - Rolled-In SG Factor</t>
  </si>
  <si>
    <t>OTHSITUS</t>
  </si>
  <si>
    <t>Other Revenues - SITUS</t>
  </si>
  <si>
    <t>OTHSO</t>
  </si>
  <si>
    <t>Other Revenues - SO Factor</t>
  </si>
  <si>
    <t>P</t>
  </si>
  <si>
    <t>SCHMA</t>
  </si>
  <si>
    <t>Schedule M Additions</t>
  </si>
  <si>
    <t>SCHMAF</t>
  </si>
  <si>
    <t>Schedule M Additions - Flow Through</t>
  </si>
  <si>
    <t>SCHMAP</t>
  </si>
  <si>
    <t>Schedule M Additions - Permanent</t>
  </si>
  <si>
    <t>SCHMAP-SO</t>
  </si>
  <si>
    <t>Schedule M Additions - Permanent-SO</t>
  </si>
  <si>
    <t>SCHMAT</t>
  </si>
  <si>
    <t>Schedule M Additions - Temporary</t>
  </si>
  <si>
    <t>SCHMAT-GPS</t>
  </si>
  <si>
    <t>Schedule M Additions - Temporary-GPS</t>
  </si>
  <si>
    <t>SCHMAT-SE</t>
  </si>
  <si>
    <t>Schedule M Additions - Temporary-SE</t>
  </si>
  <si>
    <t>SCHMAT-SITUS</t>
  </si>
  <si>
    <t>Schedule M Additions - Temporary-SITUS</t>
  </si>
  <si>
    <t>SCHMAT-SNP</t>
  </si>
  <si>
    <t>Schedule M Additions - Temporary-SNP</t>
  </si>
  <si>
    <t>SCHMAT-SO</t>
  </si>
  <si>
    <t>Schedule M Additions - Temporary-SO</t>
  </si>
  <si>
    <t>SCHMD</t>
  </si>
  <si>
    <t>Schedule M Deductions</t>
  </si>
  <si>
    <t>SCHMDF</t>
  </si>
  <si>
    <t>Schedule M Deductions - Flow Through</t>
  </si>
  <si>
    <t>SCHMDP</t>
  </si>
  <si>
    <t>Schedule M Deductions - Permanent</t>
  </si>
  <si>
    <t>SCHMDP-SO</t>
  </si>
  <si>
    <t>Schedule M Deductions - Permanent- SO</t>
  </si>
  <si>
    <t>SCHMDT</t>
  </si>
  <si>
    <t>Schedule M Deductions - Temporary</t>
  </si>
  <si>
    <t>SCHMDT-GPS</t>
  </si>
  <si>
    <t>Schedule M Deductions - Temporary-GPS</t>
  </si>
  <si>
    <t>SCHMDT-SG</t>
  </si>
  <si>
    <t>Schedule M Deductions - Temporary-SG</t>
  </si>
  <si>
    <t>SCHMDT-SITUS</t>
  </si>
  <si>
    <t>Schedule M Deductions - Temporary-SITUS</t>
  </si>
  <si>
    <t>SCHMDT-SNP</t>
  </si>
  <si>
    <t>Schedule M Deductions - Temporary-SNP</t>
  </si>
  <si>
    <t>SCHMDT-SO</t>
  </si>
  <si>
    <t>Schedule M Deductions - Temporary-SO</t>
  </si>
  <si>
    <t>T</t>
  </si>
  <si>
    <t xml:space="preserve">TAXDEPR </t>
  </si>
  <si>
    <t xml:space="preserve">Tax Depreciation </t>
  </si>
  <si>
    <t>TD</t>
  </si>
  <si>
    <t>Transmission / Distribution</t>
  </si>
  <si>
    <t>CWC</t>
  </si>
  <si>
    <t>Cash Working Capital</t>
  </si>
  <si>
    <t>DITEXP</t>
  </si>
  <si>
    <t>Deferred Income Tax - Expense</t>
  </si>
  <si>
    <t>FIT</t>
  </si>
  <si>
    <t>Federal Income Taxes</t>
  </si>
  <si>
    <t>IBT</t>
  </si>
  <si>
    <t>Income Before Taxes</t>
  </si>
  <si>
    <t>NONE</t>
  </si>
  <si>
    <t>Not Functionalized</t>
  </si>
  <si>
    <t>NUTIL</t>
  </si>
  <si>
    <t>Non-Utility</t>
  </si>
  <si>
    <t>PT</t>
  </si>
  <si>
    <t>Production / Transmission</t>
  </si>
  <si>
    <t>PTD</t>
  </si>
  <si>
    <t>Prod, Trans, Dist Plant</t>
  </si>
  <si>
    <t>REVREQ</t>
  </si>
  <si>
    <t>Revenue Requirement</t>
  </si>
  <si>
    <t>SIT</t>
  </si>
  <si>
    <t>State Income Taxes</t>
  </si>
  <si>
    <t>Tax Depreciation</t>
  </si>
  <si>
    <t>Distribution</t>
  </si>
  <si>
    <t>General</t>
  </si>
  <si>
    <t>Mining</t>
  </si>
  <si>
    <t>Source:</t>
  </si>
  <si>
    <t>Conversion to COS Functions</t>
  </si>
  <si>
    <t>Pro</t>
  </si>
  <si>
    <t>Trn</t>
  </si>
  <si>
    <t>Dis</t>
  </si>
  <si>
    <t>Retail</t>
  </si>
  <si>
    <t>Misc</t>
  </si>
  <si>
    <t>Percent of GenPlant in Functions</t>
  </si>
  <si>
    <t>Allocation of GenPlant to Functions</t>
  </si>
  <si>
    <t>Assignment of Mining to Prod Function</t>
  </si>
  <si>
    <t>Adjusted Totals</t>
  </si>
  <si>
    <t>TAXDEPR FACTOR</t>
  </si>
  <si>
    <t>TAXDEPR Factor</t>
  </si>
  <si>
    <t>Gross Plant</t>
  </si>
  <si>
    <t>(In 000's)</t>
  </si>
  <si>
    <t>Alloc.</t>
  </si>
  <si>
    <t>Factor</t>
  </si>
  <si>
    <t>Funct.</t>
  </si>
  <si>
    <t>Amount</t>
  </si>
  <si>
    <t>Transmisssion</t>
  </si>
  <si>
    <t>CUSTOMER</t>
  </si>
  <si>
    <t>DMISC</t>
  </si>
  <si>
    <t>Production Plant</t>
  </si>
  <si>
    <t>Transmission Plant</t>
  </si>
  <si>
    <t>Distribution Plant</t>
  </si>
  <si>
    <t>SE</t>
  </si>
  <si>
    <t>Business Centers</t>
  </si>
  <si>
    <t>Utah Mine</t>
  </si>
  <si>
    <t>Total General Plant</t>
  </si>
  <si>
    <t>Customer Service Sys</t>
  </si>
  <si>
    <t>Washington Hydro</t>
  </si>
  <si>
    <t>Utah Hydro</t>
  </si>
  <si>
    <t>Colorado Steam-UPD</t>
  </si>
  <si>
    <t>Oregon Trans</t>
  </si>
  <si>
    <t>Utah</t>
  </si>
  <si>
    <t>Utah G/O</t>
  </si>
  <si>
    <t>Total Intangible Plant</t>
  </si>
  <si>
    <t>Total Gross Plant</t>
  </si>
  <si>
    <t>GP Factor</t>
  </si>
  <si>
    <t>Functional Allocators:</t>
  </si>
  <si>
    <t>Prod</t>
  </si>
  <si>
    <t>Trans</t>
  </si>
  <si>
    <t>FERC FORM 1 Funtionalization Factors</t>
  </si>
  <si>
    <t>PLANT</t>
  </si>
  <si>
    <t>TOTAL COMPANY</t>
  </si>
  <si>
    <t>UNCLASSIFIED PLANT</t>
  </si>
  <si>
    <t>TOTAL PLANT</t>
  </si>
  <si>
    <t>PLANT %</t>
  </si>
  <si>
    <t>LABOR %</t>
  </si>
  <si>
    <t>Material &amp; Supplies</t>
  </si>
  <si>
    <t>Material &amp; Supplies %</t>
  </si>
  <si>
    <t>FERC (mWh)</t>
  </si>
  <si>
    <t>FERC %</t>
  </si>
  <si>
    <t>Depreciation Expense</t>
  </si>
  <si>
    <t>BookDepr Factor</t>
  </si>
  <si>
    <t>Account 456</t>
  </si>
  <si>
    <t>Main</t>
  </si>
  <si>
    <t>Account</t>
  </si>
  <si>
    <t>Customer</t>
  </si>
  <si>
    <t>456</t>
  </si>
  <si>
    <t>OTHER</t>
  </si>
  <si>
    <t>SG</t>
  </si>
  <si>
    <t>SO</t>
  </si>
  <si>
    <t>SITUS</t>
  </si>
  <si>
    <t>Total Situs Revenues</t>
  </si>
  <si>
    <t>Total CN Revenues</t>
  </si>
  <si>
    <t>Total SE Revenues</t>
  </si>
  <si>
    <t>Total SG Revenues</t>
  </si>
  <si>
    <t>Total SO Revenues</t>
  </si>
  <si>
    <t>Total Operation</t>
  </si>
  <si>
    <t>CN Factor</t>
  </si>
  <si>
    <t>Total Operation Factor</t>
  </si>
  <si>
    <t>CN</t>
  </si>
  <si>
    <t>SSGCH</t>
  </si>
  <si>
    <t>SSGCT</t>
  </si>
  <si>
    <t>Total-CUST</t>
  </si>
  <si>
    <t>Total-TD</t>
  </si>
  <si>
    <t>Total-PTD</t>
  </si>
  <si>
    <t>Total-DPW</t>
  </si>
  <si>
    <t>Total-SSGCH</t>
  </si>
  <si>
    <t>Total-SSGCT</t>
  </si>
  <si>
    <t>Total-G-SG</t>
  </si>
  <si>
    <t>Total-SE</t>
  </si>
  <si>
    <t>Total-G-Situs</t>
  </si>
  <si>
    <t>Total-SO</t>
  </si>
  <si>
    <t>Total-General Plant</t>
  </si>
  <si>
    <t>G-SG Factor</t>
  </si>
  <si>
    <t>.</t>
  </si>
  <si>
    <t>G-SITUS Factor</t>
  </si>
  <si>
    <t>SO Factor</t>
  </si>
  <si>
    <t>G Allocator</t>
  </si>
  <si>
    <t>Total Gen. Plant</t>
  </si>
  <si>
    <t>acct 399 from JAM</t>
  </si>
  <si>
    <t xml:space="preserve">Total </t>
  </si>
  <si>
    <t>SG-P</t>
  </si>
  <si>
    <t>SG-U</t>
  </si>
  <si>
    <t>Total-DGP</t>
  </si>
  <si>
    <t>Total-DGU</t>
  </si>
  <si>
    <t>Total-SG</t>
  </si>
  <si>
    <t>Total-SITUS</t>
  </si>
  <si>
    <t>Total-Intangible</t>
  </si>
  <si>
    <t>I-DGP FACTOR</t>
  </si>
  <si>
    <t>I-DGU FACTOR</t>
  </si>
  <si>
    <t>I-SG FACTOR</t>
  </si>
  <si>
    <t>I-Situs FACTOR</t>
  </si>
  <si>
    <t>I FACTOR</t>
  </si>
  <si>
    <t>Schedule M</t>
  </si>
  <si>
    <t>Primary</t>
  </si>
  <si>
    <t>PITA</t>
  </si>
  <si>
    <t>Poles &amp; Wires</t>
  </si>
  <si>
    <t>Customers</t>
  </si>
  <si>
    <t>Miscellaneous</t>
  </si>
  <si>
    <t>ADDITIONS</t>
  </si>
  <si>
    <t>SCHMDEXP</t>
  </si>
  <si>
    <t>B-6, Dec 2017</t>
  </si>
  <si>
    <t>Total SCHMAP</t>
  </si>
  <si>
    <t>SCHMAP FACTOR</t>
  </si>
  <si>
    <t>CIAC</t>
  </si>
  <si>
    <t>BADDEBT</t>
  </si>
  <si>
    <t>GPS</t>
  </si>
  <si>
    <t>SGCT</t>
  </si>
  <si>
    <t>SNP</t>
  </si>
  <si>
    <t>SNPD</t>
  </si>
  <si>
    <t>TROJD</t>
  </si>
  <si>
    <t>Total-SNP</t>
  </si>
  <si>
    <t>Total-SCHMAT</t>
  </si>
  <si>
    <t>SCHMAT FACTOR</t>
  </si>
  <si>
    <t>DGP</t>
  </si>
  <si>
    <t>TROJP</t>
  </si>
  <si>
    <t>Total-SCHMAF</t>
  </si>
  <si>
    <t>SCHMAF FACTOR</t>
  </si>
  <si>
    <t>Total-SCHMA</t>
  </si>
  <si>
    <t>SCHMA FACTOR</t>
  </si>
  <si>
    <t>DEDUCTIONS</t>
  </si>
  <si>
    <t>Total-SCHMDP</t>
  </si>
  <si>
    <t>SCHMDP FACTOR</t>
  </si>
  <si>
    <t>TAXDEPR</t>
  </si>
  <si>
    <t>Total-GPS</t>
  </si>
  <si>
    <t>Total-CN</t>
  </si>
  <si>
    <t>Total SO</t>
  </si>
  <si>
    <t>Total OTHER</t>
  </si>
  <si>
    <t>Total TAXDEPR</t>
  </si>
  <si>
    <t>Total SCHMDT</t>
  </si>
  <si>
    <t>SCHMDT-CN</t>
  </si>
  <si>
    <t>SCHMDT-SE</t>
  </si>
  <si>
    <t>SCHMDT-OTHER</t>
  </si>
  <si>
    <t>SCHMDT-TAXDEPR</t>
  </si>
  <si>
    <t>SCHMDT FACTOR</t>
  </si>
  <si>
    <t>Total-SCHMDF</t>
  </si>
  <si>
    <t>SCHMDF FACTOR</t>
  </si>
  <si>
    <t>Total-SCHMD</t>
  </si>
  <si>
    <t>SCHMD FACTOR</t>
  </si>
  <si>
    <t>Net SCHM</t>
  </si>
  <si>
    <t>Reg Assets / Deferred Debits</t>
  </si>
  <si>
    <t>Pri-Acct</t>
  </si>
  <si>
    <t>182M</t>
  </si>
  <si>
    <t>Total-OTHER</t>
  </si>
  <si>
    <t>Total SITUS</t>
  </si>
  <si>
    <t>Total RA</t>
  </si>
  <si>
    <t>DDSO2 FACTOR</t>
  </si>
  <si>
    <t>DDS2 FACTOR</t>
  </si>
  <si>
    <t>186M</t>
  </si>
  <si>
    <t>DD-OTHER</t>
  </si>
  <si>
    <t>Total SG</t>
  </si>
  <si>
    <t>Total-DD</t>
  </si>
  <si>
    <t>DDS6 FACTOR</t>
  </si>
  <si>
    <t>DEFSG FACTOR</t>
  </si>
  <si>
    <t>DDSO6 FACTOR</t>
  </si>
  <si>
    <t>Major Adjustment</t>
  </si>
  <si>
    <t>1998 Early Retirement</t>
  </si>
  <si>
    <t>1999 Early Retirement</t>
  </si>
  <si>
    <t>Transition Planning</t>
  </si>
  <si>
    <t>Environmental Clean-up</t>
  </si>
  <si>
    <t>Y2K</t>
  </si>
  <si>
    <t>Subtotal Major Adjustments</t>
  </si>
  <si>
    <t>Total 186M SO</t>
  </si>
  <si>
    <t>Total 182 &amp;186</t>
  </si>
  <si>
    <t>RETAIL</t>
  </si>
  <si>
    <t>Deferred Income Tax - Balance</t>
  </si>
  <si>
    <t>DITBALRL</t>
  </si>
  <si>
    <t>Pacific Division</t>
  </si>
  <si>
    <t>Mining Plant</t>
  </si>
  <si>
    <t xml:space="preserve">     Total Pacific Division</t>
  </si>
  <si>
    <t>Utah Division</t>
  </si>
  <si>
    <t xml:space="preserve">     Total Utah Division</t>
  </si>
  <si>
    <t>PACIFICORP</t>
  </si>
  <si>
    <t>Prod / Other Prod</t>
  </si>
  <si>
    <t>Cholla Unit 4</t>
  </si>
  <si>
    <t>Gadsby Unit 4, 5 &amp; 6</t>
  </si>
  <si>
    <t>Hydro-PPL</t>
  </si>
  <si>
    <t>Hydro-UPL</t>
  </si>
  <si>
    <t xml:space="preserve"> </t>
  </si>
  <si>
    <t>General/ Intangibles</t>
  </si>
  <si>
    <t>WCA - CAEE 2007+</t>
  </si>
  <si>
    <t>WCA - CAGE 2007+</t>
  </si>
  <si>
    <t>WCA - CAGW 2007+</t>
  </si>
  <si>
    <t>WCA_CAGW 2007+ -Marengo</t>
  </si>
  <si>
    <t>WCA CAGW 2007+ -Goodnoe</t>
  </si>
  <si>
    <t>WCA - General 2007+</t>
  </si>
  <si>
    <t>WCA - JBG 2007+</t>
  </si>
  <si>
    <t>OREGON EXTRA BOOK DEPR</t>
  </si>
  <si>
    <t xml:space="preserve">     Total PC (Post Merger)</t>
  </si>
  <si>
    <t xml:space="preserve">Total Deferred Taxes </t>
  </si>
  <si>
    <t>ACCMDITRL FACTOR</t>
  </si>
  <si>
    <t>ACCUMDIT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</si>
</sst>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8" formatCode="&quot;$&quot;#,##0.00_);[Red]\(&quot;$&quot;#,##0.00\)"/>
    <numFmt numFmtId="43" formatCode="_(* #,##0.00_);_(* \(#,##0.00\);_(* &quot;-&quot;??_);_(@_)"/>
    <numFmt numFmtId="164" formatCode="0.0000%"/>
    <numFmt numFmtId="165" formatCode="_(* #,##0.000000_);_(* \(#,##0.000000\);_(* &quot;-&quot;??_);_(@_)"/>
    <numFmt numFmtId="166" formatCode="_(* #,##0_);_(* \(#,##0\);_(* &quot;-&quot;??_);_(@_)"/>
    <numFmt numFmtId="167" formatCode="[$-409]mmm\-yy;@"/>
    <numFmt numFmtId="168" formatCode="&quot;$&quot;#,##0"/>
    <numFmt numFmtId="169" formatCode="[$$-409]#,##0.00_);\([$$-409]#,##0.00\)"/>
  </numFmts>
  <fonts count="24"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  <font>
      <sz val="10"/>
      <color indexed="12"/>
      <name val="Arial"/>
      <family val="2"/>
    </font>
    <font>
      <b/>
      <sz val="10"/>
      <color rgb="FFFF0000"/>
      <name val="Arial"/>
      <family val="2"/>
    </font>
    <font>
      <sz val="12"/>
      <name val="Arial"/>
      <family val="2"/>
    </font>
    <font>
      <sz val="9"/>
      <name val="Arial"/>
      <family val="2"/>
    </font>
    <font>
      <b/>
      <i/>
      <sz val="10"/>
      <color rgb="FF0000FF"/>
      <name val="Arial"/>
      <family val="2"/>
    </font>
    <font>
      <sz val="12"/>
      <name val="Arial MT"/>
    </font>
    <font>
      <b/>
      <i/>
      <sz val="10"/>
      <color indexed="14"/>
      <name val="Arial"/>
      <family val="2"/>
    </font>
    <font>
      <i/>
      <sz val="10"/>
      <name val="Arial"/>
      <family val="2"/>
    </font>
    <font>
      <u/>
      <sz val="10"/>
      <name val="Arial"/>
      <family val="2"/>
    </font>
    <font>
      <b/>
      <sz val="10"/>
      <color indexed="12"/>
      <name val="Arial"/>
      <family val="2"/>
    </font>
    <font>
      <sz val="10"/>
      <color rgb="FFFF0000"/>
      <name val="Arial"/>
      <family val="2"/>
    </font>
    <font>
      <b/>
      <u/>
      <sz val="10"/>
      <color indexed="12"/>
      <name val="Arial"/>
      <family val="2"/>
    </font>
    <font>
      <b/>
      <u/>
      <sz val="10"/>
      <name val="Arial"/>
      <family val="2"/>
    </font>
    <font>
      <u/>
      <sz val="10"/>
      <color indexed="12"/>
      <name val="Arial"/>
      <family val="2"/>
    </font>
    <font>
      <b/>
      <i/>
      <sz val="10"/>
      <name val="Arial"/>
      <family val="2"/>
    </font>
    <font>
      <sz val="10"/>
      <name val="Arial MT"/>
    </font>
    <font>
      <b/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indexed="13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</cellStyleXfs>
  <cellXfs count="258">
    <xf numFmtId="0" fontId="0" fillId="0" borderId="0" xfId="0"/>
    <xf numFmtId="0" fontId="0" fillId="0" borderId="0" xfId="0" applyAlignment="1">
      <alignment horizontal="centerContinuous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Continuous"/>
    </xf>
    <xf numFmtId="0" fontId="0" fillId="0" borderId="0" xfId="0" applyFill="1" applyAlignment="1">
      <alignment horizontal="center"/>
    </xf>
    <xf numFmtId="0" fontId="3" fillId="0" borderId="0" xfId="0" applyFont="1" applyFill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6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Fill="1" applyAlignment="1">
      <alignment horizontal="left"/>
    </xf>
    <xf numFmtId="0" fontId="8" fillId="0" borderId="0" xfId="0" applyFont="1" applyFill="1" applyAlignment="1">
      <alignment horizontal="center"/>
    </xf>
    <xf numFmtId="9" fontId="0" fillId="0" borderId="0" xfId="2" applyFont="1" applyFill="1" applyAlignment="1">
      <alignment horizontal="center"/>
    </xf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166" fontId="0" fillId="0" borderId="5" xfId="1" applyNumberFormat="1" applyFont="1" applyFill="1" applyBorder="1"/>
    <xf numFmtId="0" fontId="11" fillId="0" borderId="0" xfId="0" applyFont="1" applyFill="1" applyAlignment="1">
      <alignment horizontal="left"/>
    </xf>
    <xf numFmtId="0" fontId="5" fillId="0" borderId="0" xfId="0" applyFont="1" applyFill="1"/>
    <xf numFmtId="0" fontId="0" fillId="0" borderId="0" xfId="0" applyFill="1"/>
    <xf numFmtId="166" fontId="0" fillId="0" borderId="0" xfId="0" applyNumberFormat="1" applyFill="1" applyBorder="1"/>
    <xf numFmtId="0" fontId="4" fillId="3" borderId="7" xfId="0" applyFont="1" applyFill="1" applyBorder="1"/>
    <xf numFmtId="0" fontId="0" fillId="3" borderId="7" xfId="0" applyFill="1" applyBorder="1"/>
    <xf numFmtId="164" fontId="4" fillId="3" borderId="7" xfId="0" applyNumberFormat="1" applyFont="1" applyFill="1" applyBorder="1"/>
    <xf numFmtId="0" fontId="4" fillId="0" borderId="0" xfId="3" applyFont="1" applyFill="1" applyAlignment="1" applyProtection="1">
      <alignment horizontal="centerContinuous"/>
    </xf>
    <xf numFmtId="0" fontId="1" fillId="0" borderId="0" xfId="4" applyFont="1" applyFill="1" applyAlignment="1" applyProtection="1">
      <alignment horizontal="centerContinuous"/>
    </xf>
    <xf numFmtId="0" fontId="1" fillId="0" borderId="0" xfId="4" applyFont="1" applyFill="1" applyAlignment="1">
      <alignment horizontal="centerContinuous"/>
    </xf>
    <xf numFmtId="0" fontId="1" fillId="0" borderId="0" xfId="4" applyFont="1" applyFill="1"/>
    <xf numFmtId="0" fontId="4" fillId="0" borderId="0" xfId="4" applyFont="1" applyFill="1" applyAlignment="1" applyProtection="1">
      <alignment horizontal="centerContinuous"/>
    </xf>
    <xf numFmtId="0" fontId="13" fillId="0" borderId="0" xfId="0" applyFont="1" applyFill="1" applyAlignment="1">
      <alignment horizontal="center"/>
    </xf>
    <xf numFmtId="166" fontId="1" fillId="0" borderId="0" xfId="4" applyNumberFormat="1" applyFont="1" applyFill="1"/>
    <xf numFmtId="0" fontId="4" fillId="0" borderId="0" xfId="4" applyFont="1" applyFill="1" applyAlignment="1">
      <alignment horizontal="center"/>
    </xf>
    <xf numFmtId="0" fontId="4" fillId="0" borderId="8" xfId="4" applyFont="1" applyFill="1" applyBorder="1" applyAlignment="1" applyProtection="1">
      <alignment horizontal="center"/>
    </xf>
    <xf numFmtId="0" fontId="4" fillId="0" borderId="8" xfId="4" applyFont="1" applyFill="1" applyBorder="1" applyAlignment="1">
      <alignment horizontal="center"/>
    </xf>
    <xf numFmtId="0" fontId="4" fillId="0" borderId="0" xfId="4" applyFont="1" applyFill="1" applyBorder="1" applyProtection="1"/>
    <xf numFmtId="0" fontId="4" fillId="0" borderId="0" xfId="4" applyFont="1" applyFill="1" applyBorder="1" applyAlignment="1" applyProtection="1">
      <alignment horizontal="center"/>
    </xf>
    <xf numFmtId="0" fontId="4" fillId="0" borderId="0" xfId="4" applyFont="1" applyFill="1" applyBorder="1"/>
    <xf numFmtId="0" fontId="4" fillId="0" borderId="0" xfId="4" applyFont="1" applyFill="1" applyBorder="1" applyAlignment="1">
      <alignment horizontal="center"/>
    </xf>
    <xf numFmtId="0" fontId="1" fillId="0" borderId="0" xfId="4" applyFont="1" applyFill="1" applyBorder="1" applyProtection="1"/>
    <xf numFmtId="0" fontId="1" fillId="0" borderId="0" xfId="4" applyFont="1" applyFill="1" applyBorder="1" applyAlignment="1" applyProtection="1">
      <alignment horizontal="center"/>
    </xf>
    <xf numFmtId="37" fontId="1" fillId="0" borderId="0" xfId="4" applyNumberFormat="1" applyFont="1" applyFill="1" applyProtection="1"/>
    <xf numFmtId="0" fontId="11" fillId="0" borderId="0" xfId="0" applyFont="1" applyFill="1" applyAlignment="1">
      <alignment horizontal="right"/>
    </xf>
    <xf numFmtId="14" fontId="4" fillId="0" borderId="0" xfId="4" applyNumberFormat="1" applyFont="1" applyFill="1" applyAlignment="1">
      <alignment horizontal="left"/>
    </xf>
    <xf numFmtId="0" fontId="1" fillId="0" borderId="0" xfId="4" applyFont="1" applyFill="1" applyAlignment="1" applyProtection="1">
      <alignment horizontal="center"/>
    </xf>
    <xf numFmtId="0" fontId="1" fillId="0" borderId="0" xfId="4" applyFont="1" applyFill="1" applyProtection="1"/>
    <xf numFmtId="0" fontId="15" fillId="0" borderId="0" xfId="4" applyFont="1" applyFill="1" applyAlignment="1" applyProtection="1">
      <alignment horizontal="center"/>
    </xf>
    <xf numFmtId="166" fontId="15" fillId="0" borderId="0" xfId="1" applyNumberFormat="1" applyFont="1" applyFill="1" applyAlignment="1" applyProtection="1">
      <alignment horizontal="center"/>
    </xf>
    <xf numFmtId="166" fontId="1" fillId="0" borderId="0" xfId="1" applyNumberFormat="1" applyFont="1" applyFill="1"/>
    <xf numFmtId="0" fontId="1" fillId="0" borderId="0" xfId="3" applyFont="1" applyFill="1" applyBorder="1" applyProtection="1"/>
    <xf numFmtId="0" fontId="1" fillId="0" borderId="0" xfId="3" applyFont="1" applyFill="1" applyBorder="1" applyAlignment="1" applyProtection="1">
      <alignment horizontal="center"/>
    </xf>
    <xf numFmtId="37" fontId="1" fillId="0" borderId="0" xfId="4" applyNumberFormat="1" applyFont="1" applyFill="1" applyBorder="1" applyProtection="1"/>
    <xf numFmtId="37" fontId="1" fillId="0" borderId="9" xfId="4" applyNumberFormat="1" applyFont="1" applyFill="1" applyBorder="1" applyProtection="1"/>
    <xf numFmtId="0" fontId="1" fillId="0" borderId="0" xfId="4" applyFont="1" applyFill="1" applyBorder="1" applyAlignment="1" applyProtection="1">
      <alignment horizontal="left"/>
    </xf>
    <xf numFmtId="37" fontId="1" fillId="0" borderId="10" xfId="4" applyNumberFormat="1" applyFont="1" applyFill="1" applyBorder="1" applyProtection="1"/>
    <xf numFmtId="43" fontId="1" fillId="0" borderId="0" xfId="4" applyNumberFormat="1" applyFont="1" applyFill="1"/>
    <xf numFmtId="43" fontId="1" fillId="0" borderId="0" xfId="1" applyFont="1" applyFill="1" applyBorder="1" applyProtection="1"/>
    <xf numFmtId="164" fontId="1" fillId="0" borderId="0" xfId="4" applyNumberFormat="1" applyFont="1" applyFill="1"/>
    <xf numFmtId="43" fontId="1" fillId="0" borderId="0" xfId="1" applyFont="1" applyFill="1"/>
    <xf numFmtId="164" fontId="15" fillId="0" borderId="0" xfId="4" applyNumberFormat="1" applyFont="1" applyFill="1" applyAlignment="1" applyProtection="1">
      <alignment horizontal="center"/>
    </xf>
    <xf numFmtId="164" fontId="15" fillId="0" borderId="0" xfId="4" applyNumberFormat="1" applyFont="1" applyFill="1" applyAlignment="1">
      <alignment horizontal="center"/>
    </xf>
    <xf numFmtId="164" fontId="1" fillId="0" borderId="0" xfId="2" applyNumberFormat="1" applyFont="1" applyFill="1"/>
    <xf numFmtId="0" fontId="4" fillId="0" borderId="0" xfId="4" applyFont="1" applyFill="1"/>
    <xf numFmtId="164" fontId="4" fillId="0" borderId="0" xfId="4" applyNumberFormat="1" applyFont="1" applyFill="1"/>
    <xf numFmtId="0" fontId="4" fillId="0" borderId="0" xfId="0" applyFont="1" applyFill="1" applyAlignment="1">
      <alignment horizontal="centerContinuous"/>
    </xf>
    <xf numFmtId="17" fontId="4" fillId="0" borderId="0" xfId="0" quotePrefix="1" applyNumberFormat="1" applyFont="1" applyFill="1" applyAlignment="1">
      <alignment horizontal="centerContinuous"/>
    </xf>
    <xf numFmtId="17" fontId="4" fillId="0" borderId="0" xfId="0" applyNumberFormat="1" applyFont="1" applyFill="1" applyAlignment="1">
      <alignment horizontal="centerContinuous"/>
    </xf>
    <xf numFmtId="0" fontId="4" fillId="0" borderId="0" xfId="0" applyFont="1" applyFill="1"/>
    <xf numFmtId="164" fontId="0" fillId="0" borderId="0" xfId="0" applyNumberFormat="1" applyFill="1"/>
    <xf numFmtId="43" fontId="0" fillId="0" borderId="0" xfId="1" applyFont="1" applyFill="1"/>
    <xf numFmtId="0" fontId="8" fillId="0" borderId="0" xfId="0" quotePrefix="1" applyFont="1" applyFill="1" applyAlignment="1">
      <alignment horizontal="center"/>
    </xf>
    <xf numFmtId="0" fontId="17" fillId="0" borderId="0" xfId="0" applyFont="1" applyFill="1"/>
    <xf numFmtId="0" fontId="17" fillId="0" borderId="0" xfId="0" applyFont="1" applyFill="1" applyAlignment="1">
      <alignment horizontal="center"/>
    </xf>
    <xf numFmtId="0" fontId="1" fillId="0" borderId="0" xfId="0" applyFont="1" applyFill="1"/>
    <xf numFmtId="167" fontId="0" fillId="0" borderId="0" xfId="0" applyNumberFormat="1" applyFill="1" applyAlignment="1">
      <alignment horizontal="right"/>
    </xf>
    <xf numFmtId="168" fontId="0" fillId="0" borderId="0" xfId="0" applyNumberFormat="1" applyFill="1"/>
    <xf numFmtId="3" fontId="0" fillId="0" borderId="0" xfId="0" applyNumberFormat="1" applyFill="1"/>
    <xf numFmtId="0" fontId="0" fillId="0" borderId="0" xfId="0" applyFill="1" applyBorder="1"/>
    <xf numFmtId="164" fontId="0" fillId="0" borderId="0" xfId="0" applyNumberFormat="1" applyFill="1" applyBorder="1"/>
    <xf numFmtId="0" fontId="18" fillId="0" borderId="0" xfId="0" applyFont="1" applyFill="1" applyBorder="1" applyAlignment="1">
      <alignment horizontal="centerContinuous"/>
    </xf>
    <xf numFmtId="164" fontId="16" fillId="0" borderId="0" xfId="0" applyNumberFormat="1" applyFont="1" applyFill="1" applyBorder="1" applyAlignment="1">
      <alignment horizontal="centerContinuous"/>
    </xf>
    <xf numFmtId="0" fontId="19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right"/>
    </xf>
    <xf numFmtId="169" fontId="7" fillId="0" borderId="0" xfId="1" applyNumberFormat="1" applyFont="1" applyFill="1" applyBorder="1"/>
    <xf numFmtId="169" fontId="20" fillId="0" borderId="0" xfId="1" applyNumberFormat="1" applyFont="1" applyFill="1" applyBorder="1"/>
    <xf numFmtId="169" fontId="4" fillId="0" borderId="0" xfId="1" applyNumberFormat="1" applyFont="1" applyFill="1" applyBorder="1"/>
    <xf numFmtId="0" fontId="2" fillId="0" borderId="0" xfId="0" applyFont="1" applyFill="1" applyAlignment="1">
      <alignment horizontal="centerContinuous"/>
    </xf>
    <xf numFmtId="0" fontId="14" fillId="0" borderId="0" xfId="0" applyFont="1" applyFill="1"/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  <xf numFmtId="14" fontId="13" fillId="0" borderId="0" xfId="0" applyNumberFormat="1" applyFont="1" applyFill="1" applyAlignment="1">
      <alignment horizontal="center"/>
    </xf>
    <xf numFmtId="166" fontId="0" fillId="0" borderId="0" xfId="1" applyNumberFormat="1" applyFont="1" applyFill="1" applyBorder="1"/>
    <xf numFmtId="43" fontId="1" fillId="2" borderId="0" xfId="1" applyFont="1" applyFill="1"/>
    <xf numFmtId="0" fontId="4" fillId="0" borderId="0" xfId="0" applyFont="1" applyFill="1" applyBorder="1" applyAlignment="1">
      <alignment horizontal="left"/>
    </xf>
    <xf numFmtId="43" fontId="0" fillId="0" borderId="0" xfId="0" applyNumberFormat="1" applyFill="1"/>
    <xf numFmtId="43" fontId="0" fillId="0" borderId="0" xfId="1" applyFont="1" applyFill="1" applyBorder="1"/>
    <xf numFmtId="0" fontId="0" fillId="0" borderId="0" xfId="0" applyNumberFormat="1" applyFont="1" applyFill="1" applyBorder="1" applyAlignment="1" applyProtection="1">
      <alignment vertical="center"/>
    </xf>
    <xf numFmtId="4" fontId="0" fillId="0" borderId="0" xfId="0" applyNumberFormat="1" applyFill="1" applyBorder="1"/>
    <xf numFmtId="0" fontId="1" fillId="0" borderId="0" xfId="5" applyFont="1" applyFill="1"/>
    <xf numFmtId="0" fontId="15" fillId="0" borderId="0" xfId="5" applyFont="1" applyFill="1" applyAlignment="1">
      <alignment horizontal="right"/>
    </xf>
    <xf numFmtId="0" fontId="15" fillId="0" borderId="0" xfId="5" applyFont="1" applyFill="1" applyAlignment="1" applyProtection="1">
      <alignment horizontal="right"/>
    </xf>
    <xf numFmtId="10" fontId="1" fillId="0" borderId="0" xfId="2" applyNumberFormat="1" applyFont="1" applyFill="1"/>
    <xf numFmtId="0" fontId="1" fillId="0" borderId="0" xfId="3" applyFont="1" applyFill="1" applyAlignment="1" applyProtection="1">
      <alignment horizontal="centerContinuous"/>
    </xf>
    <xf numFmtId="0" fontId="1" fillId="0" borderId="0" xfId="3" applyFont="1" applyFill="1" applyAlignment="1">
      <alignment horizontal="centerContinuous"/>
    </xf>
    <xf numFmtId="0" fontId="1" fillId="0" borderId="0" xfId="3" applyFont="1" applyFill="1"/>
    <xf numFmtId="0" fontId="4" fillId="0" borderId="0" xfId="3" applyFont="1" applyFill="1" applyAlignment="1">
      <alignment horizontal="center"/>
    </xf>
    <xf numFmtId="0" fontId="4" fillId="0" borderId="0" xfId="3" applyFont="1" applyFill="1" applyBorder="1" applyProtection="1"/>
    <xf numFmtId="0" fontId="4" fillId="0" borderId="8" xfId="3" applyFont="1" applyFill="1" applyBorder="1" applyAlignment="1" applyProtection="1">
      <alignment horizontal="center"/>
    </xf>
    <xf numFmtId="0" fontId="4" fillId="0" borderId="8" xfId="3" applyFont="1" applyFill="1" applyBorder="1" applyAlignment="1">
      <alignment horizontal="center"/>
    </xf>
    <xf numFmtId="0" fontId="1" fillId="0" borderId="3" xfId="3" applyFont="1" applyFill="1" applyBorder="1" applyAlignment="1" applyProtection="1">
      <alignment horizontal="center"/>
    </xf>
    <xf numFmtId="0" fontId="1" fillId="0" borderId="3" xfId="3" applyFont="1" applyFill="1" applyBorder="1" applyAlignment="1" applyProtection="1">
      <alignment horizontal="left"/>
    </xf>
    <xf numFmtId="37" fontId="1" fillId="0" borderId="3" xfId="3" applyNumberFormat="1" applyFont="1" applyFill="1" applyBorder="1" applyProtection="1"/>
    <xf numFmtId="0" fontId="1" fillId="0" borderId="0" xfId="3" applyFont="1" applyFill="1" applyBorder="1"/>
    <xf numFmtId="0" fontId="1" fillId="0" borderId="0" xfId="3" applyFont="1" applyFill="1" applyBorder="1" applyAlignment="1" applyProtection="1">
      <alignment horizontal="left"/>
    </xf>
    <xf numFmtId="37" fontId="1" fillId="0" borderId="0" xfId="3" applyNumberFormat="1" applyFont="1" applyFill="1" applyBorder="1" applyProtection="1"/>
    <xf numFmtId="0" fontId="1" fillId="0" borderId="14" xfId="3" applyFont="1" applyFill="1" applyBorder="1" applyAlignment="1" applyProtection="1">
      <alignment horizontal="center"/>
    </xf>
    <xf numFmtId="0" fontId="1" fillId="0" borderId="14" xfId="3" applyFont="1" applyFill="1" applyBorder="1" applyAlignment="1" applyProtection="1">
      <alignment horizontal="left"/>
    </xf>
    <xf numFmtId="37" fontId="1" fillId="0" borderId="14" xfId="3" applyNumberFormat="1" applyFont="1" applyFill="1" applyBorder="1" applyProtection="1"/>
    <xf numFmtId="0" fontId="3" fillId="0" borderId="0" xfId="3" applyFont="1" applyFill="1" applyBorder="1" applyAlignment="1" applyProtection="1">
      <alignment horizontal="right"/>
    </xf>
    <xf numFmtId="0" fontId="4" fillId="0" borderId="8" xfId="3" applyFont="1" applyFill="1" applyBorder="1" applyProtection="1"/>
    <xf numFmtId="0" fontId="1" fillId="0" borderId="8" xfId="3" applyFont="1" applyFill="1" applyBorder="1" applyProtection="1"/>
    <xf numFmtId="37" fontId="1" fillId="0" borderId="8" xfId="3" applyNumberFormat="1" applyFont="1" applyFill="1" applyBorder="1" applyProtection="1"/>
    <xf numFmtId="166" fontId="1" fillId="0" borderId="0" xfId="1" applyNumberFormat="1" applyFont="1" applyFill="1" applyBorder="1" applyProtection="1"/>
    <xf numFmtId="37" fontId="1" fillId="0" borderId="0" xfId="3" applyNumberFormat="1" applyFont="1" applyFill="1" applyBorder="1"/>
    <xf numFmtId="0" fontId="15" fillId="0" borderId="0" xfId="3" applyFont="1" applyFill="1" applyBorder="1" applyAlignment="1" applyProtection="1">
      <alignment horizontal="center"/>
    </xf>
    <xf numFmtId="0" fontId="15" fillId="0" borderId="0" xfId="3" applyFont="1" applyFill="1" applyBorder="1" applyAlignment="1">
      <alignment horizontal="center"/>
    </xf>
    <xf numFmtId="10" fontId="1" fillId="0" borderId="0" xfId="2" applyNumberFormat="1" applyFont="1" applyFill="1" applyBorder="1"/>
    <xf numFmtId="166" fontId="1" fillId="0" borderId="0" xfId="1" applyNumberFormat="1" applyFont="1" applyFill="1" applyBorder="1"/>
    <xf numFmtId="43" fontId="1" fillId="0" borderId="0" xfId="1" applyFont="1" applyFill="1" applyBorder="1"/>
    <xf numFmtId="0" fontId="4" fillId="0" borderId="0" xfId="5" applyFont="1" applyFill="1" applyAlignment="1" applyProtection="1">
      <alignment horizontal="centerContinuous"/>
    </xf>
    <xf numFmtId="0" fontId="1" fillId="0" borderId="0" xfId="5" applyFont="1" applyFill="1" applyAlignment="1" applyProtection="1">
      <alignment horizontal="centerContinuous"/>
    </xf>
    <xf numFmtId="0" fontId="1" fillId="0" borderId="0" xfId="5" applyFont="1" applyFill="1" applyAlignment="1">
      <alignment horizontal="centerContinuous"/>
    </xf>
    <xf numFmtId="0" fontId="1" fillId="0" borderId="0" xfId="5" applyFont="1" applyFill="1" applyAlignment="1">
      <alignment horizontal="center"/>
    </xf>
    <xf numFmtId="0" fontId="1" fillId="0" borderId="8" xfId="5" applyFont="1" applyFill="1" applyBorder="1" applyAlignment="1" applyProtection="1">
      <alignment horizontal="center"/>
    </xf>
    <xf numFmtId="0" fontId="1" fillId="0" borderId="8" xfId="5" applyFont="1" applyFill="1" applyBorder="1" applyAlignment="1">
      <alignment horizontal="center"/>
    </xf>
    <xf numFmtId="0" fontId="1" fillId="0" borderId="0" xfId="5" applyFont="1" applyFill="1" applyBorder="1" applyAlignment="1" applyProtection="1">
      <alignment horizontal="left"/>
    </xf>
    <xf numFmtId="37" fontId="1" fillId="0" borderId="0" xfId="5" applyNumberFormat="1" applyFont="1" applyFill="1" applyProtection="1"/>
    <xf numFmtId="0" fontId="4" fillId="0" borderId="0" xfId="0" applyFont="1" applyFill="1" applyAlignment="1">
      <alignment vertical="center"/>
    </xf>
    <xf numFmtId="0" fontId="1" fillId="0" borderId="0" xfId="0" applyFont="1" applyFill="1" applyBorder="1"/>
    <xf numFmtId="0" fontId="1" fillId="0" borderId="0" xfId="5" applyFont="1" applyFill="1" applyAlignment="1" applyProtection="1">
      <alignment horizontal="center"/>
    </xf>
    <xf numFmtId="0" fontId="1" fillId="0" borderId="0" xfId="5" applyFont="1" applyFill="1" applyBorder="1" applyProtection="1"/>
    <xf numFmtId="37" fontId="1" fillId="0" borderId="0" xfId="5" applyNumberFormat="1" applyFont="1" applyFill="1" applyBorder="1" applyProtection="1"/>
    <xf numFmtId="0" fontId="1" fillId="0" borderId="0" xfId="5" applyFont="1" applyFill="1" applyBorder="1"/>
    <xf numFmtId="0" fontId="15" fillId="0" borderId="0" xfId="5" applyFont="1" applyFill="1" applyAlignment="1" applyProtection="1">
      <alignment horizontal="left"/>
    </xf>
    <xf numFmtId="0" fontId="15" fillId="0" borderId="0" xfId="5" applyFont="1" applyFill="1" applyAlignment="1" applyProtection="1">
      <alignment horizontal="center"/>
    </xf>
    <xf numFmtId="0" fontId="1" fillId="0" borderId="0" xfId="0" applyFont="1" applyFill="1" applyAlignment="1">
      <alignment horizontal="centerContinuous"/>
    </xf>
    <xf numFmtId="0" fontId="4" fillId="0" borderId="0" xfId="0" quotePrefix="1" applyFont="1" applyFill="1" applyAlignment="1">
      <alignment horizontal="centerContinuous"/>
    </xf>
    <xf numFmtId="0" fontId="4" fillId="0" borderId="3" xfId="0" applyFont="1" applyFill="1" applyBorder="1"/>
    <xf numFmtId="0" fontId="4" fillId="0" borderId="3" xfId="0" applyFont="1" applyFill="1" applyBorder="1" applyAlignment="1">
      <alignment horizontal="center"/>
    </xf>
    <xf numFmtId="0" fontId="5" fillId="0" borderId="0" xfId="0" applyFont="1" applyFill="1" applyAlignment="1">
      <alignment vertical="center"/>
    </xf>
    <xf numFmtId="164" fontId="1" fillId="0" borderId="0" xfId="2" applyNumberFormat="1" applyFont="1" applyFill="1" applyBorder="1"/>
    <xf numFmtId="0" fontId="5" fillId="0" borderId="0" xfId="0" applyFont="1" applyFill="1" applyBorder="1" applyAlignment="1">
      <alignment vertical="center"/>
    </xf>
    <xf numFmtId="166" fontId="1" fillId="0" borderId="0" xfId="1" applyNumberFormat="1" applyFont="1" applyFill="1" applyBorder="1" applyAlignment="1">
      <alignment vertical="center"/>
    </xf>
    <xf numFmtId="166" fontId="1" fillId="0" borderId="3" xfId="1" applyNumberFormat="1" applyFont="1" applyFill="1" applyBorder="1"/>
    <xf numFmtId="166" fontId="4" fillId="0" borderId="0" xfId="1" applyNumberFormat="1" applyFont="1" applyFill="1" applyBorder="1"/>
    <xf numFmtId="0" fontId="15" fillId="0" borderId="0" xfId="0" applyFont="1" applyFill="1" applyBorder="1" applyAlignment="1">
      <alignment horizontal="right"/>
    </xf>
    <xf numFmtId="8" fontId="1" fillId="0" borderId="0" xfId="0" applyNumberFormat="1" applyFont="1" applyFill="1"/>
    <xf numFmtId="0" fontId="4" fillId="0" borderId="0" xfId="0" applyFont="1" applyFill="1" applyAlignment="1">
      <alignment horizontal="centerContinuous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10" fontId="4" fillId="0" borderId="0" xfId="2" applyNumberFormat="1" applyFont="1" applyFill="1" applyBorder="1" applyAlignment="1">
      <alignment vertical="center"/>
    </xf>
    <xf numFmtId="164" fontId="4" fillId="0" borderId="0" xfId="2" applyNumberFormat="1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right"/>
    </xf>
    <xf numFmtId="43" fontId="1" fillId="0" borderId="0" xfId="0" applyNumberFormat="1" applyFont="1" applyFill="1"/>
    <xf numFmtId="1" fontId="1" fillId="0" borderId="0" xfId="0" applyNumberFormat="1" applyFont="1" applyFill="1"/>
    <xf numFmtId="37" fontId="1" fillId="0" borderId="0" xfId="0" applyNumberFormat="1" applyFont="1" applyFill="1"/>
    <xf numFmtId="0" fontId="4" fillId="0" borderId="0" xfId="0" applyFont="1" applyFill="1" applyAlignment="1">
      <alignment horizontal="left"/>
    </xf>
    <xf numFmtId="10" fontId="4" fillId="0" borderId="0" xfId="2" applyNumberFormat="1" applyFont="1" applyFill="1"/>
    <xf numFmtId="0" fontId="0" fillId="0" borderId="0" xfId="0" applyFill="1" applyAlignment="1">
      <alignment horizontal="left"/>
    </xf>
    <xf numFmtId="0" fontId="6" fillId="0" borderId="0" xfId="0" applyFont="1" applyFill="1" applyAlignment="1">
      <alignment horizontal="left"/>
    </xf>
    <xf numFmtId="165" fontId="5" fillId="0" borderId="0" xfId="2" applyNumberFormat="1" applyFont="1" applyFill="1" applyAlignment="1">
      <alignment horizontal="left"/>
    </xf>
    <xf numFmtId="17" fontId="2" fillId="0" borderId="0" xfId="0" applyNumberFormat="1" applyFont="1" applyFill="1" applyAlignment="1">
      <alignment horizontal="centerContinuous"/>
    </xf>
    <xf numFmtId="0" fontId="9" fillId="0" borderId="0" xfId="0" applyFont="1" applyFill="1" applyAlignment="1">
      <alignment horizontal="centerContinuous"/>
    </xf>
    <xf numFmtId="0" fontId="4" fillId="0" borderId="4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166" fontId="0" fillId="0" borderId="0" xfId="1" applyNumberFormat="1" applyFont="1" applyFill="1"/>
    <xf numFmtId="166" fontId="0" fillId="0" borderId="2" xfId="1" applyNumberFormat="1" applyFont="1" applyFill="1" applyBorder="1"/>
    <xf numFmtId="0" fontId="10" fillId="0" borderId="0" xfId="0" applyFont="1" applyFill="1" applyAlignment="1">
      <alignment horizontal="center"/>
    </xf>
    <xf numFmtId="164" fontId="0" fillId="0" borderId="0" xfId="2" applyNumberFormat="1" applyFont="1" applyFill="1"/>
    <xf numFmtId="0" fontId="0" fillId="0" borderId="0" xfId="0" applyFont="1" applyAlignment="1">
      <alignment horizontal="centerContinuous"/>
    </xf>
    <xf numFmtId="0" fontId="0" fillId="0" borderId="0" xfId="0" applyFont="1" applyFill="1" applyAlignment="1">
      <alignment horizontal="centerContinuous"/>
    </xf>
    <xf numFmtId="0" fontId="0" fillId="0" borderId="0" xfId="0" applyFont="1" applyAlignment="1">
      <alignment horizontal="left"/>
    </xf>
    <xf numFmtId="0" fontId="0" fillId="0" borderId="0" xfId="0" applyFont="1" applyFill="1" applyAlignment="1">
      <alignment horizontal="left"/>
    </xf>
    <xf numFmtId="0" fontId="0" fillId="0" borderId="0" xfId="0" applyFont="1" applyFill="1" applyAlignment="1">
      <alignment horizontal="center"/>
    </xf>
    <xf numFmtId="164" fontId="0" fillId="0" borderId="0" xfId="2" applyNumberFormat="1" applyFont="1" applyFill="1" applyAlignment="1">
      <alignment horizontal="center"/>
    </xf>
    <xf numFmtId="164" fontId="0" fillId="0" borderId="0" xfId="0" applyNumberFormat="1" applyFont="1" applyFill="1" applyAlignment="1">
      <alignment horizontal="center"/>
    </xf>
    <xf numFmtId="164" fontId="0" fillId="0" borderId="0" xfId="0" applyNumberFormat="1" applyFont="1" applyFill="1" applyAlignment="1">
      <alignment horizontal="left"/>
    </xf>
    <xf numFmtId="165" fontId="0" fillId="0" borderId="0" xfId="2" applyNumberFormat="1" applyFont="1" applyFill="1" applyAlignment="1">
      <alignment horizontal="left"/>
    </xf>
    <xf numFmtId="166" fontId="0" fillId="0" borderId="0" xfId="1" applyNumberFormat="1" applyFont="1" applyFill="1" applyAlignment="1">
      <alignment horizontal="left"/>
    </xf>
    <xf numFmtId="0" fontId="4" fillId="0" borderId="0" xfId="0" applyFont="1" applyFill="1" applyAlignment="1">
      <alignment horizontal="center"/>
    </xf>
    <xf numFmtId="164" fontId="0" fillId="0" borderId="0" xfId="2" applyNumberFormat="1" applyFont="1" applyFill="1" applyAlignment="1">
      <alignment horizontal="left"/>
    </xf>
    <xf numFmtId="0" fontId="0" fillId="0" borderId="0" xfId="0" applyFont="1" applyFill="1"/>
    <xf numFmtId="0" fontId="0" fillId="0" borderId="2" xfId="0" applyFont="1" applyFill="1" applyBorder="1"/>
    <xf numFmtId="166" fontId="0" fillId="0" borderId="6" xfId="1" applyNumberFormat="1" applyFont="1" applyFill="1" applyBorder="1"/>
    <xf numFmtId="0" fontId="19" fillId="0" borderId="0" xfId="0" applyFont="1" applyFill="1" applyAlignment="1">
      <alignment horizontal="center"/>
    </xf>
    <xf numFmtId="164" fontId="19" fillId="0" borderId="0" xfId="2" applyNumberFormat="1" applyFont="1" applyFill="1" applyAlignment="1">
      <alignment horizontal="center"/>
    </xf>
    <xf numFmtId="164" fontId="0" fillId="0" borderId="0" xfId="0" applyNumberFormat="1" applyFont="1" applyFill="1"/>
    <xf numFmtId="166" fontId="0" fillId="0" borderId="0" xfId="0" applyNumberFormat="1" applyFont="1" applyFill="1"/>
    <xf numFmtId="166" fontId="0" fillId="0" borderId="3" xfId="0" applyNumberFormat="1" applyFont="1" applyFill="1" applyBorder="1"/>
    <xf numFmtId="166" fontId="0" fillId="0" borderId="3" xfId="1" applyNumberFormat="1" applyFont="1" applyFill="1" applyBorder="1"/>
    <xf numFmtId="164" fontId="0" fillId="0" borderId="3" xfId="2" applyNumberFormat="1" applyFont="1" applyFill="1" applyBorder="1"/>
    <xf numFmtId="166" fontId="0" fillId="0" borderId="0" xfId="0" applyNumberFormat="1" applyFont="1" applyFill="1" applyBorder="1"/>
    <xf numFmtId="164" fontId="0" fillId="0" borderId="0" xfId="2" applyNumberFormat="1" applyFont="1" applyFill="1" applyBorder="1"/>
    <xf numFmtId="164" fontId="4" fillId="0" borderId="7" xfId="0" applyNumberFormat="1" applyFont="1" applyFill="1" applyBorder="1"/>
    <xf numFmtId="0" fontId="4" fillId="0" borderId="11" xfId="4" applyFont="1" applyFill="1" applyBorder="1" applyProtection="1"/>
    <xf numFmtId="0" fontId="4" fillId="0" borderId="12" xfId="4" applyFont="1" applyFill="1" applyBorder="1" applyProtection="1"/>
    <xf numFmtId="164" fontId="4" fillId="0" borderId="12" xfId="4" applyNumberFormat="1" applyFont="1" applyFill="1" applyBorder="1" applyProtection="1"/>
    <xf numFmtId="164" fontId="4" fillId="0" borderId="13" xfId="4" applyNumberFormat="1" applyFont="1" applyFill="1" applyBorder="1" applyProtection="1"/>
    <xf numFmtId="0" fontId="21" fillId="0" borderId="0" xfId="0" quotePrefix="1" applyFont="1" applyFill="1" applyAlignment="1">
      <alignment horizontal="centerContinuous"/>
    </xf>
    <xf numFmtId="0" fontId="21" fillId="0" borderId="0" xfId="0" applyFont="1" applyFill="1" applyAlignment="1">
      <alignment horizontal="center"/>
    </xf>
    <xf numFmtId="0" fontId="4" fillId="0" borderId="0" xfId="4" applyFont="1" applyFill="1" applyAlignment="1" applyProtection="1">
      <alignment horizontal="left"/>
    </xf>
    <xf numFmtId="166" fontId="1" fillId="0" borderId="0" xfId="1" applyNumberFormat="1" applyFont="1" applyFill="1" applyBorder="1" applyAlignment="1" applyProtection="1">
      <alignment horizontal="center"/>
    </xf>
    <xf numFmtId="0" fontId="1" fillId="0" borderId="0" xfId="4" applyFont="1" applyFill="1" applyAlignment="1" applyProtection="1">
      <alignment horizontal="left"/>
    </xf>
    <xf numFmtId="0" fontId="14" fillId="0" borderId="0" xfId="0" applyFont="1" applyFill="1" applyAlignment="1">
      <alignment horizontal="left"/>
    </xf>
    <xf numFmtId="0" fontId="1" fillId="0" borderId="0" xfId="4" applyFont="1" applyFill="1" applyAlignment="1">
      <alignment horizontal="left"/>
    </xf>
    <xf numFmtId="38" fontId="0" fillId="0" borderId="0" xfId="0" applyNumberFormat="1" applyFont="1" applyFill="1"/>
    <xf numFmtId="166" fontId="22" fillId="0" borderId="0" xfId="1" applyNumberFormat="1" applyFont="1" applyFill="1" applyBorder="1" applyAlignment="1" applyProtection="1">
      <alignment horizontal="center"/>
    </xf>
    <xf numFmtId="164" fontId="0" fillId="0" borderId="14" xfId="0" applyNumberFormat="1" applyFont="1" applyFill="1" applyBorder="1"/>
    <xf numFmtId="164" fontId="0" fillId="0" borderId="5" xfId="0" applyNumberFormat="1" applyFont="1" applyFill="1" applyBorder="1"/>
    <xf numFmtId="3" fontId="0" fillId="0" borderId="0" xfId="0" applyNumberFormat="1" applyFont="1" applyFill="1" applyAlignment="1">
      <alignment horizontal="center"/>
    </xf>
    <xf numFmtId="164" fontId="0" fillId="0" borderId="7" xfId="0" applyNumberFormat="1" applyFont="1" applyFill="1" applyBorder="1"/>
    <xf numFmtId="10" fontId="4" fillId="0" borderId="0" xfId="2" applyNumberFormat="1" applyFont="1" applyFill="1" applyBorder="1"/>
    <xf numFmtId="164" fontId="4" fillId="0" borderId="0" xfId="2" applyNumberFormat="1" applyFont="1" applyFill="1" applyBorder="1"/>
    <xf numFmtId="0" fontId="0" fillId="0" borderId="0" xfId="0" applyFont="1" applyFill="1" applyBorder="1"/>
    <xf numFmtId="37" fontId="0" fillId="0" borderId="0" xfId="1" applyNumberFormat="1" applyFont="1" applyFill="1" applyBorder="1"/>
    <xf numFmtId="43" fontId="0" fillId="0" borderId="0" xfId="0" applyNumberFormat="1" applyFont="1" applyFill="1"/>
    <xf numFmtId="0" fontId="0" fillId="0" borderId="3" xfId="0" applyFont="1" applyFill="1" applyBorder="1"/>
    <xf numFmtId="0" fontId="0" fillId="0" borderId="3" xfId="0" applyFont="1" applyFill="1" applyBorder="1" applyAlignment="1">
      <alignment horizontal="center"/>
    </xf>
    <xf numFmtId="37" fontId="0" fillId="0" borderId="0" xfId="0" applyNumberFormat="1" applyFont="1" applyFill="1" applyBorder="1"/>
    <xf numFmtId="3" fontId="0" fillId="0" borderId="0" xfId="0" applyNumberFormat="1" applyFont="1" applyFill="1" applyBorder="1"/>
    <xf numFmtId="0" fontId="0" fillId="0" borderId="0" xfId="5" applyFont="1" applyFill="1"/>
    <xf numFmtId="0" fontId="0" fillId="0" borderId="0" xfId="4" applyFont="1" applyFill="1"/>
    <xf numFmtId="10" fontId="0" fillId="0" borderId="0" xfId="2" applyNumberFormat="1" applyFont="1" applyFill="1"/>
    <xf numFmtId="0" fontId="0" fillId="0" borderId="0" xfId="4" applyFont="1" applyFill="1" applyAlignment="1" applyProtection="1">
      <alignment horizontal="left"/>
    </xf>
    <xf numFmtId="0" fontId="4" fillId="0" borderId="0" xfId="5" applyFont="1" applyFill="1"/>
    <xf numFmtId="10" fontId="4" fillId="0" borderId="0" xfId="2" applyNumberFormat="1" applyFont="1" applyFill="1" applyBorder="1" applyProtection="1"/>
    <xf numFmtId="164" fontId="4" fillId="0" borderId="0" xfId="2" applyNumberFormat="1" applyFont="1" applyFill="1" applyBorder="1" applyProtection="1"/>
    <xf numFmtId="164" fontId="4" fillId="0" borderId="0" xfId="3" applyNumberFormat="1" applyFont="1" applyFill="1" applyBorder="1" applyProtection="1"/>
    <xf numFmtId="37" fontId="1" fillId="0" borderId="14" xfId="5" applyNumberFormat="1" applyFont="1" applyFill="1" applyBorder="1" applyProtection="1"/>
    <xf numFmtId="37" fontId="1" fillId="0" borderId="3" xfId="5" applyNumberFormat="1" applyFont="1" applyFill="1" applyBorder="1" applyProtection="1"/>
    <xf numFmtId="0" fontId="21" fillId="0" borderId="0" xfId="0" applyFont="1" applyFill="1" applyAlignment="1">
      <alignment horizontal="right"/>
    </xf>
    <xf numFmtId="0" fontId="4" fillId="0" borderId="0" xfId="5" applyFont="1" applyFill="1" applyBorder="1" applyAlignment="1" applyProtection="1">
      <alignment horizontal="left"/>
    </xf>
    <xf numFmtId="0" fontId="4" fillId="0" borderId="0" xfId="5" applyFont="1" applyFill="1" applyBorder="1" applyAlignment="1">
      <alignment horizontal="left"/>
    </xf>
    <xf numFmtId="37" fontId="1" fillId="0" borderId="0" xfId="1" applyNumberFormat="1" applyFont="1" applyFill="1" applyBorder="1" applyAlignment="1" applyProtection="1">
      <alignment horizontal="right"/>
    </xf>
    <xf numFmtId="166" fontId="1" fillId="0" borderId="0" xfId="1" applyNumberFormat="1" applyFont="1" applyFill="1" applyBorder="1" applyAlignment="1" applyProtection="1">
      <alignment horizontal="right"/>
    </xf>
    <xf numFmtId="0" fontId="0" fillId="0" borderId="0" xfId="0" applyFont="1" applyFill="1" applyAlignment="1">
      <alignment vertical="center"/>
    </xf>
    <xf numFmtId="0" fontId="0" fillId="0" borderId="0" xfId="0" applyFont="1" applyFill="1" applyBorder="1" applyAlignment="1">
      <alignment vertical="center"/>
    </xf>
    <xf numFmtId="166" fontId="0" fillId="0" borderId="0" xfId="1" applyNumberFormat="1" applyFont="1" applyFill="1" applyBorder="1" applyAlignment="1" applyProtection="1">
      <alignment vertical="center"/>
    </xf>
    <xf numFmtId="0" fontId="0" fillId="0" borderId="0" xfId="0" applyFont="1" applyFill="1" applyBorder="1" applyAlignment="1">
      <alignment horizontal="left"/>
    </xf>
    <xf numFmtId="10" fontId="0" fillId="0" borderId="0" xfId="2" applyNumberFormat="1" applyFont="1" applyFill="1" applyBorder="1"/>
    <xf numFmtId="166" fontId="0" fillId="0" borderId="0" xfId="1" applyNumberFormat="1" applyFont="1" applyFill="1" applyBorder="1" applyAlignment="1">
      <alignment vertical="center"/>
    </xf>
    <xf numFmtId="0" fontId="0" fillId="0" borderId="3" xfId="0" applyFont="1" applyFill="1" applyBorder="1" applyAlignment="1">
      <alignment vertical="center"/>
    </xf>
    <xf numFmtId="0" fontId="23" fillId="0" borderId="0" xfId="0" applyFont="1" applyFill="1" applyAlignment="1">
      <alignment horizontal="centerContinuous"/>
    </xf>
    <xf numFmtId="166" fontId="0" fillId="0" borderId="0" xfId="1" applyNumberFormat="1" applyFont="1" applyFill="1" applyAlignment="1">
      <alignment horizontal="centerContinuous"/>
    </xf>
    <xf numFmtId="43" fontId="0" fillId="0" borderId="3" xfId="1" applyFont="1" applyFill="1" applyBorder="1"/>
    <xf numFmtId="0" fontId="0" fillId="0" borderId="0" xfId="0" applyFont="1" applyFill="1" applyBorder="1" applyAlignment="1">
      <alignment horizontal="left" vertical="center"/>
    </xf>
    <xf numFmtId="37" fontId="0" fillId="0" borderId="0" xfId="1" applyNumberFormat="1" applyFont="1" applyFill="1"/>
    <xf numFmtId="3" fontId="0" fillId="0" borderId="0" xfId="1" applyNumberFormat="1" applyFont="1" applyFill="1"/>
    <xf numFmtId="43" fontId="0" fillId="0" borderId="0" xfId="0" applyNumberFormat="1" applyFont="1" applyFill="1" applyBorder="1"/>
    <xf numFmtId="37" fontId="1" fillId="0" borderId="3" xfId="0" applyNumberFormat="1" applyFont="1" applyFill="1" applyBorder="1"/>
  </cellXfs>
  <cellStyles count="6">
    <cellStyle name="Comma" xfId="1" builtinId="3"/>
    <cellStyle name="Normal" xfId="0" builtinId="0"/>
    <cellStyle name="Normal_G-FACT" xfId="3"/>
    <cellStyle name="Normal_GP-FACT" xfId="4"/>
    <cellStyle name="Normal_I-FACT" xfId="5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M76"/>
  <sheetViews>
    <sheetView tabSelected="1" view="pageBreakPreview" zoomScale="60" zoomScaleNormal="75" workbookViewId="0"/>
  </sheetViews>
  <sheetFormatPr defaultRowHeight="12.75"/>
  <cols>
    <col min="1" max="1" width="15.5703125" style="2" bestFit="1" customWidth="1"/>
    <col min="2" max="2" width="39.85546875" style="2" bestFit="1" customWidth="1"/>
    <col min="3" max="8" width="13.7109375" style="4" customWidth="1"/>
    <col min="9" max="9" width="10" style="2" bestFit="1" customWidth="1"/>
    <col min="10" max="16384" width="9.140625" style="2"/>
  </cols>
  <sheetData>
    <row r="1" spans="1:13" ht="15" customHeight="1">
      <c r="A1" s="3" t="s">
        <v>0</v>
      </c>
      <c r="B1" s="177"/>
      <c r="C1" s="178"/>
      <c r="D1" s="178"/>
      <c r="E1" s="178"/>
      <c r="F1" s="178"/>
      <c r="G1" s="178"/>
      <c r="H1" s="178"/>
      <c r="I1" s="179"/>
      <c r="J1" s="179"/>
      <c r="K1" s="179"/>
    </row>
    <row r="2" spans="1:13" ht="15" customHeight="1">
      <c r="A2" s="3" t="s">
        <v>1</v>
      </c>
      <c r="B2" s="177"/>
      <c r="C2" s="178"/>
      <c r="D2" s="178"/>
      <c r="E2" s="178"/>
      <c r="F2" s="178"/>
      <c r="G2" s="178"/>
      <c r="H2" s="178"/>
      <c r="I2" s="179"/>
      <c r="J2" s="179"/>
      <c r="K2" s="179"/>
    </row>
    <row r="3" spans="1:13" ht="15" customHeight="1">
      <c r="A3" s="3" t="s">
        <v>2</v>
      </c>
      <c r="B3" s="3"/>
      <c r="C3" s="3"/>
      <c r="D3" s="3"/>
      <c r="E3" s="3"/>
      <c r="F3" s="3"/>
      <c r="G3" s="3"/>
      <c r="H3" s="3"/>
      <c r="I3" s="179"/>
      <c r="J3" s="179"/>
      <c r="K3" s="179"/>
    </row>
    <row r="4" spans="1:13" ht="15" customHeight="1">
      <c r="A4" s="180"/>
      <c r="B4" s="180"/>
      <c r="C4" s="181"/>
      <c r="D4" s="181"/>
      <c r="E4" s="181"/>
      <c r="F4" s="181"/>
      <c r="G4" s="181"/>
      <c r="H4" s="5"/>
      <c r="I4" s="180"/>
      <c r="J4" s="180"/>
      <c r="K4" s="180"/>
      <c r="L4" s="166"/>
      <c r="M4" s="166"/>
    </row>
    <row r="5" spans="1:13" ht="15" customHeight="1">
      <c r="A5" s="180"/>
      <c r="B5" s="180"/>
      <c r="C5" s="181"/>
      <c r="D5" s="181"/>
      <c r="E5" s="181"/>
      <c r="F5" s="181"/>
      <c r="G5" s="181"/>
      <c r="H5" s="5"/>
      <c r="I5" s="180"/>
      <c r="J5" s="180"/>
      <c r="K5" s="180"/>
      <c r="L5" s="166"/>
      <c r="M5" s="166"/>
    </row>
    <row r="6" spans="1:13" ht="15" customHeight="1" thickBot="1">
      <c r="A6" s="6" t="s">
        <v>3</v>
      </c>
      <c r="B6" s="6" t="s">
        <v>4</v>
      </c>
      <c r="C6" s="6" t="s">
        <v>5</v>
      </c>
      <c r="D6" s="6" t="s">
        <v>6</v>
      </c>
      <c r="E6" s="6" t="s">
        <v>7</v>
      </c>
      <c r="F6" s="6" t="s">
        <v>8</v>
      </c>
      <c r="G6" s="6" t="s">
        <v>9</v>
      </c>
      <c r="H6" s="6" t="s">
        <v>10</v>
      </c>
      <c r="I6" s="180"/>
      <c r="J6" s="180"/>
      <c r="K6" s="180"/>
      <c r="L6" s="166"/>
      <c r="M6" s="166"/>
    </row>
    <row r="7" spans="1:13" s="7" customFormat="1" ht="15" customHeight="1">
      <c r="A7" s="180" t="s">
        <v>11</v>
      </c>
      <c r="B7" s="180" t="s">
        <v>12</v>
      </c>
      <c r="C7" s="182">
        <f>ACCUMDIT!D50</f>
        <v>0.50051217242533708</v>
      </c>
      <c r="D7" s="182">
        <f>ACCUMDIT!E50</f>
        <v>0.25541472090120365</v>
      </c>
      <c r="E7" s="182">
        <f>ACCUMDIT!F50</f>
        <v>0.24322755506592161</v>
      </c>
      <c r="F7" s="182">
        <f>ACCUMDIT!G50</f>
        <v>8.4555160753763451E-4</v>
      </c>
      <c r="G7" s="182">
        <f>ACCUMDIT!H50</f>
        <v>0</v>
      </c>
      <c r="H7" s="183">
        <f t="shared" ref="H7:H32" si="0">ROUND(SUM(C7:G7),4)</f>
        <v>1</v>
      </c>
      <c r="I7" s="180"/>
      <c r="J7" s="184"/>
      <c r="K7" s="180"/>
      <c r="L7" s="167"/>
      <c r="M7" s="167"/>
    </row>
    <row r="8" spans="1:13" s="7" customFormat="1" ht="15" customHeight="1">
      <c r="A8" s="180" t="s">
        <v>13</v>
      </c>
      <c r="B8" s="180" t="s">
        <v>14</v>
      </c>
      <c r="C8" s="182">
        <f>BOOKDPR!C13</f>
        <v>0.61017008240441706</v>
      </c>
      <c r="D8" s="182">
        <f>BOOKDPR!D13</f>
        <v>0.16249976361455754</v>
      </c>
      <c r="E8" s="182">
        <f>BOOKDPR!E13</f>
        <v>0.22574726414647472</v>
      </c>
      <c r="F8" s="182">
        <f>BOOKDPR!F13</f>
        <v>1.5828898345506559E-3</v>
      </c>
      <c r="G8" s="182">
        <f>BOOKDPR!G13</f>
        <v>0</v>
      </c>
      <c r="H8" s="183">
        <f t="shared" si="0"/>
        <v>1</v>
      </c>
      <c r="I8" s="180"/>
      <c r="J8" s="184"/>
      <c r="K8" s="180"/>
      <c r="L8" s="167"/>
      <c r="M8" s="167"/>
    </row>
    <row r="9" spans="1:13" s="7" customFormat="1" ht="15" customHeight="1">
      <c r="A9" s="180" t="s">
        <v>15</v>
      </c>
      <c r="B9" s="180" t="s">
        <v>16</v>
      </c>
      <c r="C9" s="182">
        <v>0</v>
      </c>
      <c r="D9" s="182">
        <v>0</v>
      </c>
      <c r="E9" s="182">
        <v>0</v>
      </c>
      <c r="F9" s="182">
        <v>0</v>
      </c>
      <c r="G9" s="182">
        <v>0</v>
      </c>
      <c r="H9" s="183">
        <f t="shared" si="0"/>
        <v>0</v>
      </c>
      <c r="I9" s="180"/>
      <c r="J9" s="184"/>
      <c r="K9" s="180"/>
      <c r="L9" s="167"/>
      <c r="M9" s="167"/>
    </row>
    <row r="10" spans="1:13" s="7" customFormat="1" ht="15" customHeight="1">
      <c r="A10" s="180" t="s">
        <v>8</v>
      </c>
      <c r="B10" s="180" t="s">
        <v>17</v>
      </c>
      <c r="C10" s="182">
        <v>0</v>
      </c>
      <c r="D10" s="182">
        <v>0</v>
      </c>
      <c r="E10" s="182">
        <v>0</v>
      </c>
      <c r="F10" s="182">
        <v>1</v>
      </c>
      <c r="G10" s="182">
        <v>0</v>
      </c>
      <c r="H10" s="183">
        <f t="shared" si="0"/>
        <v>1</v>
      </c>
      <c r="I10" s="180"/>
      <c r="J10" s="184"/>
      <c r="K10" s="180"/>
      <c r="L10" s="167"/>
      <c r="M10" s="167"/>
    </row>
    <row r="11" spans="1:13" s="7" customFormat="1" ht="15" customHeight="1">
      <c r="A11" s="180" t="s">
        <v>18</v>
      </c>
      <c r="B11" s="180" t="s">
        <v>19</v>
      </c>
      <c r="C11" s="182">
        <f>'REGASS&amp;DDS'!F34</f>
        <v>0.90849365205457666</v>
      </c>
      <c r="D11" s="182">
        <f>'REGASS&amp;DDS'!G34</f>
        <v>-1.3347584862696776E-2</v>
      </c>
      <c r="E11" s="182">
        <f>'REGASS&amp;DDS'!H34</f>
        <v>-5.1591529009654066E-2</v>
      </c>
      <c r="F11" s="182">
        <f>'REGASS&amp;DDS'!I34</f>
        <v>0.15648236130491913</v>
      </c>
      <c r="G11" s="182">
        <f>'REGASS&amp;DDS'!J34</f>
        <v>-3.689948714486818E-5</v>
      </c>
      <c r="H11" s="183">
        <f t="shared" si="0"/>
        <v>1</v>
      </c>
      <c r="I11" s="180"/>
      <c r="J11" s="184"/>
      <c r="K11" s="180"/>
      <c r="L11" s="167"/>
      <c r="M11" s="167"/>
    </row>
    <row r="12" spans="1:13" s="7" customFormat="1" ht="15" customHeight="1">
      <c r="A12" s="180" t="s">
        <v>20</v>
      </c>
      <c r="B12" s="180" t="s">
        <v>19</v>
      </c>
      <c r="C12" s="182">
        <v>0</v>
      </c>
      <c r="D12" s="182">
        <v>0</v>
      </c>
      <c r="E12" s="182">
        <v>0</v>
      </c>
      <c r="F12" s="182">
        <v>0</v>
      </c>
      <c r="G12" s="182">
        <v>0</v>
      </c>
      <c r="H12" s="183">
        <f t="shared" si="0"/>
        <v>0</v>
      </c>
      <c r="I12" s="180"/>
      <c r="J12" s="184"/>
      <c r="K12" s="180"/>
      <c r="L12" s="167"/>
      <c r="M12" s="167"/>
    </row>
    <row r="13" spans="1:13" s="7" customFormat="1" ht="15" customHeight="1">
      <c r="A13" s="180" t="s">
        <v>21</v>
      </c>
      <c r="B13" s="180" t="s">
        <v>22</v>
      </c>
      <c r="C13" s="182">
        <f>'REGASS&amp;DDS'!F33</f>
        <v>0.43999489702851513</v>
      </c>
      <c r="D13" s="182">
        <f>'REGASS&amp;DDS'!G33</f>
        <v>8.4927081772851271E-2</v>
      </c>
      <c r="E13" s="182">
        <f>'REGASS&amp;DDS'!H33</f>
        <v>0.33728111879397277</v>
      </c>
      <c r="F13" s="182">
        <f>'REGASS&amp;DDS'!I33</f>
        <v>0.13114189740349766</v>
      </c>
      <c r="G13" s="182">
        <f>'REGASS&amp;DDS'!J33</f>
        <v>6.6550050011633111E-3</v>
      </c>
      <c r="H13" s="183">
        <f t="shared" si="0"/>
        <v>1</v>
      </c>
      <c r="I13" s="180"/>
      <c r="J13" s="184"/>
      <c r="K13" s="180"/>
      <c r="L13" s="167"/>
      <c r="M13" s="167"/>
    </row>
    <row r="14" spans="1:13" s="8" customFormat="1" ht="15" customHeight="1">
      <c r="A14" s="180" t="s">
        <v>23</v>
      </c>
      <c r="B14" s="180" t="s">
        <v>22</v>
      </c>
      <c r="C14" s="182">
        <f>IF('REGASS&amp;DDS'!F54=0,0,'REGASS&amp;DDS'!F54)</f>
        <v>0</v>
      </c>
      <c r="D14" s="182">
        <f>'REGASS&amp;DDS'!G54</f>
        <v>0</v>
      </c>
      <c r="E14" s="182">
        <f>'REGASS&amp;DDS'!H54</f>
        <v>0</v>
      </c>
      <c r="F14" s="182">
        <f>'REGASS&amp;DDS'!I54</f>
        <v>0</v>
      </c>
      <c r="G14" s="182">
        <f>'REGASS&amp;DDS'!J54</f>
        <v>1</v>
      </c>
      <c r="H14" s="183">
        <f t="shared" si="0"/>
        <v>1</v>
      </c>
      <c r="I14" s="185"/>
      <c r="J14" s="185"/>
      <c r="K14" s="185"/>
      <c r="L14" s="168"/>
      <c r="M14" s="9"/>
    </row>
    <row r="15" spans="1:13" s="9" customFormat="1" ht="15" customHeight="1">
      <c r="A15" s="180" t="s">
        <v>24</v>
      </c>
      <c r="B15" s="180" t="s">
        <v>25</v>
      </c>
      <c r="C15" s="182">
        <f>'REGASS&amp;DDS'!F53</f>
        <v>0.78485486149722328</v>
      </c>
      <c r="D15" s="182">
        <f>'REGASS&amp;DDS'!G53</f>
        <v>0.21514513850277672</v>
      </c>
      <c r="E15" s="182">
        <f>'REGASS&amp;DDS'!H53</f>
        <v>0</v>
      </c>
      <c r="F15" s="182">
        <f>'REGASS&amp;DDS'!I53</f>
        <v>0</v>
      </c>
      <c r="G15" s="182">
        <f>'REGASS&amp;DDS'!J53</f>
        <v>0</v>
      </c>
      <c r="H15" s="183">
        <f t="shared" si="0"/>
        <v>1</v>
      </c>
      <c r="I15" s="180"/>
      <c r="J15" s="184"/>
      <c r="K15" s="180"/>
    </row>
    <row r="16" spans="1:13" s="8" customFormat="1" ht="15" customHeight="1">
      <c r="A16" s="180" t="s">
        <v>9</v>
      </c>
      <c r="B16" s="180" t="s">
        <v>26</v>
      </c>
      <c r="C16" s="182">
        <v>0</v>
      </c>
      <c r="D16" s="182">
        <v>0</v>
      </c>
      <c r="E16" s="182">
        <v>0</v>
      </c>
      <c r="F16" s="182">
        <v>0</v>
      </c>
      <c r="G16" s="182">
        <v>1</v>
      </c>
      <c r="H16" s="183">
        <f t="shared" si="0"/>
        <v>1</v>
      </c>
      <c r="I16" s="180"/>
      <c r="J16" s="184"/>
      <c r="K16" s="180"/>
      <c r="L16" s="9"/>
      <c r="M16" s="9"/>
    </row>
    <row r="17" spans="1:13" s="8" customFormat="1" ht="15" customHeight="1">
      <c r="A17" s="180" t="s">
        <v>7</v>
      </c>
      <c r="B17" s="180" t="s">
        <v>27</v>
      </c>
      <c r="C17" s="182">
        <f>'FORM 1'!C15</f>
        <v>0</v>
      </c>
      <c r="D17" s="182">
        <f>'FORM 1'!D15</f>
        <v>0</v>
      </c>
      <c r="E17" s="182">
        <f>'FORM 1'!E15</f>
        <v>1</v>
      </c>
      <c r="F17" s="182">
        <f>'FORM 1'!F15</f>
        <v>0</v>
      </c>
      <c r="G17" s="182">
        <f>'FORM 1'!G15</f>
        <v>0</v>
      </c>
      <c r="H17" s="183">
        <f t="shared" si="0"/>
        <v>1</v>
      </c>
      <c r="I17" s="180"/>
      <c r="J17" s="184"/>
      <c r="K17" s="180"/>
      <c r="L17" s="9"/>
      <c r="M17" s="9"/>
    </row>
    <row r="18" spans="1:13" s="8" customFormat="1" ht="15" customHeight="1">
      <c r="A18" s="180" t="s">
        <v>28</v>
      </c>
      <c r="B18" s="180" t="s">
        <v>29</v>
      </c>
      <c r="C18" s="182">
        <v>0.3</v>
      </c>
      <c r="D18" s="182">
        <v>0.1</v>
      </c>
      <c r="E18" s="182">
        <v>0.6</v>
      </c>
      <c r="F18" s="182">
        <v>0</v>
      </c>
      <c r="G18" s="182">
        <v>0</v>
      </c>
      <c r="H18" s="183">
        <f t="shared" si="0"/>
        <v>1</v>
      </c>
      <c r="I18" s="180"/>
      <c r="J18" s="184"/>
      <c r="K18" s="180"/>
      <c r="L18" s="9"/>
      <c r="M18" s="9"/>
    </row>
    <row r="19" spans="1:13" s="8" customFormat="1" ht="15" customHeight="1">
      <c r="A19" s="180" t="s">
        <v>30</v>
      </c>
      <c r="B19" s="180" t="s">
        <v>31</v>
      </c>
      <c r="C19" s="182">
        <f>'FORM 1'!C39</f>
        <v>0.48138318549005943</v>
      </c>
      <c r="D19" s="182">
        <f>'FORM 1'!D39</f>
        <v>0.51861681450994057</v>
      </c>
      <c r="E19" s="182">
        <f>'FORM 1'!E39</f>
        <v>0</v>
      </c>
      <c r="F19" s="182">
        <f>'FORM 1'!F39</f>
        <v>0</v>
      </c>
      <c r="G19" s="182">
        <f>'FORM 1'!G39</f>
        <v>0</v>
      </c>
      <c r="H19" s="183">
        <f t="shared" si="0"/>
        <v>1</v>
      </c>
      <c r="I19" s="180"/>
      <c r="J19" s="184"/>
      <c r="K19" s="180"/>
      <c r="L19" s="9"/>
      <c r="M19" s="9"/>
    </row>
    <row r="20" spans="1:13" s="8" customFormat="1" ht="15" customHeight="1">
      <c r="A20" s="180" t="s">
        <v>32</v>
      </c>
      <c r="B20" s="180" t="s">
        <v>33</v>
      </c>
      <c r="C20" s="182">
        <f>GP!E38</f>
        <v>0.216069683761582</v>
      </c>
      <c r="D20" s="182">
        <f>GP!F38</f>
        <v>0.35141454542449407</v>
      </c>
      <c r="E20" s="182">
        <f>GP!G38</f>
        <v>0.41627087625970161</v>
      </c>
      <c r="F20" s="182">
        <f>GP!H38</f>
        <v>1.6244894554222143E-2</v>
      </c>
      <c r="G20" s="182">
        <f>GP!I38</f>
        <v>0</v>
      </c>
      <c r="H20" s="183">
        <f t="shared" si="0"/>
        <v>1</v>
      </c>
      <c r="I20" s="180"/>
      <c r="J20" s="184"/>
      <c r="K20" s="180"/>
      <c r="L20" s="9"/>
      <c r="M20" s="9"/>
    </row>
    <row r="21" spans="1:13" s="9" customFormat="1" ht="15" customHeight="1">
      <c r="A21" s="180" t="s">
        <v>34</v>
      </c>
      <c r="B21" s="180" t="s">
        <v>35</v>
      </c>
      <c r="C21" s="182">
        <f>+C70</f>
        <v>0.66684527405984551</v>
      </c>
      <c r="D21" s="182">
        <f>+D70</f>
        <v>0.33315472594015438</v>
      </c>
      <c r="E21" s="182">
        <f>+E70</f>
        <v>0</v>
      </c>
      <c r="F21" s="182">
        <f>+F70</f>
        <v>0</v>
      </c>
      <c r="G21" s="182">
        <f>+G70</f>
        <v>0</v>
      </c>
      <c r="H21" s="183">
        <f t="shared" si="0"/>
        <v>1</v>
      </c>
      <c r="I21" s="180"/>
      <c r="J21" s="184"/>
      <c r="K21" s="180"/>
    </row>
    <row r="22" spans="1:13" s="9" customFormat="1" ht="15" customHeight="1">
      <c r="A22" s="180" t="s">
        <v>36</v>
      </c>
      <c r="B22" s="180" t="s">
        <v>37</v>
      </c>
      <c r="C22" s="182">
        <f>+C21</f>
        <v>0.66684527405984551</v>
      </c>
      <c r="D22" s="182">
        <f>+D21</f>
        <v>0.33315472594015438</v>
      </c>
      <c r="E22" s="182">
        <f>+E21</f>
        <v>0</v>
      </c>
      <c r="F22" s="182">
        <f>+F21</f>
        <v>0</v>
      </c>
      <c r="G22" s="182">
        <f>+G21</f>
        <v>0</v>
      </c>
      <c r="H22" s="183">
        <f t="shared" si="0"/>
        <v>1</v>
      </c>
      <c r="I22" s="180"/>
      <c r="J22" s="184"/>
      <c r="K22" s="180"/>
    </row>
    <row r="23" spans="1:13" s="8" customFormat="1" ht="15" customHeight="1">
      <c r="A23" s="180" t="s">
        <v>38</v>
      </c>
      <c r="B23" s="180" t="s">
        <v>39</v>
      </c>
      <c r="C23" s="182">
        <f>'GROSS PLANT'!E42</f>
        <v>0.48154657080982766</v>
      </c>
      <c r="D23" s="182">
        <f>'GROSS PLANT'!F42</f>
        <v>0.24559518347635353</v>
      </c>
      <c r="E23" s="182">
        <f>'GROSS PLANT'!G42</f>
        <v>0.26676758893671609</v>
      </c>
      <c r="F23" s="182">
        <f>'GROSS PLANT'!H42</f>
        <v>6.0906567771025506E-3</v>
      </c>
      <c r="G23" s="182">
        <f>'GROSS PLANT'!I42</f>
        <v>0</v>
      </c>
      <c r="H23" s="183">
        <f t="shared" si="0"/>
        <v>1</v>
      </c>
      <c r="I23" s="180"/>
      <c r="J23" s="184"/>
      <c r="K23" s="180"/>
      <c r="L23" s="9"/>
      <c r="M23" s="9"/>
    </row>
    <row r="24" spans="1:13" s="8" customFormat="1" ht="15" customHeight="1">
      <c r="A24" s="180" t="s">
        <v>40</v>
      </c>
      <c r="B24" s="180" t="s">
        <v>41</v>
      </c>
      <c r="C24" s="182">
        <f>GP!E34</f>
        <v>0.42123712640909999</v>
      </c>
      <c r="D24" s="182">
        <f>GP!F34</f>
        <v>0.57876287359089995</v>
      </c>
      <c r="E24" s="182">
        <f>GP!G34</f>
        <v>0</v>
      </c>
      <c r="F24" s="182">
        <f>GP!H34</f>
        <v>0</v>
      </c>
      <c r="G24" s="182">
        <f>GP!I34</f>
        <v>0</v>
      </c>
      <c r="H24" s="183">
        <f t="shared" si="0"/>
        <v>1</v>
      </c>
      <c r="I24" s="180"/>
      <c r="J24" s="184"/>
      <c r="K24" s="180"/>
      <c r="L24" s="9"/>
      <c r="M24" s="9"/>
    </row>
    <row r="25" spans="1:13" s="8" customFormat="1" ht="15" customHeight="1">
      <c r="A25" s="180" t="s">
        <v>42</v>
      </c>
      <c r="B25" s="180" t="s">
        <v>43</v>
      </c>
      <c r="C25" s="182">
        <f>GP!E36</f>
        <v>0</v>
      </c>
      <c r="D25" s="182">
        <f>GP!F36</f>
        <v>0.30833217918521671</v>
      </c>
      <c r="E25" s="182">
        <f>GP!G36</f>
        <v>0.69166782081478329</v>
      </c>
      <c r="F25" s="182">
        <f>GP!H36</f>
        <v>0</v>
      </c>
      <c r="G25" s="182">
        <f>GP!I36</f>
        <v>0</v>
      </c>
      <c r="H25" s="183">
        <f t="shared" si="0"/>
        <v>1</v>
      </c>
      <c r="I25" s="180"/>
      <c r="J25" s="184"/>
      <c r="K25" s="180"/>
      <c r="L25" s="9"/>
      <c r="M25" s="9"/>
    </row>
    <row r="26" spans="1:13" s="8" customFormat="1" ht="15" customHeight="1">
      <c r="A26" s="180" t="s">
        <v>44</v>
      </c>
      <c r="B26" s="180" t="s">
        <v>45</v>
      </c>
      <c r="C26" s="182">
        <f>IP!D35</f>
        <v>0.48688985214143715</v>
      </c>
      <c r="D26" s="182">
        <f>IP!E35</f>
        <v>0.17719534363991302</v>
      </c>
      <c r="E26" s="182">
        <f>IP!F35</f>
        <v>0.15533549343109226</v>
      </c>
      <c r="F26" s="182">
        <f>IP!G35</f>
        <v>0.18057931078755762</v>
      </c>
      <c r="G26" s="182">
        <f>IP!H35</f>
        <v>0</v>
      </c>
      <c r="H26" s="183">
        <f t="shared" si="0"/>
        <v>1</v>
      </c>
      <c r="I26" s="180"/>
      <c r="J26" s="184"/>
      <c r="K26" s="180"/>
      <c r="L26" s="9"/>
      <c r="M26" s="9"/>
    </row>
    <row r="27" spans="1:13" s="8" customFormat="1" ht="15" customHeight="1">
      <c r="A27" s="180" t="s">
        <v>46</v>
      </c>
      <c r="B27" s="180" t="s">
        <v>47</v>
      </c>
      <c r="C27" s="182">
        <v>1</v>
      </c>
      <c r="D27" s="182">
        <v>0</v>
      </c>
      <c r="E27" s="182">
        <v>0</v>
      </c>
      <c r="F27" s="182">
        <v>0</v>
      </c>
      <c r="G27" s="182">
        <v>0</v>
      </c>
      <c r="H27" s="183">
        <f t="shared" si="0"/>
        <v>1</v>
      </c>
      <c r="I27" s="180"/>
      <c r="J27" s="184"/>
      <c r="K27" s="180"/>
      <c r="L27" s="9"/>
      <c r="M27" s="9"/>
    </row>
    <row r="28" spans="1:13" s="8" customFormat="1" ht="15" customHeight="1">
      <c r="A28" s="180" t="s">
        <v>48</v>
      </c>
      <c r="B28" s="180" t="s">
        <v>49</v>
      </c>
      <c r="C28" s="182">
        <v>1</v>
      </c>
      <c r="D28" s="182">
        <v>0</v>
      </c>
      <c r="E28" s="182">
        <v>0</v>
      </c>
      <c r="F28" s="182">
        <v>0</v>
      </c>
      <c r="G28" s="182">
        <v>0</v>
      </c>
      <c r="H28" s="183">
        <f t="shared" si="0"/>
        <v>1</v>
      </c>
      <c r="I28" s="180"/>
      <c r="J28" s="184"/>
      <c r="K28" s="180"/>
      <c r="L28" s="9"/>
      <c r="M28" s="9"/>
    </row>
    <row r="29" spans="1:13" s="8" customFormat="1" ht="15" customHeight="1">
      <c r="A29" s="180" t="s">
        <v>50</v>
      </c>
      <c r="B29" s="180" t="s">
        <v>51</v>
      </c>
      <c r="C29" s="182">
        <f>IP!D33</f>
        <v>0.83416140431463037</v>
      </c>
      <c r="D29" s="182">
        <f>IP!E33</f>
        <v>0.16583859568536949</v>
      </c>
      <c r="E29" s="182">
        <f>IP!F33</f>
        <v>0</v>
      </c>
      <c r="F29" s="182">
        <f>IP!G33</f>
        <v>0</v>
      </c>
      <c r="G29" s="182">
        <f>IP!H33</f>
        <v>0</v>
      </c>
      <c r="H29" s="183">
        <f t="shared" si="0"/>
        <v>1</v>
      </c>
      <c r="I29" s="180"/>
      <c r="J29" s="184"/>
      <c r="K29" s="180"/>
      <c r="L29" s="9"/>
      <c r="M29" s="9"/>
    </row>
    <row r="30" spans="1:13" s="8" customFormat="1" ht="15" customHeight="1">
      <c r="A30" s="180" t="s">
        <v>52</v>
      </c>
      <c r="B30" s="180" t="s">
        <v>53</v>
      </c>
      <c r="C30" s="182">
        <f>IP!D34</f>
        <v>2.0849373649587162</v>
      </c>
      <c r="D30" s="182">
        <f>IP!E34</f>
        <v>-0.53226721229932461</v>
      </c>
      <c r="E30" s="182">
        <f>IP!F34</f>
        <v>-0.55267015265939179</v>
      </c>
      <c r="F30" s="182">
        <f>IP!G34</f>
        <v>0</v>
      </c>
      <c r="G30" s="182">
        <f>IP!H34</f>
        <v>0</v>
      </c>
      <c r="H30" s="183">
        <f t="shared" si="0"/>
        <v>1</v>
      </c>
      <c r="I30" s="180"/>
      <c r="J30" s="184"/>
      <c r="K30" s="180"/>
      <c r="L30" s="9"/>
      <c r="M30" s="9"/>
    </row>
    <row r="31" spans="1:13" s="8" customFormat="1" ht="15" customHeight="1">
      <c r="A31" s="180" t="s">
        <v>54</v>
      </c>
      <c r="B31" s="180" t="s">
        <v>55</v>
      </c>
      <c r="C31" s="182">
        <f>'FORM 1'!C25</f>
        <v>0.44929163079032386</v>
      </c>
      <c r="D31" s="182">
        <f>'FORM 1'!D25</f>
        <v>8.4851850814689656E-2</v>
      </c>
      <c r="E31" s="182">
        <f>'FORM 1'!E25</f>
        <v>0.32797219630821162</v>
      </c>
      <c r="F31" s="182">
        <f>'FORM 1'!F25</f>
        <v>0.13788432208677487</v>
      </c>
      <c r="G31" s="182">
        <f>'FORM 1'!G25</f>
        <v>0</v>
      </c>
      <c r="H31" s="183">
        <f t="shared" si="0"/>
        <v>1</v>
      </c>
      <c r="I31" s="180"/>
      <c r="J31" s="184"/>
      <c r="K31" s="180"/>
      <c r="L31" s="9"/>
      <c r="M31" s="9"/>
    </row>
    <row r="32" spans="1:13" s="8" customFormat="1" ht="15" customHeight="1">
      <c r="A32" s="180" t="s">
        <v>56</v>
      </c>
      <c r="B32" s="180" t="s">
        <v>57</v>
      </c>
      <c r="C32" s="182">
        <f>'FORM 1'!C32</f>
        <v>0.86792897872630492</v>
      </c>
      <c r="D32" s="182">
        <f>'FORM 1'!D32</f>
        <v>4.474655146177238E-3</v>
      </c>
      <c r="E32" s="182">
        <f>'FORM 1'!E32</f>
        <v>0.12759636612751779</v>
      </c>
      <c r="F32" s="182">
        <f>'FORM 1'!F32</f>
        <v>0</v>
      </c>
      <c r="G32" s="182">
        <f>'FORM 1'!G32</f>
        <v>0</v>
      </c>
      <c r="H32" s="183">
        <f t="shared" si="0"/>
        <v>1</v>
      </c>
      <c r="I32" s="180"/>
      <c r="J32" s="184"/>
      <c r="K32" s="180"/>
      <c r="L32" s="9"/>
      <c r="M32" s="9"/>
    </row>
    <row r="33" spans="1:13" s="8" customFormat="1" ht="15" customHeight="1">
      <c r="A33" s="180" t="s">
        <v>58</v>
      </c>
      <c r="B33" s="180" t="s">
        <v>59</v>
      </c>
      <c r="C33" s="182">
        <f>C37</f>
        <v>0.18779510037044433</v>
      </c>
      <c r="D33" s="182">
        <f>D37</f>
        <v>0.81220489962955578</v>
      </c>
      <c r="E33" s="182">
        <f>E37</f>
        <v>0</v>
      </c>
      <c r="F33" s="182">
        <f>F37</f>
        <v>0</v>
      </c>
      <c r="G33" s="182">
        <f>G37</f>
        <v>0</v>
      </c>
      <c r="H33" s="183">
        <f t="shared" ref="H33:H60" si="1">ROUND(SUM(C33:G33),4)</f>
        <v>1</v>
      </c>
      <c r="I33" s="180"/>
      <c r="J33" s="184"/>
      <c r="K33" s="180"/>
      <c r="L33" s="9"/>
      <c r="M33" s="9"/>
    </row>
    <row r="34" spans="1:13" s="8" customFormat="1" ht="15" customHeight="1">
      <c r="A34" s="180" t="s">
        <v>60</v>
      </c>
      <c r="B34" s="180" t="s">
        <v>61</v>
      </c>
      <c r="C34" s="182">
        <f>C37</f>
        <v>0.18779510037044433</v>
      </c>
      <c r="D34" s="182">
        <f>D37</f>
        <v>0.81220489962955578</v>
      </c>
      <c r="E34" s="182">
        <f>E37</f>
        <v>0</v>
      </c>
      <c r="F34" s="182">
        <f>F37</f>
        <v>0</v>
      </c>
      <c r="G34" s="182">
        <f>G37</f>
        <v>0</v>
      </c>
      <c r="H34" s="183">
        <f t="shared" si="1"/>
        <v>1</v>
      </c>
      <c r="I34" s="180"/>
      <c r="J34" s="184"/>
      <c r="K34" s="180"/>
      <c r="L34" s="9"/>
      <c r="M34" s="9"/>
    </row>
    <row r="35" spans="1:13" s="8" customFormat="1" ht="15" customHeight="1">
      <c r="A35" s="180" t="s">
        <v>62</v>
      </c>
      <c r="B35" s="180" t="s">
        <v>63</v>
      </c>
      <c r="C35" s="182">
        <f>'ELEC OPS'!E25</f>
        <v>0</v>
      </c>
      <c r="D35" s="182">
        <f>'ELEC OPS'!F25</f>
        <v>1</v>
      </c>
      <c r="E35" s="182">
        <f>'ELEC OPS'!G25</f>
        <v>0</v>
      </c>
      <c r="F35" s="182">
        <f>'ELEC OPS'!H25</f>
        <v>0</v>
      </c>
      <c r="G35" s="182">
        <f>'ELEC OPS'!I25</f>
        <v>0</v>
      </c>
      <c r="H35" s="183">
        <f t="shared" si="1"/>
        <v>1</v>
      </c>
      <c r="I35" s="180"/>
      <c r="J35" s="184"/>
      <c r="K35" s="180"/>
      <c r="L35" s="9"/>
      <c r="M35" s="9"/>
    </row>
    <row r="36" spans="1:13" s="8" customFormat="1" ht="15" customHeight="1">
      <c r="A36" s="180" t="s">
        <v>64</v>
      </c>
      <c r="B36" s="180" t="s">
        <v>65</v>
      </c>
      <c r="C36" s="182">
        <f>'ELEC OPS'!E26</f>
        <v>0.18779510037044433</v>
      </c>
      <c r="D36" s="182">
        <f>'ELEC OPS'!F26</f>
        <v>0.81220489962955578</v>
      </c>
      <c r="E36" s="182">
        <f>'ELEC OPS'!G26</f>
        <v>0</v>
      </c>
      <c r="F36" s="182">
        <f>'ELEC OPS'!H26</f>
        <v>0</v>
      </c>
      <c r="G36" s="182">
        <f>'ELEC OPS'!I26</f>
        <v>0</v>
      </c>
      <c r="H36" s="183">
        <f t="shared" si="1"/>
        <v>1</v>
      </c>
      <c r="I36" s="180"/>
      <c r="J36" s="184"/>
      <c r="K36" s="180"/>
      <c r="L36" s="9"/>
      <c r="M36" s="9"/>
    </row>
    <row r="37" spans="1:13" s="8" customFormat="1" ht="15" customHeight="1">
      <c r="A37" s="180" t="s">
        <v>66</v>
      </c>
      <c r="B37" s="180" t="s">
        <v>67</v>
      </c>
      <c r="C37" s="182">
        <f>+C36</f>
        <v>0.18779510037044433</v>
      </c>
      <c r="D37" s="182">
        <f>+D36</f>
        <v>0.81220489962955578</v>
      </c>
      <c r="E37" s="182">
        <f>+E36</f>
        <v>0</v>
      </c>
      <c r="F37" s="182">
        <f>+F36</f>
        <v>0</v>
      </c>
      <c r="G37" s="182">
        <f>+G36</f>
        <v>0</v>
      </c>
      <c r="H37" s="183">
        <f t="shared" si="1"/>
        <v>1</v>
      </c>
      <c r="I37" s="180"/>
      <c r="J37" s="184"/>
      <c r="K37" s="180"/>
      <c r="L37" s="9"/>
      <c r="M37" s="9"/>
    </row>
    <row r="38" spans="1:13" s="8" customFormat="1" ht="15" customHeight="1">
      <c r="A38" s="180" t="s">
        <v>68</v>
      </c>
      <c r="B38" s="180" t="s">
        <v>69</v>
      </c>
      <c r="C38" s="182">
        <f>'ELEC OPS'!E23</f>
        <v>-4.341740135891977E-2</v>
      </c>
      <c r="D38" s="182">
        <f>'ELEC OPS'!F23</f>
        <v>0.62755271890417053</v>
      </c>
      <c r="E38" s="182">
        <f>'ELEC OPS'!G23</f>
        <v>0</v>
      </c>
      <c r="F38" s="182">
        <f>'ELEC OPS'!H23</f>
        <v>0</v>
      </c>
      <c r="G38" s="182">
        <f>'ELEC OPS'!I23</f>
        <v>0.41586468245474933</v>
      </c>
      <c r="H38" s="183">
        <f t="shared" si="1"/>
        <v>1</v>
      </c>
      <c r="I38" s="180"/>
      <c r="J38" s="184"/>
      <c r="K38" s="180"/>
      <c r="L38" s="9"/>
      <c r="M38" s="9"/>
    </row>
    <row r="39" spans="1:13" s="8" customFormat="1" ht="15" customHeight="1">
      <c r="A39" s="180" t="s">
        <v>70</v>
      </c>
      <c r="B39" s="180" t="s">
        <v>71</v>
      </c>
      <c r="C39" s="182">
        <f>'ELEC OPS'!E27</f>
        <v>0</v>
      </c>
      <c r="D39" s="182">
        <f>'ELEC OPS'!F27</f>
        <v>0</v>
      </c>
      <c r="E39" s="182">
        <f>'ELEC OPS'!G27</f>
        <v>0</v>
      </c>
      <c r="F39" s="182">
        <f>'ELEC OPS'!H27</f>
        <v>0</v>
      </c>
      <c r="G39" s="182">
        <f>'ELEC OPS'!I27</f>
        <v>1</v>
      </c>
      <c r="H39" s="183">
        <f t="shared" si="1"/>
        <v>1</v>
      </c>
      <c r="I39" s="180"/>
      <c r="J39" s="184"/>
      <c r="K39" s="180"/>
      <c r="L39" s="9"/>
      <c r="M39" s="9"/>
    </row>
    <row r="40" spans="1:13" s="8" customFormat="1" ht="15" customHeight="1">
      <c r="A40" s="180" t="s">
        <v>72</v>
      </c>
      <c r="B40" s="180" t="s">
        <v>5</v>
      </c>
      <c r="C40" s="182">
        <f>'FORM 1'!C13</f>
        <v>1</v>
      </c>
      <c r="D40" s="182">
        <f>'FORM 1'!D13</f>
        <v>0</v>
      </c>
      <c r="E40" s="182">
        <f>'FORM 1'!E13</f>
        <v>0</v>
      </c>
      <c r="F40" s="182">
        <f>'FORM 1'!F13</f>
        <v>0</v>
      </c>
      <c r="G40" s="182">
        <f>'FORM 1'!G13</f>
        <v>0</v>
      </c>
      <c r="H40" s="183">
        <f t="shared" si="1"/>
        <v>1</v>
      </c>
      <c r="I40" s="180"/>
      <c r="J40" s="184"/>
      <c r="K40" s="180"/>
      <c r="L40" s="9"/>
      <c r="M40" s="9"/>
    </row>
    <row r="41" spans="1:13" s="9" customFormat="1" ht="15" customHeight="1">
      <c r="A41" s="180" t="s">
        <v>73</v>
      </c>
      <c r="B41" s="180" t="s">
        <v>74</v>
      </c>
      <c r="C41" s="182">
        <f>'SCH M'!F65</f>
        <v>0.49559652871311771</v>
      </c>
      <c r="D41" s="182">
        <f>'SCH M'!G65</f>
        <v>0.2149995023009417</v>
      </c>
      <c r="E41" s="182">
        <f>'SCH M'!H65</f>
        <v>0.2779128510303121</v>
      </c>
      <c r="F41" s="182">
        <f>'SCH M'!I65</f>
        <v>1.5017480426035013E-2</v>
      </c>
      <c r="G41" s="182">
        <f>'SCH M'!J65</f>
        <v>-3.5263624704068575E-3</v>
      </c>
      <c r="H41" s="183">
        <f t="shared" si="1"/>
        <v>1</v>
      </c>
      <c r="I41" s="180"/>
      <c r="J41" s="184"/>
      <c r="K41" s="180"/>
    </row>
    <row r="42" spans="1:13" s="9" customFormat="1" ht="15" customHeight="1">
      <c r="A42" s="180" t="s">
        <v>75</v>
      </c>
      <c r="B42" s="180" t="s">
        <v>76</v>
      </c>
      <c r="C42" s="182">
        <v>1</v>
      </c>
      <c r="D42" s="182">
        <v>0</v>
      </c>
      <c r="E42" s="182">
        <v>0</v>
      </c>
      <c r="F42" s="182">
        <v>0</v>
      </c>
      <c r="G42" s="182">
        <v>0</v>
      </c>
      <c r="H42" s="183">
        <f t="shared" si="1"/>
        <v>1</v>
      </c>
      <c r="I42" s="180"/>
      <c r="J42" s="184"/>
      <c r="K42" s="180"/>
    </row>
    <row r="43" spans="1:13" s="9" customFormat="1" ht="15" customHeight="1">
      <c r="A43" s="180" t="s">
        <v>77</v>
      </c>
      <c r="B43" s="180" t="s">
        <v>78</v>
      </c>
      <c r="C43" s="182">
        <f>'SCH M'!F16</f>
        <v>0.94447846672903901</v>
      </c>
      <c r="D43" s="182">
        <f>'SCH M'!G16</f>
        <v>8.5546273154906791E-3</v>
      </c>
      <c r="E43" s="182">
        <f>'SCH M'!H16</f>
        <v>3.3065630063710709E-2</v>
      </c>
      <c r="F43" s="182">
        <f>'SCH M'!I16</f>
        <v>1.3901275891759735E-2</v>
      </c>
      <c r="G43" s="182">
        <f>'SCH M'!J16</f>
        <v>0</v>
      </c>
      <c r="H43" s="183">
        <f t="shared" si="1"/>
        <v>1</v>
      </c>
      <c r="I43" s="180"/>
      <c r="J43" s="184"/>
      <c r="K43" s="180"/>
    </row>
    <row r="44" spans="1:13" s="9" customFormat="1" ht="15" customHeight="1">
      <c r="A44" s="180" t="s">
        <v>79</v>
      </c>
      <c r="B44" s="180" t="s">
        <v>80</v>
      </c>
      <c r="C44" s="182">
        <f>'SCH M'!F15</f>
        <v>1</v>
      </c>
      <c r="D44" s="182">
        <f>'SCH M'!G15</f>
        <v>0</v>
      </c>
      <c r="E44" s="182">
        <f>'SCH M'!H15</f>
        <v>0</v>
      </c>
      <c r="F44" s="182">
        <f>'SCH M'!I15</f>
        <v>0</v>
      </c>
      <c r="G44" s="182">
        <f>'SCH M'!J15</f>
        <v>0</v>
      </c>
      <c r="H44" s="183">
        <f t="shared" si="1"/>
        <v>1</v>
      </c>
      <c r="I44" s="180"/>
      <c r="J44" s="184"/>
      <c r="K44" s="180"/>
    </row>
    <row r="45" spans="1:13" s="8" customFormat="1" ht="15" customHeight="1">
      <c r="A45" s="180" t="s">
        <v>81</v>
      </c>
      <c r="B45" s="180" t="s">
        <v>82</v>
      </c>
      <c r="C45" s="182">
        <f>+'SCH M'!F$57</f>
        <v>0.49523702245590057</v>
      </c>
      <c r="D45" s="182">
        <f>+'SCH M'!G$57</f>
        <v>0.21516484248962411</v>
      </c>
      <c r="E45" s="182">
        <f>+'SCH M'!H$57</f>
        <v>0.27810894737668951</v>
      </c>
      <c r="F45" s="182">
        <f>+'SCH M'!I$57</f>
        <v>1.5018374386073102E-2</v>
      </c>
      <c r="G45" s="182">
        <f>+'SCH M'!J$57</f>
        <v>-3.5291867082876032E-3</v>
      </c>
      <c r="H45" s="183">
        <f t="shared" si="1"/>
        <v>1</v>
      </c>
      <c r="I45" s="180"/>
      <c r="J45" s="186"/>
      <c r="K45" s="180"/>
      <c r="L45" s="9"/>
      <c r="M45" s="9"/>
    </row>
    <row r="46" spans="1:13" s="8" customFormat="1" ht="15" customHeight="1">
      <c r="A46" s="180" t="s">
        <v>83</v>
      </c>
      <c r="B46" s="180" t="s">
        <v>84</v>
      </c>
      <c r="C46" s="182">
        <v>0</v>
      </c>
      <c r="D46" s="182">
        <v>0</v>
      </c>
      <c r="E46" s="182">
        <v>0</v>
      </c>
      <c r="F46" s="182">
        <v>0</v>
      </c>
      <c r="G46" s="182">
        <v>0</v>
      </c>
      <c r="H46" s="182">
        <v>0</v>
      </c>
      <c r="I46" s="180"/>
      <c r="J46" s="186"/>
      <c r="K46" s="180"/>
      <c r="L46" s="9"/>
      <c r="M46" s="9"/>
    </row>
    <row r="47" spans="1:13" s="8" customFormat="1" ht="15" customHeight="1">
      <c r="A47" s="180" t="s">
        <v>85</v>
      </c>
      <c r="B47" s="180" t="s">
        <v>86</v>
      </c>
      <c r="C47" s="182">
        <f>'SCH M'!F53</f>
        <v>1</v>
      </c>
      <c r="D47" s="182">
        <f>'SCH M'!G53</f>
        <v>0</v>
      </c>
      <c r="E47" s="182">
        <f>'SCH M'!H53</f>
        <v>0</v>
      </c>
      <c r="F47" s="182">
        <f>'SCH M'!I53</f>
        <v>0</v>
      </c>
      <c r="G47" s="182">
        <f>'SCH M'!J53</f>
        <v>0</v>
      </c>
      <c r="H47" s="183">
        <f t="shared" si="1"/>
        <v>1</v>
      </c>
      <c r="I47" s="180"/>
      <c r="J47" s="186"/>
      <c r="K47" s="180"/>
      <c r="L47" s="9"/>
      <c r="M47" s="9"/>
    </row>
    <row r="48" spans="1:13" s="8" customFormat="1" ht="15" customHeight="1">
      <c r="A48" s="180" t="s">
        <v>87</v>
      </c>
      <c r="B48" s="180" t="s">
        <v>88</v>
      </c>
      <c r="C48" s="182">
        <f>'SCH M'!F55</f>
        <v>-1.1692530396804841</v>
      </c>
      <c r="D48" s="182">
        <f>'SCH M'!G55</f>
        <v>0.95522772224755392</v>
      </c>
      <c r="E48" s="182">
        <f>'SCH M'!H55</f>
        <v>1.2922539420904109</v>
      </c>
      <c r="F48" s="182">
        <f>'SCH M'!I55</f>
        <v>-7.822862465748065E-2</v>
      </c>
      <c r="G48" s="182">
        <f>'SCH M'!J55</f>
        <v>0</v>
      </c>
      <c r="H48" s="183">
        <f t="shared" si="1"/>
        <v>1</v>
      </c>
      <c r="I48" s="180"/>
      <c r="J48" s="186"/>
      <c r="K48" s="180"/>
      <c r="L48" s="9"/>
      <c r="M48" s="9"/>
    </row>
    <row r="49" spans="1:13" s="8" customFormat="1" ht="15" customHeight="1">
      <c r="A49" s="180" t="s">
        <v>89</v>
      </c>
      <c r="B49" s="180" t="s">
        <v>90</v>
      </c>
      <c r="C49" s="182">
        <f>'SCH M'!F54</f>
        <v>0.48899783139535086</v>
      </c>
      <c r="D49" s="182">
        <f>'SCH M'!G54</f>
        <v>0.24445409313716171</v>
      </c>
      <c r="E49" s="182">
        <f>'SCH M'!H54</f>
        <v>0.26636392786494562</v>
      </c>
      <c r="F49" s="182">
        <f>'SCH M'!I54</f>
        <v>1.8414760254181436E-4</v>
      </c>
      <c r="G49" s="182">
        <f>'SCH M'!J54</f>
        <v>0</v>
      </c>
      <c r="H49" s="183">
        <f t="shared" si="1"/>
        <v>1</v>
      </c>
      <c r="I49" s="180"/>
      <c r="J49" s="186"/>
      <c r="K49" s="180"/>
      <c r="L49" s="9"/>
      <c r="M49" s="9"/>
    </row>
    <row r="50" spans="1:13" s="8" customFormat="1" ht="15" customHeight="1">
      <c r="A50" s="180" t="s">
        <v>91</v>
      </c>
      <c r="B50" s="180" t="s">
        <v>92</v>
      </c>
      <c r="C50" s="182">
        <f>'SCH M'!F56</f>
        <v>0.47532368374459327</v>
      </c>
      <c r="D50" s="182">
        <f>'SCH M'!G56</f>
        <v>0.18885793450757046</v>
      </c>
      <c r="E50" s="182">
        <f>'SCH M'!H56</f>
        <v>0.28780751919621622</v>
      </c>
      <c r="F50" s="182">
        <f>'SCH M'!I56</f>
        <v>4.8010862551619939E-2</v>
      </c>
      <c r="G50" s="182">
        <f>'SCH M'!J56</f>
        <v>0</v>
      </c>
      <c r="H50" s="183">
        <f t="shared" si="1"/>
        <v>1</v>
      </c>
      <c r="I50" s="180"/>
      <c r="J50" s="186"/>
      <c r="K50" s="180"/>
      <c r="L50" s="9"/>
      <c r="M50" s="9"/>
    </row>
    <row r="51" spans="1:13" s="8" customFormat="1" ht="15" customHeight="1">
      <c r="A51" s="180" t="s">
        <v>93</v>
      </c>
      <c r="B51" s="180" t="s">
        <v>94</v>
      </c>
      <c r="C51" s="182">
        <f>+'SCH M'!F$135</f>
        <v>0.42691835645698306</v>
      </c>
      <c r="D51" s="182">
        <f>+'SCH M'!G$135</f>
        <v>0.24930998092037837</v>
      </c>
      <c r="E51" s="182">
        <f>+'SCH M'!H$135</f>
        <v>0.31317113208472647</v>
      </c>
      <c r="F51" s="182">
        <f>+'SCH M'!I$135</f>
        <v>1.0484382830823154E-2</v>
      </c>
      <c r="G51" s="182">
        <f>+'SCH M'!J$135</f>
        <v>1.1614770708894566E-4</v>
      </c>
      <c r="H51" s="183">
        <f t="shared" si="1"/>
        <v>1</v>
      </c>
      <c r="I51" s="180"/>
      <c r="J51" s="186"/>
      <c r="K51" s="180"/>
      <c r="L51" s="9"/>
      <c r="M51" s="9"/>
    </row>
    <row r="52" spans="1:13" s="8" customFormat="1" ht="15" customHeight="1">
      <c r="A52" s="180" t="s">
        <v>95</v>
      </c>
      <c r="B52" s="180" t="s">
        <v>96</v>
      </c>
      <c r="C52" s="182">
        <v>1</v>
      </c>
      <c r="D52" s="182">
        <v>0</v>
      </c>
      <c r="E52" s="182">
        <v>0</v>
      </c>
      <c r="F52" s="182">
        <v>0</v>
      </c>
      <c r="G52" s="182">
        <v>0</v>
      </c>
      <c r="H52" s="183">
        <f t="shared" si="1"/>
        <v>1</v>
      </c>
      <c r="I52" s="180"/>
      <c r="J52" s="186"/>
      <c r="K52" s="180"/>
      <c r="L52" s="9"/>
      <c r="M52" s="9"/>
    </row>
    <row r="53" spans="1:13" s="8" customFormat="1" ht="15" customHeight="1">
      <c r="A53" s="180" t="s">
        <v>97</v>
      </c>
      <c r="B53" s="180" t="s">
        <v>98</v>
      </c>
      <c r="C53" s="182">
        <f>'SCH M'!F77</f>
        <v>0.99901496295820158</v>
      </c>
      <c r="D53" s="182">
        <f>'SCH M'!G77</f>
        <v>4.7136942094562853E-4</v>
      </c>
      <c r="E53" s="182">
        <f>'SCH M'!H77</f>
        <v>5.1366762085285089E-4</v>
      </c>
      <c r="F53" s="182">
        <f>'SCH M'!I77</f>
        <v>0</v>
      </c>
      <c r="G53" s="182">
        <f>'SCH M'!J77</f>
        <v>0</v>
      </c>
      <c r="H53" s="183">
        <f t="shared" si="1"/>
        <v>1</v>
      </c>
      <c r="I53" s="180"/>
      <c r="J53" s="186"/>
      <c r="K53" s="180"/>
      <c r="L53" s="9"/>
      <c r="M53" s="9"/>
    </row>
    <row r="54" spans="1:13" s="8" customFormat="1" ht="15" customHeight="1">
      <c r="A54" s="180" t="s">
        <v>99</v>
      </c>
      <c r="B54" s="180" t="s">
        <v>100</v>
      </c>
      <c r="C54" s="182" t="str">
        <f>'SCH M'!F76</f>
        <v xml:space="preserve"> </v>
      </c>
      <c r="D54" s="182" t="str">
        <f>'SCH M'!G76</f>
        <v xml:space="preserve"> </v>
      </c>
      <c r="E54" s="182" t="str">
        <f>'SCH M'!H76</f>
        <v xml:space="preserve"> </v>
      </c>
      <c r="F54" s="182" t="str">
        <f>'SCH M'!I76</f>
        <v xml:space="preserve"> </v>
      </c>
      <c r="G54" s="182" t="str">
        <f>'SCH M'!J76</f>
        <v xml:space="preserve"> </v>
      </c>
      <c r="H54" s="183">
        <f t="shared" si="1"/>
        <v>0</v>
      </c>
      <c r="I54" s="180"/>
      <c r="J54" s="186"/>
      <c r="K54" s="180"/>
      <c r="L54" s="9"/>
      <c r="M54" s="9"/>
    </row>
    <row r="55" spans="1:13" s="8" customFormat="1" ht="15" customHeight="1">
      <c r="A55" s="180" t="s">
        <v>101</v>
      </c>
      <c r="B55" s="180" t="s">
        <v>102</v>
      </c>
      <c r="C55" s="182">
        <f>'SCH M'!F128</f>
        <v>0.40845760687332844</v>
      </c>
      <c r="D55" s="182">
        <f>'SCH M'!G128</f>
        <v>0.25733965150648691</v>
      </c>
      <c r="E55" s="182">
        <f>'SCH M'!H128</f>
        <v>0.32326014693175942</v>
      </c>
      <c r="F55" s="182">
        <f>'SCH M'!I128</f>
        <v>1.082269905885095E-2</v>
      </c>
      <c r="G55" s="182">
        <f>'SCH M'!J128</f>
        <v>1.198956295742718E-4</v>
      </c>
      <c r="H55" s="183">
        <f t="shared" si="1"/>
        <v>1</v>
      </c>
      <c r="I55" s="180"/>
      <c r="J55" s="186"/>
      <c r="K55" s="180"/>
      <c r="L55" s="9"/>
      <c r="M55" s="9"/>
    </row>
    <row r="56" spans="1:13" s="8" customFormat="1" ht="15" customHeight="1">
      <c r="A56" s="180" t="s">
        <v>103</v>
      </c>
      <c r="B56" s="180" t="s">
        <v>104</v>
      </c>
      <c r="C56" s="182">
        <f>'SCH M'!F119</f>
        <v>0.48923013980835522</v>
      </c>
      <c r="D56" s="182">
        <f>'SCH M'!G119</f>
        <v>0.2444185172929472</v>
      </c>
      <c r="E56" s="182">
        <f>'SCH M'!H119</f>
        <v>0.2663513428986975</v>
      </c>
      <c r="F56" s="182">
        <f>'SCH M'!I119</f>
        <v>0</v>
      </c>
      <c r="G56" s="182">
        <f>'SCH M'!J119</f>
        <v>0</v>
      </c>
      <c r="H56" s="183">
        <f t="shared" si="1"/>
        <v>1</v>
      </c>
      <c r="I56" s="180"/>
      <c r="J56" s="186"/>
      <c r="K56" s="180"/>
      <c r="L56" s="9"/>
      <c r="M56" s="9"/>
    </row>
    <row r="57" spans="1:13" s="8" customFormat="1" ht="15" customHeight="1">
      <c r="A57" s="180" t="s">
        <v>105</v>
      </c>
      <c r="B57" s="180" t="s">
        <v>106</v>
      </c>
      <c r="C57" s="182">
        <f>'SCH M'!F121</f>
        <v>0.99938792031342605</v>
      </c>
      <c r="D57" s="182">
        <f>'SCH M'!G121</f>
        <v>6.1207968657389601E-4</v>
      </c>
      <c r="E57" s="182">
        <f>'SCH M'!H121</f>
        <v>0</v>
      </c>
      <c r="F57" s="182">
        <f>'SCH M'!I121</f>
        <v>0</v>
      </c>
      <c r="G57" s="182">
        <f>'SCH M'!J121</f>
        <v>0</v>
      </c>
      <c r="H57" s="183">
        <f t="shared" si="1"/>
        <v>1</v>
      </c>
      <c r="I57" s="180"/>
      <c r="J57" s="186"/>
      <c r="K57" s="180"/>
      <c r="L57" s="9"/>
      <c r="M57" s="9"/>
    </row>
    <row r="58" spans="1:13" s="8" customFormat="1" ht="15" customHeight="1">
      <c r="A58" s="180" t="s">
        <v>107</v>
      </c>
      <c r="B58" s="180" t="s">
        <v>108</v>
      </c>
      <c r="C58" s="182">
        <f>'SCH M'!F127</f>
        <v>0.55547306332025892</v>
      </c>
      <c r="D58" s="182">
        <f>'SCH M'!G127</f>
        <v>0.19773056499108743</v>
      </c>
      <c r="E58" s="182">
        <f>'SCH M'!H127</f>
        <v>0.23308709400471633</v>
      </c>
      <c r="F58" s="182">
        <f>'SCH M'!I127</f>
        <v>1.9350508952622015E-2</v>
      </c>
      <c r="G58" s="182">
        <f>'SCH M'!J127</f>
        <v>-5.641231268684755E-3</v>
      </c>
      <c r="H58" s="183">
        <f t="shared" si="1"/>
        <v>1</v>
      </c>
      <c r="I58" s="180"/>
      <c r="J58" s="186"/>
      <c r="K58" s="180"/>
      <c r="L58" s="9"/>
      <c r="M58" s="9"/>
    </row>
    <row r="59" spans="1:13" s="8" customFormat="1" ht="15" customHeight="1">
      <c r="A59" s="180" t="s">
        <v>109</v>
      </c>
      <c r="B59" s="180" t="s">
        <v>110</v>
      </c>
      <c r="C59" s="182">
        <f>'SCH M'!F123</f>
        <v>0.48923013980835522</v>
      </c>
      <c r="D59" s="182">
        <f>'SCH M'!G123</f>
        <v>0.2444185172929472</v>
      </c>
      <c r="E59" s="182">
        <f>'SCH M'!H123</f>
        <v>0.2663513428986975</v>
      </c>
      <c r="F59" s="182">
        <f>'SCH M'!I123</f>
        <v>0</v>
      </c>
      <c r="G59" s="182">
        <f>'SCH M'!J123</f>
        <v>0</v>
      </c>
      <c r="H59" s="183">
        <f t="shared" si="1"/>
        <v>1</v>
      </c>
      <c r="I59" s="180"/>
      <c r="J59" s="186"/>
      <c r="K59" s="180"/>
      <c r="L59" s="9"/>
      <c r="M59" s="9"/>
    </row>
    <row r="60" spans="1:13" s="8" customFormat="1" ht="15" customHeight="1">
      <c r="A60" s="180" t="s">
        <v>111</v>
      </c>
      <c r="B60" s="180" t="s">
        <v>112</v>
      </c>
      <c r="C60" s="182">
        <f>'SCH M'!F124</f>
        <v>0.33935749461125919</v>
      </c>
      <c r="D60" s="182">
        <f>'SCH M'!G124</f>
        <v>7.7495547345308918E-2</v>
      </c>
      <c r="E60" s="182">
        <f>'SCH M'!H124</f>
        <v>0.52702409856578791</v>
      </c>
      <c r="F60" s="182">
        <f>'SCH M'!I124</f>
        <v>5.6122859477643929E-2</v>
      </c>
      <c r="G60" s="182">
        <f>'SCH M'!J124</f>
        <v>0</v>
      </c>
      <c r="H60" s="183">
        <f t="shared" si="1"/>
        <v>1</v>
      </c>
      <c r="I60" s="180"/>
      <c r="J60" s="186"/>
      <c r="K60" s="180"/>
      <c r="L60" s="9"/>
      <c r="M60" s="9"/>
    </row>
    <row r="61" spans="1:13" s="8" customFormat="1" ht="15" customHeight="1">
      <c r="A61" s="180" t="s">
        <v>113</v>
      </c>
      <c r="B61" s="180" t="s">
        <v>6</v>
      </c>
      <c r="C61" s="182">
        <f>'FORM 1'!C14</f>
        <v>0</v>
      </c>
      <c r="D61" s="182">
        <f>'FORM 1'!D14</f>
        <v>1</v>
      </c>
      <c r="E61" s="182">
        <f>'FORM 1'!E14</f>
        <v>0</v>
      </c>
      <c r="F61" s="182">
        <f>'FORM 1'!F14</f>
        <v>0</v>
      </c>
      <c r="G61" s="182">
        <f>'FORM 1'!G14</f>
        <v>0</v>
      </c>
      <c r="H61" s="183">
        <f>ROUND(SUM(C61:G61),4)</f>
        <v>1</v>
      </c>
      <c r="I61" s="180"/>
      <c r="J61" s="186"/>
      <c r="K61" s="180"/>
      <c r="L61" s="9"/>
      <c r="M61" s="9"/>
    </row>
    <row r="62" spans="1:13" s="8" customFormat="1" ht="15" customHeight="1">
      <c r="A62" s="180" t="s">
        <v>114</v>
      </c>
      <c r="B62" s="180" t="s">
        <v>115</v>
      </c>
      <c r="C62" s="182">
        <f>+'TAX DEPR'!C$24</f>
        <v>0.35717297312867874</v>
      </c>
      <c r="D62" s="182">
        <f>+'TAX DEPR'!D$24</f>
        <v>0.29975338335892732</v>
      </c>
      <c r="E62" s="182">
        <f>+'TAX DEPR'!E$24</f>
        <v>0.33437789429560494</v>
      </c>
      <c r="F62" s="182">
        <f>+'TAX DEPR'!F$24</f>
        <v>8.6957492167888967E-3</v>
      </c>
      <c r="G62" s="182">
        <f>+'TAX DEPR'!G$24</f>
        <v>0</v>
      </c>
      <c r="H62" s="183">
        <f>ROUND(SUM(C62:G62),4)</f>
        <v>1</v>
      </c>
      <c r="I62" s="187"/>
      <c r="J62" s="186"/>
      <c r="K62" s="180"/>
      <c r="L62" s="9"/>
      <c r="M62" s="9"/>
    </row>
    <row r="63" spans="1:13" s="8" customFormat="1" ht="15" customHeight="1">
      <c r="A63" s="180" t="s">
        <v>116</v>
      </c>
      <c r="B63" s="180" t="s">
        <v>117</v>
      </c>
      <c r="C63" s="182">
        <f>'FORM 1'!C18</f>
        <v>0</v>
      </c>
      <c r="D63" s="182">
        <f>'FORM 1'!D18</f>
        <v>0.47852963994633424</v>
      </c>
      <c r="E63" s="182">
        <f>'FORM 1'!E18</f>
        <v>0.52147036005366576</v>
      </c>
      <c r="F63" s="182">
        <f>'FORM 1'!F18</f>
        <v>0</v>
      </c>
      <c r="G63" s="182">
        <f>'FORM 1'!G18</f>
        <v>0</v>
      </c>
      <c r="H63" s="183">
        <f>ROUND(SUM(C63:G63),4)</f>
        <v>1</v>
      </c>
      <c r="I63" s="180"/>
      <c r="J63" s="186"/>
      <c r="K63" s="180"/>
      <c r="L63" s="9"/>
      <c r="M63" s="9"/>
    </row>
    <row r="64" spans="1:13" s="7" customFormat="1" ht="15" customHeight="1">
      <c r="A64" s="188" t="s">
        <v>118</v>
      </c>
      <c r="B64" s="188" t="s">
        <v>119</v>
      </c>
      <c r="C64" s="182">
        <v>0.71024605641184002</v>
      </c>
      <c r="D64" s="182">
        <v>0.10745760180588396</v>
      </c>
      <c r="E64" s="182">
        <v>0.10324197303714502</v>
      </c>
      <c r="F64" s="182">
        <v>5.4383136879744762E-2</v>
      </c>
      <c r="G64" s="182">
        <v>2.4671231865386434E-2</v>
      </c>
      <c r="H64" s="183">
        <f t="shared" ref="H64:H73" si="2">ROUND(SUM(C64:G64),4)</f>
        <v>1</v>
      </c>
      <c r="I64" s="180"/>
      <c r="J64" s="184"/>
      <c r="K64" s="180"/>
      <c r="L64" s="167"/>
      <c r="M64" s="167"/>
    </row>
    <row r="65" spans="1:13" s="8" customFormat="1" ht="15" customHeight="1">
      <c r="A65" s="188" t="s">
        <v>120</v>
      </c>
      <c r="B65" s="188" t="s">
        <v>121</v>
      </c>
      <c r="C65" s="182">
        <v>0</v>
      </c>
      <c r="D65" s="182">
        <v>0</v>
      </c>
      <c r="E65" s="182">
        <v>0</v>
      </c>
      <c r="F65" s="182">
        <v>0</v>
      </c>
      <c r="G65" s="182">
        <v>0</v>
      </c>
      <c r="H65" s="183">
        <f t="shared" si="2"/>
        <v>0</v>
      </c>
      <c r="I65" s="180"/>
      <c r="J65" s="184"/>
      <c r="K65" s="180"/>
      <c r="L65" s="9"/>
      <c r="M65" s="9"/>
    </row>
    <row r="66" spans="1:13" s="8" customFormat="1" ht="15" customHeight="1">
      <c r="A66" s="188" t="s">
        <v>122</v>
      </c>
      <c r="B66" s="188" t="s">
        <v>123</v>
      </c>
      <c r="C66" s="182">
        <v>0.4920114207081247</v>
      </c>
      <c r="D66" s="182">
        <v>0.26858118508606516</v>
      </c>
      <c r="E66" s="182">
        <v>0.23166365228836774</v>
      </c>
      <c r="F66" s="182">
        <v>3.1912755557890774E-3</v>
      </c>
      <c r="G66" s="182">
        <v>4.5524663616551024E-3</v>
      </c>
      <c r="H66" s="183">
        <f t="shared" si="2"/>
        <v>1</v>
      </c>
      <c r="I66" s="180"/>
      <c r="J66" s="184"/>
      <c r="K66" s="180"/>
      <c r="L66" s="9"/>
      <c r="M66" s="9"/>
    </row>
    <row r="67" spans="1:13" s="8" customFormat="1" ht="15" customHeight="1">
      <c r="A67" s="188" t="s">
        <v>124</v>
      </c>
      <c r="B67" s="188" t="s">
        <v>125</v>
      </c>
      <c r="C67" s="182">
        <v>0.58351031081475491</v>
      </c>
      <c r="D67" s="182">
        <v>0.22020434879349493</v>
      </c>
      <c r="E67" s="182">
        <v>0.18993640107342497</v>
      </c>
      <c r="F67" s="182">
        <v>2.6164630830634921E-3</v>
      </c>
      <c r="G67" s="182">
        <v>3.7324762352631551E-3</v>
      </c>
      <c r="H67" s="183">
        <f t="shared" si="2"/>
        <v>1</v>
      </c>
      <c r="I67" s="180"/>
      <c r="J67" s="184"/>
      <c r="K67" s="180"/>
      <c r="L67" s="9"/>
      <c r="M67" s="9"/>
    </row>
    <row r="68" spans="1:13" s="8" customFormat="1" ht="15" customHeight="1">
      <c r="A68" s="188" t="s">
        <v>126</v>
      </c>
      <c r="B68" s="188" t="s">
        <v>127</v>
      </c>
      <c r="C68" s="182">
        <v>0</v>
      </c>
      <c r="D68" s="182">
        <v>0</v>
      </c>
      <c r="E68" s="182">
        <v>0</v>
      </c>
      <c r="F68" s="182">
        <v>0</v>
      </c>
      <c r="G68" s="182">
        <v>0</v>
      </c>
      <c r="H68" s="183">
        <f t="shared" si="2"/>
        <v>0</v>
      </c>
      <c r="I68" s="180"/>
      <c r="J68" s="184"/>
      <c r="K68" s="180"/>
      <c r="L68" s="9"/>
      <c r="M68" s="9"/>
    </row>
    <row r="69" spans="1:13" s="8" customFormat="1" ht="15" customHeight="1">
      <c r="A69" s="188" t="s">
        <v>128</v>
      </c>
      <c r="B69" s="188" t="s">
        <v>129</v>
      </c>
      <c r="C69" s="182">
        <v>0</v>
      </c>
      <c r="D69" s="182">
        <v>0</v>
      </c>
      <c r="E69" s="182">
        <v>0</v>
      </c>
      <c r="F69" s="182">
        <v>0</v>
      </c>
      <c r="G69" s="182">
        <v>0</v>
      </c>
      <c r="H69" s="183">
        <f t="shared" si="2"/>
        <v>0</v>
      </c>
      <c r="I69" s="180"/>
      <c r="J69" s="184"/>
      <c r="K69" s="180"/>
      <c r="L69" s="9"/>
      <c r="M69" s="9"/>
    </row>
    <row r="70" spans="1:13" s="9" customFormat="1" ht="15" customHeight="1">
      <c r="A70" s="188" t="s">
        <v>130</v>
      </c>
      <c r="B70" s="188" t="s">
        <v>131</v>
      </c>
      <c r="C70" s="182">
        <v>0.66684527405984551</v>
      </c>
      <c r="D70" s="182">
        <v>0.33315472594015438</v>
      </c>
      <c r="E70" s="182">
        <v>0</v>
      </c>
      <c r="F70" s="182">
        <v>0</v>
      </c>
      <c r="G70" s="182">
        <v>0</v>
      </c>
      <c r="H70" s="183">
        <f t="shared" si="2"/>
        <v>1</v>
      </c>
      <c r="I70" s="180"/>
      <c r="J70" s="184"/>
      <c r="K70" s="180"/>
    </row>
    <row r="71" spans="1:13" s="9" customFormat="1" ht="15" customHeight="1">
      <c r="A71" s="188" t="s">
        <v>132</v>
      </c>
      <c r="B71" s="188" t="s">
        <v>133</v>
      </c>
      <c r="C71" s="182">
        <v>0.48923013980835595</v>
      </c>
      <c r="D71" s="182">
        <v>0.24441851729294686</v>
      </c>
      <c r="E71" s="182">
        <v>0.26635134289869711</v>
      </c>
      <c r="F71" s="182">
        <v>0</v>
      </c>
      <c r="G71" s="182">
        <v>0</v>
      </c>
      <c r="H71" s="183">
        <f t="shared" si="2"/>
        <v>1</v>
      </c>
      <c r="I71" s="180"/>
      <c r="J71" s="184"/>
      <c r="K71" s="180"/>
    </row>
    <row r="72" spans="1:13" s="9" customFormat="1" ht="15" customHeight="1">
      <c r="A72" s="188" t="s">
        <v>134</v>
      </c>
      <c r="B72" s="188" t="s">
        <v>135</v>
      </c>
      <c r="C72" s="182">
        <v>0.64265586090639804</v>
      </c>
      <c r="D72" s="182">
        <v>0.15304978115789353</v>
      </c>
      <c r="E72" s="182">
        <v>0.1506510613904514</v>
      </c>
      <c r="F72" s="182">
        <v>3.7657189948780083E-2</v>
      </c>
      <c r="G72" s="182">
        <v>1.5986106596477118E-2</v>
      </c>
      <c r="H72" s="183">
        <f t="shared" si="2"/>
        <v>1</v>
      </c>
      <c r="I72" s="180"/>
      <c r="J72" s="184"/>
      <c r="K72" s="180"/>
    </row>
    <row r="73" spans="1:13" s="8" customFormat="1" ht="15" customHeight="1">
      <c r="A73" s="188" t="s">
        <v>136</v>
      </c>
      <c r="B73" s="188" t="s">
        <v>137</v>
      </c>
      <c r="C73" s="182">
        <v>0.58351031081475491</v>
      </c>
      <c r="D73" s="182">
        <v>0.22020434879349493</v>
      </c>
      <c r="E73" s="182">
        <v>0.18993640107342497</v>
      </c>
      <c r="F73" s="182">
        <v>2.6164630830634921E-3</v>
      </c>
      <c r="G73" s="182">
        <v>3.7324762352631551E-3</v>
      </c>
      <c r="H73" s="183">
        <f t="shared" si="2"/>
        <v>1</v>
      </c>
      <c r="I73" s="180"/>
      <c r="J73" s="186"/>
      <c r="K73" s="180"/>
      <c r="L73" s="9"/>
      <c r="M73" s="9"/>
    </row>
    <row r="74" spans="1:13" ht="15" customHeight="1">
      <c r="A74" s="180"/>
      <c r="B74" s="180"/>
      <c r="C74" s="181"/>
      <c r="D74" s="181"/>
      <c r="E74" s="181"/>
      <c r="F74" s="181"/>
      <c r="G74" s="181"/>
      <c r="H74" s="181"/>
      <c r="I74" s="181"/>
      <c r="J74" s="180"/>
      <c r="K74" s="180"/>
      <c r="L74" s="166"/>
      <c r="M74" s="166"/>
    </row>
    <row r="75" spans="1:13" ht="15" customHeight="1">
      <c r="A75" s="180"/>
      <c r="B75" s="180"/>
      <c r="C75" s="181"/>
      <c r="D75" s="11"/>
      <c r="E75" s="11"/>
      <c r="F75" s="181"/>
      <c r="G75" s="181"/>
      <c r="H75" s="11"/>
      <c r="I75" s="11"/>
      <c r="J75" s="180"/>
      <c r="K75" s="180"/>
      <c r="L75" s="166"/>
      <c r="M75" s="166"/>
    </row>
    <row r="76" spans="1:13" ht="15" customHeight="1">
      <c r="A76" s="179"/>
      <c r="B76" s="179"/>
      <c r="C76" s="181"/>
      <c r="D76" s="181"/>
      <c r="E76" s="181"/>
      <c r="F76" s="181"/>
      <c r="G76" s="181"/>
      <c r="H76" s="181"/>
      <c r="I76" s="179"/>
      <c r="J76" s="179"/>
      <c r="K76" s="179"/>
    </row>
  </sheetData>
  <printOptions horizontalCentered="1"/>
  <pageMargins left="0.12" right="0.16" top="0.25" bottom="0.71" header="0.24" footer="0.34"/>
  <pageSetup scale="50" orientation="landscape" r:id="rId1"/>
  <headerFooter alignWithMargins="0">
    <oddFooter>&amp;LExhibit RMP_____(CCP-3)&amp;R&amp;F&amp;CTab 3 - Page  2 of 16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R98"/>
  <sheetViews>
    <sheetView zoomScale="90" workbookViewId="0"/>
  </sheetViews>
  <sheetFormatPr defaultRowHeight="12.75"/>
  <cols>
    <col min="1" max="1" width="11.28515625" style="70" bestFit="1" customWidth="1"/>
    <col min="2" max="2" width="15" style="70" customWidth="1"/>
    <col min="3" max="3" width="10.85546875" style="70" customWidth="1"/>
    <col min="4" max="4" width="9.140625" style="70"/>
    <col min="5" max="5" width="14.28515625" style="70" bestFit="1" customWidth="1"/>
    <col min="6" max="7" width="15.7109375" style="70" customWidth="1"/>
    <col min="8" max="8" width="15.140625" style="70" bestFit="1" customWidth="1"/>
    <col min="9" max="10" width="15.7109375" style="70" customWidth="1"/>
    <col min="11" max="11" width="12.5703125" style="70" bestFit="1" customWidth="1"/>
    <col min="12" max="12" width="16" style="70" bestFit="1" customWidth="1"/>
    <col min="13" max="13" width="9.140625" style="70"/>
    <col min="14" max="14" width="24.7109375" style="70" bestFit="1" customWidth="1"/>
    <col min="15" max="16384" width="9.140625" style="70"/>
  </cols>
  <sheetData>
    <row r="1" spans="1:14">
      <c r="A1" s="189"/>
      <c r="B1" s="154" t="str">
        <f>+'TOTAL FUNCFAC'!A1</f>
        <v>PacifiCorp</v>
      </c>
      <c r="C1" s="154"/>
      <c r="D1" s="154"/>
      <c r="E1" s="154"/>
      <c r="F1" s="154"/>
      <c r="G1" s="154"/>
      <c r="H1" s="154"/>
      <c r="I1" s="154"/>
      <c r="J1" s="154"/>
    </row>
    <row r="2" spans="1:14">
      <c r="A2" s="189"/>
      <c r="B2" s="154" t="str">
        <f>+'TOTAL FUNCFAC'!A2</f>
        <v>12 Months Ended December 2017</v>
      </c>
      <c r="C2" s="154"/>
      <c r="D2" s="154"/>
      <c r="E2" s="154"/>
      <c r="F2" s="154"/>
      <c r="G2" s="154"/>
      <c r="H2" s="154"/>
      <c r="I2" s="154"/>
      <c r="J2" s="154"/>
    </row>
    <row r="3" spans="1:14">
      <c r="A3" s="189"/>
      <c r="B3" s="154" t="s">
        <v>295</v>
      </c>
      <c r="C3" s="154"/>
      <c r="D3" s="154"/>
      <c r="E3" s="154"/>
      <c r="F3" s="154"/>
      <c r="G3" s="154"/>
      <c r="H3" s="154"/>
      <c r="I3" s="154"/>
      <c r="J3" s="154"/>
    </row>
    <row r="4" spans="1:14">
      <c r="A4" s="189"/>
      <c r="B4" s="221"/>
      <c r="C4" s="221"/>
      <c r="D4" s="221"/>
      <c r="E4" s="221"/>
      <c r="F4" s="221"/>
      <c r="G4" s="221"/>
      <c r="H4" s="221"/>
      <c r="I4" s="221"/>
      <c r="J4" s="221"/>
      <c r="K4" s="189"/>
      <c r="L4" s="189"/>
      <c r="M4" s="189"/>
      <c r="N4" s="189"/>
    </row>
    <row r="5" spans="1:14">
      <c r="A5" s="189"/>
      <c r="B5" s="155" t="s">
        <v>296</v>
      </c>
      <c r="C5" s="155" t="s">
        <v>158</v>
      </c>
      <c r="D5" s="155" t="s">
        <v>3</v>
      </c>
      <c r="E5" s="155" t="s">
        <v>10</v>
      </c>
      <c r="F5" s="145" t="s">
        <v>5</v>
      </c>
      <c r="G5" s="145" t="s">
        <v>6</v>
      </c>
      <c r="H5" s="145" t="s">
        <v>7</v>
      </c>
      <c r="I5" s="145" t="s">
        <v>8</v>
      </c>
      <c r="J5" s="145" t="s">
        <v>9</v>
      </c>
      <c r="K5" s="207"/>
      <c r="L5" s="189"/>
      <c r="M5" s="189"/>
      <c r="N5" s="189"/>
    </row>
    <row r="6" spans="1:14">
      <c r="A6" s="189" t="str">
        <f t="shared" ref="A6:A28" si="0">"RA"&amp;"-"&amp;C6</f>
        <v>RA-SE</v>
      </c>
      <c r="B6" s="253" t="s">
        <v>297</v>
      </c>
      <c r="C6" s="244" t="s">
        <v>167</v>
      </c>
      <c r="D6" s="244" t="s">
        <v>72</v>
      </c>
      <c r="E6" s="254">
        <v>202190.5607307693</v>
      </c>
      <c r="F6" s="255">
        <f t="shared" ref="F6:F28" si="1">VLOOKUP($D6,$D$71:$J$83,3,FALSE)*$E6</f>
        <v>202190.5607307693</v>
      </c>
      <c r="G6" s="255">
        <f t="shared" ref="G6:G28" si="2">VLOOKUP($D6,$D$71:$J$83,4,FALSE)*$E6</f>
        <v>0</v>
      </c>
      <c r="H6" s="255">
        <f t="shared" ref="H6:H28" si="3">VLOOKUP($D6,$D$71:$J$83,5,FALSE)*$E6</f>
        <v>0</v>
      </c>
      <c r="I6" s="255">
        <f t="shared" ref="I6:I28" si="4">VLOOKUP($D6,$D$71:$J$83,6,FALSE)*$E6</f>
        <v>0</v>
      </c>
      <c r="J6" s="255">
        <f t="shared" ref="J6:J28" si="5">VLOOKUP($D6,$D$71:$J$83,7,FALSE)*$E6</f>
        <v>0</v>
      </c>
      <c r="K6" s="238"/>
      <c r="L6" s="66"/>
      <c r="M6" s="189"/>
      <c r="N6" s="254"/>
    </row>
    <row r="7" spans="1:14">
      <c r="A7" s="189" t="str">
        <f t="shared" si="0"/>
        <v>RA-SG</v>
      </c>
      <c r="B7" s="253" t="s">
        <v>297</v>
      </c>
      <c r="C7" s="244" t="s">
        <v>203</v>
      </c>
      <c r="D7" s="244" t="s">
        <v>72</v>
      </c>
      <c r="E7" s="254">
        <v>3458.0817907692299</v>
      </c>
      <c r="F7" s="255">
        <f t="shared" si="1"/>
        <v>3458.0817907692299</v>
      </c>
      <c r="G7" s="255">
        <f t="shared" si="2"/>
        <v>0</v>
      </c>
      <c r="H7" s="255">
        <f t="shared" si="3"/>
        <v>0</v>
      </c>
      <c r="I7" s="255">
        <f t="shared" si="4"/>
        <v>0</v>
      </c>
      <c r="J7" s="255">
        <f t="shared" si="5"/>
        <v>0</v>
      </c>
      <c r="K7" s="238"/>
      <c r="L7" s="66"/>
      <c r="M7" s="189"/>
      <c r="N7" s="254"/>
    </row>
    <row r="8" spans="1:14">
      <c r="A8" s="189" t="str">
        <f t="shared" si="0"/>
        <v>RA-SGCT</v>
      </c>
      <c r="B8" s="253" t="s">
        <v>297</v>
      </c>
      <c r="C8" s="244" t="s">
        <v>262</v>
      </c>
      <c r="D8" s="244" t="s">
        <v>72</v>
      </c>
      <c r="E8" s="254">
        <v>201.460904615385</v>
      </c>
      <c r="F8" s="255">
        <f t="shared" si="1"/>
        <v>201.460904615385</v>
      </c>
      <c r="G8" s="255">
        <f t="shared" si="2"/>
        <v>0</v>
      </c>
      <c r="H8" s="255">
        <f t="shared" si="3"/>
        <v>0</v>
      </c>
      <c r="I8" s="255">
        <f t="shared" si="4"/>
        <v>0</v>
      </c>
      <c r="J8" s="255">
        <f t="shared" si="5"/>
        <v>0</v>
      </c>
      <c r="K8" s="238"/>
      <c r="L8" s="66"/>
      <c r="M8" s="189"/>
      <c r="N8" s="254"/>
    </row>
    <row r="9" spans="1:14">
      <c r="A9" s="189" t="str">
        <f t="shared" si="0"/>
        <v>RA-SG-P</v>
      </c>
      <c r="B9" s="253" t="s">
        <v>297</v>
      </c>
      <c r="C9" s="244" t="s">
        <v>236</v>
      </c>
      <c r="D9" s="244" t="s">
        <v>72</v>
      </c>
      <c r="E9" s="254">
        <v>0</v>
      </c>
      <c r="F9" s="255">
        <f t="shared" si="1"/>
        <v>0</v>
      </c>
      <c r="G9" s="255">
        <f t="shared" si="2"/>
        <v>0</v>
      </c>
      <c r="H9" s="255">
        <f t="shared" si="3"/>
        <v>0</v>
      </c>
      <c r="I9" s="255">
        <f t="shared" si="4"/>
        <v>0</v>
      </c>
      <c r="J9" s="255">
        <f t="shared" si="5"/>
        <v>0</v>
      </c>
      <c r="K9" s="238"/>
      <c r="L9" s="66"/>
      <c r="M9" s="189"/>
      <c r="N9" s="254"/>
    </row>
    <row r="10" spans="1:14">
      <c r="A10" s="189" t="str">
        <f t="shared" si="0"/>
        <v>RA-SO</v>
      </c>
      <c r="B10" s="253" t="s">
        <v>297</v>
      </c>
      <c r="C10" s="244" t="s">
        <v>204</v>
      </c>
      <c r="D10" s="244" t="s">
        <v>9</v>
      </c>
      <c r="E10" s="254">
        <v>3609.2871200000018</v>
      </c>
      <c r="F10" s="255">
        <f t="shared" si="1"/>
        <v>0</v>
      </c>
      <c r="G10" s="255">
        <f t="shared" si="2"/>
        <v>0</v>
      </c>
      <c r="H10" s="255">
        <f t="shared" si="3"/>
        <v>0</v>
      </c>
      <c r="I10" s="255">
        <f t="shared" si="4"/>
        <v>0</v>
      </c>
      <c r="J10" s="255">
        <f t="shared" si="5"/>
        <v>3609.2871200000018</v>
      </c>
      <c r="K10" s="238"/>
      <c r="L10" s="66"/>
      <c r="M10" s="189"/>
      <c r="N10" s="254"/>
    </row>
    <row r="11" spans="1:14">
      <c r="A11" s="189" t="str">
        <f t="shared" si="0"/>
        <v>RA-SO</v>
      </c>
      <c r="B11" s="253" t="s">
        <v>297</v>
      </c>
      <c r="C11" s="244" t="s">
        <v>204</v>
      </c>
      <c r="D11" s="244" t="s">
        <v>54</v>
      </c>
      <c r="E11" s="254">
        <v>515821.71395461564</v>
      </c>
      <c r="F11" s="255">
        <f t="shared" si="1"/>
        <v>231754.37905972922</v>
      </c>
      <c r="G11" s="255">
        <f t="shared" si="2"/>
        <v>43768.427119454565</v>
      </c>
      <c r="H11" s="255">
        <f t="shared" si="3"/>
        <v>169175.18042916138</v>
      </c>
      <c r="I11" s="255">
        <f t="shared" si="4"/>
        <v>71123.727346270476</v>
      </c>
      <c r="J11" s="255">
        <f t="shared" si="5"/>
        <v>0</v>
      </c>
      <c r="K11" s="238"/>
      <c r="L11" s="66"/>
      <c r="M11" s="189"/>
      <c r="N11" s="254"/>
    </row>
    <row r="12" spans="1:14">
      <c r="A12" s="189" t="str">
        <f t="shared" si="0"/>
        <v>RA-SO</v>
      </c>
      <c r="B12" s="253" t="s">
        <v>297</v>
      </c>
      <c r="C12" s="244" t="s">
        <v>204</v>
      </c>
      <c r="D12" s="244" t="s">
        <v>28</v>
      </c>
      <c r="E12" s="254">
        <v>22910.758153076917</v>
      </c>
      <c r="F12" s="255">
        <f t="shared" si="1"/>
        <v>6873.2274459230748</v>
      </c>
      <c r="G12" s="255">
        <f t="shared" si="2"/>
        <v>2291.0758153076918</v>
      </c>
      <c r="H12" s="255">
        <f t="shared" si="3"/>
        <v>13746.45489184615</v>
      </c>
      <c r="I12" s="255">
        <f t="shared" si="4"/>
        <v>0</v>
      </c>
      <c r="J12" s="255">
        <f t="shared" si="5"/>
        <v>0</v>
      </c>
      <c r="K12" s="238"/>
      <c r="L12" s="66"/>
      <c r="M12" s="189"/>
      <c r="N12" s="254"/>
    </row>
    <row r="13" spans="1:14">
      <c r="A13" s="189" t="str">
        <f t="shared" si="0"/>
        <v>RA-SO</v>
      </c>
      <c r="B13" s="253" t="s">
        <v>297</v>
      </c>
      <c r="C13" s="244" t="s">
        <v>204</v>
      </c>
      <c r="D13" s="244" t="s">
        <v>72</v>
      </c>
      <c r="E13" s="254">
        <v>0</v>
      </c>
      <c r="F13" s="255">
        <f t="shared" si="1"/>
        <v>0</v>
      </c>
      <c r="G13" s="255">
        <f t="shared" si="2"/>
        <v>0</v>
      </c>
      <c r="H13" s="255">
        <f t="shared" si="3"/>
        <v>0</v>
      </c>
      <c r="I13" s="255">
        <f t="shared" si="4"/>
        <v>0</v>
      </c>
      <c r="J13" s="255">
        <f t="shared" si="5"/>
        <v>0</v>
      </c>
      <c r="K13" s="238"/>
      <c r="L13" s="66"/>
      <c r="M13" s="189"/>
      <c r="N13" s="254"/>
    </row>
    <row r="14" spans="1:14">
      <c r="A14" s="189" t="str">
        <f t="shared" si="0"/>
        <v>RA-SO</v>
      </c>
      <c r="B14" s="253" t="s">
        <v>297</v>
      </c>
      <c r="C14" s="244" t="s">
        <v>204</v>
      </c>
      <c r="D14" s="244" t="s">
        <v>116</v>
      </c>
      <c r="E14" s="254">
        <v>0</v>
      </c>
      <c r="F14" s="255">
        <f t="shared" si="1"/>
        <v>0</v>
      </c>
      <c r="G14" s="255">
        <f t="shared" si="2"/>
        <v>0</v>
      </c>
      <c r="H14" s="255">
        <f t="shared" si="3"/>
        <v>0</v>
      </c>
      <c r="I14" s="255">
        <f t="shared" si="4"/>
        <v>0</v>
      </c>
      <c r="J14" s="255">
        <f t="shared" si="5"/>
        <v>0</v>
      </c>
      <c r="K14" s="238"/>
      <c r="L14" s="66"/>
      <c r="M14" s="189"/>
      <c r="N14" s="254"/>
    </row>
    <row r="15" spans="1:14">
      <c r="A15" s="189" t="str">
        <f>"RA"&amp;"-"&amp;C15</f>
        <v>RA-OTHER</v>
      </c>
      <c r="B15" s="253" t="s">
        <v>297</v>
      </c>
      <c r="C15" s="244" t="s">
        <v>202</v>
      </c>
      <c r="D15" s="244" t="s">
        <v>8</v>
      </c>
      <c r="E15" s="254">
        <v>21857.064239230349</v>
      </c>
      <c r="F15" s="255">
        <f t="shared" si="1"/>
        <v>0</v>
      </c>
      <c r="G15" s="255">
        <f t="shared" si="2"/>
        <v>0</v>
      </c>
      <c r="H15" s="255">
        <f t="shared" si="3"/>
        <v>0</v>
      </c>
      <c r="I15" s="255">
        <f t="shared" si="4"/>
        <v>21857.064239230349</v>
      </c>
      <c r="J15" s="255">
        <f t="shared" si="5"/>
        <v>0</v>
      </c>
      <c r="K15" s="238"/>
      <c r="L15" s="66"/>
      <c r="M15" s="189"/>
      <c r="N15" s="254"/>
    </row>
    <row r="16" spans="1:14">
      <c r="A16" s="189" t="str">
        <f t="shared" ref="A16:A21" si="6">"RA"&amp;"-"&amp;C16</f>
        <v>RA-OTHER</v>
      </c>
      <c r="B16" s="253" t="s">
        <v>297</v>
      </c>
      <c r="C16" s="244" t="s">
        <v>202</v>
      </c>
      <c r="D16" s="244" t="s">
        <v>9</v>
      </c>
      <c r="E16" s="254">
        <v>8957.8479307692323</v>
      </c>
      <c r="F16" s="255">
        <f t="shared" si="1"/>
        <v>0</v>
      </c>
      <c r="G16" s="255">
        <f t="shared" si="2"/>
        <v>0</v>
      </c>
      <c r="H16" s="255">
        <f t="shared" si="3"/>
        <v>0</v>
      </c>
      <c r="I16" s="255">
        <f t="shared" si="4"/>
        <v>0</v>
      </c>
      <c r="J16" s="255">
        <f t="shared" si="5"/>
        <v>8957.8479307692323</v>
      </c>
      <c r="K16" s="238"/>
      <c r="L16" s="66"/>
      <c r="M16" s="189"/>
      <c r="N16" s="254"/>
    </row>
    <row r="17" spans="1:18">
      <c r="A17" s="189" t="str">
        <f t="shared" si="6"/>
        <v>RA-OTHER</v>
      </c>
      <c r="B17" s="253" t="s">
        <v>297</v>
      </c>
      <c r="C17" s="244" t="s">
        <v>202</v>
      </c>
      <c r="D17" s="244" t="s">
        <v>54</v>
      </c>
      <c r="E17" s="254">
        <v>8012.6879838461555</v>
      </c>
      <c r="F17" s="255">
        <f t="shared" si="1"/>
        <v>3600.0336512762715</v>
      </c>
      <c r="G17" s="255">
        <f t="shared" si="2"/>
        <v>679.8914054299704</v>
      </c>
      <c r="H17" s="255">
        <f t="shared" si="3"/>
        <v>2627.9388763944398</v>
      </c>
      <c r="I17" s="255">
        <f t="shared" si="4"/>
        <v>1104.8240507454741</v>
      </c>
      <c r="J17" s="255">
        <f t="shared" si="5"/>
        <v>0</v>
      </c>
      <c r="K17" s="238"/>
      <c r="L17" s="66"/>
      <c r="M17" s="189"/>
      <c r="N17" s="254"/>
    </row>
    <row r="18" spans="1:18">
      <c r="A18" s="189" t="str">
        <f t="shared" si="6"/>
        <v>RA-OTHER</v>
      </c>
      <c r="B18" s="253" t="s">
        <v>297</v>
      </c>
      <c r="C18" s="244" t="s">
        <v>202</v>
      </c>
      <c r="D18" s="244" t="s">
        <v>72</v>
      </c>
      <c r="E18" s="254">
        <v>13636.35400846158</v>
      </c>
      <c r="F18" s="255">
        <f t="shared" si="1"/>
        <v>13636.35400846158</v>
      </c>
      <c r="G18" s="255">
        <f t="shared" si="2"/>
        <v>0</v>
      </c>
      <c r="H18" s="255">
        <f t="shared" si="3"/>
        <v>0</v>
      </c>
      <c r="I18" s="255">
        <f t="shared" si="4"/>
        <v>0</v>
      </c>
      <c r="J18" s="255">
        <f t="shared" si="5"/>
        <v>0</v>
      </c>
      <c r="K18" s="238"/>
      <c r="L18" s="66"/>
      <c r="M18" s="189"/>
      <c r="N18" s="254"/>
    </row>
    <row r="19" spans="1:18">
      <c r="A19" s="189" t="str">
        <f t="shared" si="6"/>
        <v>RA-OTHER</v>
      </c>
      <c r="B19" s="253" t="s">
        <v>297</v>
      </c>
      <c r="C19" s="244" t="s">
        <v>202</v>
      </c>
      <c r="D19" s="244" t="s">
        <v>7</v>
      </c>
      <c r="E19" s="254">
        <v>0</v>
      </c>
      <c r="F19" s="255">
        <f t="shared" si="1"/>
        <v>0</v>
      </c>
      <c r="G19" s="255">
        <f t="shared" si="2"/>
        <v>0</v>
      </c>
      <c r="H19" s="255">
        <f t="shared" si="3"/>
        <v>0</v>
      </c>
      <c r="I19" s="255">
        <f t="shared" si="4"/>
        <v>0</v>
      </c>
      <c r="J19" s="255">
        <f t="shared" si="5"/>
        <v>0</v>
      </c>
      <c r="K19" s="238"/>
      <c r="L19" s="66"/>
      <c r="M19" s="189"/>
      <c r="N19" s="254"/>
    </row>
    <row r="20" spans="1:18">
      <c r="A20" s="189" t="str">
        <f t="shared" si="6"/>
        <v>RA-OTHER</v>
      </c>
      <c r="B20" s="253" t="s">
        <v>297</v>
      </c>
      <c r="C20" s="244" t="s">
        <v>202</v>
      </c>
      <c r="D20" s="244" t="s">
        <v>132</v>
      </c>
      <c r="E20" s="254">
        <v>832.84203307692303</v>
      </c>
      <c r="F20" s="255">
        <f t="shared" si="1"/>
        <v>407.45142428049792</v>
      </c>
      <c r="G20" s="255">
        <f t="shared" si="2"/>
        <v>203.5620148639052</v>
      </c>
      <c r="H20" s="255">
        <f t="shared" si="3"/>
        <v>221.82859393251988</v>
      </c>
      <c r="I20" s="255">
        <f t="shared" si="4"/>
        <v>0</v>
      </c>
      <c r="J20" s="255">
        <f t="shared" si="5"/>
        <v>0</v>
      </c>
      <c r="K20" s="238"/>
      <c r="L20" s="66"/>
      <c r="M20" s="189"/>
      <c r="N20" s="254"/>
    </row>
    <row r="21" spans="1:18">
      <c r="A21" s="189" t="str">
        <f t="shared" si="6"/>
        <v>RA-OTHER</v>
      </c>
      <c r="B21" s="253" t="s">
        <v>297</v>
      </c>
      <c r="C21" s="244" t="s">
        <v>202</v>
      </c>
      <c r="D21" s="244" t="s">
        <v>28</v>
      </c>
      <c r="E21" s="254">
        <v>0</v>
      </c>
      <c r="F21" s="255">
        <f t="shared" si="1"/>
        <v>0</v>
      </c>
      <c r="G21" s="255">
        <f t="shared" si="2"/>
        <v>0</v>
      </c>
      <c r="H21" s="255">
        <f t="shared" si="3"/>
        <v>0</v>
      </c>
      <c r="I21" s="255">
        <f t="shared" si="4"/>
        <v>0</v>
      </c>
      <c r="J21" s="255">
        <f t="shared" si="5"/>
        <v>0</v>
      </c>
      <c r="K21" s="238"/>
      <c r="L21" s="66"/>
      <c r="M21" s="189"/>
      <c r="N21" s="254"/>
    </row>
    <row r="22" spans="1:18">
      <c r="A22" s="189" t="str">
        <f t="shared" si="0"/>
        <v>RA-TROJD</v>
      </c>
      <c r="B22" s="253" t="s">
        <v>297</v>
      </c>
      <c r="C22" s="244" t="s">
        <v>265</v>
      </c>
      <c r="D22" s="244" t="s">
        <v>72</v>
      </c>
      <c r="E22" s="254">
        <v>0</v>
      </c>
      <c r="F22" s="255">
        <f t="shared" si="1"/>
        <v>0</v>
      </c>
      <c r="G22" s="255">
        <f t="shared" si="2"/>
        <v>0</v>
      </c>
      <c r="H22" s="255">
        <f t="shared" si="3"/>
        <v>0</v>
      </c>
      <c r="I22" s="255">
        <f t="shared" si="4"/>
        <v>0</v>
      </c>
      <c r="J22" s="255">
        <f t="shared" si="5"/>
        <v>0</v>
      </c>
      <c r="K22" s="238"/>
      <c r="L22" s="66"/>
      <c r="M22" s="189"/>
      <c r="N22" s="254"/>
    </row>
    <row r="23" spans="1:18">
      <c r="A23" s="189" t="str">
        <f t="shared" si="0"/>
        <v>RA-TROJP</v>
      </c>
      <c r="B23" s="253" t="s">
        <v>297</v>
      </c>
      <c r="C23" s="244" t="s">
        <v>270</v>
      </c>
      <c r="D23" s="244" t="s">
        <v>72</v>
      </c>
      <c r="E23" s="254">
        <v>0</v>
      </c>
      <c r="F23" s="255">
        <f t="shared" si="1"/>
        <v>0</v>
      </c>
      <c r="G23" s="255">
        <f t="shared" si="2"/>
        <v>0</v>
      </c>
      <c r="H23" s="255">
        <f t="shared" si="3"/>
        <v>0</v>
      </c>
      <c r="I23" s="255">
        <f t="shared" si="4"/>
        <v>0</v>
      </c>
      <c r="J23" s="255">
        <f t="shared" si="5"/>
        <v>0</v>
      </c>
      <c r="K23" s="238"/>
      <c r="L23" s="66"/>
      <c r="M23" s="189"/>
      <c r="N23" s="254"/>
    </row>
    <row r="24" spans="1:18">
      <c r="A24" s="189" t="str">
        <f t="shared" si="0"/>
        <v>RA-SITUS</v>
      </c>
      <c r="B24" s="253" t="s">
        <v>297</v>
      </c>
      <c r="C24" s="244" t="s">
        <v>205</v>
      </c>
      <c r="D24" s="244" t="s">
        <v>9</v>
      </c>
      <c r="E24" s="254">
        <v>-0.36539153846150185</v>
      </c>
      <c r="F24" s="255">
        <f t="shared" si="1"/>
        <v>0</v>
      </c>
      <c r="G24" s="255">
        <f t="shared" si="2"/>
        <v>0</v>
      </c>
      <c r="H24" s="255">
        <f t="shared" si="3"/>
        <v>0</v>
      </c>
      <c r="I24" s="255">
        <f t="shared" si="4"/>
        <v>0</v>
      </c>
      <c r="J24" s="255">
        <f t="shared" si="5"/>
        <v>-0.36539153846150185</v>
      </c>
      <c r="K24" s="238"/>
      <c r="L24" s="66"/>
      <c r="M24" s="189"/>
      <c r="N24" s="254"/>
    </row>
    <row r="25" spans="1:18">
      <c r="A25" s="189" t="str">
        <f t="shared" si="0"/>
        <v>RA-SITUS</v>
      </c>
      <c r="B25" s="253" t="s">
        <v>297</v>
      </c>
      <c r="C25" s="244" t="s">
        <v>205</v>
      </c>
      <c r="D25" s="244" t="s">
        <v>54</v>
      </c>
      <c r="E25" s="254">
        <v>-1557.6846023076941</v>
      </c>
      <c r="F25" s="255">
        <f t="shared" si="1"/>
        <v>-699.854655227801</v>
      </c>
      <c r="G25" s="255">
        <f t="shared" si="2"/>
        <v>-132.17242149135166</v>
      </c>
      <c r="H25" s="255">
        <f t="shared" si="3"/>
        <v>-510.8772401743376</v>
      </c>
      <c r="I25" s="255">
        <f t="shared" si="4"/>
        <v>-214.78028541420392</v>
      </c>
      <c r="J25" s="255">
        <f t="shared" si="5"/>
        <v>0</v>
      </c>
      <c r="K25" s="238"/>
      <c r="L25" s="66"/>
      <c r="M25" s="189"/>
      <c r="N25" s="254"/>
    </row>
    <row r="26" spans="1:18">
      <c r="A26" s="189" t="str">
        <f t="shared" si="0"/>
        <v>RA-SITUS</v>
      </c>
      <c r="B26" s="253" t="s">
        <v>297</v>
      </c>
      <c r="C26" s="244" t="s">
        <v>205</v>
      </c>
      <c r="D26" s="244" t="s">
        <v>72</v>
      </c>
      <c r="E26" s="254">
        <v>9696.0743561538366</v>
      </c>
      <c r="F26" s="255">
        <f t="shared" si="1"/>
        <v>9696.0743561538366</v>
      </c>
      <c r="G26" s="255">
        <f t="shared" si="2"/>
        <v>0</v>
      </c>
      <c r="H26" s="255">
        <f t="shared" si="3"/>
        <v>0</v>
      </c>
      <c r="I26" s="255">
        <f t="shared" si="4"/>
        <v>0</v>
      </c>
      <c r="J26" s="255">
        <f t="shared" si="5"/>
        <v>0</v>
      </c>
      <c r="K26" s="238"/>
      <c r="L26" s="66"/>
      <c r="M26" s="189"/>
      <c r="N26" s="254"/>
    </row>
    <row r="27" spans="1:18">
      <c r="A27" s="189" t="str">
        <f t="shared" si="0"/>
        <v>RA-SITUS</v>
      </c>
      <c r="B27" s="253" t="s">
        <v>297</v>
      </c>
      <c r="C27" s="244" t="s">
        <v>205</v>
      </c>
      <c r="D27" s="244" t="s">
        <v>132</v>
      </c>
      <c r="E27" s="254">
        <v>0</v>
      </c>
      <c r="F27" s="255">
        <f t="shared" si="1"/>
        <v>0</v>
      </c>
      <c r="G27" s="255">
        <f t="shared" si="2"/>
        <v>0</v>
      </c>
      <c r="H27" s="255">
        <f t="shared" si="3"/>
        <v>0</v>
      </c>
      <c r="I27" s="255">
        <f t="shared" si="4"/>
        <v>0</v>
      </c>
      <c r="J27" s="255">
        <f t="shared" si="5"/>
        <v>0</v>
      </c>
      <c r="K27" s="238"/>
      <c r="L27" s="66"/>
      <c r="M27" s="189"/>
      <c r="N27" s="254"/>
    </row>
    <row r="28" spans="1:18">
      <c r="A28" s="189" t="str">
        <f t="shared" si="0"/>
        <v>RA-SITUS</v>
      </c>
      <c r="B28" s="244" t="s">
        <v>297</v>
      </c>
      <c r="C28" s="244" t="s">
        <v>205</v>
      </c>
      <c r="D28" s="244" t="s">
        <v>8</v>
      </c>
      <c r="E28" s="254">
        <v>1764.3229800000004</v>
      </c>
      <c r="F28" s="255">
        <f t="shared" si="1"/>
        <v>0</v>
      </c>
      <c r="G28" s="255">
        <f t="shared" si="2"/>
        <v>0</v>
      </c>
      <c r="H28" s="255">
        <f t="shared" si="3"/>
        <v>0</v>
      </c>
      <c r="I28" s="255">
        <f t="shared" si="4"/>
        <v>1764.3229800000004</v>
      </c>
      <c r="J28" s="255">
        <f t="shared" si="5"/>
        <v>0</v>
      </c>
      <c r="K28" s="238"/>
      <c r="L28" s="66"/>
      <c r="M28" s="189"/>
      <c r="N28" s="254"/>
    </row>
    <row r="29" spans="1:18">
      <c r="A29" s="221"/>
      <c r="B29" s="134" t="s">
        <v>226</v>
      </c>
      <c r="C29" s="189"/>
      <c r="D29" s="189"/>
      <c r="E29" s="88">
        <f t="shared" ref="E29:J29" si="7">SUMIF($A:$A,"RA-SO",E:E)</f>
        <v>542341.7592276925</v>
      </c>
      <c r="F29" s="88">
        <f t="shared" si="7"/>
        <v>238627.60650565231</v>
      </c>
      <c r="G29" s="88">
        <f t="shared" si="7"/>
        <v>46059.502934762255</v>
      </c>
      <c r="H29" s="88">
        <f t="shared" si="7"/>
        <v>182921.63532100752</v>
      </c>
      <c r="I29" s="88">
        <f t="shared" si="7"/>
        <v>71123.727346270476</v>
      </c>
      <c r="J29" s="88">
        <f t="shared" si="7"/>
        <v>3609.2871200000018</v>
      </c>
      <c r="K29" s="221"/>
      <c r="L29" s="221"/>
      <c r="M29" s="221"/>
      <c r="N29" s="221"/>
      <c r="O29" s="135"/>
      <c r="P29" s="135"/>
      <c r="Q29" s="135"/>
      <c r="R29" s="135"/>
    </row>
    <row r="30" spans="1:18">
      <c r="A30" s="221"/>
      <c r="B30" s="134" t="s">
        <v>298</v>
      </c>
      <c r="C30" s="189"/>
      <c r="D30" s="189"/>
      <c r="E30" s="88">
        <f t="shared" ref="E30:J30" si="8">SUMIF($A:$A,"RA-OTHER",E:E)</f>
        <v>53296.796195384239</v>
      </c>
      <c r="F30" s="88">
        <f t="shared" si="8"/>
        <v>17643.839084018349</v>
      </c>
      <c r="G30" s="88">
        <f t="shared" si="8"/>
        <v>883.45342029387564</v>
      </c>
      <c r="H30" s="88">
        <f t="shared" si="8"/>
        <v>2849.7674703269595</v>
      </c>
      <c r="I30" s="88">
        <f t="shared" si="8"/>
        <v>22961.888289975825</v>
      </c>
      <c r="J30" s="88">
        <f t="shared" si="8"/>
        <v>8957.8479307692323</v>
      </c>
      <c r="K30" s="221"/>
      <c r="L30" s="221"/>
      <c r="M30" s="221"/>
      <c r="N30" s="221"/>
      <c r="O30" s="135"/>
      <c r="P30" s="135"/>
      <c r="Q30" s="135"/>
      <c r="R30" s="135"/>
    </row>
    <row r="31" spans="1:18">
      <c r="A31" s="221"/>
      <c r="B31" s="90" t="s">
        <v>299</v>
      </c>
      <c r="C31" s="221"/>
      <c r="D31" s="221"/>
      <c r="E31" s="88">
        <f t="shared" ref="E31:J31" si="9">SUMIF($A:$A,"RA-SITUS",E:E)</f>
        <v>9902.3473423076812</v>
      </c>
      <c r="F31" s="88">
        <f t="shared" si="9"/>
        <v>8996.2197009260362</v>
      </c>
      <c r="G31" s="88">
        <f t="shared" si="9"/>
        <v>-132.17242149135166</v>
      </c>
      <c r="H31" s="88">
        <f t="shared" si="9"/>
        <v>-510.8772401743376</v>
      </c>
      <c r="I31" s="88">
        <f t="shared" si="9"/>
        <v>1549.5426945857964</v>
      </c>
      <c r="J31" s="88">
        <f t="shared" si="9"/>
        <v>-0.36539153846150185</v>
      </c>
      <c r="K31" s="221"/>
      <c r="L31" s="221"/>
      <c r="M31" s="221"/>
      <c r="N31" s="221"/>
      <c r="O31" s="135"/>
      <c r="P31" s="135"/>
      <c r="Q31" s="135"/>
      <c r="R31" s="135"/>
    </row>
    <row r="32" spans="1:18">
      <c r="A32" s="221"/>
      <c r="B32" s="90" t="s">
        <v>300</v>
      </c>
      <c r="C32" s="221"/>
      <c r="D32" s="221"/>
      <c r="E32" s="88">
        <f t="shared" ref="E32:J32" si="10">SUMIF($B:$B,"182M",E:E)</f>
        <v>811391.0061915383</v>
      </c>
      <c r="F32" s="88">
        <f t="shared" si="10"/>
        <v>471117.76871675061</v>
      </c>
      <c r="G32" s="88">
        <f t="shared" si="10"/>
        <v>46810.78393356478</v>
      </c>
      <c r="H32" s="88">
        <f t="shared" si="10"/>
        <v>185260.52555116016</v>
      </c>
      <c r="I32" s="88">
        <f t="shared" si="10"/>
        <v>95635.158330832084</v>
      </c>
      <c r="J32" s="88">
        <f t="shared" si="10"/>
        <v>12566.769659230771</v>
      </c>
      <c r="K32" s="221"/>
      <c r="L32" s="221"/>
      <c r="M32" s="221"/>
      <c r="N32" s="221"/>
      <c r="O32" s="135"/>
      <c r="P32" s="135"/>
      <c r="Q32" s="135"/>
      <c r="R32" s="135"/>
    </row>
    <row r="33" spans="1:14">
      <c r="A33" s="189"/>
      <c r="B33" s="156" t="s">
        <v>301</v>
      </c>
      <c r="C33" s="244"/>
      <c r="D33" s="244"/>
      <c r="E33" s="157">
        <f>SUM(F33:J33)</f>
        <v>1.0000000000000002</v>
      </c>
      <c r="F33" s="158">
        <f>F29/$E29</f>
        <v>0.43999489702851513</v>
      </c>
      <c r="G33" s="158">
        <f>G29/$E29</f>
        <v>8.4927081772851271E-2</v>
      </c>
      <c r="H33" s="158">
        <f>H29/$E29</f>
        <v>0.33728111879397277</v>
      </c>
      <c r="I33" s="158">
        <f>I29/$E29</f>
        <v>0.13114189740349766</v>
      </c>
      <c r="J33" s="158">
        <f>J29/$E29</f>
        <v>6.6550050011633111E-3</v>
      </c>
      <c r="K33" s="189"/>
      <c r="L33" s="189"/>
      <c r="M33" s="189"/>
      <c r="N33" s="189"/>
    </row>
    <row r="34" spans="1:14">
      <c r="A34" s="189"/>
      <c r="B34" s="156" t="s">
        <v>302</v>
      </c>
      <c r="C34" s="244"/>
      <c r="D34" s="244"/>
      <c r="E34" s="157">
        <f>SUM(F34:J34)</f>
        <v>1</v>
      </c>
      <c r="F34" s="158">
        <f>F31/$E31</f>
        <v>0.90849365205457666</v>
      </c>
      <c r="G34" s="158">
        <f>G31/$E31</f>
        <v>-1.3347584862696776E-2</v>
      </c>
      <c r="H34" s="158">
        <f>H31/$E31</f>
        <v>-5.1591529009654066E-2</v>
      </c>
      <c r="I34" s="158">
        <f>I31/$E31</f>
        <v>0.15648236130491913</v>
      </c>
      <c r="J34" s="158">
        <f>J31/$E31</f>
        <v>-3.689948714486818E-5</v>
      </c>
      <c r="K34" s="194"/>
      <c r="L34" s="189"/>
      <c r="M34" s="189"/>
      <c r="N34" s="189"/>
    </row>
    <row r="35" spans="1:14">
      <c r="A35" s="189"/>
      <c r="B35" s="156"/>
      <c r="C35" s="244"/>
      <c r="D35" s="244"/>
      <c r="E35" s="157"/>
      <c r="F35" s="158"/>
      <c r="G35" s="158"/>
      <c r="H35" s="158"/>
      <c r="I35" s="158"/>
      <c r="J35" s="158"/>
      <c r="K35" s="189"/>
      <c r="L35" s="189"/>
      <c r="M35" s="189"/>
      <c r="N35" s="189"/>
    </row>
    <row r="36" spans="1:14">
      <c r="A36" s="189" t="str">
        <f t="shared" ref="A36:A47" si="11">"DD"&amp;"-"&amp;C36</f>
        <v>DD-SE</v>
      </c>
      <c r="B36" s="244" t="s">
        <v>303</v>
      </c>
      <c r="C36" s="244" t="s">
        <v>167</v>
      </c>
      <c r="D36" s="244" t="s">
        <v>72</v>
      </c>
      <c r="E36" s="254">
        <v>2150.0096400000002</v>
      </c>
      <c r="F36" s="88">
        <f>VLOOKUP($D36,$D$71:$J$83,3,FALSE)*$E36</f>
        <v>2150.0096400000002</v>
      </c>
      <c r="G36" s="88">
        <f>VLOOKUP($D36,$D$71:$J$83,4,FALSE)*$E36</f>
        <v>0</v>
      </c>
      <c r="H36" s="88">
        <f>VLOOKUP($D36,$D$71:$J$83,5,FALSE)*$E36</f>
        <v>0</v>
      </c>
      <c r="I36" s="88">
        <f>VLOOKUP($D36,$D$71:$J$83,6,FALSE)*$E36</f>
        <v>0</v>
      </c>
      <c r="J36" s="88">
        <f>VLOOKUP($D36,$D$71:$J$83,7,FALSE)*$E36</f>
        <v>0</v>
      </c>
      <c r="K36" s="238"/>
      <c r="L36" s="66"/>
      <c r="M36" s="189"/>
      <c r="N36" s="189"/>
    </row>
    <row r="37" spans="1:14">
      <c r="A37" s="189" t="str">
        <f t="shared" si="11"/>
        <v>DD-SG</v>
      </c>
      <c r="B37" s="244" t="s">
        <v>303</v>
      </c>
      <c r="C37" s="244" t="s">
        <v>203</v>
      </c>
      <c r="D37" s="244" t="s">
        <v>72</v>
      </c>
      <c r="E37" s="254">
        <v>45771.907733076972</v>
      </c>
      <c r="F37" s="88">
        <f>VLOOKUP($D37,$D$71:$J$83,3,FALSE)*$E37</f>
        <v>45771.907733076972</v>
      </c>
      <c r="G37" s="88">
        <f>VLOOKUP($D37,$D$71:$J$83,4,FALSE)*$E37</f>
        <v>0</v>
      </c>
      <c r="H37" s="88">
        <f>VLOOKUP($D37,$D$71:$J$83,5,FALSE)*$E37</f>
        <v>0</v>
      </c>
      <c r="I37" s="88">
        <f>VLOOKUP($D37,$D$71:$J$83,6,FALSE)*$E37</f>
        <v>0</v>
      </c>
      <c r="J37" s="88">
        <f>VLOOKUP($D37,$D$71:$J$83,7,FALSE)*$E37</f>
        <v>0</v>
      </c>
      <c r="K37" s="238"/>
      <c r="L37" s="66"/>
      <c r="M37" s="189"/>
      <c r="N37" s="189"/>
    </row>
    <row r="38" spans="1:14">
      <c r="A38" s="189" t="str">
        <f t="shared" si="11"/>
        <v>DD-SG</v>
      </c>
      <c r="B38" s="244" t="s">
        <v>303</v>
      </c>
      <c r="C38" s="244" t="s">
        <v>203</v>
      </c>
      <c r="D38" s="244" t="s">
        <v>113</v>
      </c>
      <c r="E38" s="254">
        <v>12547.037563076879</v>
      </c>
      <c r="F38" s="88">
        <f>VLOOKUP($D38,$D$71:$J$83,3,FALSE)*$E38</f>
        <v>0</v>
      </c>
      <c r="G38" s="88">
        <f>VLOOKUP($D38,$D$71:$J$83,4,FALSE)*$E38</f>
        <v>12547.037563076879</v>
      </c>
      <c r="H38" s="88">
        <f>VLOOKUP($D38,$D$71:$J$83,5,FALSE)*$E38</f>
        <v>0</v>
      </c>
      <c r="I38" s="88">
        <f>VLOOKUP($D38,$D$71:$J$83,6,FALSE)*$E38</f>
        <v>0</v>
      </c>
      <c r="J38" s="88">
        <f>VLOOKUP($D38,$D$71:$J$83,7,FALSE)*$E38</f>
        <v>0</v>
      </c>
      <c r="K38" s="238"/>
      <c r="L38" s="66"/>
      <c r="M38" s="189"/>
      <c r="N38" s="189"/>
    </row>
    <row r="39" spans="1:14">
      <c r="A39" s="189" t="str">
        <f t="shared" si="11"/>
        <v>DD-SO</v>
      </c>
      <c r="B39" s="244" t="s">
        <v>303</v>
      </c>
      <c r="C39" s="244" t="s">
        <v>204</v>
      </c>
      <c r="D39" s="244" t="s">
        <v>9</v>
      </c>
      <c r="E39" s="254">
        <v>275.4738892307692</v>
      </c>
      <c r="F39" s="88">
        <f>VLOOKUP($D39,$D$71:$J$83,3,FALSE)*$E39</f>
        <v>0</v>
      </c>
      <c r="G39" s="88">
        <f>VLOOKUP($D39,$D$71:$J$83,4,FALSE)*$E39</f>
        <v>0</v>
      </c>
      <c r="H39" s="88">
        <f>VLOOKUP($D39,$D$71:$J$83,5,FALSE)*$E39</f>
        <v>0</v>
      </c>
      <c r="I39" s="88">
        <f>VLOOKUP($D39,$D$71:$J$83,6,FALSE)*$E39</f>
        <v>0</v>
      </c>
      <c r="J39" s="88">
        <f>VLOOKUP($D39,$D$71:$J$83,7,FALSE)*$E39</f>
        <v>275.4738892307692</v>
      </c>
      <c r="K39" s="238"/>
      <c r="L39" s="66"/>
      <c r="M39" s="189"/>
      <c r="N39" s="189"/>
    </row>
    <row r="40" spans="1:14">
      <c r="A40" s="189"/>
      <c r="B40" s="244"/>
      <c r="C40" s="244"/>
      <c r="D40" s="244"/>
      <c r="E40" s="254"/>
      <c r="F40" s="88"/>
      <c r="G40" s="88"/>
      <c r="H40" s="88"/>
      <c r="I40" s="88"/>
      <c r="J40" s="88"/>
      <c r="K40" s="238"/>
      <c r="L40" s="66"/>
      <c r="M40" s="189"/>
      <c r="N40" s="189"/>
    </row>
    <row r="41" spans="1:14">
      <c r="A41" s="189" t="s">
        <v>304</v>
      </c>
      <c r="B41" s="244" t="s">
        <v>303</v>
      </c>
      <c r="C41" s="244" t="s">
        <v>202</v>
      </c>
      <c r="D41" s="244" t="s">
        <v>9</v>
      </c>
      <c r="E41" s="254">
        <v>2145.2621592307714</v>
      </c>
      <c r="F41" s="88">
        <f t="shared" ref="F41:F47" si="12">VLOOKUP($D41,$D$71:$J$83,3,FALSE)*$E41</f>
        <v>0</v>
      </c>
      <c r="G41" s="88">
        <f t="shared" ref="G41:G47" si="13">VLOOKUP($D41,$D$71:$J$83,4,FALSE)*$E41</f>
        <v>0</v>
      </c>
      <c r="H41" s="88">
        <f t="shared" ref="H41:H47" si="14">VLOOKUP($D41,$D$71:$J$83,5,FALSE)*$E41</f>
        <v>0</v>
      </c>
      <c r="I41" s="88">
        <f t="shared" ref="I41:I47" si="15">VLOOKUP($D41,$D$71:$J$83,6,FALSE)*$E41</f>
        <v>0</v>
      </c>
      <c r="J41" s="88">
        <f t="shared" ref="J41:J47" si="16">VLOOKUP($D41,$D$71:$J$83,7,FALSE)*$E41</f>
        <v>2145.2621592307714</v>
      </c>
      <c r="K41" s="238"/>
      <c r="L41" s="66"/>
      <c r="M41" s="189"/>
      <c r="N41" s="189"/>
    </row>
    <row r="42" spans="1:14">
      <c r="A42" s="189" t="s">
        <v>304</v>
      </c>
      <c r="B42" s="244" t="s">
        <v>303</v>
      </c>
      <c r="C42" s="244" t="s">
        <v>202</v>
      </c>
      <c r="D42" s="244" t="s">
        <v>54</v>
      </c>
      <c r="E42" s="254">
        <v>0</v>
      </c>
      <c r="F42" s="88">
        <f t="shared" si="12"/>
        <v>0</v>
      </c>
      <c r="G42" s="88">
        <f t="shared" si="13"/>
        <v>0</v>
      </c>
      <c r="H42" s="88">
        <f t="shared" si="14"/>
        <v>0</v>
      </c>
      <c r="I42" s="88">
        <f t="shared" si="15"/>
        <v>0</v>
      </c>
      <c r="J42" s="88">
        <f t="shared" si="16"/>
        <v>0</v>
      </c>
      <c r="K42" s="238"/>
      <c r="L42" s="66"/>
      <c r="M42" s="189"/>
      <c r="N42" s="189"/>
    </row>
    <row r="43" spans="1:14">
      <c r="A43" s="189" t="s">
        <v>304</v>
      </c>
      <c r="B43" s="244" t="s">
        <v>303</v>
      </c>
      <c r="C43" s="244" t="s">
        <v>202</v>
      </c>
      <c r="D43" s="244" t="s">
        <v>72</v>
      </c>
      <c r="E43" s="254">
        <v>0</v>
      </c>
      <c r="F43" s="88">
        <f t="shared" si="12"/>
        <v>0</v>
      </c>
      <c r="G43" s="88">
        <f t="shared" si="13"/>
        <v>0</v>
      </c>
      <c r="H43" s="88">
        <f t="shared" si="14"/>
        <v>0</v>
      </c>
      <c r="I43" s="88">
        <f t="shared" si="15"/>
        <v>0</v>
      </c>
      <c r="J43" s="88">
        <f t="shared" si="16"/>
        <v>0</v>
      </c>
      <c r="K43" s="238"/>
      <c r="L43" s="66"/>
      <c r="M43" s="189"/>
      <c r="N43" s="189"/>
    </row>
    <row r="44" spans="1:14">
      <c r="A44" s="189" t="s">
        <v>304</v>
      </c>
      <c r="B44" s="244" t="s">
        <v>303</v>
      </c>
      <c r="C44" s="244" t="s">
        <v>202</v>
      </c>
      <c r="D44" s="244" t="s">
        <v>132</v>
      </c>
      <c r="E44" s="254">
        <v>52.862284615384603</v>
      </c>
      <c r="F44" s="88">
        <f t="shared" si="12"/>
        <v>25.861822892973677</v>
      </c>
      <c r="G44" s="88">
        <f t="shared" si="13"/>
        <v>12.920521226410077</v>
      </c>
      <c r="H44" s="88">
        <f t="shared" si="14"/>
        <v>14.079940496000846</v>
      </c>
      <c r="I44" s="88">
        <f t="shared" si="15"/>
        <v>0</v>
      </c>
      <c r="J44" s="88">
        <f t="shared" si="16"/>
        <v>0</v>
      </c>
      <c r="K44" s="238"/>
      <c r="L44" s="66"/>
      <c r="M44" s="189"/>
      <c r="N44" s="189"/>
    </row>
    <row r="45" spans="1:14">
      <c r="A45" s="189" t="s">
        <v>304</v>
      </c>
      <c r="B45" s="244" t="s">
        <v>303</v>
      </c>
      <c r="C45" s="244" t="s">
        <v>202</v>
      </c>
      <c r="D45" s="244" t="s">
        <v>113</v>
      </c>
      <c r="E45" s="254">
        <v>2636.3050946153799</v>
      </c>
      <c r="F45" s="88">
        <f t="shared" si="12"/>
        <v>0</v>
      </c>
      <c r="G45" s="88">
        <f t="shared" si="13"/>
        <v>2636.3050946153799</v>
      </c>
      <c r="H45" s="88">
        <f t="shared" si="14"/>
        <v>0</v>
      </c>
      <c r="I45" s="88">
        <f t="shared" si="15"/>
        <v>0</v>
      </c>
      <c r="J45" s="88">
        <f t="shared" si="16"/>
        <v>0</v>
      </c>
      <c r="K45" s="238"/>
      <c r="L45" s="66"/>
      <c r="M45" s="189"/>
      <c r="N45" s="189"/>
    </row>
    <row r="46" spans="1:14">
      <c r="A46" s="189" t="str">
        <f t="shared" si="11"/>
        <v>DD-SITUS</v>
      </c>
      <c r="B46" s="244" t="s">
        <v>303</v>
      </c>
      <c r="C46" s="244" t="s">
        <v>205</v>
      </c>
      <c r="D46" s="244" t="s">
        <v>113</v>
      </c>
      <c r="E46" s="173">
        <v>0</v>
      </c>
      <c r="F46" s="88">
        <f t="shared" si="12"/>
        <v>0</v>
      </c>
      <c r="G46" s="88">
        <f t="shared" si="13"/>
        <v>0</v>
      </c>
      <c r="H46" s="88">
        <f t="shared" si="14"/>
        <v>0</v>
      </c>
      <c r="I46" s="88">
        <f t="shared" si="15"/>
        <v>0</v>
      </c>
      <c r="J46" s="88">
        <f t="shared" si="16"/>
        <v>0</v>
      </c>
      <c r="K46" s="189"/>
      <c r="L46" s="189"/>
      <c r="M46" s="189"/>
      <c r="N46" s="189"/>
    </row>
    <row r="47" spans="1:14">
      <c r="A47" s="189" t="str">
        <f t="shared" si="11"/>
        <v>DD-SITUS</v>
      </c>
      <c r="B47" s="244" t="s">
        <v>303</v>
      </c>
      <c r="C47" s="244" t="s">
        <v>205</v>
      </c>
      <c r="D47" s="244" t="s">
        <v>54</v>
      </c>
      <c r="E47" s="173">
        <v>0</v>
      </c>
      <c r="F47" s="88">
        <f t="shared" si="12"/>
        <v>0</v>
      </c>
      <c r="G47" s="88">
        <f t="shared" si="13"/>
        <v>0</v>
      </c>
      <c r="H47" s="88">
        <f t="shared" si="14"/>
        <v>0</v>
      </c>
      <c r="I47" s="88">
        <f t="shared" si="15"/>
        <v>0</v>
      </c>
      <c r="J47" s="88">
        <f t="shared" si="16"/>
        <v>0</v>
      </c>
      <c r="K47" s="189"/>
      <c r="L47" s="189"/>
      <c r="M47" s="189"/>
      <c r="N47" s="189"/>
    </row>
    <row r="48" spans="1:14">
      <c r="A48" s="189"/>
      <c r="B48" s="90" t="s">
        <v>299</v>
      </c>
      <c r="C48" s="189"/>
      <c r="D48" s="189"/>
      <c r="E48" s="88">
        <f t="shared" ref="E48:J48" si="17">SUMIF($A:$A,"DD-SITUS",E:E)</f>
        <v>0</v>
      </c>
      <c r="F48" s="88">
        <f t="shared" si="17"/>
        <v>0</v>
      </c>
      <c r="G48" s="88">
        <f t="shared" si="17"/>
        <v>0</v>
      </c>
      <c r="H48" s="88">
        <f t="shared" si="17"/>
        <v>0</v>
      </c>
      <c r="I48" s="88">
        <f t="shared" si="17"/>
        <v>0</v>
      </c>
      <c r="J48" s="88">
        <f t="shared" si="17"/>
        <v>0</v>
      </c>
      <c r="K48" s="189"/>
      <c r="L48" s="189"/>
      <c r="M48" s="189"/>
      <c r="N48" s="189"/>
    </row>
    <row r="49" spans="1:14">
      <c r="A49" s="189"/>
      <c r="B49" s="90" t="s">
        <v>305</v>
      </c>
      <c r="C49" s="221"/>
      <c r="D49" s="221"/>
      <c r="E49" s="88">
        <f t="shared" ref="E49:J49" si="18">SUMIF($A:$A,"DD-SG",E:E)</f>
        <v>58318.945296153848</v>
      </c>
      <c r="F49" s="88">
        <f t="shared" si="18"/>
        <v>45771.907733076972</v>
      </c>
      <c r="G49" s="88">
        <f t="shared" si="18"/>
        <v>12547.037563076879</v>
      </c>
      <c r="H49" s="88">
        <f t="shared" si="18"/>
        <v>0</v>
      </c>
      <c r="I49" s="88">
        <f t="shared" si="18"/>
        <v>0</v>
      </c>
      <c r="J49" s="88">
        <f t="shared" si="18"/>
        <v>0</v>
      </c>
      <c r="K49" s="189"/>
      <c r="L49" s="189"/>
      <c r="M49" s="189"/>
      <c r="N49" s="189"/>
    </row>
    <row r="50" spans="1:14">
      <c r="A50" s="189"/>
      <c r="B50" s="159" t="s">
        <v>226</v>
      </c>
      <c r="C50" s="224"/>
      <c r="D50" s="224"/>
      <c r="E50" s="197">
        <f t="shared" ref="E50:J50" si="19">SUMIF($A:$A,"DD-SO",E:E)</f>
        <v>275.4738892307692</v>
      </c>
      <c r="F50" s="197">
        <f t="shared" si="19"/>
        <v>0</v>
      </c>
      <c r="G50" s="197">
        <f t="shared" si="19"/>
        <v>0</v>
      </c>
      <c r="H50" s="197">
        <f t="shared" si="19"/>
        <v>0</v>
      </c>
      <c r="I50" s="197">
        <f t="shared" si="19"/>
        <v>0</v>
      </c>
      <c r="J50" s="197">
        <f t="shared" si="19"/>
        <v>275.4738892307692</v>
      </c>
      <c r="K50" s="189"/>
      <c r="L50" s="189"/>
      <c r="M50" s="189"/>
      <c r="N50" s="189"/>
    </row>
    <row r="51" spans="1:14">
      <c r="A51" s="189"/>
      <c r="B51" s="134" t="s">
        <v>306</v>
      </c>
      <c r="C51" s="189"/>
      <c r="D51" s="189"/>
      <c r="E51" s="88">
        <f t="shared" ref="E51:J51" si="20">SUMIF($B:$B,"186M",E:E)</f>
        <v>65578.858363846157</v>
      </c>
      <c r="F51" s="88">
        <f t="shared" si="20"/>
        <v>47947.779195969946</v>
      </c>
      <c r="G51" s="88">
        <f t="shared" si="20"/>
        <v>15196.263178918669</v>
      </c>
      <c r="H51" s="88">
        <f t="shared" si="20"/>
        <v>14.079940496000846</v>
      </c>
      <c r="I51" s="88">
        <f t="shared" si="20"/>
        <v>0</v>
      </c>
      <c r="J51" s="88">
        <f t="shared" si="20"/>
        <v>2420.7360484615406</v>
      </c>
    </row>
    <row r="52" spans="1:14">
      <c r="A52" s="189"/>
      <c r="B52" s="156" t="s">
        <v>307</v>
      </c>
      <c r="C52" s="244"/>
      <c r="D52" s="244"/>
      <c r="E52" s="157">
        <f>SUM(F52:J52)</f>
        <v>0</v>
      </c>
      <c r="F52" s="158">
        <f>IFERROR(F48/$E48,0)</f>
        <v>0</v>
      </c>
      <c r="G52" s="158">
        <f>IFERROR(G48/$E48,0)</f>
        <v>0</v>
      </c>
      <c r="H52" s="158">
        <f>IFERROR(H48/$E48,0)</f>
        <v>0</v>
      </c>
      <c r="I52" s="158">
        <f>IFERROR(I48/$E48,0)</f>
        <v>0</v>
      </c>
      <c r="J52" s="158">
        <f>IFERROR(J48/$E48,0)</f>
        <v>0</v>
      </c>
    </row>
    <row r="53" spans="1:14">
      <c r="A53" s="189"/>
      <c r="B53" s="156" t="s">
        <v>308</v>
      </c>
      <c r="C53" s="244"/>
      <c r="D53" s="244"/>
      <c r="E53" s="157">
        <f>SUM(F53:J53)</f>
        <v>1</v>
      </c>
      <c r="F53" s="158">
        <f>F49/$E49</f>
        <v>0.78485486149722328</v>
      </c>
      <c r="G53" s="158">
        <f>G49/$E49</f>
        <v>0.21514513850277672</v>
      </c>
      <c r="H53" s="158">
        <f>H49/$E49</f>
        <v>0</v>
      </c>
      <c r="I53" s="158">
        <f>I49/$E49</f>
        <v>0</v>
      </c>
      <c r="J53" s="158">
        <f>J49/$E49</f>
        <v>0</v>
      </c>
    </row>
    <row r="54" spans="1:14">
      <c r="A54" s="189"/>
      <c r="B54" s="156" t="s">
        <v>309</v>
      </c>
      <c r="C54" s="221"/>
      <c r="D54" s="244"/>
      <c r="E54" s="157">
        <f>SUM(F54:J54)</f>
        <v>1</v>
      </c>
      <c r="F54" s="158">
        <f>IFERROR(F50/$E50,0)</f>
        <v>0</v>
      </c>
      <c r="G54" s="158">
        <f>IFERROR(G50/$E50,0)</f>
        <v>0</v>
      </c>
      <c r="H54" s="158">
        <f>IFERROR(H50/$E50,0)</f>
        <v>0</v>
      </c>
      <c r="I54" s="158">
        <f>IFERROR(I50/$E50,0)</f>
        <v>0</v>
      </c>
      <c r="J54" s="158">
        <f>IFERROR(J50/$E50,0)</f>
        <v>1</v>
      </c>
    </row>
    <row r="55" spans="1:14">
      <c r="A55" s="189"/>
      <c r="B55" s="156"/>
      <c r="C55" s="244"/>
      <c r="D55" s="244"/>
      <c r="E55" s="157"/>
      <c r="F55" s="158"/>
      <c r="G55" s="158"/>
      <c r="H55" s="158"/>
      <c r="I55" s="158"/>
      <c r="J55" s="158"/>
    </row>
    <row r="56" spans="1:14">
      <c r="A56" s="189"/>
      <c r="B56" s="221" t="s">
        <v>310</v>
      </c>
      <c r="C56" s="221"/>
      <c r="D56" s="221"/>
      <c r="E56" s="199"/>
      <c r="F56" s="199"/>
      <c r="G56" s="199"/>
      <c r="H56" s="199"/>
      <c r="I56" s="199"/>
      <c r="J56" s="199"/>
    </row>
    <row r="57" spans="1:14">
      <c r="A57" s="189"/>
      <c r="B57" s="221" t="s">
        <v>311</v>
      </c>
      <c r="C57" s="221"/>
      <c r="D57" s="221" t="s">
        <v>54</v>
      </c>
      <c r="E57" s="199">
        <v>0</v>
      </c>
      <c r="F57" s="88">
        <f>VLOOKUP($D57,$D$71:$J$83,3,FALSE)*$E57</f>
        <v>0</v>
      </c>
      <c r="G57" s="88">
        <f>VLOOKUP($D57,$D$71:$J$83,4,FALSE)*$E57</f>
        <v>0</v>
      </c>
      <c r="H57" s="88">
        <f>VLOOKUP($D57,$D$71:$J$83,5,FALSE)*$E57</f>
        <v>0</v>
      </c>
      <c r="I57" s="88">
        <f>VLOOKUP($D57,$D$71:$J$83,6,FALSE)*$E57</f>
        <v>0</v>
      </c>
      <c r="J57" s="88">
        <f>VLOOKUP($D57,$D$71:$J$83,7,FALSE)*$E57</f>
        <v>0</v>
      </c>
    </row>
    <row r="58" spans="1:14">
      <c r="A58" s="189"/>
      <c r="B58" s="221" t="s">
        <v>312</v>
      </c>
      <c r="C58" s="221"/>
      <c r="D58" s="221" t="s">
        <v>54</v>
      </c>
      <c r="E58" s="199">
        <v>0</v>
      </c>
      <c r="F58" s="88">
        <f>VLOOKUP($D58,$D$71:$J$83,3,FALSE)*$E58</f>
        <v>0</v>
      </c>
      <c r="G58" s="88">
        <f>VLOOKUP($D58,$D$71:$J$83,4,FALSE)*$E58</f>
        <v>0</v>
      </c>
      <c r="H58" s="88">
        <f>VLOOKUP($D58,$D$71:$J$83,5,FALSE)*$E58</f>
        <v>0</v>
      </c>
      <c r="I58" s="88">
        <f>VLOOKUP($D58,$D$71:$J$83,6,FALSE)*$E58</f>
        <v>0</v>
      </c>
      <c r="J58" s="88">
        <f>VLOOKUP($D58,$D$71:$J$83,7,FALSE)*$E58</f>
        <v>0</v>
      </c>
    </row>
    <row r="59" spans="1:14">
      <c r="A59" s="189"/>
      <c r="B59" s="221" t="s">
        <v>313</v>
      </c>
      <c r="C59" s="221"/>
      <c r="D59" s="221" t="s">
        <v>132</v>
      </c>
      <c r="E59" s="199">
        <v>0</v>
      </c>
      <c r="F59" s="88">
        <f>VLOOKUP($D59,$D$71:$J$83,3,FALSE)*$E59</f>
        <v>0</v>
      </c>
      <c r="G59" s="88">
        <f>VLOOKUP($D59,$D$71:$J$83,4,FALSE)*$E59</f>
        <v>0</v>
      </c>
      <c r="H59" s="88">
        <f>VLOOKUP($D59,$D$71:$J$83,5,FALSE)*$E59</f>
        <v>0</v>
      </c>
      <c r="I59" s="88">
        <f>VLOOKUP($D59,$D$71:$J$83,6,FALSE)*$E59</f>
        <v>0</v>
      </c>
      <c r="J59" s="88">
        <f>VLOOKUP($D59,$D$71:$J$83,7,FALSE)*$E59</f>
        <v>0</v>
      </c>
    </row>
    <row r="60" spans="1:14">
      <c r="A60" s="189"/>
      <c r="B60" s="221" t="s">
        <v>314</v>
      </c>
      <c r="C60" s="221"/>
      <c r="D60" s="221" t="s">
        <v>28</v>
      </c>
      <c r="E60" s="199">
        <v>0</v>
      </c>
      <c r="F60" s="88">
        <f>VLOOKUP($D60,$D$71:$J$83,3,FALSE)*$E60</f>
        <v>0</v>
      </c>
      <c r="G60" s="88">
        <f>VLOOKUP($D60,$D$71:$J$83,4,FALSE)*$E60</f>
        <v>0</v>
      </c>
      <c r="H60" s="88">
        <f>VLOOKUP($D60,$D$71:$J$83,5,FALSE)*$E60</f>
        <v>0</v>
      </c>
      <c r="I60" s="88">
        <f>VLOOKUP($D60,$D$71:$J$83,6,FALSE)*$E60</f>
        <v>0</v>
      </c>
      <c r="J60" s="88">
        <f>VLOOKUP($D60,$D$71:$J$83,7,FALSE)*$E60</f>
        <v>0</v>
      </c>
    </row>
    <row r="61" spans="1:14">
      <c r="A61" s="189"/>
      <c r="B61" s="221" t="s">
        <v>315</v>
      </c>
      <c r="C61" s="221"/>
      <c r="D61" s="221" t="s">
        <v>132</v>
      </c>
      <c r="E61" s="248">
        <v>0</v>
      </c>
      <c r="F61" s="88">
        <f>VLOOKUP($D61,$D$71:$J$83,3,FALSE)*$E61</f>
        <v>0</v>
      </c>
      <c r="G61" s="88">
        <f>VLOOKUP($D61,$D$71:$J$83,4,FALSE)*$E61</f>
        <v>0</v>
      </c>
      <c r="H61" s="88">
        <f>VLOOKUP($D61,$D$71:$J$83,5,FALSE)*$E61</f>
        <v>0</v>
      </c>
      <c r="I61" s="88">
        <f>VLOOKUP($D61,$D$71:$J$83,6,FALSE)*$E61</f>
        <v>0</v>
      </c>
      <c r="J61" s="88">
        <f>VLOOKUP($D61,$D$71:$J$83,7,FALSE)*$E61</f>
        <v>0</v>
      </c>
    </row>
    <row r="62" spans="1:14">
      <c r="A62" s="189"/>
      <c r="B62" s="221" t="s">
        <v>316</v>
      </c>
      <c r="C62" s="221"/>
      <c r="D62" s="221"/>
      <c r="E62" s="199">
        <f t="shared" ref="E62:J62" si="21">SUM(E57:E61)</f>
        <v>0</v>
      </c>
      <c r="F62" s="199">
        <f t="shared" si="21"/>
        <v>0</v>
      </c>
      <c r="G62" s="199">
        <f t="shared" si="21"/>
        <v>0</v>
      </c>
      <c r="H62" s="199">
        <f t="shared" si="21"/>
        <v>0</v>
      </c>
      <c r="I62" s="199">
        <f t="shared" si="21"/>
        <v>0</v>
      </c>
      <c r="J62" s="199">
        <f t="shared" si="21"/>
        <v>0</v>
      </c>
    </row>
    <row r="63" spans="1:14">
      <c r="A63" s="189"/>
      <c r="B63" s="221"/>
      <c r="C63" s="221"/>
      <c r="D63" s="221"/>
      <c r="E63" s="199"/>
      <c r="F63" s="199"/>
      <c r="G63" s="199"/>
      <c r="H63" s="199"/>
      <c r="I63" s="199"/>
      <c r="J63" s="199"/>
    </row>
    <row r="64" spans="1:14">
      <c r="A64" s="189"/>
      <c r="B64" s="221" t="s">
        <v>317</v>
      </c>
      <c r="C64" s="221"/>
      <c r="D64" s="221"/>
      <c r="E64" s="199">
        <f t="shared" ref="E64:J64" si="22">+E50+E62</f>
        <v>275.4738892307692</v>
      </c>
      <c r="F64" s="199">
        <f t="shared" si="22"/>
        <v>0</v>
      </c>
      <c r="G64" s="199">
        <f t="shared" si="22"/>
        <v>0</v>
      </c>
      <c r="H64" s="199">
        <f t="shared" si="22"/>
        <v>0</v>
      </c>
      <c r="I64" s="199">
        <f t="shared" si="22"/>
        <v>0</v>
      </c>
      <c r="J64" s="199">
        <f t="shared" si="22"/>
        <v>275.4738892307692</v>
      </c>
    </row>
    <row r="65" spans="1:10">
      <c r="A65" s="189"/>
      <c r="B65" s="221"/>
      <c r="C65" s="221"/>
      <c r="D65" s="221"/>
      <c r="E65" s="199"/>
      <c r="F65" s="199"/>
      <c r="G65" s="199"/>
      <c r="H65" s="199"/>
      <c r="I65" s="199"/>
      <c r="J65" s="199"/>
    </row>
    <row r="66" spans="1:10">
      <c r="A66" s="189"/>
      <c r="B66" s="90" t="s">
        <v>318</v>
      </c>
      <c r="C66" s="189"/>
      <c r="D66" s="189"/>
      <c r="E66" s="88">
        <f>SUM(E51,E32)</f>
        <v>876969.8645553845</v>
      </c>
      <c r="F66" s="88">
        <f>SUM(F32,F51)</f>
        <v>519065.54791272053</v>
      </c>
      <c r="G66" s="88">
        <f>SUM(G32,G51)</f>
        <v>62007.047112483451</v>
      </c>
      <c r="H66" s="88">
        <f>SUM(H32,H51)</f>
        <v>185274.60549165617</v>
      </c>
      <c r="I66" s="88">
        <f>SUM(I32,I51)</f>
        <v>95635.158330832084</v>
      </c>
      <c r="J66" s="88">
        <f>SUM(J32,J51)</f>
        <v>14987.505707692311</v>
      </c>
    </row>
    <row r="67" spans="1:10">
      <c r="A67" s="189"/>
      <c r="B67" s="221"/>
      <c r="C67" s="221"/>
      <c r="D67" s="221"/>
      <c r="E67" s="256"/>
      <c r="F67" s="221"/>
      <c r="G67" s="221"/>
      <c r="H67" s="221"/>
      <c r="I67" s="221"/>
      <c r="J67" s="221"/>
    </row>
    <row r="68" spans="1:10">
      <c r="A68" s="189"/>
      <c r="B68" s="221"/>
      <c r="C68" s="221"/>
      <c r="D68" s="221"/>
      <c r="E68" s="92"/>
      <c r="F68" s="221"/>
      <c r="G68" s="221"/>
      <c r="H68" s="221"/>
      <c r="I68" s="221"/>
      <c r="J68" s="221"/>
    </row>
    <row r="69" spans="1:10">
      <c r="A69" s="189"/>
      <c r="B69" s="189"/>
      <c r="C69" s="189"/>
      <c r="D69" s="189"/>
      <c r="E69" s="66"/>
      <c r="F69" s="189"/>
      <c r="G69" s="189"/>
      <c r="H69" s="189"/>
      <c r="I69" s="189"/>
      <c r="J69" s="189"/>
    </row>
    <row r="70" spans="1:10">
      <c r="A70" s="189"/>
      <c r="B70" s="189"/>
      <c r="C70" s="189"/>
      <c r="D70" s="189"/>
      <c r="E70" s="189" t="s">
        <v>10</v>
      </c>
      <c r="F70" s="160" t="s">
        <v>5</v>
      </c>
      <c r="G70" s="160" t="s">
        <v>6</v>
      </c>
      <c r="H70" s="160" t="s">
        <v>251</v>
      </c>
      <c r="I70" s="160" t="s">
        <v>252</v>
      </c>
      <c r="J70" s="160" t="s">
        <v>253</v>
      </c>
    </row>
    <row r="71" spans="1:10">
      <c r="A71" s="189"/>
      <c r="B71" s="189"/>
      <c r="C71" s="189"/>
      <c r="D71" s="189" t="s">
        <v>9</v>
      </c>
      <c r="E71" s="194">
        <f>SUM(F71:J71)</f>
        <v>1</v>
      </c>
      <c r="F71" s="200">
        <v>0</v>
      </c>
      <c r="G71" s="200">
        <v>0</v>
      </c>
      <c r="H71" s="200">
        <v>0</v>
      </c>
      <c r="I71" s="200">
        <v>0</v>
      </c>
      <c r="J71" s="200">
        <v>1</v>
      </c>
    </row>
    <row r="72" spans="1:10">
      <c r="A72" s="189"/>
      <c r="B72" s="189"/>
      <c r="C72" s="189"/>
      <c r="D72" s="189" t="s">
        <v>7</v>
      </c>
      <c r="E72" s="194">
        <f t="shared" ref="E72:E83" si="23">SUM(F72:J72)</f>
        <v>1</v>
      </c>
      <c r="F72" s="176">
        <v>0</v>
      </c>
      <c r="G72" s="176">
        <v>0</v>
      </c>
      <c r="H72" s="176">
        <v>1</v>
      </c>
      <c r="I72" s="176">
        <v>0</v>
      </c>
      <c r="J72" s="176">
        <v>0</v>
      </c>
    </row>
    <row r="73" spans="1:10">
      <c r="A73" s="189"/>
      <c r="B73" s="189"/>
      <c r="C73" s="189"/>
      <c r="D73" s="189" t="s">
        <v>8</v>
      </c>
      <c r="E73" s="194">
        <f t="shared" si="23"/>
        <v>1</v>
      </c>
      <c r="F73" s="176">
        <v>0</v>
      </c>
      <c r="G73" s="176">
        <v>0</v>
      </c>
      <c r="H73" s="176">
        <v>0</v>
      </c>
      <c r="I73" s="176">
        <v>1</v>
      </c>
      <c r="J73" s="176">
        <v>0</v>
      </c>
    </row>
    <row r="74" spans="1:10">
      <c r="A74" s="189"/>
      <c r="B74" s="189"/>
      <c r="C74" s="189"/>
      <c r="D74" s="189" t="s">
        <v>28</v>
      </c>
      <c r="E74" s="194">
        <f t="shared" si="23"/>
        <v>1</v>
      </c>
      <c r="F74" s="176">
        <v>0.3</v>
      </c>
      <c r="G74" s="176">
        <v>0.1</v>
      </c>
      <c r="H74" s="176">
        <v>0.6</v>
      </c>
      <c r="I74" s="176">
        <v>0</v>
      </c>
      <c r="J74" s="176">
        <v>0</v>
      </c>
    </row>
    <row r="75" spans="1:10">
      <c r="A75" s="189"/>
      <c r="B75" s="189"/>
      <c r="C75" s="189"/>
      <c r="D75" s="189" t="s">
        <v>38</v>
      </c>
      <c r="E75" s="194">
        <f t="shared" si="23"/>
        <v>0.99999999999999989</v>
      </c>
      <c r="F75" s="176">
        <f>'GROSS PLANT'!$E$42</f>
        <v>0.48154657080982766</v>
      </c>
      <c r="G75" s="176">
        <f>'GROSS PLANT'!$F$42</f>
        <v>0.24559518347635353</v>
      </c>
      <c r="H75" s="176">
        <f>'GROSS PLANT'!$G$42</f>
        <v>0.26676758893671609</v>
      </c>
      <c r="I75" s="176">
        <f>'GROSS PLANT'!$H$42</f>
        <v>6.0906567771025506E-3</v>
      </c>
      <c r="J75" s="176">
        <f>'GROSS PLANT'!$I$42</f>
        <v>0</v>
      </c>
    </row>
    <row r="76" spans="1:10">
      <c r="A76" s="189"/>
      <c r="B76" s="189"/>
      <c r="C76" s="189"/>
      <c r="D76" s="189" t="s">
        <v>319</v>
      </c>
      <c r="E76" s="194">
        <f t="shared" si="23"/>
        <v>1</v>
      </c>
      <c r="F76" s="176">
        <v>0</v>
      </c>
      <c r="G76" s="176">
        <v>0</v>
      </c>
      <c r="H76" s="176">
        <v>0</v>
      </c>
      <c r="I76" s="176">
        <v>1</v>
      </c>
      <c r="J76" s="176">
        <v>0</v>
      </c>
    </row>
    <row r="77" spans="1:10">
      <c r="A77" s="189"/>
      <c r="B77" s="189"/>
      <c r="C77" s="189"/>
      <c r="D77" s="189" t="s">
        <v>54</v>
      </c>
      <c r="E77" s="194">
        <f t="shared" si="23"/>
        <v>1</v>
      </c>
      <c r="F77" s="176">
        <f>'FORM 1'!$C$25</f>
        <v>0.44929163079032386</v>
      </c>
      <c r="G77" s="176">
        <f>'FORM 1'!$D$25</f>
        <v>8.4851850814689656E-2</v>
      </c>
      <c r="H77" s="176">
        <f>'FORM 1'!$E$25</f>
        <v>0.32797219630821162</v>
      </c>
      <c r="I77" s="176">
        <f>'FORM 1'!$F$25</f>
        <v>0.13788432208677487</v>
      </c>
      <c r="J77" s="176">
        <f>'FORM 1'!$G$25</f>
        <v>0</v>
      </c>
    </row>
    <row r="78" spans="1:10">
      <c r="A78" s="189"/>
      <c r="B78" s="189"/>
      <c r="C78" s="189"/>
      <c r="D78" s="189" t="s">
        <v>72</v>
      </c>
      <c r="E78" s="194">
        <f t="shared" si="23"/>
        <v>1</v>
      </c>
      <c r="F78" s="194">
        <f>'FORM 1'!$C$13</f>
        <v>1</v>
      </c>
      <c r="G78" s="194">
        <f>'FORM 1'!$D$13</f>
        <v>0</v>
      </c>
      <c r="H78" s="194">
        <f>'FORM 1'!$E$13</f>
        <v>0</v>
      </c>
      <c r="I78" s="194">
        <f>'FORM 1'!$F$13</f>
        <v>0</v>
      </c>
      <c r="J78" s="194">
        <f>'FORM 1'!$G$13</f>
        <v>0</v>
      </c>
    </row>
    <row r="79" spans="1:10">
      <c r="A79" s="189"/>
      <c r="B79" s="189"/>
      <c r="C79" s="189"/>
      <c r="D79" s="189" t="s">
        <v>130</v>
      </c>
      <c r="E79" s="194">
        <f>SUM(F79:J79)</f>
        <v>1</v>
      </c>
      <c r="F79" s="194">
        <f>'FORM 1'!$C$17</f>
        <v>0.66684527405984495</v>
      </c>
      <c r="G79" s="194">
        <f>'FORM 1'!$D$17</f>
        <v>0.33315472594015499</v>
      </c>
      <c r="H79" s="194">
        <f>'FORM 1'!$E$17</f>
        <v>0</v>
      </c>
      <c r="I79" s="194">
        <f>'FORM 1'!$F$17</f>
        <v>0</v>
      </c>
      <c r="J79" s="194">
        <f>'FORM 1'!$G$17</f>
        <v>0</v>
      </c>
    </row>
    <row r="80" spans="1:10">
      <c r="A80" s="189"/>
      <c r="B80" s="189"/>
      <c r="C80" s="189"/>
      <c r="D80" s="189" t="s">
        <v>132</v>
      </c>
      <c r="E80" s="194">
        <f t="shared" si="23"/>
        <v>1</v>
      </c>
      <c r="F80" s="194">
        <f>'FORM 1'!$C$16</f>
        <v>0.48923013980835528</v>
      </c>
      <c r="G80" s="194">
        <f>'FORM 1'!$D$16</f>
        <v>0.2444185172929472</v>
      </c>
      <c r="H80" s="194">
        <f>'FORM 1'!$E$16</f>
        <v>0.2663513428986975</v>
      </c>
      <c r="I80" s="194">
        <f>'FORM 1'!$F$16</f>
        <v>0</v>
      </c>
      <c r="J80" s="194">
        <f>'FORM 1'!$G$16</f>
        <v>0</v>
      </c>
    </row>
    <row r="81" spans="1:10">
      <c r="A81" s="189"/>
      <c r="B81" s="189"/>
      <c r="C81" s="189"/>
      <c r="D81" s="189" t="s">
        <v>113</v>
      </c>
      <c r="E81" s="194">
        <f t="shared" si="23"/>
        <v>1</v>
      </c>
      <c r="F81" s="194">
        <f>'FORM 1'!$C$14</f>
        <v>0</v>
      </c>
      <c r="G81" s="194">
        <f>'FORM 1'!$D$14</f>
        <v>1</v>
      </c>
      <c r="H81" s="194">
        <f>'FORM 1'!$E$14</f>
        <v>0</v>
      </c>
      <c r="I81" s="194">
        <f>'FORM 1'!$F$14</f>
        <v>0</v>
      </c>
      <c r="J81" s="194">
        <f>'FORM 1'!$G$14</f>
        <v>0</v>
      </c>
    </row>
    <row r="82" spans="1:10">
      <c r="A82" s="189"/>
      <c r="B82" s="189"/>
      <c r="C82" s="189"/>
      <c r="D82" s="189" t="s">
        <v>278</v>
      </c>
      <c r="E82" s="194">
        <f t="shared" si="23"/>
        <v>0.99999999999999989</v>
      </c>
      <c r="F82" s="176">
        <f>'TAX DEPR'!C24</f>
        <v>0.35717297312867874</v>
      </c>
      <c r="G82" s="176">
        <f>'TAX DEPR'!D24</f>
        <v>0.29975338335892732</v>
      </c>
      <c r="H82" s="176">
        <f>'TAX DEPR'!E24</f>
        <v>0.33437789429560494</v>
      </c>
      <c r="I82" s="176">
        <f>'TAX DEPR'!F24</f>
        <v>8.6957492167888967E-3</v>
      </c>
      <c r="J82" s="176">
        <f>'TAX DEPR'!G24</f>
        <v>0</v>
      </c>
    </row>
    <row r="83" spans="1:10">
      <c r="A83" s="189"/>
      <c r="B83" s="189"/>
      <c r="C83" s="189"/>
      <c r="D83" s="189" t="s">
        <v>116</v>
      </c>
      <c r="E83" s="194">
        <f t="shared" si="23"/>
        <v>1</v>
      </c>
      <c r="F83" s="194">
        <f>'FORM 1'!$C$18</f>
        <v>0</v>
      </c>
      <c r="G83" s="194">
        <f>'FORM 1'!$D$18</f>
        <v>0.47852963994633424</v>
      </c>
      <c r="H83" s="194">
        <f>'FORM 1'!$E$18</f>
        <v>0.52147036005366576</v>
      </c>
      <c r="I83" s="194">
        <f>'FORM 1'!$F$18</f>
        <v>0</v>
      </c>
      <c r="J83" s="194">
        <f>'FORM 1'!$G$18</f>
        <v>0</v>
      </c>
    </row>
    <row r="84" spans="1:10">
      <c r="A84" s="189"/>
      <c r="B84" s="189"/>
      <c r="C84" s="189"/>
      <c r="D84" s="189"/>
      <c r="E84" s="189"/>
      <c r="F84" s="194"/>
      <c r="G84" s="189"/>
      <c r="H84" s="189"/>
      <c r="I84" s="189"/>
      <c r="J84" s="189"/>
    </row>
    <row r="85" spans="1:10">
      <c r="A85" s="189"/>
      <c r="B85" s="189"/>
      <c r="C85" s="189"/>
      <c r="D85" s="189"/>
      <c r="E85" s="173"/>
      <c r="F85" s="189"/>
      <c r="G85" s="66"/>
      <c r="H85" s="223"/>
      <c r="I85" s="223"/>
      <c r="J85" s="189"/>
    </row>
    <row r="86" spans="1:10">
      <c r="E86" s="45"/>
      <c r="G86" s="55"/>
      <c r="I86" s="161"/>
    </row>
    <row r="87" spans="1:10">
      <c r="E87" s="45"/>
      <c r="G87" s="162"/>
      <c r="I87" s="161"/>
    </row>
    <row r="88" spans="1:10">
      <c r="E88" s="45"/>
      <c r="G88" s="162"/>
    </row>
    <row r="89" spans="1:10">
      <c r="E89" s="45"/>
      <c r="G89" s="162"/>
    </row>
    <row r="90" spans="1:10">
      <c r="E90" s="45"/>
      <c r="G90" s="162"/>
    </row>
    <row r="91" spans="1:10">
      <c r="E91" s="45"/>
      <c r="F91" s="55"/>
      <c r="H91" s="161"/>
    </row>
    <row r="92" spans="1:10">
      <c r="E92" s="45"/>
      <c r="F92" s="55"/>
      <c r="H92" s="161"/>
    </row>
    <row r="93" spans="1:10">
      <c r="E93" s="45"/>
      <c r="F93" s="55"/>
      <c r="H93" s="161"/>
    </row>
    <row r="94" spans="1:10">
      <c r="E94" s="45"/>
      <c r="F94" s="55"/>
      <c r="H94" s="161"/>
    </row>
    <row r="95" spans="1:10">
      <c r="E95" s="45"/>
      <c r="F95" s="55"/>
      <c r="H95" s="161"/>
    </row>
    <row r="96" spans="1:10">
      <c r="E96" s="45"/>
      <c r="F96" s="55"/>
      <c r="H96" s="161"/>
    </row>
    <row r="97" spans="5:8">
      <c r="E97" s="45"/>
      <c r="F97" s="55"/>
      <c r="H97" s="161"/>
    </row>
    <row r="98" spans="5:8">
      <c r="E98" s="45"/>
      <c r="F98" s="55"/>
      <c r="H98" s="161"/>
    </row>
  </sheetData>
  <printOptions horizontalCentered="1"/>
  <pageMargins left="0.5" right="0.5" top="0.5" bottom="0.65" header="0.4" footer="0.2"/>
  <pageSetup scale="85" orientation="landscape" r:id="rId1"/>
  <headerFooter alignWithMargins="0">
    <oddFooter>&amp;LExhibit RMP_____(CCP-3)&amp;R&amp;F&amp;CTab 3 - Page 15 of 16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3"/>
  <sheetViews>
    <sheetView zoomScale="90" zoomScaleNormal="90" workbookViewId="0"/>
  </sheetViews>
  <sheetFormatPr defaultRowHeight="12.75"/>
  <cols>
    <col min="1" max="1" width="27.85546875" bestFit="1" customWidth="1"/>
    <col min="2" max="2" width="16.140625" bestFit="1" customWidth="1"/>
    <col min="3" max="3" width="16.140625" customWidth="1"/>
    <col min="4" max="4" width="15" bestFit="1" customWidth="1"/>
    <col min="5" max="6" width="14.28515625" bestFit="1" customWidth="1"/>
    <col min="7" max="7" width="11.140625" bestFit="1" customWidth="1"/>
    <col min="8" max="8" width="13" bestFit="1" customWidth="1"/>
    <col min="9" max="9" width="8.85546875" bestFit="1" customWidth="1"/>
    <col min="10" max="10" width="85.28515625" bestFit="1" customWidth="1"/>
    <col min="11" max="11" width="4" bestFit="1" customWidth="1"/>
    <col min="12" max="12" width="34" bestFit="1" customWidth="1"/>
  </cols>
  <sheetData>
    <row r="1" spans="1:13">
      <c r="A1" s="126" t="str">
        <f>+'TOTAL FUNCFAC'!A1</f>
        <v>PacifiCorp</v>
      </c>
      <c r="B1" s="1"/>
      <c r="C1" s="1"/>
      <c r="D1" s="1"/>
      <c r="E1" s="1"/>
      <c r="F1" s="1"/>
    </row>
    <row r="2" spans="1:13">
      <c r="A2" s="126" t="str">
        <f>+'TOTAL FUNCFAC'!A2</f>
        <v>12 Months Ended December 2017</v>
      </c>
      <c r="B2" s="1"/>
      <c r="C2" s="1"/>
      <c r="D2" s="1"/>
      <c r="E2" s="1"/>
      <c r="F2" s="1"/>
    </row>
    <row r="3" spans="1:13">
      <c r="A3" s="126" t="s">
        <v>320</v>
      </c>
      <c r="B3" s="142"/>
      <c r="C3" s="142"/>
      <c r="D3" s="142"/>
      <c r="E3" s="142"/>
      <c r="F3" s="142"/>
      <c r="G3" s="70"/>
      <c r="H3" s="70"/>
    </row>
    <row r="4" spans="1:13">
      <c r="A4" s="206"/>
      <c r="B4" s="142"/>
      <c r="C4" s="142"/>
      <c r="D4" s="142"/>
      <c r="E4" s="142"/>
      <c r="F4" s="142"/>
      <c r="G4" s="70"/>
      <c r="H4" s="70"/>
      <c r="I4" s="189"/>
      <c r="J4" s="189"/>
      <c r="K4" s="189"/>
      <c r="L4" s="189"/>
      <c r="M4" s="189"/>
    </row>
    <row r="5" spans="1:13">
      <c r="A5" s="206"/>
      <c r="B5" s="142"/>
      <c r="C5" s="142"/>
      <c r="D5" s="142"/>
      <c r="E5" s="142"/>
      <c r="F5" s="142"/>
      <c r="G5" s="70"/>
      <c r="H5" s="70"/>
      <c r="I5" s="189"/>
      <c r="J5" s="189"/>
      <c r="K5" s="189"/>
      <c r="L5" s="189"/>
      <c r="M5" s="189"/>
    </row>
    <row r="6" spans="1:13">
      <c r="A6" s="70"/>
      <c r="B6" s="70"/>
      <c r="C6" s="64"/>
      <c r="D6" s="64"/>
      <c r="E6" s="64"/>
      <c r="F6" s="64"/>
      <c r="G6" s="70"/>
      <c r="H6" s="70"/>
      <c r="I6" s="189"/>
      <c r="J6" s="189"/>
      <c r="K6" s="189"/>
      <c r="L6" s="189"/>
      <c r="M6" s="189"/>
    </row>
    <row r="7" spans="1:13">
      <c r="A7" s="64" t="s">
        <v>321</v>
      </c>
      <c r="B7" s="70"/>
      <c r="C7" s="70"/>
      <c r="D7" s="70"/>
      <c r="E7" s="70"/>
      <c r="F7" s="70"/>
      <c r="G7" s="70"/>
      <c r="H7" s="70"/>
      <c r="I7" s="189"/>
      <c r="J7" s="189"/>
      <c r="K7" s="189"/>
      <c r="L7" s="189"/>
      <c r="M7" s="189"/>
    </row>
    <row r="8" spans="1:13">
      <c r="A8" s="144" t="s">
        <v>322</v>
      </c>
      <c r="B8" s="144"/>
      <c r="C8" s="145" t="s">
        <v>10</v>
      </c>
      <c r="D8" s="145" t="s">
        <v>5</v>
      </c>
      <c r="E8" s="145" t="s">
        <v>6</v>
      </c>
      <c r="F8" s="145" t="s">
        <v>7</v>
      </c>
      <c r="G8" s="145" t="s">
        <v>8</v>
      </c>
      <c r="H8" s="145" t="s">
        <v>9</v>
      </c>
      <c r="I8" s="189"/>
      <c r="J8" s="189"/>
      <c r="K8" s="189"/>
      <c r="L8" s="189"/>
      <c r="M8" s="189"/>
    </row>
    <row r="9" spans="1:13">
      <c r="A9" s="70" t="s">
        <v>322</v>
      </c>
      <c r="B9" s="70"/>
      <c r="C9" s="70"/>
      <c r="D9" s="70"/>
      <c r="E9" s="70"/>
      <c r="F9" s="70"/>
      <c r="G9" s="70"/>
      <c r="H9" s="70"/>
      <c r="I9" s="238"/>
      <c r="J9" s="189"/>
      <c r="K9" s="64"/>
      <c r="L9" s="189"/>
      <c r="M9" s="189"/>
    </row>
    <row r="10" spans="1:13">
      <c r="A10" s="70" t="s">
        <v>5</v>
      </c>
      <c r="B10" s="70" t="s">
        <v>72</v>
      </c>
      <c r="C10" s="163">
        <v>36313907</v>
      </c>
      <c r="D10" s="45">
        <f>VLOOKUP($B10,$B$59:$H$72,3,FALSE)*$C10</f>
        <v>36313907</v>
      </c>
      <c r="E10" s="45">
        <f>VLOOKUP($B10,$B$59:$H$72,4,FALSE)*$C10</f>
        <v>0</v>
      </c>
      <c r="F10" s="45">
        <f>VLOOKUP($B10,$B$59:$H$72,5,FALSE)*$C10</f>
        <v>0</v>
      </c>
      <c r="G10" s="45">
        <f>VLOOKUP($B10,$B$59:$H$72,6,FALSE)*$C10</f>
        <v>0</v>
      </c>
      <c r="H10" s="45">
        <f>VLOOKUP($B10,$B$59:$H$72,7,FALSE)*$C10</f>
        <v>0</v>
      </c>
      <c r="I10" s="238"/>
      <c r="J10" s="189"/>
      <c r="K10" s="64"/>
      <c r="L10" s="189"/>
      <c r="M10" s="189"/>
    </row>
    <row r="11" spans="1:13">
      <c r="A11" s="70" t="s">
        <v>6</v>
      </c>
      <c r="B11" s="70" t="s">
        <v>113</v>
      </c>
      <c r="C11" s="163">
        <v>16531074</v>
      </c>
      <c r="D11" s="45">
        <f>VLOOKUP($B11,$B$59:$H$72,3,FALSE)*$C11</f>
        <v>0</v>
      </c>
      <c r="E11" s="45">
        <f>VLOOKUP($B11,$B$59:$H$72,4,FALSE)*$C11</f>
        <v>16531074</v>
      </c>
      <c r="F11" s="45">
        <f>VLOOKUP($B11,$B$59:$H$72,5,FALSE)*$C11</f>
        <v>0</v>
      </c>
      <c r="G11" s="45">
        <f>VLOOKUP($B11,$B$59:$H$72,6,FALSE)*$C11</f>
        <v>0</v>
      </c>
      <c r="H11" s="45">
        <f>VLOOKUP($B11,$B$59:$H$72,7,FALSE)*$C11</f>
        <v>0</v>
      </c>
      <c r="I11" s="238"/>
      <c r="J11" s="189"/>
      <c r="K11" s="64"/>
      <c r="L11" s="189"/>
      <c r="M11" s="189"/>
    </row>
    <row r="12" spans="1:13">
      <c r="A12" s="70" t="s">
        <v>139</v>
      </c>
      <c r="B12" s="70" t="s">
        <v>7</v>
      </c>
      <c r="C12" s="163">
        <v>15638767</v>
      </c>
      <c r="D12" s="45">
        <f>VLOOKUP($B12,$B$59:$H$72,3,FALSE)*$C12</f>
        <v>0</v>
      </c>
      <c r="E12" s="45">
        <f>VLOOKUP($B12,$B$59:$H$72,4,FALSE)*$C12</f>
        <v>0</v>
      </c>
      <c r="F12" s="45">
        <f>VLOOKUP($B12,$B$59:$H$72,5,FALSE)*$C12</f>
        <v>15638767</v>
      </c>
      <c r="G12" s="45">
        <f>VLOOKUP($B12,$B$59:$H$72,6,FALSE)*$C12</f>
        <v>0</v>
      </c>
      <c r="H12" s="45">
        <f>VLOOKUP($B12,$B$59:$H$72,7,FALSE)*$C12</f>
        <v>0</v>
      </c>
      <c r="I12" s="238"/>
      <c r="J12" s="189"/>
      <c r="K12" s="64"/>
      <c r="L12" s="189"/>
      <c r="M12" s="189"/>
    </row>
    <row r="13" spans="1:13">
      <c r="A13" s="70" t="s">
        <v>140</v>
      </c>
      <c r="B13" s="70" t="s">
        <v>32</v>
      </c>
      <c r="C13" s="163">
        <v>-405316.5</v>
      </c>
      <c r="D13" s="45">
        <f>VLOOKUP($B13,$B$59:$H$72,3,FALSE)*$C13</f>
        <v>-87576.607978351254</v>
      </c>
      <c r="E13" s="45">
        <f>VLOOKUP($B13,$B$59:$H$72,4,FALSE)*$C13</f>
        <v>-142434.11360054696</v>
      </c>
      <c r="F13" s="45">
        <f>VLOOKUP($B13,$B$59:$H$72,5,FALSE)*$C13</f>
        <v>-168721.45461751535</v>
      </c>
      <c r="G13" s="45">
        <f>VLOOKUP($B13,$B$59:$H$72,6,FALSE)*$C13</f>
        <v>-6584.3238035863797</v>
      </c>
      <c r="H13" s="45">
        <f>VLOOKUP($B13,$B$59:$H$72,7,FALSE)*$C13</f>
        <v>0</v>
      </c>
      <c r="I13" s="238"/>
      <c r="J13" s="189"/>
      <c r="K13" s="64"/>
      <c r="L13" s="189"/>
      <c r="M13" s="189"/>
    </row>
    <row r="14" spans="1:13">
      <c r="A14" s="70" t="s">
        <v>323</v>
      </c>
      <c r="B14" s="70" t="s">
        <v>72</v>
      </c>
      <c r="C14" s="257">
        <v>4942.5</v>
      </c>
      <c r="D14" s="150">
        <f>VLOOKUP($B14,$B$59:$H$72,3,FALSE)*$C14</f>
        <v>4942.5</v>
      </c>
      <c r="E14" s="150">
        <f>VLOOKUP($B14,$B$59:$H$72,4,FALSE)*$C14</f>
        <v>0</v>
      </c>
      <c r="F14" s="150">
        <f>VLOOKUP($B14,$B$59:$H$72,5,FALSE)*$C14</f>
        <v>0</v>
      </c>
      <c r="G14" s="150">
        <f>VLOOKUP($B14,$B$59:$H$72,6,FALSE)*$C14</f>
        <v>0</v>
      </c>
      <c r="H14" s="150">
        <f>VLOOKUP($B14,$B$59:$H$72,7,FALSE)*$C14</f>
        <v>0</v>
      </c>
      <c r="I14" s="238"/>
      <c r="J14" s="189"/>
      <c r="K14" s="64"/>
      <c r="L14" s="189"/>
      <c r="M14" s="189"/>
    </row>
    <row r="15" spans="1:13">
      <c r="A15" s="70"/>
      <c r="B15" s="70"/>
      <c r="C15" s="163"/>
      <c r="D15" s="70"/>
      <c r="E15" s="70"/>
      <c r="F15" s="70"/>
      <c r="G15" s="70"/>
      <c r="H15" s="70"/>
      <c r="I15" s="189"/>
      <c r="J15" s="189"/>
      <c r="K15" s="189"/>
      <c r="L15" s="189"/>
      <c r="M15" s="189"/>
    </row>
    <row r="16" spans="1:13">
      <c r="A16" s="70" t="s">
        <v>324</v>
      </c>
      <c r="B16" s="70"/>
      <c r="C16" s="163">
        <f t="shared" ref="C16:H16" si="0">SUM(C10:C14)</f>
        <v>68083374</v>
      </c>
      <c r="D16" s="163">
        <f t="shared" si="0"/>
        <v>36231272.892021649</v>
      </c>
      <c r="E16" s="163">
        <f t="shared" si="0"/>
        <v>16388639.886399454</v>
      </c>
      <c r="F16" s="163">
        <f t="shared" si="0"/>
        <v>15470045.545382485</v>
      </c>
      <c r="G16" s="163">
        <f t="shared" si="0"/>
        <v>-6584.3238035863797</v>
      </c>
      <c r="H16" s="163">
        <f t="shared" si="0"/>
        <v>0</v>
      </c>
      <c r="I16" s="189"/>
      <c r="J16" s="189"/>
      <c r="K16" s="189"/>
      <c r="L16" s="189"/>
      <c r="M16" s="189"/>
    </row>
    <row r="17" spans="1:13">
      <c r="A17" s="70"/>
      <c r="B17" s="70"/>
      <c r="C17" s="163"/>
      <c r="D17" s="70"/>
      <c r="E17" s="70"/>
      <c r="F17" s="70"/>
      <c r="G17" s="70"/>
      <c r="H17" s="70"/>
      <c r="I17" s="189"/>
      <c r="J17" s="189"/>
      <c r="K17" s="189"/>
      <c r="L17" s="189"/>
      <c r="M17" s="189"/>
    </row>
    <row r="18" spans="1:13">
      <c r="A18" s="70" t="s">
        <v>325</v>
      </c>
      <c r="B18" s="70"/>
      <c r="C18" s="163"/>
      <c r="D18" s="70"/>
      <c r="E18" s="70"/>
      <c r="F18" s="70"/>
      <c r="G18" s="70"/>
      <c r="H18" s="70"/>
      <c r="I18" s="189"/>
      <c r="J18" s="189"/>
      <c r="K18" s="189"/>
      <c r="L18" s="189"/>
      <c r="M18" s="189"/>
    </row>
    <row r="19" spans="1:13">
      <c r="A19" s="70" t="s">
        <v>5</v>
      </c>
      <c r="B19" s="70" t="s">
        <v>72</v>
      </c>
      <c r="C19" s="163">
        <v>58941161.5</v>
      </c>
      <c r="D19" s="45">
        <f>VLOOKUP($B19,$B$59:$H$72,3,FALSE)*$C19</f>
        <v>58941161.5</v>
      </c>
      <c r="E19" s="45">
        <f>VLOOKUP($B19,$B$59:$H$72,4,FALSE)*$C19</f>
        <v>0</v>
      </c>
      <c r="F19" s="45">
        <f>VLOOKUP($B19,$B$59:$H$72,5,FALSE)*$C19</f>
        <v>0</v>
      </c>
      <c r="G19" s="45">
        <f>VLOOKUP($B19,$B$59:$H$72,6,FALSE)*$C19</f>
        <v>0</v>
      </c>
      <c r="H19" s="45">
        <f>VLOOKUP($B19,$B$59:$H$72,7,FALSE)*$C19</f>
        <v>0</v>
      </c>
      <c r="I19" s="238"/>
      <c r="J19" s="189"/>
      <c r="K19" s="64"/>
      <c r="L19" s="189"/>
      <c r="M19" s="189"/>
    </row>
    <row r="20" spans="1:13">
      <c r="A20" s="70" t="s">
        <v>6</v>
      </c>
      <c r="B20" s="70" t="s">
        <v>113</v>
      </c>
      <c r="C20" s="163">
        <v>38323275</v>
      </c>
      <c r="D20" s="45">
        <f>VLOOKUP($B20,$B$59:$H$72,3,FALSE)*$C20</f>
        <v>0</v>
      </c>
      <c r="E20" s="45">
        <f>VLOOKUP($B20,$B$59:$H$72,4,FALSE)*$C20</f>
        <v>38323275</v>
      </c>
      <c r="F20" s="45">
        <f>VLOOKUP($B20,$B$59:$H$72,5,FALSE)*$C20</f>
        <v>0</v>
      </c>
      <c r="G20" s="45">
        <f>VLOOKUP($B20,$B$59:$H$72,6,FALSE)*$C20</f>
        <v>0</v>
      </c>
      <c r="H20" s="45">
        <f>VLOOKUP($B20,$B$59:$H$72,7,FALSE)*$C20</f>
        <v>0</v>
      </c>
      <c r="I20" s="238"/>
      <c r="J20" s="189"/>
      <c r="K20" s="64"/>
      <c r="L20" s="189"/>
      <c r="M20" s="189"/>
    </row>
    <row r="21" spans="1:13">
      <c r="A21" s="70" t="s">
        <v>139</v>
      </c>
      <c r="B21" s="70" t="s">
        <v>7</v>
      </c>
      <c r="C21" s="163">
        <v>27663078.5</v>
      </c>
      <c r="D21" s="45">
        <f>VLOOKUP($B21,$B$59:$H$72,3,FALSE)*$C21</f>
        <v>0</v>
      </c>
      <c r="E21" s="45">
        <f>VLOOKUP($B21,$B$59:$H$72,4,FALSE)*$C21</f>
        <v>0</v>
      </c>
      <c r="F21" s="45">
        <f>VLOOKUP($B21,$B$59:$H$72,5,FALSE)*$C21</f>
        <v>27663078.5</v>
      </c>
      <c r="G21" s="45">
        <f>VLOOKUP($B21,$B$59:$H$72,6,FALSE)*$C21</f>
        <v>0</v>
      </c>
      <c r="H21" s="45">
        <f>VLOOKUP($B21,$B$59:$H$72,7,FALSE)*$C21</f>
        <v>0</v>
      </c>
      <c r="I21" s="238"/>
      <c r="J21" s="189"/>
      <c r="K21" s="64"/>
      <c r="L21" s="189"/>
      <c r="M21" s="189"/>
    </row>
    <row r="22" spans="1:13">
      <c r="A22" s="70" t="s">
        <v>140</v>
      </c>
      <c r="B22" s="70" t="s">
        <v>32</v>
      </c>
      <c r="C22" s="163">
        <v>-769648.5</v>
      </c>
      <c r="D22" s="45">
        <f>VLOOKUP($B22,$B$59:$H$72,3,FALSE)*$C22</f>
        <v>-166297.70800257594</v>
      </c>
      <c r="E22" s="45">
        <f>VLOOKUP($B22,$B$59:$H$72,4,FALSE)*$C22</f>
        <v>-270465.67776414374</v>
      </c>
      <c r="F22" s="45">
        <f>VLOOKUP($B22,$B$59:$H$72,5,FALSE)*$C22</f>
        <v>-320382.25550696492</v>
      </c>
      <c r="G22" s="45">
        <f>VLOOKUP($B22,$B$59:$H$72,6,FALSE)*$C22</f>
        <v>-12502.85872631524</v>
      </c>
      <c r="H22" s="45">
        <f>VLOOKUP($B22,$B$59:$H$72,7,FALSE)*$C22</f>
        <v>0</v>
      </c>
      <c r="I22" s="238"/>
      <c r="J22" s="189"/>
      <c r="K22" s="64"/>
      <c r="L22" s="189"/>
      <c r="M22" s="189"/>
    </row>
    <row r="23" spans="1:13">
      <c r="A23" s="70" t="s">
        <v>323</v>
      </c>
      <c r="B23" s="70" t="s">
        <v>72</v>
      </c>
      <c r="C23" s="257">
        <v>12732</v>
      </c>
      <c r="D23" s="150">
        <f>VLOOKUP($B23,$B$59:$H$72,3,FALSE)*$C23</f>
        <v>12732</v>
      </c>
      <c r="E23" s="150">
        <f>VLOOKUP($B23,$B$59:$H$72,4,FALSE)*$C23</f>
        <v>0</v>
      </c>
      <c r="F23" s="150">
        <f>VLOOKUP($B23,$B$59:$H$72,5,FALSE)*$C23</f>
        <v>0</v>
      </c>
      <c r="G23" s="150">
        <f>VLOOKUP($B23,$B$59:$H$72,6,FALSE)*$C23</f>
        <v>0</v>
      </c>
      <c r="H23" s="150">
        <f>VLOOKUP($B23,$B$59:$H$72,7,FALSE)*$C23</f>
        <v>0</v>
      </c>
      <c r="I23" s="238"/>
      <c r="J23" s="189"/>
      <c r="K23" s="64"/>
      <c r="L23" s="189"/>
      <c r="M23" s="189"/>
    </row>
    <row r="24" spans="1:13">
      <c r="A24" s="70"/>
      <c r="B24" s="70"/>
      <c r="C24" s="163"/>
      <c r="D24" s="70"/>
      <c r="E24" s="70"/>
      <c r="F24" s="70"/>
      <c r="G24" s="70"/>
      <c r="H24" s="70"/>
      <c r="I24" s="189"/>
      <c r="J24" s="189"/>
      <c r="K24" s="189"/>
      <c r="L24" s="189"/>
      <c r="M24" s="189"/>
    </row>
    <row r="25" spans="1:13">
      <c r="A25" s="70" t="s">
        <v>326</v>
      </c>
      <c r="B25" s="70"/>
      <c r="C25" s="163">
        <f t="shared" ref="C25:H25" si="1">SUM(C19:C23)</f>
        <v>124170598.5</v>
      </c>
      <c r="D25" s="163">
        <f t="shared" si="1"/>
        <v>58787595.791997425</v>
      </c>
      <c r="E25" s="163">
        <f t="shared" si="1"/>
        <v>38052809.32223586</v>
      </c>
      <c r="F25" s="163">
        <f t="shared" si="1"/>
        <v>27342696.244493034</v>
      </c>
      <c r="G25" s="163">
        <f t="shared" si="1"/>
        <v>-12502.85872631524</v>
      </c>
      <c r="H25" s="163">
        <f t="shared" si="1"/>
        <v>0</v>
      </c>
      <c r="I25" s="189"/>
      <c r="J25" s="189"/>
      <c r="K25" s="189"/>
      <c r="L25" s="189"/>
      <c r="M25" s="189"/>
    </row>
    <row r="26" spans="1:13">
      <c r="A26" s="70"/>
      <c r="B26" s="70"/>
      <c r="C26" s="163"/>
      <c r="D26" s="70"/>
      <c r="E26" s="70"/>
      <c r="F26" s="70"/>
      <c r="G26" s="70"/>
      <c r="H26" s="70"/>
      <c r="I26" s="189"/>
      <c r="J26" s="189"/>
      <c r="K26" s="189"/>
      <c r="L26" s="189"/>
      <c r="M26" s="189"/>
    </row>
    <row r="27" spans="1:13">
      <c r="A27" s="70" t="s">
        <v>327</v>
      </c>
      <c r="B27" s="70"/>
      <c r="C27" s="163"/>
      <c r="D27" s="70"/>
      <c r="E27" s="70"/>
      <c r="F27" s="70"/>
      <c r="G27" s="70"/>
      <c r="H27" s="70"/>
      <c r="I27" s="189"/>
      <c r="J27" s="189"/>
      <c r="K27" s="189"/>
      <c r="L27" s="189"/>
      <c r="M27" s="189"/>
    </row>
    <row r="28" spans="1:13">
      <c r="A28" s="70" t="s">
        <v>328</v>
      </c>
      <c r="B28" s="70" t="s">
        <v>72</v>
      </c>
      <c r="C28" s="163">
        <v>458782200</v>
      </c>
      <c r="D28" s="45">
        <f t="shared" ref="D28:D44" si="2">VLOOKUP($B28,$B$59:$H$72,3,FALSE)*$C28</f>
        <v>458782200</v>
      </c>
      <c r="E28" s="45">
        <f t="shared" ref="E28:E44" si="3">VLOOKUP($B28,$B$59:$H$72,4,FALSE)*$C28</f>
        <v>0</v>
      </c>
      <c r="F28" s="45">
        <f t="shared" ref="F28:F44" si="4">VLOOKUP($B28,$B$59:$H$72,5,FALSE)*$C28</f>
        <v>0</v>
      </c>
      <c r="G28" s="45">
        <f t="shared" ref="G28:G44" si="5">VLOOKUP($B28,$B$59:$H$72,6,FALSE)*$C28</f>
        <v>0</v>
      </c>
      <c r="H28" s="45">
        <f t="shared" ref="H28:H44" si="6">VLOOKUP($B28,$B$59:$H$72,7,FALSE)*$C28</f>
        <v>0</v>
      </c>
      <c r="I28" s="238"/>
      <c r="J28" s="189"/>
      <c r="K28" s="64"/>
      <c r="L28" s="189"/>
      <c r="M28" s="189"/>
    </row>
    <row r="29" spans="1:13">
      <c r="A29" s="70" t="s">
        <v>329</v>
      </c>
      <c r="B29" s="70" t="s">
        <v>72</v>
      </c>
      <c r="C29" s="163">
        <v>31928146.5</v>
      </c>
      <c r="D29" s="45">
        <f t="shared" si="2"/>
        <v>31928146.5</v>
      </c>
      <c r="E29" s="45">
        <f t="shared" si="3"/>
        <v>0</v>
      </c>
      <c r="F29" s="45">
        <f t="shared" si="4"/>
        <v>0</v>
      </c>
      <c r="G29" s="45">
        <f t="shared" si="5"/>
        <v>0</v>
      </c>
      <c r="H29" s="45">
        <f t="shared" si="6"/>
        <v>0</v>
      </c>
      <c r="I29" s="238"/>
      <c r="J29" s="189"/>
      <c r="K29" s="64"/>
      <c r="L29" s="189"/>
      <c r="M29" s="189"/>
    </row>
    <row r="30" spans="1:13">
      <c r="A30" s="70" t="s">
        <v>330</v>
      </c>
      <c r="B30" s="70" t="s">
        <v>72</v>
      </c>
      <c r="C30" s="163">
        <v>5986469.5</v>
      </c>
      <c r="D30" s="45">
        <f t="shared" si="2"/>
        <v>5986469.5</v>
      </c>
      <c r="E30" s="45">
        <f t="shared" si="3"/>
        <v>0</v>
      </c>
      <c r="F30" s="45">
        <f t="shared" si="4"/>
        <v>0</v>
      </c>
      <c r="G30" s="45">
        <f t="shared" si="5"/>
        <v>0</v>
      </c>
      <c r="H30" s="45">
        <f t="shared" si="6"/>
        <v>0</v>
      </c>
      <c r="I30" s="238"/>
      <c r="J30" s="189"/>
      <c r="K30" s="64"/>
      <c r="L30" s="189"/>
      <c r="M30" s="189"/>
    </row>
    <row r="31" spans="1:13">
      <c r="A31" s="70" t="s">
        <v>331</v>
      </c>
      <c r="B31" s="70" t="s">
        <v>72</v>
      </c>
      <c r="C31" s="163">
        <v>37653487.5</v>
      </c>
      <c r="D31" s="45">
        <f t="shared" si="2"/>
        <v>37653487.5</v>
      </c>
      <c r="E31" s="45">
        <f t="shared" si="3"/>
        <v>0</v>
      </c>
      <c r="F31" s="45">
        <f t="shared" si="4"/>
        <v>0</v>
      </c>
      <c r="G31" s="45">
        <f t="shared" si="5"/>
        <v>0</v>
      </c>
      <c r="H31" s="45">
        <f t="shared" si="6"/>
        <v>0</v>
      </c>
      <c r="I31" s="238"/>
      <c r="J31" s="189"/>
      <c r="K31" s="64"/>
      <c r="L31" s="189"/>
      <c r="M31" s="189"/>
    </row>
    <row r="32" spans="1:13">
      <c r="A32" s="70" t="s">
        <v>332</v>
      </c>
      <c r="B32" s="70" t="s">
        <v>72</v>
      </c>
      <c r="C32" s="163">
        <v>11593808</v>
      </c>
      <c r="D32" s="45">
        <f t="shared" si="2"/>
        <v>11593808</v>
      </c>
      <c r="E32" s="45">
        <f t="shared" si="3"/>
        <v>0</v>
      </c>
      <c r="F32" s="45">
        <f t="shared" si="4"/>
        <v>0</v>
      </c>
      <c r="G32" s="45">
        <f t="shared" si="5"/>
        <v>0</v>
      </c>
      <c r="H32" s="45">
        <f t="shared" si="6"/>
        <v>0</v>
      </c>
      <c r="I32" s="238"/>
      <c r="J32" s="189"/>
      <c r="K32" s="64"/>
      <c r="L32" s="189"/>
      <c r="M32" s="189"/>
    </row>
    <row r="33" spans="1:14">
      <c r="A33" s="70" t="s">
        <v>6</v>
      </c>
      <c r="B33" s="70" t="s">
        <v>113</v>
      </c>
      <c r="C33" s="163">
        <v>274780257.5</v>
      </c>
      <c r="D33" s="45">
        <f t="shared" si="2"/>
        <v>0</v>
      </c>
      <c r="E33" s="45">
        <f t="shared" si="3"/>
        <v>274780257.5</v>
      </c>
      <c r="F33" s="45">
        <f t="shared" si="4"/>
        <v>0</v>
      </c>
      <c r="G33" s="45">
        <f t="shared" si="5"/>
        <v>0</v>
      </c>
      <c r="H33" s="45">
        <f t="shared" si="6"/>
        <v>0</v>
      </c>
      <c r="I33" s="238"/>
      <c r="J33" s="189"/>
      <c r="K33" s="64"/>
      <c r="L33" s="189"/>
      <c r="M33" s="189"/>
    </row>
    <row r="34" spans="1:14">
      <c r="A34" s="70" t="s">
        <v>139</v>
      </c>
      <c r="B34" s="70" t="s">
        <v>7</v>
      </c>
      <c r="C34" s="163">
        <v>959717946.5</v>
      </c>
      <c r="D34" s="45">
        <f t="shared" si="2"/>
        <v>0</v>
      </c>
      <c r="E34" s="45">
        <f t="shared" si="3"/>
        <v>0</v>
      </c>
      <c r="F34" s="45">
        <f t="shared" si="4"/>
        <v>959717946.5</v>
      </c>
      <c r="G34" s="45">
        <f t="shared" si="5"/>
        <v>0</v>
      </c>
      <c r="H34" s="45">
        <f t="shared" si="6"/>
        <v>0</v>
      </c>
      <c r="I34" s="238"/>
      <c r="J34" s="189"/>
      <c r="K34" s="64"/>
      <c r="L34" s="189"/>
      <c r="M34" s="189"/>
      <c r="N34" t="s">
        <v>333</v>
      </c>
    </row>
    <row r="35" spans="1:14">
      <c r="A35" s="70" t="s">
        <v>334</v>
      </c>
      <c r="B35" s="70" t="s">
        <v>32</v>
      </c>
      <c r="C35" s="163">
        <v>61654135</v>
      </c>
      <c r="D35" s="45">
        <f t="shared" si="2"/>
        <v>13321589.452043885</v>
      </c>
      <c r="E35" s="45">
        <f t="shared" si="3"/>
        <v>21666159.824565388</v>
      </c>
      <c r="F35" s="45">
        <f t="shared" si="4"/>
        <v>25664820.801483937</v>
      </c>
      <c r="G35" s="45">
        <f t="shared" si="5"/>
        <v>1001564.9219067768</v>
      </c>
      <c r="H35" s="45">
        <f t="shared" si="6"/>
        <v>0</v>
      </c>
      <c r="I35" s="238"/>
      <c r="J35" s="189"/>
      <c r="K35" s="64"/>
      <c r="L35" s="189"/>
      <c r="M35" s="189"/>
    </row>
    <row r="36" spans="1:14">
      <c r="A36" s="70" t="s">
        <v>141</v>
      </c>
      <c r="B36" s="70" t="s">
        <v>72</v>
      </c>
      <c r="C36" s="163">
        <v>-1528479</v>
      </c>
      <c r="D36" s="45">
        <f t="shared" si="2"/>
        <v>-1528479</v>
      </c>
      <c r="E36" s="45">
        <f t="shared" si="3"/>
        <v>0</v>
      </c>
      <c r="F36" s="45">
        <f t="shared" si="4"/>
        <v>0</v>
      </c>
      <c r="G36" s="45">
        <f t="shared" si="5"/>
        <v>0</v>
      </c>
      <c r="H36" s="45">
        <f t="shared" si="6"/>
        <v>0</v>
      </c>
      <c r="I36" s="238"/>
      <c r="J36" s="189"/>
      <c r="K36" s="64"/>
      <c r="L36" s="189"/>
      <c r="M36" s="189"/>
    </row>
    <row r="37" spans="1:14">
      <c r="A37" s="70" t="s">
        <v>335</v>
      </c>
      <c r="B37" s="70" t="s">
        <v>72</v>
      </c>
      <c r="C37" s="163">
        <v>1171279</v>
      </c>
      <c r="D37" s="45">
        <f t="shared" si="2"/>
        <v>1171279</v>
      </c>
      <c r="E37" s="45">
        <f t="shared" si="3"/>
        <v>0</v>
      </c>
      <c r="F37" s="45">
        <f t="shared" si="4"/>
        <v>0</v>
      </c>
      <c r="G37" s="45">
        <f t="shared" si="5"/>
        <v>0</v>
      </c>
      <c r="H37" s="45">
        <f t="shared" si="6"/>
        <v>0</v>
      </c>
      <c r="I37" s="238"/>
      <c r="J37" s="189"/>
      <c r="K37" s="64"/>
      <c r="L37" s="189"/>
      <c r="M37" s="189"/>
    </row>
    <row r="38" spans="1:14">
      <c r="A38" s="70" t="s">
        <v>336</v>
      </c>
      <c r="B38" s="70" t="s">
        <v>130</v>
      </c>
      <c r="C38" s="163">
        <v>1812473730.5</v>
      </c>
      <c r="D38" s="45">
        <f t="shared" si="2"/>
        <v>1208639541.5415421</v>
      </c>
      <c r="E38" s="45">
        <f t="shared" si="3"/>
        <v>603834188.95845783</v>
      </c>
      <c r="F38" s="45">
        <f t="shared" si="4"/>
        <v>0</v>
      </c>
      <c r="G38" s="45">
        <f t="shared" si="5"/>
        <v>0</v>
      </c>
      <c r="H38" s="45">
        <f t="shared" si="6"/>
        <v>0</v>
      </c>
      <c r="I38" s="238"/>
      <c r="J38" s="189"/>
      <c r="K38" s="64"/>
      <c r="L38" s="189"/>
      <c r="M38" s="189"/>
    </row>
    <row r="39" spans="1:14">
      <c r="A39" s="70" t="s">
        <v>337</v>
      </c>
      <c r="B39" s="70" t="s">
        <v>130</v>
      </c>
      <c r="C39" s="163">
        <v>420241903</v>
      </c>
      <c r="D39" s="45">
        <f t="shared" si="2"/>
        <v>280236326.97746575</v>
      </c>
      <c r="E39" s="45">
        <f t="shared" si="3"/>
        <v>140005576.02253419</v>
      </c>
      <c r="F39" s="45">
        <f t="shared" si="4"/>
        <v>0</v>
      </c>
      <c r="G39" s="45">
        <f t="shared" si="5"/>
        <v>0</v>
      </c>
      <c r="H39" s="45">
        <f t="shared" si="6"/>
        <v>0</v>
      </c>
      <c r="I39" s="238"/>
      <c r="J39" s="189"/>
      <c r="K39" s="64"/>
      <c r="L39" s="189"/>
      <c r="M39" s="189"/>
    </row>
    <row r="40" spans="1:14">
      <c r="A40" s="70" t="s">
        <v>338</v>
      </c>
      <c r="B40" s="70" t="s">
        <v>72</v>
      </c>
      <c r="C40" s="163">
        <v>0</v>
      </c>
      <c r="D40" s="45">
        <f t="shared" si="2"/>
        <v>0</v>
      </c>
      <c r="E40" s="45">
        <f t="shared" si="3"/>
        <v>0</v>
      </c>
      <c r="F40" s="45">
        <f t="shared" si="4"/>
        <v>0</v>
      </c>
      <c r="G40" s="45">
        <f t="shared" si="5"/>
        <v>0</v>
      </c>
      <c r="H40" s="45">
        <f t="shared" si="6"/>
        <v>0</v>
      </c>
      <c r="I40" s="238"/>
      <c r="J40" s="189"/>
      <c r="K40" s="64"/>
      <c r="L40" s="189"/>
      <c r="M40" s="189"/>
    </row>
    <row r="41" spans="1:14">
      <c r="A41" s="70" t="s">
        <v>339</v>
      </c>
      <c r="B41" s="70" t="s">
        <v>72</v>
      </c>
      <c r="C41" s="163">
        <v>0</v>
      </c>
      <c r="D41" s="45">
        <f t="shared" si="2"/>
        <v>0</v>
      </c>
      <c r="E41" s="45">
        <f t="shared" si="3"/>
        <v>0</v>
      </c>
      <c r="F41" s="45">
        <f t="shared" si="4"/>
        <v>0</v>
      </c>
      <c r="G41" s="45">
        <f t="shared" si="5"/>
        <v>0</v>
      </c>
      <c r="H41" s="45">
        <f t="shared" si="6"/>
        <v>0</v>
      </c>
      <c r="I41" s="238"/>
      <c r="J41" s="189"/>
      <c r="K41" s="64"/>
      <c r="L41" s="189"/>
      <c r="M41" s="189"/>
    </row>
    <row r="42" spans="1:14">
      <c r="A42" s="70" t="s">
        <v>340</v>
      </c>
      <c r="B42" s="70" t="s">
        <v>32</v>
      </c>
      <c r="C42" s="163">
        <v>175156116.5</v>
      </c>
      <c r="D42" s="45">
        <f t="shared" si="2"/>
        <v>37845926.701061815</v>
      </c>
      <c r="E42" s="45">
        <f t="shared" si="3"/>
        <v>61552407.058167227</v>
      </c>
      <c r="F42" s="45">
        <f t="shared" si="4"/>
        <v>72912390.097701386</v>
      </c>
      <c r="G42" s="45">
        <f t="shared" si="5"/>
        <v>2845392.6430695495</v>
      </c>
      <c r="H42" s="45">
        <f t="shared" si="6"/>
        <v>0</v>
      </c>
      <c r="I42" s="238"/>
      <c r="J42" s="189"/>
      <c r="K42" s="64"/>
      <c r="L42" s="189"/>
      <c r="M42" s="189"/>
    </row>
    <row r="43" spans="1:14">
      <c r="A43" s="70" t="s">
        <v>341</v>
      </c>
      <c r="B43" s="70" t="s">
        <v>72</v>
      </c>
      <c r="C43" s="163">
        <v>149237691</v>
      </c>
      <c r="D43" s="45">
        <f t="shared" si="2"/>
        <v>149237691</v>
      </c>
      <c r="E43" s="45">
        <f t="shared" si="3"/>
        <v>0</v>
      </c>
      <c r="F43" s="45">
        <f t="shared" si="4"/>
        <v>0</v>
      </c>
      <c r="G43" s="45">
        <f t="shared" si="5"/>
        <v>0</v>
      </c>
      <c r="H43" s="45">
        <f t="shared" si="6"/>
        <v>0</v>
      </c>
      <c r="I43" s="238"/>
      <c r="J43" s="189"/>
      <c r="K43" s="64"/>
      <c r="L43" s="189"/>
      <c r="M43" s="189"/>
    </row>
    <row r="44" spans="1:14">
      <c r="A44" s="70" t="s">
        <v>342</v>
      </c>
      <c r="B44" s="70" t="s">
        <v>72</v>
      </c>
      <c r="C44" s="257">
        <v>-64033768</v>
      </c>
      <c r="D44" s="150">
        <f t="shared" si="2"/>
        <v>-64033768</v>
      </c>
      <c r="E44" s="150">
        <f t="shared" si="3"/>
        <v>0</v>
      </c>
      <c r="F44" s="150">
        <f t="shared" si="4"/>
        <v>0</v>
      </c>
      <c r="G44" s="150">
        <f t="shared" si="5"/>
        <v>0</v>
      </c>
      <c r="H44" s="150">
        <f t="shared" si="6"/>
        <v>0</v>
      </c>
      <c r="I44" s="238"/>
      <c r="J44" s="189"/>
      <c r="K44" s="64"/>
      <c r="L44" s="189"/>
      <c r="M44" s="189"/>
    </row>
    <row r="45" spans="1:14">
      <c r="A45" s="70"/>
      <c r="B45" s="70"/>
      <c r="C45" s="163"/>
      <c r="D45" s="70"/>
      <c r="E45" s="70"/>
      <c r="F45" s="70"/>
      <c r="G45" s="70"/>
      <c r="H45" s="70"/>
      <c r="I45" s="189"/>
      <c r="J45" s="189"/>
      <c r="K45" s="189"/>
      <c r="L45" s="189"/>
      <c r="M45" s="189"/>
    </row>
    <row r="46" spans="1:14">
      <c r="A46" s="70" t="s">
        <v>343</v>
      </c>
      <c r="B46" s="70"/>
      <c r="C46" s="163">
        <f>SUM(C28:C44)</f>
        <v>4334814923.5</v>
      </c>
      <c r="D46" s="163">
        <f t="shared" ref="D46:H46" si="7">SUM(D28:D44)</f>
        <v>2170834219.1721134</v>
      </c>
      <c r="E46" s="163">
        <f t="shared" si="7"/>
        <v>1101838589.3637247</v>
      </c>
      <c r="F46" s="163">
        <f t="shared" si="7"/>
        <v>1058295157.3991854</v>
      </c>
      <c r="G46" s="163">
        <f t="shared" si="7"/>
        <v>3846957.5649763262</v>
      </c>
      <c r="H46" s="163">
        <f t="shared" si="7"/>
        <v>0</v>
      </c>
      <c r="I46" s="189"/>
      <c r="J46" s="189"/>
      <c r="K46" s="189"/>
      <c r="L46" s="189"/>
      <c r="M46" s="189"/>
    </row>
    <row r="47" spans="1:14">
      <c r="A47" s="70"/>
      <c r="B47" s="70"/>
      <c r="C47" s="163"/>
      <c r="D47" s="163"/>
      <c r="E47" s="163"/>
      <c r="F47" s="163"/>
      <c r="G47" s="163"/>
      <c r="H47" s="163"/>
      <c r="I47" s="189"/>
      <c r="J47" s="189"/>
      <c r="K47" s="189"/>
      <c r="L47" s="189"/>
      <c r="M47" s="189"/>
    </row>
    <row r="48" spans="1:14">
      <c r="A48" s="70" t="s">
        <v>344</v>
      </c>
      <c r="B48" s="70"/>
      <c r="C48" s="163">
        <f t="shared" ref="C48:H48" si="8">C16+C25+C46</f>
        <v>4527068896</v>
      </c>
      <c r="D48" s="163">
        <f t="shared" si="8"/>
        <v>2265853087.8561325</v>
      </c>
      <c r="E48" s="163">
        <f t="shared" si="8"/>
        <v>1156280038.57236</v>
      </c>
      <c r="F48" s="163">
        <f t="shared" si="8"/>
        <v>1101107899.1890609</v>
      </c>
      <c r="G48" s="163">
        <f t="shared" si="8"/>
        <v>3827870.3824464246</v>
      </c>
      <c r="H48" s="163">
        <f t="shared" si="8"/>
        <v>0</v>
      </c>
      <c r="I48" s="189"/>
      <c r="J48" s="189"/>
      <c r="K48" s="189"/>
      <c r="L48" s="189"/>
      <c r="M48" s="189"/>
    </row>
    <row r="49" spans="1:8">
      <c r="A49" s="70"/>
      <c r="B49" s="70"/>
      <c r="C49" s="70"/>
      <c r="D49" s="70"/>
      <c r="E49" s="70"/>
      <c r="F49" s="70"/>
      <c r="G49" s="70"/>
      <c r="H49" s="70"/>
    </row>
    <row r="50" spans="1:8">
      <c r="A50" s="164" t="s">
        <v>345</v>
      </c>
      <c r="B50" s="70"/>
      <c r="C50" s="165">
        <v>1</v>
      </c>
      <c r="D50" s="165">
        <f>D48/$C$48</f>
        <v>0.50051217242533708</v>
      </c>
      <c r="E50" s="165">
        <f>E48/$C$48</f>
        <v>0.25541472090120365</v>
      </c>
      <c r="F50" s="165">
        <f>F48/$C$48</f>
        <v>0.24322755506592161</v>
      </c>
      <c r="G50" s="165">
        <f>G48/$C$48</f>
        <v>8.4555160753763451E-4</v>
      </c>
      <c r="H50" s="165">
        <f>H48/$C$48</f>
        <v>0</v>
      </c>
    </row>
    <row r="51" spans="1:8">
      <c r="A51" s="70"/>
      <c r="B51" s="70"/>
      <c r="C51" s="64"/>
      <c r="D51" s="64"/>
      <c r="E51" s="64"/>
      <c r="F51" s="64"/>
      <c r="G51" s="70"/>
      <c r="H51" s="70"/>
    </row>
    <row r="52" spans="1:8">
      <c r="A52" s="70"/>
      <c r="B52" s="70"/>
      <c r="C52" s="70"/>
      <c r="D52" s="64"/>
      <c r="E52" s="64"/>
      <c r="F52" s="64"/>
      <c r="G52" s="70"/>
      <c r="H52" s="70"/>
    </row>
    <row r="53" spans="1:8">
      <c r="A53" s="70"/>
      <c r="B53" s="70"/>
      <c r="C53" s="70"/>
      <c r="D53" s="64"/>
      <c r="E53" s="64"/>
      <c r="F53" s="64"/>
      <c r="G53" s="70"/>
      <c r="H53" s="70"/>
    </row>
    <row r="54" spans="1:8">
      <c r="A54" s="70"/>
      <c r="B54" s="64" t="s">
        <v>346</v>
      </c>
      <c r="C54" s="58">
        <f>SUM(D54:F54)</f>
        <v>0.40916639709420199</v>
      </c>
      <c r="D54" s="58">
        <v>9.962591977161854E-2</v>
      </c>
      <c r="E54" s="58">
        <v>0.30954047732258344</v>
      </c>
      <c r="F54" s="58">
        <v>0</v>
      </c>
      <c r="G54" s="70"/>
      <c r="H54" s="70"/>
    </row>
    <row r="55" spans="1:8">
      <c r="A55" s="70"/>
      <c r="B55" s="70"/>
      <c r="C55" s="70"/>
      <c r="D55" s="70"/>
      <c r="E55" s="70"/>
      <c r="F55" s="70"/>
      <c r="G55" s="70"/>
      <c r="H55" s="70"/>
    </row>
    <row r="56" spans="1:8">
      <c r="A56" s="70"/>
      <c r="B56" s="70"/>
      <c r="C56" s="70"/>
      <c r="D56" s="70"/>
      <c r="E56" s="70"/>
      <c r="F56" s="70"/>
      <c r="G56" s="70"/>
      <c r="H56" s="70"/>
    </row>
    <row r="57" spans="1:8">
      <c r="A57" s="70"/>
      <c r="B57" s="70"/>
      <c r="C57" s="70"/>
      <c r="D57" s="70"/>
      <c r="E57" s="70"/>
      <c r="F57" s="70"/>
      <c r="G57" s="70"/>
      <c r="H57" s="70"/>
    </row>
    <row r="58" spans="1:8">
      <c r="A58" s="70"/>
      <c r="B58" s="70"/>
      <c r="C58" s="152" t="s">
        <v>10</v>
      </c>
      <c r="D58" s="152" t="s">
        <v>5</v>
      </c>
      <c r="E58" s="152" t="s">
        <v>6</v>
      </c>
      <c r="F58" s="152" t="s">
        <v>251</v>
      </c>
      <c r="G58" s="152" t="s">
        <v>252</v>
      </c>
      <c r="H58" s="152" t="s">
        <v>253</v>
      </c>
    </row>
    <row r="59" spans="1:8">
      <c r="A59" s="70"/>
      <c r="B59" s="70" t="s">
        <v>9</v>
      </c>
      <c r="C59" s="98">
        <f>SUM(D59:H59)</f>
        <v>1</v>
      </c>
      <c r="D59" s="147">
        <v>0</v>
      </c>
      <c r="E59" s="147">
        <v>0</v>
      </c>
      <c r="F59" s="147">
        <v>0</v>
      </c>
      <c r="G59" s="147">
        <v>0</v>
      </c>
      <c r="H59" s="147">
        <v>1</v>
      </c>
    </row>
    <row r="60" spans="1:8">
      <c r="A60" s="70"/>
      <c r="B60" s="70" t="s">
        <v>7</v>
      </c>
      <c r="C60" s="98">
        <f t="shared" ref="C60:C72" si="9">SUM(D60:H60)</f>
        <v>1</v>
      </c>
      <c r="D60" s="58">
        <v>0</v>
      </c>
      <c r="E60" s="58">
        <v>0</v>
      </c>
      <c r="F60" s="58">
        <v>1</v>
      </c>
      <c r="G60" s="58">
        <v>0</v>
      </c>
      <c r="H60" s="58">
        <v>0</v>
      </c>
    </row>
    <row r="61" spans="1:8">
      <c r="A61" s="70"/>
      <c r="B61" s="70" t="s">
        <v>18</v>
      </c>
      <c r="C61" s="98">
        <f t="shared" si="9"/>
        <v>1</v>
      </c>
      <c r="D61" s="58">
        <f>'REGASS&amp;DDS'!F34</f>
        <v>0.90849365205457666</v>
      </c>
      <c r="E61" s="58">
        <f>'REGASS&amp;DDS'!G34</f>
        <v>-1.3347584862696776E-2</v>
      </c>
      <c r="F61" s="58">
        <f>'REGASS&amp;DDS'!H34</f>
        <v>-5.1591529009654066E-2</v>
      </c>
      <c r="G61" s="58">
        <f>'REGASS&amp;DDS'!I34</f>
        <v>0.15648236130491913</v>
      </c>
      <c r="H61" s="58">
        <f>'REGASS&amp;DDS'!J34</f>
        <v>-3.689948714486818E-5</v>
      </c>
    </row>
    <row r="62" spans="1:8">
      <c r="A62" s="70"/>
      <c r="B62" s="70" t="s">
        <v>8</v>
      </c>
      <c r="C62" s="98">
        <f t="shared" si="9"/>
        <v>1</v>
      </c>
      <c r="D62" s="58">
        <v>0</v>
      </c>
      <c r="E62" s="58">
        <v>0</v>
      </c>
      <c r="F62" s="58">
        <v>0</v>
      </c>
      <c r="G62" s="58">
        <v>1</v>
      </c>
      <c r="H62" s="58">
        <v>0</v>
      </c>
    </row>
    <row r="63" spans="1:8">
      <c r="A63" s="70"/>
      <c r="B63" s="70" t="s">
        <v>28</v>
      </c>
      <c r="C63" s="98">
        <f t="shared" si="9"/>
        <v>1</v>
      </c>
      <c r="D63" s="58">
        <v>0.3</v>
      </c>
      <c r="E63" s="58">
        <v>0.1</v>
      </c>
      <c r="F63" s="58">
        <v>0.6</v>
      </c>
      <c r="G63" s="58">
        <v>0</v>
      </c>
      <c r="H63" s="58">
        <v>0</v>
      </c>
    </row>
    <row r="64" spans="1:8">
      <c r="A64" s="70"/>
      <c r="B64" s="70" t="s">
        <v>32</v>
      </c>
      <c r="C64" s="98">
        <f>SUM(D64:H64)</f>
        <v>0.99999999999999989</v>
      </c>
      <c r="D64" s="58">
        <f>GP!E38</f>
        <v>0.216069683761582</v>
      </c>
      <c r="E64" s="58">
        <f>GP!F38</f>
        <v>0.35141454542449407</v>
      </c>
      <c r="F64" s="58">
        <f>GP!G38</f>
        <v>0.41627087625970161</v>
      </c>
      <c r="G64" s="58">
        <f>GP!H38</f>
        <v>1.6244894554222143E-2</v>
      </c>
      <c r="H64" s="58">
        <f>GP!I38</f>
        <v>0</v>
      </c>
    </row>
    <row r="65" spans="1:8">
      <c r="A65" s="70"/>
      <c r="B65" s="70" t="s">
        <v>38</v>
      </c>
      <c r="C65" s="98">
        <f t="shared" si="9"/>
        <v>0.99999999999999989</v>
      </c>
      <c r="D65" s="58">
        <f>'GROSS PLANT'!E42</f>
        <v>0.48154657080982766</v>
      </c>
      <c r="E65" s="58">
        <f>'GROSS PLANT'!F42</f>
        <v>0.24559518347635353</v>
      </c>
      <c r="F65" s="58">
        <f>'GROSS PLANT'!G42</f>
        <v>0.26676758893671609</v>
      </c>
      <c r="G65" s="58">
        <f>'GROSS PLANT'!H42</f>
        <v>6.0906567771025506E-3</v>
      </c>
      <c r="H65" s="58">
        <f>'GROSS PLANT'!I42</f>
        <v>0</v>
      </c>
    </row>
    <row r="66" spans="1:8">
      <c r="A66" s="70"/>
      <c r="B66" s="70" t="s">
        <v>54</v>
      </c>
      <c r="C66" s="98">
        <f t="shared" si="9"/>
        <v>1</v>
      </c>
      <c r="D66" s="58">
        <f>'FORM 1'!C25</f>
        <v>0.44929163079032386</v>
      </c>
      <c r="E66" s="58">
        <f>'FORM 1'!D25</f>
        <v>8.4851850814689656E-2</v>
      </c>
      <c r="F66" s="58">
        <f>'FORM 1'!E25</f>
        <v>0.32797219630821162</v>
      </c>
      <c r="G66" s="58">
        <f>'FORM 1'!F25</f>
        <v>0.13788432208677487</v>
      </c>
      <c r="H66" s="58">
        <f>'FORM 1'!G25</f>
        <v>0</v>
      </c>
    </row>
    <row r="67" spans="1:8">
      <c r="A67" s="70"/>
      <c r="B67" s="70" t="s">
        <v>72</v>
      </c>
      <c r="C67" s="98">
        <f t="shared" si="9"/>
        <v>1</v>
      </c>
      <c r="D67" s="58">
        <v>1</v>
      </c>
      <c r="E67" s="58">
        <v>0</v>
      </c>
      <c r="F67" s="58">
        <v>0</v>
      </c>
      <c r="G67" s="58">
        <v>0</v>
      </c>
      <c r="H67" s="58">
        <v>0</v>
      </c>
    </row>
    <row r="68" spans="1:8">
      <c r="A68" s="70"/>
      <c r="B68" s="70" t="s">
        <v>130</v>
      </c>
      <c r="C68" s="98">
        <f>SUM(D68:H68)</f>
        <v>1</v>
      </c>
      <c r="D68" s="58">
        <f>+'FORM 1'!C17</f>
        <v>0.66684527405984495</v>
      </c>
      <c r="E68" s="58">
        <f>+'FORM 1'!D17</f>
        <v>0.33315472594015499</v>
      </c>
      <c r="F68" s="58">
        <f>+'FORM 1'!E17</f>
        <v>0</v>
      </c>
      <c r="G68" s="58">
        <f>+'FORM 1'!F17</f>
        <v>0</v>
      </c>
      <c r="H68" s="58">
        <f>+'FORM 1'!G17</f>
        <v>0</v>
      </c>
    </row>
    <row r="69" spans="1:8">
      <c r="A69" s="70"/>
      <c r="B69" s="70" t="s">
        <v>132</v>
      </c>
      <c r="C69" s="98">
        <f t="shared" si="9"/>
        <v>1</v>
      </c>
      <c r="D69" s="58">
        <f>'FORM 1'!C16</f>
        <v>0.48923013980835528</v>
      </c>
      <c r="E69" s="58">
        <f>'FORM 1'!D16</f>
        <v>0.2444185172929472</v>
      </c>
      <c r="F69" s="58">
        <f>'FORM 1'!E16</f>
        <v>0.2663513428986975</v>
      </c>
      <c r="G69" s="58">
        <f>'FORM 1'!F16</f>
        <v>0</v>
      </c>
      <c r="H69" s="58">
        <f>'FORM 1'!G16</f>
        <v>0</v>
      </c>
    </row>
    <row r="70" spans="1:8">
      <c r="A70" s="70"/>
      <c r="B70" s="70" t="s">
        <v>113</v>
      </c>
      <c r="C70" s="98">
        <f t="shared" si="9"/>
        <v>1</v>
      </c>
      <c r="D70" s="58">
        <v>0</v>
      </c>
      <c r="E70" s="58">
        <v>1</v>
      </c>
      <c r="F70" s="58">
        <v>0</v>
      </c>
      <c r="G70" s="58">
        <v>0</v>
      </c>
      <c r="H70" s="58">
        <v>0</v>
      </c>
    </row>
    <row r="71" spans="1:8">
      <c r="A71" s="70"/>
      <c r="B71" s="70" t="s">
        <v>278</v>
      </c>
      <c r="C71" s="98">
        <f t="shared" si="9"/>
        <v>0.99999999999999989</v>
      </c>
      <c r="D71" s="58">
        <f>'TAX DEPR'!C24</f>
        <v>0.35717297312867874</v>
      </c>
      <c r="E71" s="58">
        <f>'TAX DEPR'!D24</f>
        <v>0.29975338335892732</v>
      </c>
      <c r="F71" s="58">
        <f>'TAX DEPR'!E24</f>
        <v>0.33437789429560494</v>
      </c>
      <c r="G71" s="58">
        <f>'TAX DEPR'!F24</f>
        <v>8.6957492167888967E-3</v>
      </c>
      <c r="H71" s="58">
        <f>'TAX DEPR'!G24</f>
        <v>0</v>
      </c>
    </row>
    <row r="72" spans="1:8">
      <c r="A72" s="70"/>
      <c r="B72" s="70" t="s">
        <v>116</v>
      </c>
      <c r="C72" s="98">
        <f t="shared" si="9"/>
        <v>1</v>
      </c>
      <c r="D72" s="58">
        <f>'FORM 1'!C18</f>
        <v>0</v>
      </c>
      <c r="E72" s="58">
        <f>'FORM 1'!D18</f>
        <v>0.47852963994633424</v>
      </c>
      <c r="F72" s="58">
        <f>'FORM 1'!E18</f>
        <v>0.52147036005366576</v>
      </c>
      <c r="G72" s="58">
        <f>'FORM 1'!F18</f>
        <v>0</v>
      </c>
      <c r="H72" s="58">
        <f>'FORM 1'!G18</f>
        <v>0</v>
      </c>
    </row>
    <row r="73" spans="1:8">
      <c r="A73" s="70"/>
      <c r="B73" s="70"/>
      <c r="C73" s="70"/>
      <c r="D73" s="70"/>
      <c r="E73" s="70"/>
      <c r="F73" s="70"/>
      <c r="G73" s="70"/>
      <c r="H73" s="70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L331"/>
  <sheetViews>
    <sheetView zoomScale="90" workbookViewId="0"/>
  </sheetViews>
  <sheetFormatPr defaultRowHeight="12.75"/>
  <cols>
    <col min="1" max="1" width="34" bestFit="1" customWidth="1"/>
    <col min="2" max="2" width="15.5703125" bestFit="1" customWidth="1"/>
    <col min="3" max="7" width="15.7109375" customWidth="1"/>
    <col min="8" max="8" width="17.28515625" bestFit="1" customWidth="1"/>
    <col min="9" max="9" width="8.85546875" bestFit="1" customWidth="1"/>
    <col min="10" max="10" width="60.5703125" bestFit="1" customWidth="1"/>
  </cols>
  <sheetData>
    <row r="1" spans="1:12" ht="15.75">
      <c r="A1" s="83" t="str">
        <f>+'TOTAL FUNCFAC'!$A$1</f>
        <v>PacifiCorp</v>
      </c>
      <c r="B1" s="83"/>
      <c r="C1" s="83"/>
      <c r="D1" s="83"/>
      <c r="E1" s="83"/>
      <c r="F1" s="83"/>
      <c r="G1" s="83"/>
      <c r="H1" s="17"/>
      <c r="I1" s="17"/>
      <c r="J1" s="17"/>
      <c r="K1" s="17"/>
      <c r="L1" s="17"/>
    </row>
    <row r="2" spans="1:12" ht="15.75">
      <c r="A2" s="169" t="str">
        <f>+'TOTAL FUNCFAC'!A2</f>
        <v>12 Months Ended December 2017</v>
      </c>
      <c r="B2" s="169"/>
      <c r="C2" s="169"/>
      <c r="D2" s="169"/>
      <c r="E2" s="169"/>
      <c r="F2" s="169"/>
      <c r="G2" s="169"/>
      <c r="H2" s="189"/>
      <c r="I2" s="17"/>
      <c r="J2" s="17"/>
      <c r="K2" s="17"/>
      <c r="L2" s="17"/>
    </row>
    <row r="3" spans="1:12" ht="15.75">
      <c r="A3" s="83" t="s">
        <v>138</v>
      </c>
      <c r="B3" s="170"/>
      <c r="C3" s="170"/>
      <c r="D3" s="170"/>
      <c r="E3" s="170"/>
      <c r="F3" s="178"/>
      <c r="G3" s="178"/>
      <c r="H3" s="189"/>
      <c r="I3" s="17"/>
      <c r="J3" s="17"/>
      <c r="K3" s="17"/>
      <c r="L3" s="17"/>
    </row>
    <row r="4" spans="1:12">
      <c r="A4" s="189"/>
      <c r="B4" s="189"/>
      <c r="C4" s="189"/>
      <c r="D4" s="189"/>
      <c r="E4" s="189"/>
      <c r="F4" s="190"/>
      <c r="G4" s="189"/>
      <c r="H4" s="189"/>
      <c r="I4" s="17"/>
      <c r="J4" s="17"/>
      <c r="K4" s="17"/>
      <c r="L4" s="17"/>
    </row>
    <row r="5" spans="1:12">
      <c r="A5" s="144"/>
      <c r="B5" s="145" t="s">
        <v>10</v>
      </c>
      <c r="C5" s="145" t="s">
        <v>5</v>
      </c>
      <c r="D5" s="145" t="s">
        <v>6</v>
      </c>
      <c r="E5" s="145" t="s">
        <v>139</v>
      </c>
      <c r="F5" s="171" t="s">
        <v>140</v>
      </c>
      <c r="G5" s="145" t="s">
        <v>141</v>
      </c>
      <c r="H5" s="189"/>
      <c r="I5" s="17"/>
      <c r="J5" s="17"/>
      <c r="K5" s="17"/>
      <c r="L5" s="17"/>
    </row>
    <row r="6" spans="1:12">
      <c r="A6" s="85"/>
      <c r="B6" s="85"/>
      <c r="C6" s="86"/>
      <c r="D6" s="86"/>
      <c r="E6" s="86"/>
      <c r="F6" s="172"/>
      <c r="G6" s="86"/>
      <c r="H6" s="189"/>
      <c r="I6" s="17"/>
      <c r="J6" s="17"/>
      <c r="K6" s="17"/>
      <c r="L6" s="17"/>
    </row>
    <row r="7" spans="1:12">
      <c r="A7" s="189"/>
      <c r="B7" s="173"/>
      <c r="C7" s="173"/>
      <c r="D7" s="173"/>
      <c r="E7" s="173"/>
      <c r="F7" s="174"/>
      <c r="G7" s="173"/>
      <c r="H7" s="189"/>
      <c r="I7" s="17"/>
      <c r="J7" s="17"/>
      <c r="K7" s="17"/>
      <c r="L7" s="17"/>
    </row>
    <row r="8" spans="1:12" ht="13.5" thickBot="1">
      <c r="A8" s="64" t="s">
        <v>10</v>
      </c>
      <c r="B8" s="14">
        <f>SUM(C8:G8)</f>
        <v>859324129</v>
      </c>
      <c r="C8" s="14">
        <f>270816099-G8</f>
        <v>268900902</v>
      </c>
      <c r="D8" s="14">
        <v>228581997</v>
      </c>
      <c r="E8" s="14">
        <v>259922311</v>
      </c>
      <c r="F8" s="191">
        <f>110741263-10737541</f>
        <v>100003722</v>
      </c>
      <c r="G8" s="14">
        <v>1915197</v>
      </c>
      <c r="H8" s="175"/>
      <c r="I8" s="15"/>
      <c r="J8" s="70"/>
      <c r="K8" s="17"/>
      <c r="L8" s="17"/>
    </row>
    <row r="9" spans="1:12" ht="13.5" thickTop="1">
      <c r="A9" s="189"/>
      <c r="B9" s="189"/>
      <c r="C9" s="189"/>
      <c r="D9" s="189"/>
      <c r="E9" s="189"/>
      <c r="F9" s="189"/>
      <c r="G9" s="189"/>
      <c r="H9" s="189"/>
      <c r="I9" s="17"/>
      <c r="J9" s="17"/>
      <c r="K9" s="17"/>
      <c r="L9" s="17"/>
    </row>
    <row r="10" spans="1:12">
      <c r="A10" s="189"/>
      <c r="B10" s="189"/>
      <c r="C10" s="173"/>
      <c r="D10" s="176"/>
      <c r="E10" s="176"/>
      <c r="F10" s="176"/>
      <c r="G10" s="176"/>
      <c r="H10" s="189"/>
      <c r="I10" s="17"/>
      <c r="J10" s="17"/>
      <c r="K10" s="17"/>
      <c r="L10" s="17"/>
    </row>
    <row r="11" spans="1:12">
      <c r="A11" s="85"/>
      <c r="B11" s="85"/>
      <c r="C11" s="86"/>
      <c r="D11" s="86"/>
      <c r="E11" s="86"/>
      <c r="F11" s="86"/>
      <c r="G11" s="86"/>
      <c r="H11" s="189"/>
      <c r="I11" s="17"/>
      <c r="J11" s="17"/>
      <c r="K11" s="17"/>
      <c r="L11" s="17"/>
    </row>
    <row r="12" spans="1:12">
      <c r="A12" s="192" t="s">
        <v>143</v>
      </c>
      <c r="B12" s="192" t="s">
        <v>10</v>
      </c>
      <c r="C12" s="193" t="s">
        <v>144</v>
      </c>
      <c r="D12" s="193" t="s">
        <v>145</v>
      </c>
      <c r="E12" s="193" t="s">
        <v>146</v>
      </c>
      <c r="F12" s="193" t="s">
        <v>147</v>
      </c>
      <c r="G12" s="193" t="s">
        <v>148</v>
      </c>
      <c r="H12" s="189"/>
      <c r="I12" s="17"/>
      <c r="J12" s="17"/>
      <c r="K12" s="17"/>
      <c r="L12" s="17"/>
    </row>
    <row r="13" spans="1:12">
      <c r="A13" s="189"/>
      <c r="B13" s="192"/>
      <c r="C13" s="193"/>
      <c r="D13" s="193"/>
      <c r="E13" s="193"/>
      <c r="F13" s="193"/>
      <c r="G13" s="193"/>
      <c r="H13" s="189"/>
      <c r="I13" s="17"/>
      <c r="J13" s="17"/>
      <c r="K13" s="17"/>
      <c r="L13" s="17"/>
    </row>
    <row r="14" spans="1:12" s="17" customFormat="1">
      <c r="A14" s="189" t="s">
        <v>149</v>
      </c>
      <c r="B14" s="194">
        <f>SUM(C14:F14)</f>
        <v>1</v>
      </c>
      <c r="C14" s="176">
        <v>0.36109911025253905</v>
      </c>
      <c r="D14" s="176">
        <v>0.29002238606392416</v>
      </c>
      <c r="E14" s="176">
        <v>0.27415661361508964</v>
      </c>
      <c r="F14" s="176">
        <v>7.4721890068447178E-2</v>
      </c>
      <c r="G14" s="176">
        <v>0</v>
      </c>
      <c r="H14" s="175"/>
      <c r="I14" s="15"/>
      <c r="J14" s="70"/>
    </row>
    <row r="15" spans="1:12">
      <c r="A15" s="181"/>
      <c r="B15" s="189"/>
      <c r="C15" s="176"/>
      <c r="D15" s="176"/>
      <c r="E15" s="176"/>
      <c r="F15" s="176"/>
      <c r="G15" s="176"/>
      <c r="H15" s="189"/>
      <c r="I15" s="17"/>
      <c r="J15" s="17"/>
      <c r="K15" s="17"/>
      <c r="L15" s="17"/>
    </row>
    <row r="16" spans="1:12">
      <c r="A16" s="181"/>
      <c r="B16" s="189"/>
      <c r="C16" s="176"/>
      <c r="D16" s="176"/>
      <c r="E16" s="176"/>
      <c r="F16" s="176"/>
      <c r="G16" s="176"/>
      <c r="H16" s="189"/>
      <c r="I16" s="17"/>
      <c r="J16" s="17"/>
      <c r="K16" s="17"/>
      <c r="L16" s="17"/>
    </row>
    <row r="17" spans="1:12">
      <c r="A17" s="189"/>
      <c r="B17" s="189"/>
      <c r="C17" s="176"/>
      <c r="D17" s="176"/>
      <c r="E17" s="176"/>
      <c r="F17" s="176"/>
      <c r="G17" s="176"/>
      <c r="H17" s="189"/>
      <c r="I17" s="17"/>
      <c r="J17" s="17"/>
      <c r="K17" s="17"/>
      <c r="L17" s="17"/>
    </row>
    <row r="18" spans="1:12">
      <c r="A18" s="189" t="s">
        <v>150</v>
      </c>
      <c r="B18" s="195">
        <f>SUM(C18:F18)</f>
        <v>100003722.00000001</v>
      </c>
      <c r="C18" s="173">
        <f>+$F$8*C14</f>
        <v>36111255.036142267</v>
      </c>
      <c r="D18" s="173">
        <f>+$F$8*D14</f>
        <v>29003318.069713347</v>
      </c>
      <c r="E18" s="173">
        <f>+$F$8*E14</f>
        <v>27416681.772424839</v>
      </c>
      <c r="F18" s="173">
        <f>+$F$8*F14</f>
        <v>7472467.1217195522</v>
      </c>
      <c r="G18" s="173">
        <f>+$F$8*G14</f>
        <v>0</v>
      </c>
      <c r="H18" s="189"/>
      <c r="I18" s="17"/>
      <c r="J18" s="17"/>
      <c r="K18" s="17"/>
      <c r="L18" s="17"/>
    </row>
    <row r="19" spans="1:12">
      <c r="A19" s="189" t="s">
        <v>151</v>
      </c>
      <c r="B19" s="196">
        <f>SUM(C19:F19)</f>
        <v>1915197</v>
      </c>
      <c r="C19" s="197">
        <f>G8</f>
        <v>1915197</v>
      </c>
      <c r="D19" s="198"/>
      <c r="E19" s="198"/>
      <c r="F19" s="198"/>
      <c r="G19" s="198"/>
      <c r="H19" s="189"/>
      <c r="I19" s="17"/>
      <c r="J19" s="17"/>
      <c r="K19" s="17"/>
      <c r="L19" s="17"/>
    </row>
    <row r="20" spans="1:12">
      <c r="A20" s="189"/>
      <c r="B20" s="199"/>
      <c r="C20" s="88"/>
      <c r="D20" s="200"/>
      <c r="E20" s="200"/>
      <c r="F20" s="200"/>
      <c r="G20" s="200"/>
      <c r="H20" s="189"/>
      <c r="I20" s="17"/>
      <c r="J20" s="17"/>
      <c r="K20" s="17"/>
      <c r="L20" s="17"/>
    </row>
    <row r="21" spans="1:12">
      <c r="A21" s="164" t="s">
        <v>152</v>
      </c>
      <c r="B21" s="195">
        <f>SUM(C21:F21)</f>
        <v>859324129.00000012</v>
      </c>
      <c r="C21" s="173">
        <f>+C8+C18+C19</f>
        <v>306927354.03614229</v>
      </c>
      <c r="D21" s="173">
        <f>+D8+D18+D19</f>
        <v>257585315.06971335</v>
      </c>
      <c r="E21" s="173">
        <f>+E8+E18+E19</f>
        <v>287338992.77242482</v>
      </c>
      <c r="F21" s="173">
        <f>+F18+F19</f>
        <v>7472467.1217195522</v>
      </c>
      <c r="G21" s="173">
        <f>+G18+G19</f>
        <v>0</v>
      </c>
      <c r="H21" s="189"/>
      <c r="I21" s="17"/>
      <c r="J21" s="17"/>
      <c r="K21" s="17"/>
      <c r="L21" s="17"/>
    </row>
    <row r="22" spans="1:12">
      <c r="A22" s="189"/>
      <c r="B22" s="189"/>
      <c r="C22" s="176"/>
      <c r="D22" s="176"/>
      <c r="E22" s="176"/>
      <c r="F22" s="176"/>
      <c r="G22" s="176"/>
      <c r="H22" s="189"/>
      <c r="I22" s="17"/>
      <c r="J22" s="17"/>
      <c r="K22" s="17"/>
      <c r="L22" s="17"/>
    </row>
    <row r="23" spans="1:12">
      <c r="A23" s="189"/>
      <c r="B23" s="189"/>
      <c r="C23" s="187"/>
      <c r="D23" s="187"/>
      <c r="E23" s="187"/>
      <c r="F23" s="187"/>
      <c r="G23" s="187"/>
      <c r="H23" s="189"/>
      <c r="I23" s="17"/>
      <c r="J23" s="17"/>
      <c r="K23" s="17"/>
      <c r="L23" s="17"/>
    </row>
    <row r="24" spans="1:12" ht="13.5" thickBot="1">
      <c r="A24" s="187" t="s">
        <v>153</v>
      </c>
      <c r="B24" s="201">
        <f>SUM(C24:F24)</f>
        <v>0.99999999999999989</v>
      </c>
      <c r="C24" s="201">
        <f>+C21/$B$21</f>
        <v>0.35717297312867874</v>
      </c>
      <c r="D24" s="201">
        <f>+D21/$B$21</f>
        <v>0.29975338335892732</v>
      </c>
      <c r="E24" s="201">
        <f>+E21/$B$21</f>
        <v>0.33437789429560494</v>
      </c>
      <c r="F24" s="201">
        <f>+F21/$B$21</f>
        <v>8.6957492167888967E-3</v>
      </c>
      <c r="G24" s="201">
        <f>+G21/$B$21</f>
        <v>0</v>
      </c>
      <c r="H24" s="189"/>
      <c r="I24" s="17"/>
      <c r="J24" s="17"/>
      <c r="K24" s="17"/>
      <c r="L24" s="17"/>
    </row>
    <row r="25" spans="1:12" ht="13.5" thickTop="1">
      <c r="A25" s="85"/>
      <c r="B25" s="85"/>
      <c r="C25" s="86"/>
      <c r="D25" s="86"/>
      <c r="E25" s="86"/>
      <c r="F25" s="86"/>
      <c r="G25" s="86"/>
      <c r="H25" s="189"/>
      <c r="I25" s="17"/>
      <c r="J25" s="17"/>
      <c r="K25" s="17"/>
      <c r="L25" s="17"/>
    </row>
    <row r="26" spans="1:12">
      <c r="A26" s="85"/>
      <c r="B26" s="85"/>
      <c r="C26" s="86"/>
      <c r="D26" s="86"/>
      <c r="E26" s="86"/>
      <c r="F26" s="86"/>
      <c r="G26" s="86"/>
      <c r="H26" s="189"/>
      <c r="I26" s="17"/>
      <c r="J26" s="17"/>
      <c r="K26" s="17"/>
      <c r="L26" s="17"/>
    </row>
    <row r="27" spans="1:12">
      <c r="A27" s="85"/>
      <c r="B27" s="85"/>
      <c r="C27" s="86"/>
      <c r="D27" s="86"/>
      <c r="E27" s="86"/>
      <c r="F27" s="86"/>
      <c r="G27" s="86"/>
      <c r="H27" s="189"/>
      <c r="I27" s="17"/>
      <c r="J27" s="17"/>
      <c r="K27" s="17"/>
      <c r="L27" s="17"/>
    </row>
    <row r="28" spans="1:12">
      <c r="A28" s="85"/>
      <c r="B28" s="85"/>
      <c r="C28" s="85"/>
      <c r="D28" s="85"/>
      <c r="E28" s="85"/>
      <c r="F28" s="85"/>
      <c r="G28" s="85"/>
      <c r="H28" s="17"/>
      <c r="I28" s="17"/>
      <c r="J28" s="17"/>
      <c r="K28" s="17"/>
      <c r="L28" s="17"/>
    </row>
    <row r="29" spans="1:12">
      <c r="A29" s="85"/>
      <c r="B29" s="85"/>
      <c r="C29" s="86"/>
      <c r="D29" s="86"/>
      <c r="E29" s="86"/>
      <c r="F29" s="86"/>
      <c r="G29" s="86"/>
      <c r="H29" s="17"/>
      <c r="I29" s="17"/>
      <c r="J29" s="17"/>
      <c r="K29" s="17"/>
      <c r="L29" s="17"/>
    </row>
    <row r="30" spans="1:12">
      <c r="A30" s="85"/>
      <c r="B30" s="85"/>
      <c r="C30" s="86"/>
      <c r="D30" s="86"/>
      <c r="E30" s="86"/>
      <c r="F30" s="86"/>
      <c r="G30" s="86"/>
      <c r="H30" s="17"/>
      <c r="I30" s="17"/>
      <c r="J30" s="17"/>
      <c r="K30" s="17"/>
      <c r="L30" s="17"/>
    </row>
    <row r="31" spans="1:12">
      <c r="A31" s="85"/>
      <c r="B31" s="85"/>
      <c r="C31" s="86"/>
      <c r="D31" s="86"/>
      <c r="E31" s="86"/>
      <c r="F31" s="86"/>
      <c r="G31" s="86"/>
      <c r="H31" s="17"/>
      <c r="I31" s="17"/>
      <c r="J31" s="17"/>
      <c r="K31" s="17"/>
      <c r="L31" s="17"/>
    </row>
    <row r="32" spans="1:12">
      <c r="A32" s="85"/>
      <c r="B32" s="85"/>
      <c r="C32" s="86"/>
      <c r="D32" s="86"/>
      <c r="E32" s="86"/>
      <c r="F32" s="86"/>
      <c r="G32" s="86"/>
      <c r="H32" s="17"/>
      <c r="I32" s="17"/>
      <c r="J32" s="17"/>
      <c r="K32" s="17"/>
      <c r="L32" s="17"/>
    </row>
    <row r="33" spans="1:12">
      <c r="A33" s="85"/>
      <c r="B33" s="85"/>
      <c r="C33" s="86"/>
      <c r="D33" s="86"/>
      <c r="E33" s="86"/>
      <c r="F33" s="86"/>
      <c r="G33" s="86"/>
      <c r="H33" s="17"/>
      <c r="I33" s="17"/>
      <c r="J33" s="17"/>
      <c r="K33" s="17"/>
      <c r="L33" s="17"/>
    </row>
    <row r="34" spans="1:12">
      <c r="A34" s="85"/>
      <c r="B34" s="85"/>
      <c r="C34" s="86"/>
      <c r="D34" s="86"/>
      <c r="E34" s="86"/>
      <c r="F34" s="86"/>
      <c r="G34" s="86"/>
      <c r="H34" s="17"/>
      <c r="I34" s="17"/>
      <c r="J34" s="17"/>
      <c r="K34" s="17"/>
      <c r="L34" s="17"/>
    </row>
    <row r="35" spans="1:12">
      <c r="A35" s="85"/>
      <c r="B35" s="85"/>
      <c r="C35" s="86"/>
      <c r="D35" s="86"/>
      <c r="E35" s="86"/>
      <c r="F35" s="86"/>
      <c r="G35" s="86"/>
      <c r="H35" s="17"/>
      <c r="I35" s="17"/>
      <c r="J35" s="17"/>
      <c r="K35" s="17"/>
      <c r="L35" s="17"/>
    </row>
    <row r="36" spans="1:12">
      <c r="A36" s="85"/>
      <c r="B36" s="85"/>
      <c r="C36" s="86"/>
      <c r="D36" s="86"/>
      <c r="E36" s="86"/>
      <c r="F36" s="86"/>
      <c r="G36" s="86"/>
      <c r="H36" s="17"/>
      <c r="I36" s="17"/>
      <c r="J36" s="17"/>
      <c r="K36" s="17"/>
      <c r="L36" s="17"/>
    </row>
    <row r="37" spans="1:12">
      <c r="A37" s="12"/>
      <c r="B37" s="12"/>
      <c r="C37" s="13"/>
      <c r="D37" s="13"/>
      <c r="E37" s="13"/>
      <c r="F37" s="13"/>
      <c r="G37" s="13"/>
    </row>
    <row r="38" spans="1:12">
      <c r="A38" s="12"/>
      <c r="B38" s="12"/>
      <c r="C38" s="13"/>
      <c r="D38" s="13"/>
      <c r="E38" s="13"/>
      <c r="F38" s="13"/>
      <c r="G38" s="13"/>
    </row>
    <row r="39" spans="1:12">
      <c r="A39" s="12"/>
      <c r="B39" s="12"/>
      <c r="C39" s="13"/>
      <c r="D39" s="13"/>
      <c r="E39" s="13"/>
      <c r="F39" s="13"/>
      <c r="G39" s="13"/>
    </row>
    <row r="40" spans="1:12">
      <c r="A40" s="12"/>
      <c r="B40" s="12"/>
      <c r="C40" s="13"/>
      <c r="D40" s="13"/>
      <c r="E40" s="13"/>
      <c r="F40" s="13"/>
      <c r="G40" s="13"/>
    </row>
    <row r="41" spans="1:12">
      <c r="A41" s="12"/>
      <c r="B41" s="12"/>
      <c r="C41" s="13"/>
      <c r="D41" s="13"/>
      <c r="E41" s="13"/>
      <c r="F41" s="13"/>
      <c r="G41" s="13"/>
    </row>
    <row r="42" spans="1:12">
      <c r="A42" s="12"/>
      <c r="B42" s="12"/>
      <c r="C42" s="13"/>
      <c r="D42" s="13"/>
      <c r="E42" s="13"/>
      <c r="F42" s="13"/>
      <c r="G42" s="13"/>
    </row>
    <row r="43" spans="1:12">
      <c r="A43" s="12"/>
      <c r="B43" s="12"/>
      <c r="C43" s="13"/>
      <c r="D43" s="13"/>
      <c r="E43" s="13"/>
      <c r="F43" s="13"/>
      <c r="G43" s="13"/>
    </row>
    <row r="44" spans="1:12">
      <c r="A44" s="12"/>
      <c r="B44" s="12"/>
      <c r="C44" s="13"/>
      <c r="D44" s="13"/>
      <c r="E44" s="13"/>
      <c r="F44" s="13"/>
      <c r="G44" s="13"/>
    </row>
    <row r="45" spans="1:12">
      <c r="A45" s="12"/>
      <c r="B45" s="12"/>
      <c r="C45" s="13"/>
      <c r="D45" s="13"/>
      <c r="E45" s="13"/>
      <c r="F45" s="13"/>
      <c r="G45" s="13"/>
    </row>
    <row r="46" spans="1:12">
      <c r="A46" s="12"/>
      <c r="B46" s="12"/>
      <c r="C46" s="13"/>
      <c r="D46" s="13"/>
      <c r="E46" s="13"/>
      <c r="F46" s="13"/>
      <c r="G46" s="13"/>
    </row>
    <row r="47" spans="1:12">
      <c r="A47" s="12"/>
      <c r="B47" s="12"/>
      <c r="C47" s="13"/>
      <c r="D47" s="13"/>
      <c r="E47" s="13"/>
      <c r="F47" s="13"/>
      <c r="G47" s="13"/>
    </row>
    <row r="48" spans="1:12">
      <c r="A48" s="12"/>
      <c r="B48" s="12"/>
      <c r="C48" s="13"/>
      <c r="D48" s="13"/>
      <c r="E48" s="13"/>
      <c r="F48" s="13"/>
      <c r="G48" s="13"/>
    </row>
    <row r="49" spans="1:7">
      <c r="A49" s="12"/>
      <c r="B49" s="12"/>
      <c r="C49" s="13"/>
      <c r="D49" s="13"/>
      <c r="E49" s="13"/>
      <c r="F49" s="13"/>
      <c r="G49" s="13"/>
    </row>
    <row r="50" spans="1:7">
      <c r="A50" s="12"/>
      <c r="B50" s="12"/>
      <c r="C50" s="13"/>
      <c r="D50" s="13"/>
      <c r="E50" s="13"/>
      <c r="F50" s="13"/>
      <c r="G50" s="13"/>
    </row>
    <row r="51" spans="1:7">
      <c r="A51" s="12"/>
      <c r="B51" s="12"/>
      <c r="C51" s="13"/>
      <c r="D51" s="13"/>
      <c r="E51" s="13"/>
      <c r="F51" s="13"/>
      <c r="G51" s="13"/>
    </row>
    <row r="52" spans="1:7">
      <c r="A52" s="12"/>
      <c r="B52" s="12"/>
      <c r="C52" s="13"/>
      <c r="D52" s="13"/>
      <c r="E52" s="13"/>
      <c r="F52" s="13"/>
      <c r="G52" s="13"/>
    </row>
    <row r="53" spans="1:7">
      <c r="A53" s="12"/>
      <c r="B53" s="12"/>
      <c r="C53" s="13"/>
      <c r="D53" s="13"/>
      <c r="E53" s="13"/>
      <c r="F53" s="13"/>
      <c r="G53" s="13"/>
    </row>
    <row r="54" spans="1:7">
      <c r="A54" s="12"/>
      <c r="B54" s="12"/>
      <c r="C54" s="13"/>
      <c r="D54" s="13"/>
      <c r="E54" s="13"/>
      <c r="F54" s="13"/>
      <c r="G54" s="13"/>
    </row>
    <row r="55" spans="1:7">
      <c r="A55" s="12"/>
      <c r="B55" s="12"/>
      <c r="C55" s="13"/>
      <c r="D55" s="13"/>
      <c r="E55" s="13"/>
      <c r="F55" s="13"/>
      <c r="G55" s="13"/>
    </row>
    <row r="56" spans="1:7">
      <c r="A56" s="12"/>
      <c r="B56" s="12"/>
      <c r="C56" s="13"/>
      <c r="D56" s="13"/>
      <c r="E56" s="13"/>
      <c r="F56" s="13"/>
      <c r="G56" s="13"/>
    </row>
    <row r="57" spans="1:7">
      <c r="A57" s="12"/>
      <c r="B57" s="12"/>
      <c r="C57" s="13"/>
      <c r="D57" s="13"/>
      <c r="E57" s="13"/>
      <c r="F57" s="13"/>
      <c r="G57" s="13"/>
    </row>
    <row r="58" spans="1:7">
      <c r="A58" s="12"/>
      <c r="B58" s="12"/>
      <c r="C58" s="13"/>
      <c r="D58" s="13"/>
      <c r="E58" s="13"/>
      <c r="F58" s="13"/>
      <c r="G58" s="13"/>
    </row>
    <row r="59" spans="1:7">
      <c r="A59" s="12"/>
      <c r="B59" s="12"/>
      <c r="C59" s="13"/>
      <c r="D59" s="13"/>
      <c r="E59" s="13"/>
      <c r="F59" s="13"/>
      <c r="G59" s="13"/>
    </row>
    <row r="60" spans="1:7">
      <c r="A60" s="12"/>
      <c r="B60" s="12"/>
      <c r="C60" s="13"/>
      <c r="D60" s="13"/>
      <c r="E60" s="13"/>
      <c r="F60" s="13"/>
      <c r="G60" s="13"/>
    </row>
    <row r="61" spans="1:7">
      <c r="A61" s="12"/>
      <c r="B61" s="12"/>
      <c r="C61" s="13"/>
      <c r="D61" s="13"/>
      <c r="E61" s="13"/>
      <c r="F61" s="13"/>
      <c r="G61" s="13"/>
    </row>
    <row r="62" spans="1:7">
      <c r="A62" s="12"/>
      <c r="B62" s="12"/>
      <c r="C62" s="13"/>
      <c r="D62" s="13"/>
      <c r="E62" s="13"/>
      <c r="F62" s="13"/>
      <c r="G62" s="13"/>
    </row>
    <row r="63" spans="1:7">
      <c r="A63" s="12"/>
      <c r="B63" s="12"/>
      <c r="C63" s="13"/>
      <c r="D63" s="13"/>
      <c r="E63" s="13"/>
      <c r="F63" s="13"/>
      <c r="G63" s="13"/>
    </row>
    <row r="64" spans="1:7">
      <c r="A64" s="12"/>
      <c r="B64" s="12"/>
      <c r="C64" s="13"/>
      <c r="D64" s="13"/>
      <c r="E64" s="13"/>
      <c r="F64" s="13"/>
      <c r="G64" s="13"/>
    </row>
    <row r="65" spans="1:7">
      <c r="A65" s="12"/>
      <c r="B65" s="12"/>
      <c r="C65" s="13"/>
      <c r="D65" s="13"/>
      <c r="E65" s="13"/>
      <c r="F65" s="13"/>
      <c r="G65" s="13"/>
    </row>
    <row r="66" spans="1:7">
      <c r="A66" s="12"/>
      <c r="B66" s="12"/>
      <c r="C66" s="13"/>
      <c r="D66" s="13"/>
      <c r="E66" s="13"/>
      <c r="F66" s="13"/>
      <c r="G66" s="13"/>
    </row>
    <row r="67" spans="1:7">
      <c r="A67" s="12"/>
      <c r="B67" s="12"/>
      <c r="C67" s="13"/>
      <c r="D67" s="13"/>
      <c r="E67" s="13"/>
      <c r="F67" s="13"/>
      <c r="G67" s="13"/>
    </row>
    <row r="68" spans="1:7">
      <c r="A68" s="12"/>
      <c r="B68" s="12"/>
      <c r="C68" s="13"/>
      <c r="D68" s="13"/>
      <c r="E68" s="13"/>
      <c r="F68" s="13"/>
      <c r="G68" s="13"/>
    </row>
    <row r="69" spans="1:7">
      <c r="A69" s="12"/>
      <c r="B69" s="12"/>
      <c r="C69" s="13"/>
      <c r="D69" s="13"/>
      <c r="E69" s="13"/>
      <c r="F69" s="13"/>
      <c r="G69" s="13"/>
    </row>
    <row r="70" spans="1:7">
      <c r="A70" s="12"/>
      <c r="B70" s="12"/>
      <c r="C70" s="13"/>
      <c r="D70" s="13"/>
      <c r="E70" s="13"/>
      <c r="F70" s="13"/>
      <c r="G70" s="13"/>
    </row>
    <row r="71" spans="1:7">
      <c r="A71" s="12"/>
      <c r="B71" s="12"/>
      <c r="C71" s="13"/>
      <c r="D71" s="13"/>
      <c r="E71" s="13"/>
      <c r="F71" s="13"/>
      <c r="G71" s="13"/>
    </row>
    <row r="72" spans="1:7">
      <c r="A72" s="12"/>
      <c r="B72" s="12"/>
      <c r="C72" s="13"/>
      <c r="D72" s="13"/>
      <c r="E72" s="13"/>
      <c r="F72" s="13"/>
      <c r="G72" s="13"/>
    </row>
    <row r="73" spans="1:7">
      <c r="A73" s="12"/>
      <c r="B73" s="12"/>
      <c r="C73" s="13"/>
      <c r="D73" s="13"/>
      <c r="E73" s="13"/>
      <c r="F73" s="13"/>
      <c r="G73" s="13"/>
    </row>
    <row r="74" spans="1:7">
      <c r="A74" s="12"/>
      <c r="B74" s="12"/>
      <c r="C74" s="13"/>
      <c r="D74" s="13"/>
      <c r="E74" s="13"/>
      <c r="F74" s="13"/>
      <c r="G74" s="13"/>
    </row>
    <row r="75" spans="1:7">
      <c r="A75" s="12"/>
      <c r="B75" s="12"/>
      <c r="C75" s="13"/>
      <c r="D75" s="13"/>
      <c r="E75" s="13"/>
      <c r="F75" s="13"/>
      <c r="G75" s="13"/>
    </row>
    <row r="76" spans="1:7">
      <c r="A76" s="12"/>
      <c r="B76" s="12"/>
      <c r="C76" s="13"/>
      <c r="D76" s="13"/>
      <c r="E76" s="13"/>
      <c r="F76" s="13"/>
      <c r="G76" s="13"/>
    </row>
    <row r="77" spans="1:7">
      <c r="A77" s="12"/>
      <c r="B77" s="12"/>
      <c r="C77" s="13"/>
      <c r="D77" s="13"/>
      <c r="E77" s="13"/>
      <c r="F77" s="13"/>
      <c r="G77" s="13"/>
    </row>
    <row r="78" spans="1:7">
      <c r="A78" s="12"/>
      <c r="B78" s="12"/>
      <c r="C78" s="13"/>
      <c r="D78" s="13"/>
      <c r="E78" s="13"/>
      <c r="F78" s="13"/>
      <c r="G78" s="13"/>
    </row>
    <row r="79" spans="1:7">
      <c r="A79" s="12"/>
      <c r="B79" s="12"/>
      <c r="C79" s="13"/>
      <c r="D79" s="13"/>
      <c r="E79" s="13"/>
      <c r="F79" s="13"/>
      <c r="G79" s="13"/>
    </row>
    <row r="80" spans="1:7">
      <c r="A80" s="12"/>
      <c r="B80" s="12"/>
      <c r="C80" s="13"/>
      <c r="D80" s="13"/>
      <c r="E80" s="13"/>
      <c r="F80" s="13"/>
      <c r="G80" s="13"/>
    </row>
    <row r="81" spans="1:7">
      <c r="A81" s="12"/>
      <c r="B81" s="12"/>
      <c r="C81" s="13"/>
      <c r="D81" s="13"/>
      <c r="E81" s="13"/>
      <c r="F81" s="13"/>
      <c r="G81" s="13"/>
    </row>
    <row r="82" spans="1:7">
      <c r="A82" s="12"/>
      <c r="B82" s="12"/>
      <c r="C82" s="13"/>
      <c r="D82" s="13"/>
      <c r="E82" s="13"/>
      <c r="F82" s="13"/>
      <c r="G82" s="13"/>
    </row>
    <row r="83" spans="1:7">
      <c r="A83" s="12"/>
      <c r="B83" s="12"/>
      <c r="C83" s="13"/>
      <c r="D83" s="13"/>
      <c r="E83" s="13"/>
      <c r="F83" s="13"/>
      <c r="G83" s="13"/>
    </row>
    <row r="84" spans="1:7">
      <c r="A84" s="12"/>
      <c r="B84" s="12"/>
      <c r="C84" s="13"/>
      <c r="D84" s="13"/>
      <c r="E84" s="13"/>
      <c r="F84" s="13"/>
      <c r="G84" s="13"/>
    </row>
    <row r="85" spans="1:7">
      <c r="A85" s="12"/>
      <c r="B85" s="12"/>
      <c r="C85" s="13"/>
      <c r="D85" s="13"/>
      <c r="E85" s="13"/>
      <c r="F85" s="13"/>
      <c r="G85" s="13"/>
    </row>
    <row r="86" spans="1:7">
      <c r="A86" s="12"/>
      <c r="B86" s="12"/>
      <c r="C86" s="13"/>
      <c r="D86" s="13"/>
      <c r="E86" s="13"/>
      <c r="F86" s="13"/>
      <c r="G86" s="13"/>
    </row>
    <row r="87" spans="1:7">
      <c r="A87" s="12"/>
      <c r="B87" s="12"/>
      <c r="C87" s="13"/>
      <c r="D87" s="13"/>
      <c r="E87" s="13"/>
      <c r="F87" s="13"/>
      <c r="G87" s="13"/>
    </row>
    <row r="88" spans="1:7">
      <c r="A88" s="12"/>
      <c r="B88" s="12"/>
      <c r="C88" s="13"/>
      <c r="D88" s="13"/>
      <c r="E88" s="13"/>
      <c r="F88" s="13"/>
      <c r="G88" s="13"/>
    </row>
    <row r="89" spans="1:7">
      <c r="A89" s="12"/>
      <c r="B89" s="12"/>
      <c r="C89" s="13"/>
      <c r="D89" s="13"/>
      <c r="E89" s="13"/>
      <c r="F89" s="13"/>
      <c r="G89" s="13"/>
    </row>
    <row r="90" spans="1:7">
      <c r="A90" s="12"/>
      <c r="B90" s="12"/>
      <c r="C90" s="13"/>
      <c r="D90" s="13"/>
      <c r="E90" s="13"/>
      <c r="F90" s="13"/>
      <c r="G90" s="13"/>
    </row>
    <row r="91" spans="1:7">
      <c r="A91" s="12"/>
      <c r="B91" s="12"/>
      <c r="C91" s="13"/>
      <c r="D91" s="13"/>
      <c r="E91" s="13"/>
      <c r="F91" s="13"/>
      <c r="G91" s="13"/>
    </row>
    <row r="92" spans="1:7">
      <c r="A92" s="12"/>
      <c r="B92" s="12"/>
      <c r="C92" s="13"/>
      <c r="D92" s="13"/>
      <c r="E92" s="13"/>
      <c r="F92" s="13"/>
      <c r="G92" s="13"/>
    </row>
    <row r="93" spans="1:7">
      <c r="A93" s="12"/>
      <c r="B93" s="12"/>
      <c r="C93" s="13"/>
      <c r="D93" s="13"/>
      <c r="E93" s="13"/>
      <c r="F93" s="13"/>
      <c r="G93" s="13"/>
    </row>
    <row r="94" spans="1:7">
      <c r="A94" s="12"/>
      <c r="B94" s="12"/>
      <c r="C94" s="13"/>
      <c r="D94" s="13"/>
      <c r="E94" s="13"/>
      <c r="F94" s="13"/>
      <c r="G94" s="13"/>
    </row>
    <row r="95" spans="1:7">
      <c r="A95" s="12"/>
      <c r="B95" s="12"/>
      <c r="C95" s="13"/>
      <c r="D95" s="13"/>
      <c r="E95" s="13"/>
      <c r="F95" s="13"/>
      <c r="G95" s="13"/>
    </row>
    <row r="96" spans="1:7">
      <c r="A96" s="12"/>
      <c r="B96" s="12"/>
      <c r="C96" s="13"/>
      <c r="D96" s="13"/>
      <c r="E96" s="13"/>
      <c r="F96" s="13"/>
      <c r="G96" s="13"/>
    </row>
    <row r="97" spans="1:7">
      <c r="A97" s="12"/>
      <c r="B97" s="12"/>
      <c r="C97" s="13"/>
      <c r="D97" s="13"/>
      <c r="E97" s="13"/>
      <c r="F97" s="13"/>
      <c r="G97" s="13"/>
    </row>
    <row r="98" spans="1:7">
      <c r="A98" s="12"/>
      <c r="B98" s="12"/>
      <c r="C98" s="13"/>
      <c r="D98" s="13"/>
      <c r="E98" s="13"/>
      <c r="F98" s="13"/>
      <c r="G98" s="13"/>
    </row>
    <row r="99" spans="1:7">
      <c r="A99" s="12"/>
      <c r="B99" s="12"/>
      <c r="C99" s="13"/>
      <c r="D99" s="13"/>
      <c r="E99" s="13"/>
      <c r="F99" s="13"/>
      <c r="G99" s="13"/>
    </row>
    <row r="100" spans="1:7">
      <c r="A100" s="12"/>
      <c r="B100" s="12"/>
      <c r="C100" s="13"/>
      <c r="D100" s="13"/>
      <c r="E100" s="13"/>
      <c r="F100" s="13"/>
      <c r="G100" s="13"/>
    </row>
    <row r="101" spans="1:7">
      <c r="A101" s="12"/>
      <c r="B101" s="12"/>
      <c r="C101" s="13"/>
      <c r="D101" s="13"/>
      <c r="E101" s="13"/>
      <c r="F101" s="13"/>
      <c r="G101" s="13"/>
    </row>
    <row r="102" spans="1:7">
      <c r="A102" s="12"/>
      <c r="B102" s="12"/>
      <c r="C102" s="13"/>
      <c r="D102" s="13"/>
      <c r="E102" s="13"/>
      <c r="F102" s="13"/>
      <c r="G102" s="13"/>
    </row>
    <row r="103" spans="1:7">
      <c r="A103" s="12"/>
      <c r="B103" s="12"/>
      <c r="C103" s="13"/>
      <c r="D103" s="13"/>
      <c r="E103" s="13"/>
      <c r="F103" s="13"/>
      <c r="G103" s="13"/>
    </row>
    <row r="104" spans="1:7">
      <c r="A104" s="12"/>
      <c r="B104" s="12"/>
      <c r="C104" s="13"/>
      <c r="D104" s="13"/>
      <c r="E104" s="13"/>
      <c r="F104" s="13"/>
      <c r="G104" s="13"/>
    </row>
    <row r="105" spans="1:7">
      <c r="A105" s="12"/>
      <c r="B105" s="12"/>
      <c r="C105" s="13"/>
      <c r="D105" s="13"/>
      <c r="E105" s="13"/>
      <c r="F105" s="13"/>
      <c r="G105" s="13"/>
    </row>
    <row r="106" spans="1:7">
      <c r="A106" s="12"/>
      <c r="B106" s="12"/>
      <c r="C106" s="13"/>
      <c r="D106" s="13"/>
      <c r="E106" s="13"/>
      <c r="F106" s="13"/>
      <c r="G106" s="13"/>
    </row>
    <row r="107" spans="1:7">
      <c r="A107" s="12"/>
      <c r="B107" s="12"/>
      <c r="C107" s="13"/>
      <c r="D107" s="13"/>
      <c r="E107" s="13"/>
      <c r="F107" s="13"/>
      <c r="G107" s="13"/>
    </row>
    <row r="108" spans="1:7">
      <c r="A108" s="12"/>
      <c r="B108" s="12"/>
      <c r="C108" s="13"/>
      <c r="D108" s="13"/>
      <c r="E108" s="13"/>
      <c r="F108" s="13"/>
      <c r="G108" s="13"/>
    </row>
    <row r="109" spans="1:7">
      <c r="A109" s="12"/>
      <c r="B109" s="12"/>
      <c r="C109" s="13"/>
      <c r="D109" s="13"/>
      <c r="E109" s="13"/>
      <c r="F109" s="13"/>
      <c r="G109" s="13"/>
    </row>
    <row r="110" spans="1:7">
      <c r="A110" s="12"/>
      <c r="B110" s="12"/>
      <c r="C110" s="13"/>
      <c r="D110" s="13"/>
      <c r="E110" s="13"/>
      <c r="F110" s="13"/>
      <c r="G110" s="13"/>
    </row>
    <row r="111" spans="1:7">
      <c r="A111" s="12"/>
      <c r="B111" s="12"/>
      <c r="C111" s="13"/>
      <c r="D111" s="13"/>
      <c r="E111" s="13"/>
      <c r="F111" s="13"/>
      <c r="G111" s="13"/>
    </row>
    <row r="112" spans="1:7">
      <c r="A112" s="12"/>
      <c r="B112" s="12"/>
      <c r="C112" s="13"/>
      <c r="D112" s="13"/>
      <c r="E112" s="13"/>
      <c r="F112" s="13"/>
      <c r="G112" s="13"/>
    </row>
    <row r="113" spans="1:7">
      <c r="A113" s="12"/>
      <c r="B113" s="12"/>
      <c r="C113" s="13"/>
      <c r="D113" s="13"/>
      <c r="E113" s="13"/>
      <c r="F113" s="13"/>
      <c r="G113" s="13"/>
    </row>
    <row r="114" spans="1:7">
      <c r="A114" s="12"/>
      <c r="B114" s="12"/>
      <c r="C114" s="13"/>
      <c r="D114" s="13"/>
      <c r="E114" s="13"/>
      <c r="F114" s="13"/>
      <c r="G114" s="13"/>
    </row>
    <row r="115" spans="1:7">
      <c r="A115" s="12"/>
      <c r="B115" s="12"/>
      <c r="C115" s="13"/>
      <c r="D115" s="13"/>
      <c r="E115" s="13"/>
      <c r="F115" s="13"/>
      <c r="G115" s="13"/>
    </row>
    <row r="116" spans="1:7">
      <c r="A116" s="12"/>
      <c r="B116" s="12"/>
      <c r="C116" s="13"/>
      <c r="D116" s="13"/>
      <c r="E116" s="13"/>
      <c r="F116" s="13"/>
      <c r="G116" s="13"/>
    </row>
    <row r="117" spans="1:7">
      <c r="A117" s="12"/>
      <c r="B117" s="12"/>
      <c r="C117" s="13"/>
      <c r="D117" s="13"/>
      <c r="E117" s="13"/>
      <c r="F117" s="13"/>
      <c r="G117" s="13"/>
    </row>
    <row r="118" spans="1:7">
      <c r="A118" s="12"/>
      <c r="B118" s="12"/>
      <c r="C118" s="13"/>
      <c r="D118" s="13"/>
      <c r="E118" s="13"/>
      <c r="F118" s="13"/>
      <c r="G118" s="13"/>
    </row>
    <row r="119" spans="1:7">
      <c r="A119" s="12"/>
      <c r="B119" s="12"/>
      <c r="C119" s="13"/>
      <c r="D119" s="13"/>
      <c r="E119" s="13"/>
      <c r="F119" s="13"/>
      <c r="G119" s="13"/>
    </row>
    <row r="120" spans="1:7">
      <c r="A120" s="12"/>
      <c r="B120" s="12"/>
      <c r="C120" s="13"/>
      <c r="D120" s="13"/>
      <c r="E120" s="13"/>
      <c r="F120" s="13"/>
      <c r="G120" s="13"/>
    </row>
    <row r="121" spans="1:7">
      <c r="A121" s="12"/>
      <c r="B121" s="12"/>
      <c r="C121" s="13"/>
      <c r="D121" s="13"/>
      <c r="E121" s="13"/>
      <c r="F121" s="13"/>
      <c r="G121" s="13"/>
    </row>
    <row r="122" spans="1:7">
      <c r="A122" s="12"/>
      <c r="B122" s="12"/>
      <c r="C122" s="13"/>
      <c r="D122" s="13"/>
      <c r="E122" s="13"/>
      <c r="F122" s="13"/>
      <c r="G122" s="13"/>
    </row>
    <row r="123" spans="1:7">
      <c r="A123" s="12"/>
      <c r="B123" s="12"/>
      <c r="C123" s="13"/>
      <c r="D123" s="13"/>
      <c r="E123" s="13"/>
      <c r="F123" s="13"/>
      <c r="G123" s="13"/>
    </row>
    <row r="124" spans="1:7">
      <c r="A124" s="12"/>
      <c r="B124" s="12"/>
      <c r="C124" s="13"/>
      <c r="D124" s="13"/>
      <c r="E124" s="13"/>
      <c r="F124" s="13"/>
      <c r="G124" s="13"/>
    </row>
    <row r="125" spans="1:7">
      <c r="A125" s="12"/>
      <c r="B125" s="12"/>
      <c r="C125" s="13"/>
      <c r="D125" s="13"/>
      <c r="E125" s="13"/>
      <c r="F125" s="13"/>
      <c r="G125" s="13"/>
    </row>
    <row r="126" spans="1:7">
      <c r="A126" s="12"/>
      <c r="B126" s="12"/>
      <c r="C126" s="13"/>
      <c r="D126" s="13"/>
      <c r="E126" s="13"/>
      <c r="F126" s="13"/>
      <c r="G126" s="13"/>
    </row>
    <row r="127" spans="1:7">
      <c r="A127" s="12"/>
      <c r="B127" s="12"/>
      <c r="C127" s="13"/>
      <c r="D127" s="13"/>
      <c r="E127" s="13"/>
      <c r="F127" s="13"/>
      <c r="G127" s="13"/>
    </row>
    <row r="128" spans="1:7">
      <c r="A128" s="12"/>
      <c r="B128" s="12"/>
      <c r="C128" s="13"/>
      <c r="D128" s="13"/>
      <c r="E128" s="13"/>
      <c r="F128" s="13"/>
      <c r="G128" s="13"/>
    </row>
    <row r="129" spans="1:7">
      <c r="A129" s="12"/>
      <c r="B129" s="12"/>
      <c r="C129" s="13"/>
      <c r="D129" s="13"/>
      <c r="E129" s="13"/>
      <c r="F129" s="13"/>
      <c r="G129" s="13"/>
    </row>
    <row r="130" spans="1:7">
      <c r="A130" s="12"/>
      <c r="B130" s="12"/>
      <c r="C130" s="13"/>
      <c r="D130" s="13"/>
      <c r="E130" s="13"/>
      <c r="F130" s="13"/>
      <c r="G130" s="13"/>
    </row>
    <row r="131" spans="1:7">
      <c r="A131" s="12"/>
      <c r="B131" s="12"/>
      <c r="C131" s="13"/>
      <c r="D131" s="13"/>
      <c r="E131" s="13"/>
      <c r="F131" s="13"/>
      <c r="G131" s="13"/>
    </row>
    <row r="132" spans="1:7">
      <c r="A132" s="12"/>
      <c r="B132" s="12"/>
      <c r="C132" s="13"/>
      <c r="D132" s="13"/>
      <c r="E132" s="13"/>
      <c r="F132" s="13"/>
      <c r="G132" s="13"/>
    </row>
    <row r="133" spans="1:7">
      <c r="A133" s="12"/>
      <c r="B133" s="12"/>
      <c r="C133" s="13"/>
      <c r="D133" s="13"/>
      <c r="E133" s="13"/>
      <c r="F133" s="13"/>
      <c r="G133" s="13"/>
    </row>
    <row r="134" spans="1:7">
      <c r="A134" s="12"/>
      <c r="B134" s="12"/>
      <c r="C134" s="13"/>
      <c r="D134" s="13"/>
      <c r="E134" s="13"/>
      <c r="F134" s="13"/>
      <c r="G134" s="13"/>
    </row>
    <row r="135" spans="1:7">
      <c r="A135" s="12"/>
      <c r="B135" s="12"/>
      <c r="C135" s="13"/>
      <c r="D135" s="13"/>
      <c r="E135" s="13"/>
      <c r="F135" s="13"/>
      <c r="G135" s="13"/>
    </row>
    <row r="136" spans="1:7">
      <c r="A136" s="12"/>
      <c r="B136" s="12"/>
      <c r="C136" s="13"/>
      <c r="D136" s="13"/>
      <c r="E136" s="13"/>
      <c r="F136" s="13"/>
      <c r="G136" s="13"/>
    </row>
    <row r="137" spans="1:7">
      <c r="A137" s="12"/>
      <c r="B137" s="12"/>
      <c r="C137" s="13"/>
      <c r="D137" s="13"/>
      <c r="E137" s="13"/>
      <c r="F137" s="13"/>
      <c r="G137" s="13"/>
    </row>
    <row r="138" spans="1:7">
      <c r="A138" s="12"/>
      <c r="B138" s="12"/>
      <c r="C138" s="13"/>
      <c r="D138" s="13"/>
      <c r="E138" s="13"/>
      <c r="F138" s="13"/>
      <c r="G138" s="13"/>
    </row>
    <row r="139" spans="1:7">
      <c r="A139" s="12"/>
      <c r="B139" s="12"/>
      <c r="C139" s="13"/>
      <c r="D139" s="13"/>
      <c r="E139" s="13"/>
      <c r="F139" s="13"/>
      <c r="G139" s="13"/>
    </row>
    <row r="140" spans="1:7">
      <c r="A140" s="12"/>
      <c r="B140" s="12"/>
      <c r="C140" s="13"/>
      <c r="D140" s="13"/>
      <c r="E140" s="13"/>
      <c r="F140" s="13"/>
      <c r="G140" s="13"/>
    </row>
    <row r="141" spans="1:7">
      <c r="A141" s="12"/>
      <c r="B141" s="12"/>
      <c r="C141" s="13"/>
      <c r="D141" s="13"/>
      <c r="E141" s="13"/>
      <c r="F141" s="13"/>
      <c r="G141" s="13"/>
    </row>
    <row r="142" spans="1:7">
      <c r="A142" s="12"/>
      <c r="B142" s="12"/>
      <c r="C142" s="13"/>
      <c r="D142" s="13"/>
      <c r="E142" s="13"/>
      <c r="F142" s="13"/>
      <c r="G142" s="13"/>
    </row>
    <row r="143" spans="1:7">
      <c r="A143" s="12"/>
      <c r="B143" s="12"/>
      <c r="C143" s="13"/>
      <c r="D143" s="13"/>
      <c r="E143" s="13"/>
      <c r="F143" s="13"/>
      <c r="G143" s="13"/>
    </row>
    <row r="144" spans="1:7">
      <c r="A144" s="12"/>
      <c r="B144" s="12"/>
      <c r="C144" s="13"/>
      <c r="D144" s="13"/>
      <c r="E144" s="13"/>
      <c r="F144" s="13"/>
      <c r="G144" s="13"/>
    </row>
    <row r="145" spans="1:7">
      <c r="A145" s="12"/>
      <c r="B145" s="12"/>
      <c r="C145" s="13"/>
      <c r="D145" s="13"/>
      <c r="E145" s="13"/>
      <c r="F145" s="13"/>
      <c r="G145" s="13"/>
    </row>
    <row r="146" spans="1:7">
      <c r="A146" s="12"/>
      <c r="B146" s="12"/>
      <c r="C146" s="13"/>
      <c r="D146" s="13"/>
      <c r="E146" s="13"/>
      <c r="F146" s="13"/>
      <c r="G146" s="13"/>
    </row>
    <row r="147" spans="1:7">
      <c r="A147" s="12"/>
      <c r="B147" s="12"/>
      <c r="C147" s="13"/>
      <c r="D147" s="13"/>
      <c r="E147" s="13"/>
      <c r="F147" s="13"/>
      <c r="G147" s="13"/>
    </row>
    <row r="148" spans="1:7">
      <c r="A148" s="12"/>
      <c r="B148" s="12"/>
      <c r="C148" s="13"/>
      <c r="D148" s="13"/>
      <c r="E148" s="13"/>
      <c r="F148" s="13"/>
      <c r="G148" s="13"/>
    </row>
    <row r="149" spans="1:7">
      <c r="A149" s="12"/>
      <c r="B149" s="12"/>
      <c r="C149" s="13"/>
      <c r="D149" s="13"/>
      <c r="E149" s="13"/>
      <c r="F149" s="13"/>
      <c r="G149" s="13"/>
    </row>
    <row r="150" spans="1:7">
      <c r="A150" s="12"/>
      <c r="B150" s="12"/>
      <c r="C150" s="13"/>
      <c r="D150" s="13"/>
      <c r="E150" s="13"/>
      <c r="F150" s="13"/>
      <c r="G150" s="13"/>
    </row>
    <row r="151" spans="1:7">
      <c r="A151" s="12"/>
      <c r="B151" s="12"/>
      <c r="C151" s="13"/>
      <c r="D151" s="13"/>
      <c r="E151" s="13"/>
      <c r="F151" s="13"/>
      <c r="G151" s="13"/>
    </row>
    <row r="152" spans="1:7">
      <c r="A152" s="12"/>
      <c r="B152" s="12"/>
      <c r="C152" s="13"/>
      <c r="D152" s="13"/>
      <c r="E152" s="13"/>
      <c r="F152" s="13"/>
      <c r="G152" s="13"/>
    </row>
    <row r="153" spans="1:7">
      <c r="A153" s="12"/>
      <c r="B153" s="12"/>
      <c r="C153" s="13"/>
      <c r="D153" s="13"/>
      <c r="E153" s="13"/>
      <c r="F153" s="13"/>
      <c r="G153" s="13"/>
    </row>
    <row r="154" spans="1:7">
      <c r="A154" s="12"/>
      <c r="B154" s="12"/>
      <c r="C154" s="13"/>
      <c r="D154" s="13"/>
      <c r="E154" s="13"/>
      <c r="F154" s="13"/>
      <c r="G154" s="13"/>
    </row>
    <row r="155" spans="1:7">
      <c r="A155" s="12"/>
      <c r="B155" s="12"/>
      <c r="C155" s="13"/>
      <c r="D155" s="13"/>
      <c r="E155" s="13"/>
      <c r="F155" s="13"/>
      <c r="G155" s="13"/>
    </row>
    <row r="156" spans="1:7">
      <c r="A156" s="12"/>
      <c r="B156" s="12"/>
      <c r="C156" s="13"/>
      <c r="D156" s="13"/>
      <c r="E156" s="13"/>
      <c r="F156" s="13"/>
      <c r="G156" s="13"/>
    </row>
    <row r="157" spans="1:7">
      <c r="A157" s="12"/>
      <c r="B157" s="12"/>
      <c r="C157" s="13"/>
      <c r="D157" s="13"/>
      <c r="E157" s="13"/>
      <c r="F157" s="13"/>
      <c r="G157" s="13"/>
    </row>
    <row r="158" spans="1:7">
      <c r="A158" s="12"/>
      <c r="B158" s="12"/>
      <c r="C158" s="13"/>
      <c r="D158" s="13"/>
      <c r="E158" s="13"/>
      <c r="F158" s="13"/>
      <c r="G158" s="13"/>
    </row>
    <row r="159" spans="1:7">
      <c r="A159" s="12"/>
      <c r="B159" s="12"/>
      <c r="C159" s="13"/>
      <c r="D159" s="13"/>
      <c r="E159" s="13"/>
      <c r="F159" s="13"/>
      <c r="G159" s="13"/>
    </row>
    <row r="160" spans="1:7">
      <c r="A160" s="12"/>
      <c r="B160" s="12"/>
      <c r="C160" s="13"/>
      <c r="D160" s="13"/>
      <c r="E160" s="13"/>
      <c r="F160" s="13"/>
      <c r="G160" s="13"/>
    </row>
    <row r="161" spans="1:7">
      <c r="A161" s="12"/>
      <c r="B161" s="12"/>
      <c r="C161" s="13"/>
      <c r="D161" s="13"/>
      <c r="E161" s="13"/>
      <c r="F161" s="13"/>
      <c r="G161" s="13"/>
    </row>
    <row r="162" spans="1:7">
      <c r="A162" s="12"/>
      <c r="B162" s="12"/>
      <c r="C162" s="13"/>
      <c r="D162" s="13"/>
      <c r="E162" s="13"/>
      <c r="F162" s="13"/>
      <c r="G162" s="13"/>
    </row>
    <row r="163" spans="1:7">
      <c r="A163" s="12"/>
      <c r="B163" s="12"/>
      <c r="C163" s="13"/>
      <c r="D163" s="13"/>
      <c r="E163" s="13"/>
      <c r="F163" s="13"/>
      <c r="G163" s="13"/>
    </row>
    <row r="164" spans="1:7">
      <c r="A164" s="12"/>
      <c r="B164" s="12"/>
      <c r="C164" s="13"/>
      <c r="D164" s="13"/>
      <c r="E164" s="13"/>
      <c r="F164" s="13"/>
      <c r="G164" s="13"/>
    </row>
    <row r="165" spans="1:7">
      <c r="A165" s="12"/>
      <c r="B165" s="12"/>
      <c r="C165" s="13"/>
      <c r="D165" s="13"/>
      <c r="E165" s="13"/>
      <c r="F165" s="13"/>
      <c r="G165" s="13"/>
    </row>
    <row r="166" spans="1:7">
      <c r="A166" s="12"/>
      <c r="B166" s="12"/>
      <c r="C166" s="13"/>
      <c r="D166" s="13"/>
      <c r="E166" s="13"/>
      <c r="F166" s="13"/>
      <c r="G166" s="13"/>
    </row>
    <row r="167" spans="1:7">
      <c r="A167" s="12"/>
      <c r="B167" s="12"/>
      <c r="C167" s="13"/>
      <c r="D167" s="13"/>
      <c r="E167" s="13"/>
      <c r="F167" s="13"/>
      <c r="G167" s="13"/>
    </row>
    <row r="168" spans="1:7">
      <c r="A168" s="12"/>
      <c r="B168" s="12"/>
      <c r="C168" s="13"/>
      <c r="D168" s="13"/>
      <c r="E168" s="13"/>
      <c r="F168" s="13"/>
      <c r="G168" s="13"/>
    </row>
    <row r="169" spans="1:7">
      <c r="A169" s="12"/>
      <c r="B169" s="12"/>
      <c r="C169" s="13"/>
      <c r="D169" s="13"/>
      <c r="E169" s="13"/>
      <c r="F169" s="13"/>
      <c r="G169" s="13"/>
    </row>
    <row r="170" spans="1:7">
      <c r="A170" s="12"/>
      <c r="B170" s="12"/>
      <c r="C170" s="13"/>
      <c r="D170" s="13"/>
      <c r="E170" s="13"/>
      <c r="F170" s="13"/>
      <c r="G170" s="13"/>
    </row>
    <row r="171" spans="1:7">
      <c r="A171" s="12"/>
      <c r="B171" s="12"/>
      <c r="C171" s="13"/>
      <c r="D171" s="13"/>
      <c r="E171" s="13"/>
      <c r="F171" s="13"/>
      <c r="G171" s="13"/>
    </row>
    <row r="172" spans="1:7">
      <c r="A172" s="12"/>
      <c r="B172" s="12"/>
      <c r="C172" s="13"/>
      <c r="D172" s="13"/>
      <c r="E172" s="13"/>
      <c r="F172" s="13"/>
      <c r="G172" s="13"/>
    </row>
    <row r="173" spans="1:7">
      <c r="A173" s="12"/>
      <c r="B173" s="12"/>
      <c r="C173" s="13"/>
      <c r="D173" s="13"/>
      <c r="E173" s="13"/>
      <c r="F173" s="13"/>
      <c r="G173" s="13"/>
    </row>
    <row r="174" spans="1:7">
      <c r="A174" s="12"/>
      <c r="B174" s="12"/>
      <c r="C174" s="13"/>
      <c r="D174" s="13"/>
      <c r="E174" s="13"/>
      <c r="F174" s="13"/>
      <c r="G174" s="13"/>
    </row>
    <row r="175" spans="1:7">
      <c r="A175" s="12"/>
      <c r="B175" s="12"/>
      <c r="C175" s="13"/>
      <c r="D175" s="13"/>
      <c r="E175" s="13"/>
      <c r="F175" s="13"/>
      <c r="G175" s="13"/>
    </row>
    <row r="176" spans="1:7">
      <c r="A176" s="12"/>
      <c r="B176" s="12"/>
      <c r="C176" s="13"/>
      <c r="D176" s="13"/>
      <c r="E176" s="13"/>
      <c r="F176" s="13"/>
      <c r="G176" s="13"/>
    </row>
    <row r="177" spans="1:7">
      <c r="A177" s="12"/>
      <c r="B177" s="12"/>
      <c r="C177" s="13"/>
      <c r="D177" s="13"/>
      <c r="E177" s="13"/>
      <c r="F177" s="13"/>
      <c r="G177" s="13"/>
    </row>
    <row r="178" spans="1:7">
      <c r="A178" s="12"/>
      <c r="B178" s="12"/>
      <c r="C178" s="13"/>
      <c r="D178" s="13"/>
      <c r="E178" s="13"/>
      <c r="F178" s="13"/>
      <c r="G178" s="13"/>
    </row>
    <row r="179" spans="1:7">
      <c r="A179" s="12"/>
      <c r="B179" s="12"/>
      <c r="C179" s="13"/>
      <c r="D179" s="13"/>
      <c r="E179" s="13"/>
      <c r="F179" s="13"/>
      <c r="G179" s="13"/>
    </row>
    <row r="180" spans="1:7">
      <c r="A180" s="12"/>
      <c r="B180" s="12"/>
      <c r="C180" s="13"/>
      <c r="D180" s="13"/>
      <c r="E180" s="13"/>
      <c r="F180" s="13"/>
      <c r="G180" s="13"/>
    </row>
    <row r="181" spans="1:7">
      <c r="A181" s="12"/>
      <c r="B181" s="12"/>
      <c r="C181" s="13"/>
      <c r="D181" s="13"/>
      <c r="E181" s="13"/>
      <c r="F181" s="13"/>
      <c r="G181" s="13"/>
    </row>
    <row r="182" spans="1:7">
      <c r="A182" s="12"/>
      <c r="B182" s="12"/>
      <c r="C182" s="13"/>
      <c r="D182" s="13"/>
      <c r="E182" s="13"/>
      <c r="F182" s="13"/>
      <c r="G182" s="13"/>
    </row>
    <row r="183" spans="1:7">
      <c r="A183" s="12"/>
      <c r="B183" s="12"/>
      <c r="C183" s="13"/>
      <c r="D183" s="13"/>
      <c r="E183" s="13"/>
      <c r="F183" s="13"/>
      <c r="G183" s="13"/>
    </row>
    <row r="184" spans="1:7">
      <c r="A184" s="12"/>
      <c r="B184" s="12"/>
      <c r="C184" s="13"/>
      <c r="D184" s="13"/>
      <c r="E184" s="13"/>
      <c r="F184" s="13"/>
      <c r="G184" s="13"/>
    </row>
    <row r="185" spans="1:7">
      <c r="A185" s="12"/>
      <c r="B185" s="12"/>
      <c r="C185" s="13"/>
      <c r="D185" s="13"/>
      <c r="E185" s="13"/>
      <c r="F185" s="13"/>
      <c r="G185" s="13"/>
    </row>
    <row r="186" spans="1:7">
      <c r="A186" s="12"/>
      <c r="B186" s="12"/>
      <c r="C186" s="13"/>
      <c r="D186" s="13"/>
      <c r="E186" s="13"/>
      <c r="F186" s="13"/>
      <c r="G186" s="13"/>
    </row>
    <row r="187" spans="1:7">
      <c r="A187" s="12"/>
      <c r="B187" s="12"/>
      <c r="C187" s="13"/>
      <c r="D187" s="13"/>
      <c r="E187" s="13"/>
      <c r="F187" s="13"/>
      <c r="G187" s="13"/>
    </row>
    <row r="188" spans="1:7">
      <c r="A188" s="12"/>
      <c r="B188" s="12"/>
      <c r="C188" s="13"/>
      <c r="D188" s="13"/>
      <c r="E188" s="13"/>
      <c r="F188" s="13"/>
      <c r="G188" s="13"/>
    </row>
    <row r="189" spans="1:7">
      <c r="A189" s="12"/>
      <c r="B189" s="12"/>
      <c r="C189" s="13"/>
      <c r="D189" s="13"/>
      <c r="E189" s="13"/>
      <c r="F189" s="13"/>
      <c r="G189" s="13"/>
    </row>
    <row r="190" spans="1:7">
      <c r="A190" s="12"/>
      <c r="B190" s="12"/>
      <c r="C190" s="13"/>
      <c r="D190" s="13"/>
      <c r="E190" s="13"/>
      <c r="F190" s="13"/>
      <c r="G190" s="13"/>
    </row>
    <row r="191" spans="1:7">
      <c r="A191" s="12"/>
      <c r="B191" s="12"/>
      <c r="C191" s="13"/>
      <c r="D191" s="13"/>
      <c r="E191" s="13"/>
      <c r="F191" s="13"/>
      <c r="G191" s="13"/>
    </row>
    <row r="192" spans="1:7">
      <c r="A192" s="12"/>
      <c r="B192" s="12"/>
      <c r="C192" s="13"/>
      <c r="D192" s="13"/>
      <c r="E192" s="13"/>
      <c r="F192" s="13"/>
      <c r="G192" s="13"/>
    </row>
    <row r="193" spans="1:7">
      <c r="A193" s="12"/>
      <c r="B193" s="12"/>
      <c r="C193" s="13"/>
      <c r="D193" s="13"/>
      <c r="E193" s="13"/>
      <c r="F193" s="13"/>
      <c r="G193" s="13"/>
    </row>
    <row r="194" spans="1:7">
      <c r="A194" s="12"/>
      <c r="B194" s="12"/>
      <c r="C194" s="13"/>
      <c r="D194" s="13"/>
      <c r="E194" s="13"/>
      <c r="F194" s="13"/>
      <c r="G194" s="13"/>
    </row>
    <row r="195" spans="1:7">
      <c r="A195" s="12"/>
      <c r="B195" s="12"/>
      <c r="C195" s="13"/>
      <c r="D195" s="13"/>
      <c r="E195" s="13"/>
      <c r="F195" s="13"/>
      <c r="G195" s="13"/>
    </row>
    <row r="196" spans="1:7">
      <c r="A196" s="12"/>
      <c r="B196" s="12"/>
      <c r="C196" s="13"/>
      <c r="D196" s="13"/>
      <c r="E196" s="13"/>
      <c r="F196" s="13"/>
      <c r="G196" s="13"/>
    </row>
    <row r="197" spans="1:7">
      <c r="A197" s="12"/>
      <c r="B197" s="12"/>
      <c r="C197" s="13"/>
      <c r="D197" s="13"/>
      <c r="E197" s="13"/>
      <c r="F197" s="13"/>
      <c r="G197" s="13"/>
    </row>
    <row r="198" spans="1:7">
      <c r="A198" s="12"/>
      <c r="B198" s="12"/>
      <c r="C198" s="13"/>
      <c r="D198" s="13"/>
      <c r="E198" s="13"/>
      <c r="F198" s="13"/>
      <c r="G198" s="13"/>
    </row>
    <row r="199" spans="1:7">
      <c r="A199" s="12"/>
      <c r="B199" s="12"/>
      <c r="C199" s="13"/>
      <c r="D199" s="13"/>
      <c r="E199" s="13"/>
      <c r="F199" s="13"/>
      <c r="G199" s="13"/>
    </row>
    <row r="200" spans="1:7">
      <c r="A200" s="12"/>
      <c r="B200" s="12"/>
      <c r="C200" s="13"/>
      <c r="D200" s="13"/>
      <c r="E200" s="13"/>
      <c r="F200" s="13"/>
      <c r="G200" s="13"/>
    </row>
    <row r="201" spans="1:7">
      <c r="A201" s="12"/>
      <c r="B201" s="12"/>
      <c r="C201" s="13"/>
      <c r="D201" s="13"/>
      <c r="E201" s="13"/>
      <c r="F201" s="13"/>
      <c r="G201" s="13"/>
    </row>
    <row r="202" spans="1:7">
      <c r="A202" s="12"/>
      <c r="B202" s="12"/>
      <c r="C202" s="13"/>
      <c r="D202" s="13"/>
      <c r="E202" s="13"/>
      <c r="F202" s="13"/>
      <c r="G202" s="13"/>
    </row>
    <row r="203" spans="1:7">
      <c r="A203" s="12"/>
      <c r="B203" s="12"/>
      <c r="C203" s="13"/>
      <c r="D203" s="13"/>
      <c r="E203" s="13"/>
      <c r="F203" s="13"/>
      <c r="G203" s="13"/>
    </row>
    <row r="204" spans="1:7">
      <c r="A204" s="12"/>
      <c r="B204" s="12"/>
      <c r="C204" s="13"/>
      <c r="D204" s="13"/>
      <c r="E204" s="13"/>
      <c r="F204" s="13"/>
      <c r="G204" s="13"/>
    </row>
    <row r="205" spans="1:7">
      <c r="A205" s="12"/>
      <c r="B205" s="12"/>
      <c r="C205" s="13"/>
      <c r="D205" s="13"/>
      <c r="E205" s="13"/>
      <c r="F205" s="13"/>
      <c r="G205" s="13"/>
    </row>
    <row r="206" spans="1:7">
      <c r="A206" s="12"/>
      <c r="B206" s="12"/>
      <c r="C206" s="13"/>
      <c r="D206" s="13"/>
      <c r="E206" s="13"/>
      <c r="F206" s="13"/>
      <c r="G206" s="13"/>
    </row>
    <row r="207" spans="1:7">
      <c r="A207" s="12"/>
      <c r="B207" s="12"/>
      <c r="C207" s="13"/>
      <c r="D207" s="13"/>
      <c r="E207" s="13"/>
      <c r="F207" s="13"/>
      <c r="G207" s="13"/>
    </row>
    <row r="208" spans="1:7">
      <c r="A208" s="12"/>
      <c r="B208" s="12"/>
      <c r="C208" s="13"/>
      <c r="D208" s="13"/>
      <c r="E208" s="13"/>
      <c r="F208" s="13"/>
      <c r="G208" s="13"/>
    </row>
    <row r="209" spans="1:7">
      <c r="A209" s="12"/>
      <c r="B209" s="12"/>
      <c r="C209" s="13"/>
      <c r="D209" s="13"/>
      <c r="E209" s="13"/>
      <c r="F209" s="13"/>
      <c r="G209" s="13"/>
    </row>
    <row r="210" spans="1:7">
      <c r="A210" s="12"/>
      <c r="B210" s="12"/>
      <c r="C210" s="13"/>
      <c r="D210" s="13"/>
      <c r="E210" s="13"/>
      <c r="F210" s="13"/>
      <c r="G210" s="13"/>
    </row>
    <row r="211" spans="1:7">
      <c r="A211" s="12"/>
      <c r="B211" s="12"/>
      <c r="C211" s="13"/>
      <c r="D211" s="13"/>
      <c r="E211" s="13"/>
      <c r="F211" s="13"/>
      <c r="G211" s="13"/>
    </row>
    <row r="212" spans="1:7">
      <c r="A212" s="12"/>
      <c r="B212" s="12"/>
      <c r="C212" s="13"/>
      <c r="D212" s="13"/>
      <c r="E212" s="13"/>
      <c r="F212" s="13"/>
      <c r="G212" s="13"/>
    </row>
    <row r="213" spans="1:7">
      <c r="A213" s="12"/>
      <c r="B213" s="12"/>
      <c r="C213" s="13"/>
      <c r="D213" s="13"/>
      <c r="E213" s="13"/>
      <c r="F213" s="13"/>
      <c r="G213" s="13"/>
    </row>
    <row r="214" spans="1:7">
      <c r="A214" s="12"/>
      <c r="B214" s="12"/>
      <c r="C214" s="13"/>
      <c r="D214" s="13"/>
      <c r="E214" s="13"/>
      <c r="F214" s="13"/>
      <c r="G214" s="13"/>
    </row>
    <row r="215" spans="1:7">
      <c r="A215" s="12"/>
      <c r="B215" s="12"/>
      <c r="C215" s="13"/>
      <c r="D215" s="13"/>
      <c r="E215" s="13"/>
      <c r="F215" s="13"/>
      <c r="G215" s="13"/>
    </row>
    <row r="216" spans="1:7">
      <c r="A216" s="12"/>
      <c r="B216" s="12"/>
      <c r="C216" s="13"/>
      <c r="D216" s="13"/>
      <c r="E216" s="13"/>
      <c r="F216" s="13"/>
      <c r="G216" s="13"/>
    </row>
    <row r="217" spans="1:7">
      <c r="A217" s="12"/>
      <c r="B217" s="12"/>
      <c r="C217" s="13"/>
      <c r="D217" s="13"/>
      <c r="E217" s="13"/>
      <c r="F217" s="13"/>
      <c r="G217" s="13"/>
    </row>
    <row r="218" spans="1:7">
      <c r="A218" s="12"/>
      <c r="B218" s="12"/>
      <c r="C218" s="13"/>
      <c r="D218" s="13"/>
      <c r="E218" s="13"/>
      <c r="F218" s="13"/>
      <c r="G218" s="13"/>
    </row>
    <row r="219" spans="1:7">
      <c r="A219" s="12"/>
      <c r="B219" s="12"/>
      <c r="C219" s="13"/>
      <c r="D219" s="13"/>
      <c r="E219" s="13"/>
      <c r="F219" s="13"/>
      <c r="G219" s="13"/>
    </row>
    <row r="220" spans="1:7">
      <c r="A220" s="12"/>
      <c r="B220" s="12"/>
      <c r="C220" s="13"/>
      <c r="D220" s="13"/>
      <c r="E220" s="13"/>
      <c r="F220" s="13"/>
      <c r="G220" s="13"/>
    </row>
    <row r="221" spans="1:7">
      <c r="A221" s="12"/>
      <c r="B221" s="12"/>
      <c r="C221" s="13"/>
      <c r="D221" s="13"/>
      <c r="E221" s="13"/>
      <c r="F221" s="13"/>
      <c r="G221" s="13"/>
    </row>
    <row r="222" spans="1:7">
      <c r="A222" s="12"/>
      <c r="B222" s="12"/>
      <c r="C222" s="13"/>
      <c r="D222" s="13"/>
      <c r="E222" s="13"/>
      <c r="F222" s="13"/>
      <c r="G222" s="13"/>
    </row>
    <row r="223" spans="1:7">
      <c r="A223" s="12"/>
      <c r="B223" s="12"/>
      <c r="C223" s="13"/>
      <c r="D223" s="13"/>
      <c r="E223" s="13"/>
      <c r="F223" s="13"/>
      <c r="G223" s="13"/>
    </row>
    <row r="224" spans="1:7">
      <c r="A224" s="12"/>
      <c r="B224" s="12"/>
      <c r="C224" s="13"/>
      <c r="D224" s="13"/>
      <c r="E224" s="13"/>
      <c r="F224" s="13"/>
      <c r="G224" s="13"/>
    </row>
    <row r="225" spans="1:7">
      <c r="A225" s="12"/>
      <c r="B225" s="12"/>
      <c r="C225" s="13"/>
      <c r="D225" s="13"/>
      <c r="E225" s="13"/>
      <c r="F225" s="13"/>
      <c r="G225" s="13"/>
    </row>
    <row r="226" spans="1:7">
      <c r="A226" s="12"/>
      <c r="B226" s="12"/>
      <c r="C226" s="13"/>
      <c r="D226" s="13"/>
      <c r="E226" s="13"/>
      <c r="F226" s="13"/>
      <c r="G226" s="13"/>
    </row>
    <row r="227" spans="1:7">
      <c r="A227" s="12"/>
      <c r="B227" s="12"/>
      <c r="C227" s="13"/>
      <c r="D227" s="13"/>
      <c r="E227" s="13"/>
      <c r="F227" s="13"/>
      <c r="G227" s="13"/>
    </row>
    <row r="228" spans="1:7">
      <c r="A228" s="12"/>
      <c r="B228" s="12"/>
      <c r="C228" s="13"/>
      <c r="D228" s="13"/>
      <c r="E228" s="13"/>
      <c r="F228" s="13"/>
      <c r="G228" s="13"/>
    </row>
    <row r="229" spans="1:7">
      <c r="A229" s="12"/>
      <c r="B229" s="12"/>
      <c r="C229" s="13"/>
      <c r="D229" s="13"/>
      <c r="E229" s="13"/>
      <c r="F229" s="13"/>
      <c r="G229" s="13"/>
    </row>
    <row r="230" spans="1:7">
      <c r="A230" s="12"/>
      <c r="B230" s="12"/>
      <c r="C230" s="13"/>
      <c r="D230" s="13"/>
      <c r="E230" s="13"/>
      <c r="F230" s="13"/>
      <c r="G230" s="13"/>
    </row>
    <row r="231" spans="1:7">
      <c r="A231" s="12"/>
      <c r="B231" s="12"/>
      <c r="C231" s="13"/>
      <c r="D231" s="13"/>
      <c r="E231" s="13"/>
      <c r="F231" s="13"/>
      <c r="G231" s="13"/>
    </row>
    <row r="232" spans="1:7">
      <c r="A232" s="12"/>
      <c r="B232" s="12"/>
      <c r="C232" s="13"/>
      <c r="D232" s="13"/>
      <c r="E232" s="13"/>
      <c r="F232" s="13"/>
      <c r="G232" s="13"/>
    </row>
    <row r="233" spans="1:7">
      <c r="A233" s="12"/>
      <c r="B233" s="12"/>
      <c r="C233" s="13"/>
      <c r="D233" s="13"/>
      <c r="E233" s="13"/>
      <c r="F233" s="13"/>
      <c r="G233" s="13"/>
    </row>
    <row r="234" spans="1:7">
      <c r="A234" s="12"/>
      <c r="B234" s="12"/>
      <c r="C234" s="13"/>
      <c r="D234" s="13"/>
      <c r="E234" s="13"/>
      <c r="F234" s="13"/>
      <c r="G234" s="13"/>
    </row>
    <row r="235" spans="1:7">
      <c r="A235" s="12"/>
      <c r="B235" s="12"/>
      <c r="C235" s="13"/>
      <c r="D235" s="13"/>
      <c r="E235" s="13"/>
      <c r="F235" s="13"/>
      <c r="G235" s="13"/>
    </row>
    <row r="236" spans="1:7">
      <c r="A236" s="12"/>
      <c r="B236" s="12"/>
      <c r="C236" s="13"/>
      <c r="D236" s="13"/>
      <c r="E236" s="13"/>
      <c r="F236" s="13"/>
      <c r="G236" s="13"/>
    </row>
    <row r="237" spans="1:7">
      <c r="A237" s="12"/>
      <c r="B237" s="12"/>
      <c r="C237" s="13"/>
      <c r="D237" s="13"/>
      <c r="E237" s="13"/>
      <c r="F237" s="13"/>
      <c r="G237" s="13"/>
    </row>
    <row r="238" spans="1:7">
      <c r="A238" s="12"/>
      <c r="B238" s="12"/>
      <c r="C238" s="13"/>
      <c r="D238" s="13"/>
      <c r="E238" s="13"/>
      <c r="F238" s="13"/>
      <c r="G238" s="13"/>
    </row>
    <row r="239" spans="1:7">
      <c r="A239" s="12"/>
      <c r="B239" s="12"/>
      <c r="C239" s="13"/>
      <c r="D239" s="13"/>
      <c r="E239" s="13"/>
      <c r="F239" s="13"/>
      <c r="G239" s="13"/>
    </row>
    <row r="240" spans="1:7">
      <c r="A240" s="12"/>
      <c r="B240" s="12"/>
      <c r="C240" s="13"/>
      <c r="D240" s="13"/>
      <c r="E240" s="13"/>
      <c r="F240" s="13"/>
      <c r="G240" s="13"/>
    </row>
    <row r="241" spans="1:7">
      <c r="A241" s="12"/>
      <c r="B241" s="12"/>
      <c r="C241" s="13"/>
      <c r="D241" s="13"/>
      <c r="E241" s="13"/>
      <c r="F241" s="13"/>
      <c r="G241" s="13"/>
    </row>
    <row r="242" spans="1:7">
      <c r="A242" s="12"/>
      <c r="B242" s="12"/>
      <c r="C242" s="13"/>
      <c r="D242" s="13"/>
      <c r="E242" s="13"/>
      <c r="F242" s="13"/>
      <c r="G242" s="13"/>
    </row>
    <row r="243" spans="1:7">
      <c r="A243" s="12"/>
      <c r="B243" s="12"/>
      <c r="C243" s="13"/>
      <c r="D243" s="13"/>
      <c r="E243" s="13"/>
      <c r="F243" s="13"/>
      <c r="G243" s="13"/>
    </row>
    <row r="244" spans="1:7">
      <c r="A244" s="12"/>
      <c r="B244" s="12"/>
      <c r="C244" s="13"/>
      <c r="D244" s="13"/>
      <c r="E244" s="13"/>
      <c r="F244" s="13"/>
      <c r="G244" s="13"/>
    </row>
    <row r="245" spans="1:7">
      <c r="A245" s="12"/>
      <c r="B245" s="12"/>
      <c r="C245" s="13"/>
      <c r="D245" s="13"/>
      <c r="E245" s="13"/>
      <c r="F245" s="13"/>
      <c r="G245" s="13"/>
    </row>
    <row r="246" spans="1:7">
      <c r="A246" s="12"/>
      <c r="B246" s="12"/>
      <c r="C246" s="13"/>
      <c r="D246" s="13"/>
      <c r="E246" s="13"/>
      <c r="F246" s="13"/>
      <c r="G246" s="13"/>
    </row>
    <row r="247" spans="1:7">
      <c r="A247" s="12"/>
      <c r="B247" s="12"/>
      <c r="C247" s="13"/>
      <c r="D247" s="13"/>
      <c r="E247" s="13"/>
      <c r="F247" s="13"/>
      <c r="G247" s="13"/>
    </row>
    <row r="248" spans="1:7">
      <c r="A248" s="12"/>
      <c r="B248" s="12"/>
      <c r="C248" s="13"/>
      <c r="D248" s="13"/>
      <c r="E248" s="13"/>
      <c r="F248" s="13"/>
      <c r="G248" s="13"/>
    </row>
    <row r="249" spans="1:7">
      <c r="A249" s="12"/>
      <c r="B249" s="12"/>
      <c r="C249" s="13"/>
      <c r="D249" s="13"/>
      <c r="E249" s="13"/>
      <c r="F249" s="13"/>
      <c r="G249" s="13"/>
    </row>
    <row r="250" spans="1:7">
      <c r="A250" s="12"/>
      <c r="B250" s="12"/>
      <c r="C250" s="13"/>
      <c r="D250" s="13"/>
      <c r="E250" s="13"/>
      <c r="F250" s="13"/>
      <c r="G250" s="13"/>
    </row>
    <row r="251" spans="1:7">
      <c r="A251" s="12"/>
      <c r="B251" s="12"/>
      <c r="C251" s="13"/>
      <c r="D251" s="13"/>
      <c r="E251" s="13"/>
      <c r="F251" s="13"/>
      <c r="G251" s="13"/>
    </row>
    <row r="252" spans="1:7">
      <c r="A252" s="12"/>
      <c r="B252" s="12"/>
      <c r="C252" s="13"/>
      <c r="D252" s="13"/>
      <c r="E252" s="13"/>
      <c r="F252" s="13"/>
      <c r="G252" s="13"/>
    </row>
    <row r="253" spans="1:7">
      <c r="A253" s="12"/>
      <c r="B253" s="12"/>
      <c r="C253" s="13"/>
      <c r="D253" s="13"/>
      <c r="E253" s="13"/>
      <c r="F253" s="13"/>
      <c r="G253" s="13"/>
    </row>
    <row r="254" spans="1:7">
      <c r="A254" s="12"/>
      <c r="B254" s="12"/>
      <c r="C254" s="13"/>
      <c r="D254" s="13"/>
      <c r="E254" s="13"/>
      <c r="F254" s="13"/>
      <c r="G254" s="13"/>
    </row>
    <row r="255" spans="1:7">
      <c r="A255" s="12"/>
      <c r="B255" s="12"/>
      <c r="C255" s="13"/>
      <c r="D255" s="13"/>
      <c r="E255" s="13"/>
      <c r="F255" s="13"/>
      <c r="G255" s="13"/>
    </row>
    <row r="256" spans="1:7">
      <c r="A256" s="12"/>
      <c r="B256" s="12"/>
      <c r="C256" s="13"/>
      <c r="D256" s="13"/>
      <c r="E256" s="13"/>
      <c r="F256" s="13"/>
      <c r="G256" s="13"/>
    </row>
    <row r="257" spans="1:7">
      <c r="A257" s="12"/>
      <c r="B257" s="12"/>
      <c r="C257" s="13"/>
      <c r="D257" s="13"/>
      <c r="E257" s="13"/>
      <c r="F257" s="13"/>
      <c r="G257" s="13"/>
    </row>
    <row r="258" spans="1:7">
      <c r="A258" s="12"/>
      <c r="B258" s="12"/>
      <c r="C258" s="13"/>
      <c r="D258" s="13"/>
      <c r="E258" s="13"/>
      <c r="F258" s="13"/>
      <c r="G258" s="13"/>
    </row>
    <row r="259" spans="1:7">
      <c r="A259" s="12"/>
      <c r="B259" s="12"/>
      <c r="C259" s="13"/>
      <c r="D259" s="13"/>
      <c r="E259" s="13"/>
      <c r="F259" s="13"/>
      <c r="G259" s="13"/>
    </row>
    <row r="260" spans="1:7">
      <c r="A260" s="12"/>
      <c r="B260" s="12"/>
      <c r="C260" s="13"/>
      <c r="D260" s="13"/>
      <c r="E260" s="13"/>
      <c r="F260" s="13"/>
      <c r="G260" s="13"/>
    </row>
    <row r="261" spans="1:7">
      <c r="A261" s="12"/>
      <c r="B261" s="12"/>
      <c r="C261" s="13"/>
      <c r="D261" s="13"/>
      <c r="E261" s="13"/>
      <c r="F261" s="13"/>
      <c r="G261" s="13"/>
    </row>
    <row r="262" spans="1:7">
      <c r="A262" s="12"/>
      <c r="B262" s="12"/>
      <c r="C262" s="13"/>
      <c r="D262" s="13"/>
      <c r="E262" s="13"/>
      <c r="F262" s="13"/>
      <c r="G262" s="13"/>
    </row>
    <row r="263" spans="1:7">
      <c r="A263" s="12"/>
      <c r="B263" s="12"/>
      <c r="C263" s="13"/>
      <c r="D263" s="13"/>
      <c r="E263" s="13"/>
      <c r="F263" s="13"/>
      <c r="G263" s="13"/>
    </row>
    <row r="264" spans="1:7">
      <c r="A264" s="12"/>
      <c r="B264" s="12"/>
      <c r="C264" s="13"/>
      <c r="D264" s="13"/>
      <c r="E264" s="13"/>
      <c r="F264" s="13"/>
      <c r="G264" s="13"/>
    </row>
    <row r="265" spans="1:7">
      <c r="A265" s="12"/>
      <c r="B265" s="12"/>
      <c r="C265" s="13"/>
      <c r="D265" s="13"/>
      <c r="E265" s="13"/>
      <c r="F265" s="13"/>
      <c r="G265" s="13"/>
    </row>
    <row r="266" spans="1:7">
      <c r="A266" s="12"/>
      <c r="B266" s="12"/>
      <c r="C266" s="13"/>
      <c r="D266" s="13"/>
      <c r="E266" s="13"/>
      <c r="F266" s="13"/>
      <c r="G266" s="13"/>
    </row>
    <row r="267" spans="1:7">
      <c r="A267" s="12"/>
      <c r="B267" s="12"/>
      <c r="C267" s="13"/>
      <c r="D267" s="13"/>
      <c r="E267" s="13"/>
      <c r="F267" s="13"/>
      <c r="G267" s="13"/>
    </row>
    <row r="268" spans="1:7">
      <c r="A268" s="12"/>
      <c r="B268" s="12"/>
      <c r="C268" s="13"/>
      <c r="D268" s="13"/>
      <c r="E268" s="13"/>
      <c r="F268" s="13"/>
      <c r="G268" s="13"/>
    </row>
    <row r="269" spans="1:7">
      <c r="A269" s="12"/>
      <c r="B269" s="12"/>
      <c r="C269" s="13"/>
      <c r="D269" s="13"/>
      <c r="E269" s="13"/>
      <c r="F269" s="13"/>
      <c r="G269" s="13"/>
    </row>
    <row r="270" spans="1:7">
      <c r="A270" s="12"/>
      <c r="B270" s="12"/>
      <c r="C270" s="13"/>
      <c r="D270" s="13"/>
      <c r="E270" s="13"/>
      <c r="F270" s="13"/>
      <c r="G270" s="13"/>
    </row>
    <row r="271" spans="1:7">
      <c r="A271" s="12"/>
      <c r="B271" s="12"/>
      <c r="C271" s="13"/>
      <c r="D271" s="13"/>
      <c r="E271" s="13"/>
      <c r="F271" s="13"/>
      <c r="G271" s="13"/>
    </row>
    <row r="272" spans="1:7">
      <c r="A272" s="12"/>
      <c r="B272" s="12"/>
      <c r="C272" s="13"/>
      <c r="D272" s="13"/>
      <c r="E272" s="13"/>
      <c r="F272" s="13"/>
      <c r="G272" s="13"/>
    </row>
    <row r="273" spans="1:7">
      <c r="A273" s="12"/>
      <c r="B273" s="12"/>
      <c r="C273" s="13"/>
      <c r="D273" s="13"/>
      <c r="E273" s="13"/>
      <c r="F273" s="13"/>
      <c r="G273" s="13"/>
    </row>
    <row r="274" spans="1:7">
      <c r="A274" s="12"/>
      <c r="B274" s="12"/>
      <c r="C274" s="13"/>
      <c r="D274" s="13"/>
      <c r="E274" s="13"/>
      <c r="F274" s="13"/>
      <c r="G274" s="13"/>
    </row>
    <row r="275" spans="1:7">
      <c r="A275" s="12"/>
      <c r="B275" s="12"/>
      <c r="C275" s="13"/>
      <c r="D275" s="13"/>
      <c r="E275" s="13"/>
      <c r="F275" s="13"/>
      <c r="G275" s="13"/>
    </row>
    <row r="276" spans="1:7">
      <c r="A276" s="12"/>
      <c r="B276" s="12"/>
      <c r="C276" s="13"/>
      <c r="D276" s="13"/>
      <c r="E276" s="13"/>
      <c r="F276" s="13"/>
      <c r="G276" s="13"/>
    </row>
    <row r="277" spans="1:7">
      <c r="A277" s="12"/>
      <c r="B277" s="12"/>
      <c r="C277" s="13"/>
      <c r="D277" s="13"/>
      <c r="E277" s="13"/>
      <c r="F277" s="13"/>
      <c r="G277" s="13"/>
    </row>
    <row r="278" spans="1:7">
      <c r="A278" s="12"/>
      <c r="B278" s="12"/>
      <c r="C278" s="13"/>
      <c r="D278" s="13"/>
      <c r="E278" s="13"/>
      <c r="F278" s="13"/>
      <c r="G278" s="13"/>
    </row>
    <row r="279" spans="1:7">
      <c r="A279" s="12"/>
      <c r="B279" s="12"/>
      <c r="C279" s="13"/>
      <c r="D279" s="13"/>
      <c r="E279" s="13"/>
      <c r="F279" s="13"/>
      <c r="G279" s="13"/>
    </row>
    <row r="280" spans="1:7">
      <c r="A280" s="12"/>
      <c r="B280" s="12"/>
      <c r="C280" s="13"/>
      <c r="D280" s="13"/>
      <c r="E280" s="13"/>
      <c r="F280" s="13"/>
      <c r="G280" s="13"/>
    </row>
    <row r="281" spans="1:7">
      <c r="A281" s="12"/>
      <c r="B281" s="12"/>
      <c r="C281" s="13"/>
      <c r="D281" s="13"/>
      <c r="E281" s="13"/>
      <c r="F281" s="13"/>
      <c r="G281" s="13"/>
    </row>
    <row r="282" spans="1:7">
      <c r="A282" s="12"/>
      <c r="B282" s="12"/>
      <c r="C282" s="13"/>
      <c r="D282" s="13"/>
      <c r="E282" s="13"/>
      <c r="F282" s="13"/>
      <c r="G282" s="13"/>
    </row>
    <row r="283" spans="1:7">
      <c r="A283" s="12"/>
      <c r="B283" s="12"/>
      <c r="C283" s="13"/>
      <c r="D283" s="13"/>
      <c r="E283" s="13"/>
      <c r="F283" s="13"/>
      <c r="G283" s="13"/>
    </row>
    <row r="284" spans="1:7">
      <c r="A284" s="12"/>
      <c r="B284" s="12"/>
      <c r="C284" s="13"/>
      <c r="D284" s="13"/>
      <c r="E284" s="13"/>
      <c r="F284" s="13"/>
      <c r="G284" s="13"/>
    </row>
    <row r="285" spans="1:7">
      <c r="A285" s="12"/>
      <c r="B285" s="12"/>
      <c r="C285" s="13"/>
      <c r="D285" s="13"/>
      <c r="E285" s="13"/>
      <c r="F285" s="13"/>
      <c r="G285" s="13"/>
    </row>
    <row r="286" spans="1:7">
      <c r="A286" s="12"/>
      <c r="B286" s="12"/>
      <c r="C286" s="13"/>
      <c r="D286" s="13"/>
      <c r="E286" s="13"/>
      <c r="F286" s="13"/>
      <c r="G286" s="13"/>
    </row>
    <row r="287" spans="1:7">
      <c r="A287" s="12"/>
      <c r="B287" s="12"/>
      <c r="C287" s="13"/>
      <c r="D287" s="13"/>
      <c r="E287" s="13"/>
      <c r="F287" s="13"/>
      <c r="G287" s="13"/>
    </row>
    <row r="288" spans="1:7">
      <c r="A288" s="12"/>
      <c r="B288" s="12"/>
      <c r="C288" s="13"/>
      <c r="D288" s="13"/>
      <c r="E288" s="13"/>
      <c r="F288" s="13"/>
      <c r="G288" s="13"/>
    </row>
    <row r="289" spans="1:7">
      <c r="A289" s="12"/>
      <c r="B289" s="12"/>
      <c r="C289" s="13"/>
      <c r="D289" s="13"/>
      <c r="E289" s="13"/>
      <c r="F289" s="13"/>
      <c r="G289" s="13"/>
    </row>
    <row r="290" spans="1:7">
      <c r="A290" s="12"/>
      <c r="B290" s="12"/>
      <c r="C290" s="13"/>
      <c r="D290" s="13"/>
      <c r="E290" s="13"/>
      <c r="F290" s="13"/>
      <c r="G290" s="13"/>
    </row>
    <row r="291" spans="1:7">
      <c r="A291" s="12"/>
      <c r="B291" s="12"/>
      <c r="C291" s="13"/>
      <c r="D291" s="13"/>
      <c r="E291" s="13"/>
      <c r="F291" s="13"/>
      <c r="G291" s="13"/>
    </row>
    <row r="292" spans="1:7">
      <c r="A292" s="12"/>
      <c r="B292" s="12"/>
      <c r="C292" s="13"/>
      <c r="D292" s="13"/>
      <c r="E292" s="13"/>
      <c r="F292" s="13"/>
      <c r="G292" s="13"/>
    </row>
    <row r="293" spans="1:7">
      <c r="A293" s="12"/>
      <c r="B293" s="12"/>
      <c r="C293" s="13"/>
      <c r="D293" s="13"/>
      <c r="E293" s="13"/>
      <c r="F293" s="13"/>
      <c r="G293" s="13"/>
    </row>
    <row r="294" spans="1:7">
      <c r="A294" s="12"/>
      <c r="B294" s="12"/>
      <c r="C294" s="13"/>
      <c r="D294" s="13"/>
      <c r="E294" s="13"/>
      <c r="F294" s="13"/>
      <c r="G294" s="13"/>
    </row>
    <row r="295" spans="1:7">
      <c r="A295" s="12"/>
      <c r="B295" s="12"/>
      <c r="C295" s="13"/>
      <c r="D295" s="13"/>
      <c r="E295" s="13"/>
      <c r="F295" s="13"/>
      <c r="G295" s="13"/>
    </row>
    <row r="296" spans="1:7">
      <c r="A296" s="12"/>
      <c r="B296" s="12"/>
      <c r="C296" s="13"/>
      <c r="D296" s="13"/>
      <c r="E296" s="13"/>
      <c r="F296" s="13"/>
      <c r="G296" s="13"/>
    </row>
    <row r="297" spans="1:7">
      <c r="A297" s="12"/>
      <c r="B297" s="12"/>
      <c r="C297" s="13"/>
      <c r="D297" s="13"/>
      <c r="E297" s="13"/>
      <c r="F297" s="13"/>
      <c r="G297" s="13"/>
    </row>
    <row r="298" spans="1:7">
      <c r="A298" s="12"/>
      <c r="B298" s="12"/>
      <c r="C298" s="13"/>
      <c r="D298" s="13"/>
      <c r="E298" s="13"/>
      <c r="F298" s="13"/>
      <c r="G298" s="13"/>
    </row>
    <row r="299" spans="1:7">
      <c r="A299" s="12"/>
      <c r="B299" s="12"/>
      <c r="C299" s="13"/>
      <c r="D299" s="13"/>
      <c r="E299" s="13"/>
      <c r="F299" s="13"/>
      <c r="G299" s="13"/>
    </row>
    <row r="300" spans="1:7">
      <c r="A300" s="12"/>
      <c r="B300" s="12"/>
      <c r="C300" s="13"/>
      <c r="D300" s="13"/>
      <c r="E300" s="13"/>
      <c r="F300" s="13"/>
      <c r="G300" s="13"/>
    </row>
    <row r="301" spans="1:7">
      <c r="A301" s="12"/>
      <c r="B301" s="12"/>
      <c r="C301" s="13"/>
      <c r="D301" s="13"/>
      <c r="E301" s="13"/>
      <c r="F301" s="13"/>
      <c r="G301" s="13"/>
    </row>
    <row r="302" spans="1:7">
      <c r="A302" s="12"/>
      <c r="B302" s="12"/>
      <c r="C302" s="13"/>
      <c r="D302" s="13"/>
      <c r="E302" s="13"/>
      <c r="F302" s="13"/>
      <c r="G302" s="13"/>
    </row>
    <row r="303" spans="1:7">
      <c r="A303" s="12"/>
      <c r="B303" s="12"/>
      <c r="C303" s="13"/>
      <c r="D303" s="13"/>
      <c r="E303" s="13"/>
      <c r="F303" s="13"/>
      <c r="G303" s="13"/>
    </row>
    <row r="304" spans="1:7">
      <c r="A304" s="12"/>
      <c r="B304" s="12"/>
      <c r="C304" s="13"/>
      <c r="D304" s="13"/>
      <c r="E304" s="13"/>
      <c r="F304" s="13"/>
      <c r="G304" s="13"/>
    </row>
    <row r="305" spans="1:7">
      <c r="A305" s="12"/>
      <c r="B305" s="12"/>
      <c r="C305" s="13"/>
      <c r="D305" s="13"/>
      <c r="E305" s="13"/>
      <c r="F305" s="13"/>
      <c r="G305" s="13"/>
    </row>
    <row r="306" spans="1:7">
      <c r="A306" s="12"/>
      <c r="B306" s="12"/>
      <c r="C306" s="13"/>
      <c r="D306" s="13"/>
      <c r="E306" s="13"/>
      <c r="F306" s="13"/>
      <c r="G306" s="13"/>
    </row>
    <row r="307" spans="1:7">
      <c r="A307" s="12"/>
      <c r="B307" s="12"/>
      <c r="C307" s="13"/>
      <c r="D307" s="13"/>
      <c r="E307" s="13"/>
      <c r="F307" s="13"/>
      <c r="G307" s="13"/>
    </row>
    <row r="308" spans="1:7">
      <c r="A308" s="12"/>
      <c r="B308" s="12"/>
      <c r="C308" s="13"/>
      <c r="D308" s="13"/>
      <c r="E308" s="13"/>
      <c r="F308" s="13"/>
      <c r="G308" s="13"/>
    </row>
    <row r="309" spans="1:7">
      <c r="A309" s="12"/>
      <c r="B309" s="12"/>
      <c r="C309" s="13"/>
      <c r="D309" s="13"/>
      <c r="E309" s="13"/>
      <c r="F309" s="13"/>
      <c r="G309" s="13"/>
    </row>
    <row r="310" spans="1:7">
      <c r="A310" s="12"/>
      <c r="B310" s="12"/>
      <c r="C310" s="13"/>
      <c r="D310" s="13"/>
      <c r="E310" s="13"/>
      <c r="F310" s="13"/>
      <c r="G310" s="13"/>
    </row>
    <row r="311" spans="1:7">
      <c r="A311" s="12"/>
      <c r="B311" s="12"/>
      <c r="C311" s="13"/>
      <c r="D311" s="13"/>
      <c r="E311" s="13"/>
      <c r="F311" s="13"/>
      <c r="G311" s="13"/>
    </row>
    <row r="312" spans="1:7">
      <c r="A312" s="12"/>
      <c r="B312" s="12"/>
      <c r="C312" s="13"/>
      <c r="D312" s="13"/>
      <c r="E312" s="13"/>
      <c r="F312" s="13"/>
      <c r="G312" s="13"/>
    </row>
    <row r="313" spans="1:7">
      <c r="A313" s="12"/>
      <c r="B313" s="12"/>
      <c r="C313" s="13"/>
      <c r="D313" s="13"/>
      <c r="E313" s="13"/>
      <c r="F313" s="13"/>
      <c r="G313" s="13"/>
    </row>
    <row r="314" spans="1:7">
      <c r="A314" s="12"/>
      <c r="B314" s="12"/>
      <c r="C314" s="13"/>
      <c r="D314" s="13"/>
      <c r="E314" s="13"/>
      <c r="F314" s="13"/>
      <c r="G314" s="13"/>
    </row>
    <row r="315" spans="1:7">
      <c r="A315" s="12"/>
      <c r="B315" s="12"/>
      <c r="C315" s="13"/>
      <c r="D315" s="13"/>
      <c r="E315" s="13"/>
      <c r="F315" s="13"/>
      <c r="G315" s="13"/>
    </row>
    <row r="316" spans="1:7">
      <c r="A316" s="12"/>
      <c r="B316" s="12"/>
      <c r="C316" s="13"/>
      <c r="D316" s="13"/>
      <c r="E316" s="13"/>
      <c r="F316" s="13"/>
      <c r="G316" s="13"/>
    </row>
    <row r="317" spans="1:7">
      <c r="A317" s="12"/>
      <c r="B317" s="12"/>
      <c r="C317" s="13"/>
      <c r="D317" s="13"/>
      <c r="E317" s="13"/>
      <c r="F317" s="13"/>
      <c r="G317" s="13"/>
    </row>
    <row r="318" spans="1:7">
      <c r="A318" s="12"/>
      <c r="B318" s="12"/>
      <c r="C318" s="13"/>
      <c r="D318" s="13"/>
      <c r="E318" s="13"/>
      <c r="F318" s="13"/>
      <c r="G318" s="13"/>
    </row>
    <row r="319" spans="1:7">
      <c r="A319" s="12"/>
      <c r="B319" s="12"/>
      <c r="C319" s="13"/>
      <c r="D319" s="13"/>
      <c r="E319" s="13"/>
      <c r="F319" s="13"/>
      <c r="G319" s="13"/>
    </row>
    <row r="320" spans="1:7">
      <c r="A320" s="12"/>
      <c r="B320" s="12"/>
      <c r="C320" s="13"/>
      <c r="D320" s="13"/>
      <c r="E320" s="13"/>
      <c r="F320" s="13"/>
      <c r="G320" s="13"/>
    </row>
    <row r="321" spans="1:7">
      <c r="A321" s="12"/>
      <c r="B321" s="12"/>
      <c r="C321" s="13"/>
      <c r="D321" s="13"/>
      <c r="E321" s="13"/>
      <c r="F321" s="13"/>
      <c r="G321" s="13"/>
    </row>
    <row r="322" spans="1:7">
      <c r="A322" s="12"/>
      <c r="B322" s="12"/>
      <c r="C322" s="13"/>
      <c r="D322" s="13"/>
      <c r="E322" s="13"/>
      <c r="F322" s="13"/>
      <c r="G322" s="13"/>
    </row>
    <row r="323" spans="1:7">
      <c r="A323" s="12"/>
      <c r="B323" s="12"/>
      <c r="C323" s="13"/>
      <c r="D323" s="13"/>
      <c r="E323" s="13"/>
      <c r="F323" s="13"/>
      <c r="G323" s="13"/>
    </row>
    <row r="324" spans="1:7">
      <c r="A324" s="12"/>
      <c r="B324" s="12"/>
      <c r="C324" s="13"/>
      <c r="D324" s="13"/>
      <c r="E324" s="13"/>
      <c r="F324" s="13"/>
      <c r="G324" s="13"/>
    </row>
    <row r="325" spans="1:7">
      <c r="A325" s="12"/>
      <c r="B325" s="12"/>
      <c r="C325" s="13"/>
      <c r="D325" s="13"/>
      <c r="E325" s="13"/>
      <c r="F325" s="13"/>
      <c r="G325" s="13"/>
    </row>
    <row r="326" spans="1:7">
      <c r="A326" s="12"/>
      <c r="B326" s="12"/>
      <c r="C326" s="13"/>
      <c r="D326" s="13"/>
      <c r="E326" s="13"/>
      <c r="F326" s="13"/>
      <c r="G326" s="13"/>
    </row>
    <row r="327" spans="1:7">
      <c r="A327" s="12"/>
      <c r="B327" s="12"/>
      <c r="C327" s="13"/>
      <c r="D327" s="13"/>
      <c r="E327" s="13"/>
      <c r="F327" s="13"/>
      <c r="G327" s="13"/>
    </row>
    <row r="328" spans="1:7">
      <c r="A328" s="12"/>
      <c r="B328" s="12"/>
      <c r="C328" s="13"/>
      <c r="D328" s="13"/>
      <c r="E328" s="13"/>
      <c r="F328" s="13"/>
      <c r="G328" s="13"/>
    </row>
    <row r="329" spans="1:7">
      <c r="C329" s="18"/>
      <c r="D329" s="18"/>
      <c r="E329" s="18"/>
      <c r="F329" s="18"/>
      <c r="G329" s="18"/>
    </row>
    <row r="330" spans="1:7" ht="13.5" thickBot="1">
      <c r="A330" s="19" t="s">
        <v>154</v>
      </c>
      <c r="B330" s="20"/>
      <c r="C330" s="21" t="e">
        <f>#REF!/#REF!</f>
        <v>#REF!</v>
      </c>
      <c r="D330" s="21" t="e">
        <f>#REF!/#REF!</f>
        <v>#REF!</v>
      </c>
      <c r="E330" s="21" t="e">
        <f>#REF!/#REF!</f>
        <v>#REF!</v>
      </c>
      <c r="F330" s="21" t="e">
        <f>#REF!/#REF!</f>
        <v>#REF!</v>
      </c>
      <c r="G330" s="21" t="e">
        <f>#REF!/#REF!</f>
        <v>#REF!</v>
      </c>
    </row>
    <row r="331" spans="1:7" ht="13.5" thickTop="1"/>
  </sheetData>
  <printOptions horizontalCentered="1"/>
  <pageMargins left="0.5" right="0.5" top="0.5" bottom="0.65" header="0.4" footer="0.2"/>
  <pageSetup scale="11" orientation="landscape" r:id="rId1"/>
  <headerFooter alignWithMargins="0">
    <oddFooter>&amp;LExhibit RMP_____(CCP-3)&amp;R&amp;F&amp;CTab 3 - Page 13 of 16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9">
    <pageSetUpPr fitToPage="1"/>
  </sheetPr>
  <dimension ref="A1:O55"/>
  <sheetViews>
    <sheetView defaultGridColor="0" colorId="22" zoomScale="90" workbookViewId="0"/>
  </sheetViews>
  <sheetFormatPr defaultColWidth="12.5703125" defaultRowHeight="12.75"/>
  <cols>
    <col min="1" max="1" width="26.7109375" style="25" customWidth="1"/>
    <col min="2" max="2" width="10" style="25" customWidth="1"/>
    <col min="3" max="3" width="8.7109375" style="25" customWidth="1"/>
    <col min="4" max="9" width="15.7109375" style="25" customWidth="1"/>
    <col min="10" max="10" width="8.85546875" style="25" bestFit="1" customWidth="1"/>
    <col min="11" max="11" width="9.85546875" style="25" bestFit="1" customWidth="1"/>
    <col min="12" max="12" width="24.85546875" style="25" bestFit="1" customWidth="1"/>
    <col min="13" max="13" width="2.140625" style="25" bestFit="1" customWidth="1"/>
    <col min="14" max="14" width="49.140625" style="25" bestFit="1" customWidth="1"/>
    <col min="15" max="15" width="2.140625" style="25" bestFit="1" customWidth="1"/>
    <col min="16" max="16" width="49.7109375" style="25" bestFit="1" customWidth="1"/>
    <col min="17" max="18" width="15.7109375" style="25" customWidth="1"/>
    <col min="19" max="16384" width="12.5703125" style="25"/>
  </cols>
  <sheetData>
    <row r="1" spans="1:15">
      <c r="A1" s="22"/>
      <c r="B1" s="23"/>
      <c r="C1" s="23"/>
      <c r="D1" s="23"/>
      <c r="E1" s="23"/>
      <c r="F1" s="23"/>
      <c r="G1" s="23"/>
      <c r="H1" s="24"/>
      <c r="I1" s="24"/>
    </row>
    <row r="2" spans="1:15">
      <c r="A2" s="26" t="str">
        <f>+'TOTAL FUNCFAC'!A2</f>
        <v>12 Months Ended December 2017</v>
      </c>
      <c r="B2" s="23"/>
      <c r="C2" s="23"/>
      <c r="D2" s="23"/>
      <c r="E2" s="23"/>
      <c r="F2" s="23"/>
      <c r="G2" s="23"/>
      <c r="H2" s="24"/>
      <c r="I2" s="24"/>
    </row>
    <row r="3" spans="1:15">
      <c r="A3" s="26" t="s">
        <v>155</v>
      </c>
      <c r="B3" s="23"/>
      <c r="C3" s="23"/>
      <c r="D3" s="23"/>
      <c r="E3" s="23"/>
      <c r="F3" s="23"/>
      <c r="G3" s="23"/>
      <c r="H3" s="24"/>
      <c r="I3" s="24"/>
    </row>
    <row r="4" spans="1:15">
      <c r="A4" s="206" t="s">
        <v>156</v>
      </c>
      <c r="B4" s="26"/>
      <c r="C4" s="23"/>
      <c r="D4" s="23"/>
      <c r="E4" s="23"/>
      <c r="F4" s="23"/>
      <c r="G4" s="23"/>
      <c r="H4" s="24"/>
      <c r="I4" s="24"/>
    </row>
    <row r="5" spans="1:15">
      <c r="A5" s="207"/>
      <c r="B5" s="208"/>
      <c r="D5" s="28"/>
    </row>
    <row r="6" spans="1:15">
      <c r="B6" s="29" t="s">
        <v>157</v>
      </c>
    </row>
    <row r="7" spans="1:15">
      <c r="A7" s="30" t="s">
        <v>4</v>
      </c>
      <c r="B7" s="30" t="s">
        <v>158</v>
      </c>
      <c r="C7" s="30" t="s">
        <v>159</v>
      </c>
      <c r="D7" s="30" t="s">
        <v>160</v>
      </c>
      <c r="E7" s="30" t="s">
        <v>5</v>
      </c>
      <c r="F7" s="30" t="s">
        <v>161</v>
      </c>
      <c r="G7" s="30" t="s">
        <v>7</v>
      </c>
      <c r="H7" s="31" t="s">
        <v>162</v>
      </c>
      <c r="I7" s="31" t="s">
        <v>163</v>
      </c>
    </row>
    <row r="8" spans="1:15">
      <c r="A8" s="32"/>
      <c r="B8" s="33"/>
      <c r="C8" s="33"/>
      <c r="D8" s="33"/>
      <c r="E8" s="33"/>
      <c r="F8" s="33"/>
      <c r="G8" s="33"/>
      <c r="H8" s="34"/>
      <c r="I8" s="35"/>
    </row>
    <row r="9" spans="1:15">
      <c r="A9" s="36" t="s">
        <v>164</v>
      </c>
      <c r="B9" s="37"/>
      <c r="C9" s="37" t="s">
        <v>72</v>
      </c>
      <c r="D9" s="209">
        <v>12255009.5810569</v>
      </c>
      <c r="E9" s="38">
        <f>$D9*VLOOKUP(+$C9,$C$45:$I$51,3)</f>
        <v>12255009.5810569</v>
      </c>
      <c r="F9" s="38">
        <f>$D9*VLOOKUP(+$C9,$C$45:$I$51,4)</f>
        <v>0</v>
      </c>
      <c r="G9" s="38">
        <f>$D9*VLOOKUP(+$C9,$C$45:$I$51,5)</f>
        <v>0</v>
      </c>
      <c r="H9" s="38">
        <f>$D9*VLOOKUP(+$C9,$C$45:$I$51,6)</f>
        <v>0</v>
      </c>
      <c r="I9" s="38">
        <f>$D9*VLOOKUP(+$C9,$C$45:$I$51,7)</f>
        <v>0</v>
      </c>
      <c r="J9" s="39"/>
      <c r="L9" s="211"/>
      <c r="M9" s="40"/>
    </row>
    <row r="10" spans="1:15">
      <c r="A10" s="36" t="s">
        <v>165</v>
      </c>
      <c r="B10" s="37"/>
      <c r="C10" s="37" t="s">
        <v>113</v>
      </c>
      <c r="D10" s="209">
        <v>6122581.2301469203</v>
      </c>
      <c r="E10" s="38">
        <f>$D10*VLOOKUP(+$C10,$C$45:$I$51,3)</f>
        <v>0</v>
      </c>
      <c r="F10" s="38">
        <f>$D10*VLOOKUP(+$C10,$C$45:$I$51,4)</f>
        <v>6122581.2301469203</v>
      </c>
      <c r="G10" s="38">
        <f>$D10*VLOOKUP(+$C10,$C$45:$I$51,5)</f>
        <v>0</v>
      </c>
      <c r="H10" s="38">
        <f>$D10*VLOOKUP(+$C10,$C$45:$I$51,6)</f>
        <v>0</v>
      </c>
      <c r="I10" s="38">
        <f>$D10*VLOOKUP(+$C10,$C$45:$I$51,7)</f>
        <v>0</v>
      </c>
      <c r="J10" s="39"/>
      <c r="L10" s="211"/>
      <c r="M10" s="40"/>
    </row>
    <row r="11" spans="1:15">
      <c r="A11" s="36" t="s">
        <v>166</v>
      </c>
      <c r="B11" s="37"/>
      <c r="C11" s="37" t="s">
        <v>7</v>
      </c>
      <c r="D11" s="209">
        <v>6671989.3022730798</v>
      </c>
      <c r="E11" s="38">
        <f>$D11*VLOOKUP(+$C11,$C$45:$I$51,3)</f>
        <v>0</v>
      </c>
      <c r="F11" s="38">
        <f>$D11*VLOOKUP(+$C11,$C$45:$I$51,4)</f>
        <v>0</v>
      </c>
      <c r="G11" s="38">
        <f>$D11*VLOOKUP(+$C11,$C$45:$I$51,5)</f>
        <v>6671989.3022730798</v>
      </c>
      <c r="H11" s="38">
        <f>$D11*VLOOKUP(+$C11,$C$45:$I$51,6)</f>
        <v>0</v>
      </c>
      <c r="I11" s="38">
        <f>$D11*VLOOKUP(+$C11,$C$45:$I$51,7)</f>
        <v>0</v>
      </c>
      <c r="J11" s="39"/>
      <c r="L11" s="211"/>
      <c r="M11" s="40"/>
    </row>
    <row r="12" spans="1:15">
      <c r="A12" s="36" t="s">
        <v>141</v>
      </c>
      <c r="B12" s="41" t="s">
        <v>167</v>
      </c>
      <c r="C12" s="37" t="s">
        <v>72</v>
      </c>
      <c r="D12" s="209">
        <f>1854.828+148744.795+7976.455</f>
        <v>158576.07800000001</v>
      </c>
      <c r="E12" s="38">
        <f>$D12*VLOOKUP(+$C12,$C$45:$I$51,3)</f>
        <v>158576.07800000001</v>
      </c>
      <c r="F12" s="38">
        <f>$D12*VLOOKUP(+$C12,$C$45:$I$51,4)</f>
        <v>0</v>
      </c>
      <c r="G12" s="38">
        <f>$D12*VLOOKUP(+$C12,$C$45:$I$51,5)</f>
        <v>0</v>
      </c>
      <c r="H12" s="38">
        <f>$D12*VLOOKUP(+$C12,$C$45:$I$51,6)</f>
        <v>0</v>
      </c>
      <c r="I12" s="38">
        <f>$D12*VLOOKUP(+$C12,$C$45:$I$51,7)</f>
        <v>0</v>
      </c>
      <c r="J12" s="39"/>
      <c r="L12" s="211"/>
      <c r="M12" s="212"/>
      <c r="O12" s="212"/>
    </row>
    <row r="13" spans="1:15">
      <c r="A13" s="42" t="s">
        <v>33</v>
      </c>
      <c r="B13" s="43"/>
      <c r="C13" s="43"/>
      <c r="D13" s="44"/>
      <c r="E13" s="44"/>
      <c r="F13" s="44"/>
      <c r="G13" s="44"/>
      <c r="H13" s="44"/>
      <c r="I13" s="45"/>
    </row>
    <row r="14" spans="1:15">
      <c r="A14" s="46" t="s">
        <v>168</v>
      </c>
      <c r="B14" s="47" t="str">
        <f>GP!B7</f>
        <v>CN</v>
      </c>
      <c r="C14" s="47" t="str">
        <f>GP!C7</f>
        <v>CUST</v>
      </c>
      <c r="D14" s="38">
        <f>GP!D7</f>
        <v>19228.541661538471</v>
      </c>
      <c r="E14" s="38">
        <f>$D14*VLOOKUP(+$C14,$C$45:$I$51,3)</f>
        <v>0</v>
      </c>
      <c r="F14" s="38">
        <f t="shared" ref="F14:F23" si="0">$D14*VLOOKUP(+$C14,$C$45:$I$51,4)</f>
        <v>0</v>
      </c>
      <c r="G14" s="38">
        <f t="shared" ref="G14:G23" si="1">$D14*VLOOKUP(+$C14,$C$45:$I$51,5)</f>
        <v>0</v>
      </c>
      <c r="H14" s="38">
        <f t="shared" ref="H14:H23" si="2">$D14*VLOOKUP(+$C14,$C$45:$I$51,6)</f>
        <v>19228.541661538471</v>
      </c>
      <c r="I14" s="38">
        <f t="shared" ref="I14:I23" si="3">$D14*VLOOKUP(+$C14,$C$45:$I$51,7)</f>
        <v>0</v>
      </c>
    </row>
    <row r="15" spans="1:15">
      <c r="A15" s="46" t="s">
        <v>169</v>
      </c>
      <c r="B15" s="47" t="str">
        <f>GP!B8</f>
        <v>SE</v>
      </c>
      <c r="C15" s="47" t="str">
        <f>GP!C8</f>
        <v>P</v>
      </c>
      <c r="D15" s="38">
        <f>GP!D8</f>
        <v>5473.1030215384626</v>
      </c>
      <c r="E15" s="38">
        <f>$D15*VLOOKUP(+$C15,$C$45:$I$51,3)</f>
        <v>5473.1030215384626</v>
      </c>
      <c r="F15" s="38">
        <f t="shared" si="0"/>
        <v>0</v>
      </c>
      <c r="G15" s="38">
        <f t="shared" si="1"/>
        <v>0</v>
      </c>
      <c r="H15" s="38">
        <f t="shared" si="2"/>
        <v>0</v>
      </c>
      <c r="I15" s="48">
        <f t="shared" si="3"/>
        <v>0</v>
      </c>
    </row>
    <row r="16" spans="1:15">
      <c r="A16" s="46"/>
      <c r="B16" s="47" t="str">
        <f>GP!B9</f>
        <v>SG</v>
      </c>
      <c r="C16" s="47" t="str">
        <f>GP!C9</f>
        <v>P</v>
      </c>
      <c r="D16" s="38">
        <f>GP!D9</f>
        <v>118178.45807769234</v>
      </c>
      <c r="E16" s="38">
        <f>$D16*VLOOKUP(+$C16,$C$45:$I$51,3)</f>
        <v>118178.45807769234</v>
      </c>
      <c r="F16" s="38">
        <f t="shared" si="0"/>
        <v>0</v>
      </c>
      <c r="G16" s="38">
        <f t="shared" si="1"/>
        <v>0</v>
      </c>
      <c r="H16" s="38">
        <f t="shared" si="2"/>
        <v>0</v>
      </c>
      <c r="I16" s="48">
        <f t="shared" si="3"/>
        <v>0</v>
      </c>
    </row>
    <row r="17" spans="1:9">
      <c r="A17" s="46"/>
      <c r="B17" s="47" t="str">
        <f>GP!B10</f>
        <v>SG</v>
      </c>
      <c r="C17" s="47" t="str">
        <f>GP!C10</f>
        <v>T</v>
      </c>
      <c r="D17" s="38">
        <f>GP!D10</f>
        <v>162372.44940076899</v>
      </c>
      <c r="E17" s="38">
        <f t="shared" ref="E17:E23" si="4">$D17*VLOOKUP(+$C17,$C$45:$I$51,3)</f>
        <v>0</v>
      </c>
      <c r="F17" s="38">
        <f t="shared" si="0"/>
        <v>162372.44940076899</v>
      </c>
      <c r="G17" s="38">
        <f t="shared" si="1"/>
        <v>0</v>
      </c>
      <c r="H17" s="38">
        <f t="shared" si="2"/>
        <v>0</v>
      </c>
      <c r="I17" s="48">
        <f t="shared" si="3"/>
        <v>0</v>
      </c>
    </row>
    <row r="18" spans="1:9">
      <c r="A18" s="46"/>
      <c r="B18" s="47" t="str">
        <f>GP!B12</f>
        <v>SO</v>
      </c>
      <c r="C18" s="47" t="str">
        <f>GP!C12</f>
        <v>DPW</v>
      </c>
      <c r="D18" s="38">
        <f>GP!D12</f>
        <v>0</v>
      </c>
      <c r="E18" s="38">
        <f t="shared" si="4"/>
        <v>0</v>
      </c>
      <c r="F18" s="38">
        <f t="shared" si="0"/>
        <v>0</v>
      </c>
      <c r="G18" s="38">
        <f t="shared" si="1"/>
        <v>0</v>
      </c>
      <c r="H18" s="38">
        <f t="shared" si="2"/>
        <v>0</v>
      </c>
      <c r="I18" s="48">
        <f t="shared" si="3"/>
        <v>0</v>
      </c>
    </row>
    <row r="19" spans="1:9">
      <c r="A19" s="46"/>
      <c r="B19" s="47" t="str">
        <f>GP!B17</f>
        <v>SSGCT</v>
      </c>
      <c r="C19" s="47" t="str">
        <f>GP!C17</f>
        <v>DPW</v>
      </c>
      <c r="D19" s="38">
        <f>GP!D17</f>
        <v>0</v>
      </c>
      <c r="E19" s="38">
        <f t="shared" si="4"/>
        <v>0</v>
      </c>
      <c r="F19" s="38">
        <f t="shared" si="0"/>
        <v>0</v>
      </c>
      <c r="G19" s="38">
        <f t="shared" si="1"/>
        <v>0</v>
      </c>
      <c r="H19" s="38">
        <f t="shared" si="2"/>
        <v>0</v>
      </c>
      <c r="I19" s="48">
        <f t="shared" si="3"/>
        <v>0</v>
      </c>
    </row>
    <row r="20" spans="1:9">
      <c r="A20" s="46"/>
      <c r="B20" s="47" t="str">
        <f>GP!B18</f>
        <v>SSGCT</v>
      </c>
      <c r="C20" s="47" t="str">
        <f>GP!C18</f>
        <v>P</v>
      </c>
      <c r="D20" s="38">
        <f>GP!D18</f>
        <v>0</v>
      </c>
      <c r="E20" s="38">
        <f t="shared" si="4"/>
        <v>0</v>
      </c>
      <c r="F20" s="38">
        <f t="shared" si="0"/>
        <v>0</v>
      </c>
      <c r="G20" s="38">
        <f t="shared" si="1"/>
        <v>0</v>
      </c>
      <c r="H20" s="38">
        <f t="shared" si="2"/>
        <v>0</v>
      </c>
      <c r="I20" s="48">
        <f t="shared" si="3"/>
        <v>0</v>
      </c>
    </row>
    <row r="21" spans="1:9">
      <c r="A21" s="46" t="s">
        <v>33</v>
      </c>
      <c r="B21" s="47" t="str">
        <f>GP!B19</f>
        <v>SITUS</v>
      </c>
      <c r="C21" s="47" t="str">
        <f>GP!C19</f>
        <v>DPW</v>
      </c>
      <c r="D21" s="38">
        <f>GP!D19</f>
        <v>216385.33103615389</v>
      </c>
      <c r="E21" s="38">
        <f t="shared" si="4"/>
        <v>0</v>
      </c>
      <c r="F21" s="38">
        <f t="shared" si="0"/>
        <v>0</v>
      </c>
      <c r="G21" s="38">
        <f t="shared" si="1"/>
        <v>216385.33103615389</v>
      </c>
      <c r="H21" s="38">
        <f t="shared" si="2"/>
        <v>0</v>
      </c>
      <c r="I21" s="48">
        <f t="shared" si="3"/>
        <v>0</v>
      </c>
    </row>
    <row r="22" spans="1:9">
      <c r="A22" s="46" t="s">
        <v>33</v>
      </c>
      <c r="B22" s="47" t="str">
        <f>GP!B20</f>
        <v>SITUS</v>
      </c>
      <c r="C22" s="47" t="str">
        <f>GP!C20</f>
        <v>P</v>
      </c>
      <c r="D22" s="38">
        <f>GP!D20</f>
        <v>0</v>
      </c>
      <c r="E22" s="38">
        <f t="shared" si="4"/>
        <v>0</v>
      </c>
      <c r="F22" s="38">
        <f t="shared" si="0"/>
        <v>0</v>
      </c>
      <c r="G22" s="38">
        <f t="shared" si="1"/>
        <v>0</v>
      </c>
      <c r="H22" s="38">
        <f t="shared" si="2"/>
        <v>0</v>
      </c>
      <c r="I22" s="48">
        <f t="shared" si="3"/>
        <v>0</v>
      </c>
    </row>
    <row r="23" spans="1:9">
      <c r="A23" s="46" t="s">
        <v>33</v>
      </c>
      <c r="B23" s="47" t="str">
        <f>GP!B21</f>
        <v>SITUS</v>
      </c>
      <c r="C23" s="47" t="str">
        <f>GP!C21</f>
        <v>TD</v>
      </c>
      <c r="D23" s="38">
        <f>GP!D21</f>
        <v>392006.79236769228</v>
      </c>
      <c r="E23" s="38">
        <f t="shared" si="4"/>
        <v>0</v>
      </c>
      <c r="F23" s="38">
        <f t="shared" si="0"/>
        <v>187586.86920822918</v>
      </c>
      <c r="G23" s="38">
        <f t="shared" si="1"/>
        <v>204419.9231594631</v>
      </c>
      <c r="H23" s="38">
        <f t="shared" si="2"/>
        <v>0</v>
      </c>
      <c r="I23" s="48">
        <f t="shared" si="3"/>
        <v>0</v>
      </c>
    </row>
    <row r="24" spans="1:9">
      <c r="A24" s="42" t="s">
        <v>170</v>
      </c>
      <c r="D24" s="49">
        <f t="shared" ref="D24:I24" si="5">SUBTOTAL(9,D14:D23)</f>
        <v>913644.67556538444</v>
      </c>
      <c r="E24" s="49">
        <f t="shared" si="5"/>
        <v>123651.56109923081</v>
      </c>
      <c r="F24" s="49">
        <f t="shared" si="5"/>
        <v>349959.3186089982</v>
      </c>
      <c r="G24" s="49">
        <f t="shared" si="5"/>
        <v>420805.25419561699</v>
      </c>
      <c r="H24" s="49">
        <f t="shared" si="5"/>
        <v>19228.541661538471</v>
      </c>
      <c r="I24" s="49">
        <f t="shared" si="5"/>
        <v>0</v>
      </c>
    </row>
    <row r="25" spans="1:9">
      <c r="A25" s="42"/>
      <c r="B25" s="42"/>
      <c r="C25" s="42"/>
      <c r="D25" s="38"/>
      <c r="E25" s="38"/>
      <c r="F25" s="38"/>
      <c r="G25" s="38"/>
      <c r="H25" s="38"/>
    </row>
    <row r="26" spans="1:9">
      <c r="A26" s="42" t="s">
        <v>45</v>
      </c>
      <c r="B26" s="42"/>
      <c r="C26" s="42"/>
      <c r="D26" s="38"/>
      <c r="E26" s="38"/>
      <c r="F26" s="38"/>
      <c r="G26" s="38"/>
      <c r="H26" s="38"/>
    </row>
    <row r="27" spans="1:9">
      <c r="A27" s="36" t="s">
        <v>171</v>
      </c>
      <c r="B27" s="50" t="str">
        <f>IP!A7</f>
        <v>CN</v>
      </c>
      <c r="C27" s="50" t="str">
        <f>IP!B7</f>
        <v>CUST</v>
      </c>
      <c r="D27" s="38">
        <f>IP!C7</f>
        <v>144966.79928307689</v>
      </c>
      <c r="E27" s="38">
        <f t="shared" ref="E27:E37" si="6">$D27*VLOOKUP(+$C27,$C$45:$I$52,3)</f>
        <v>0</v>
      </c>
      <c r="F27" s="38">
        <f t="shared" ref="F27:F37" si="7">$D27*VLOOKUP(+$C27,$C$45:$I$52,4)</f>
        <v>0</v>
      </c>
      <c r="G27" s="38">
        <f t="shared" ref="G27:G37" si="8">$D27*VLOOKUP(+$C27,$C$45:$I$52,5)</f>
        <v>0</v>
      </c>
      <c r="H27" s="38">
        <f t="shared" ref="H27:H37" si="9">$D27*VLOOKUP(+$C27,$C$45:$I$52,6)</f>
        <v>144966.79928307689</v>
      </c>
      <c r="I27" s="48">
        <f t="shared" ref="I27:I37" si="10">$D27*VLOOKUP(+$C27,$C$45:$I$52,7)</f>
        <v>0</v>
      </c>
    </row>
    <row r="28" spans="1:9">
      <c r="A28" s="36" t="s">
        <v>171</v>
      </c>
      <c r="B28" s="50" t="str">
        <f>IP!A8</f>
        <v>SE</v>
      </c>
      <c r="C28" s="50" t="str">
        <f>IP!B8</f>
        <v>P</v>
      </c>
      <c r="D28" s="38">
        <f>IP!C8</f>
        <v>16.6486384615385</v>
      </c>
      <c r="E28" s="38">
        <f t="shared" si="6"/>
        <v>16.6486384615385</v>
      </c>
      <c r="F28" s="38">
        <f t="shared" si="7"/>
        <v>0</v>
      </c>
      <c r="G28" s="38">
        <f t="shared" si="8"/>
        <v>0</v>
      </c>
      <c r="H28" s="38">
        <f t="shared" si="9"/>
        <v>0</v>
      </c>
      <c r="I28" s="48">
        <f t="shared" si="10"/>
        <v>0</v>
      </c>
    </row>
    <row r="29" spans="1:9">
      <c r="A29" s="42" t="s">
        <v>172</v>
      </c>
      <c r="B29" s="50" t="str">
        <f>IP!A9</f>
        <v>SG</v>
      </c>
      <c r="C29" s="50" t="str">
        <f>IP!B9</f>
        <v>P</v>
      </c>
      <c r="D29" s="38">
        <f>IP!C9</f>
        <v>106582.74951000002</v>
      </c>
      <c r="E29" s="38">
        <f t="shared" si="6"/>
        <v>106582.74951000002</v>
      </c>
      <c r="F29" s="38">
        <f t="shared" si="7"/>
        <v>0</v>
      </c>
      <c r="G29" s="38">
        <f t="shared" si="8"/>
        <v>0</v>
      </c>
      <c r="H29" s="38">
        <f t="shared" si="9"/>
        <v>0</v>
      </c>
      <c r="I29" s="48">
        <f t="shared" si="10"/>
        <v>0</v>
      </c>
    </row>
    <row r="30" spans="1:9">
      <c r="A30" s="42" t="s">
        <v>173</v>
      </c>
      <c r="B30" s="50" t="str">
        <f>IP!A10</f>
        <v>SG</v>
      </c>
      <c r="C30" s="50" t="str">
        <f>IP!B10</f>
        <v>T</v>
      </c>
      <c r="D30" s="38">
        <f>IP!C10</f>
        <v>57618.394235384614</v>
      </c>
      <c r="E30" s="38">
        <f t="shared" si="6"/>
        <v>0</v>
      </c>
      <c r="F30" s="38">
        <f t="shared" si="7"/>
        <v>57618.394235384614</v>
      </c>
      <c r="G30" s="38">
        <f t="shared" si="8"/>
        <v>0</v>
      </c>
      <c r="H30" s="38">
        <f t="shared" si="9"/>
        <v>0</v>
      </c>
      <c r="I30" s="48">
        <f t="shared" si="10"/>
        <v>0</v>
      </c>
    </row>
    <row r="31" spans="1:9">
      <c r="A31" s="42" t="s">
        <v>174</v>
      </c>
      <c r="B31" s="50" t="str">
        <f>IP!A11</f>
        <v>SG-P</v>
      </c>
      <c r="C31" s="50" t="str">
        <f>IP!B11</f>
        <v>P</v>
      </c>
      <c r="D31" s="38">
        <f>IP!C11</f>
        <v>173445.078546923</v>
      </c>
      <c r="E31" s="38">
        <f t="shared" si="6"/>
        <v>173445.078546923</v>
      </c>
      <c r="F31" s="38">
        <f t="shared" si="7"/>
        <v>0</v>
      </c>
      <c r="G31" s="38">
        <f t="shared" si="8"/>
        <v>0</v>
      </c>
      <c r="H31" s="38">
        <f t="shared" si="9"/>
        <v>0</v>
      </c>
      <c r="I31" s="48">
        <f t="shared" si="10"/>
        <v>0</v>
      </c>
    </row>
    <row r="32" spans="1:9">
      <c r="A32" s="42"/>
      <c r="B32" s="50" t="str">
        <f>IP!A12</f>
        <v>SG-U</v>
      </c>
      <c r="C32" s="50" t="str">
        <f>IP!B12</f>
        <v>P</v>
      </c>
      <c r="D32" s="38">
        <f>IP!C12</f>
        <v>9790.3560099999995</v>
      </c>
      <c r="E32" s="38">
        <f t="shared" si="6"/>
        <v>9790.3560099999995</v>
      </c>
      <c r="F32" s="38">
        <f t="shared" si="7"/>
        <v>0</v>
      </c>
      <c r="G32" s="38">
        <f t="shared" si="8"/>
        <v>0</v>
      </c>
      <c r="H32" s="38">
        <f t="shared" si="9"/>
        <v>0</v>
      </c>
      <c r="I32" s="48">
        <f t="shared" si="10"/>
        <v>0</v>
      </c>
    </row>
    <row r="33" spans="1:9">
      <c r="A33" s="42" t="s">
        <v>175</v>
      </c>
      <c r="B33" s="50" t="str">
        <f>IP!A15</f>
        <v>SO</v>
      </c>
      <c r="C33" s="50" t="str">
        <f>IP!B15</f>
        <v>P</v>
      </c>
      <c r="D33" s="38">
        <f>IP!C15</f>
        <v>28266.9130661538</v>
      </c>
      <c r="E33" s="38">
        <f t="shared" si="6"/>
        <v>28266.9130661538</v>
      </c>
      <c r="F33" s="38">
        <f t="shared" si="7"/>
        <v>0</v>
      </c>
      <c r="G33" s="38">
        <f t="shared" si="8"/>
        <v>0</v>
      </c>
      <c r="H33" s="38">
        <f t="shared" si="9"/>
        <v>0</v>
      </c>
      <c r="I33" s="48">
        <f t="shared" si="10"/>
        <v>0</v>
      </c>
    </row>
    <row r="34" spans="1:9">
      <c r="A34" s="42" t="s">
        <v>169</v>
      </c>
      <c r="B34" s="50" t="str">
        <f>IP!A16</f>
        <v>SO</v>
      </c>
      <c r="C34" s="50" t="str">
        <f>IP!B16</f>
        <v>PTD</v>
      </c>
      <c r="D34" s="38">
        <f>IP!C16</f>
        <v>258494.97741538455</v>
      </c>
      <c r="E34" s="38">
        <f t="shared" si="6"/>
        <v>126463.53394068622</v>
      </c>
      <c r="F34" s="38">
        <f t="shared" si="7"/>
        <v>63180.959107542163</v>
      </c>
      <c r="G34" s="38">
        <f t="shared" si="8"/>
        <v>68850.484367156154</v>
      </c>
      <c r="H34" s="38">
        <f t="shared" si="9"/>
        <v>0</v>
      </c>
      <c r="I34" s="48">
        <f t="shared" si="10"/>
        <v>0</v>
      </c>
    </row>
    <row r="35" spans="1:9">
      <c r="A35" s="42" t="s">
        <v>176</v>
      </c>
      <c r="B35" s="50" t="str">
        <f>IP!A18</f>
        <v>SO</v>
      </c>
      <c r="C35" s="50" t="str">
        <f>IP!B18</f>
        <v>TD</v>
      </c>
      <c r="D35" s="38">
        <f>IP!C18</f>
        <v>41580.7704407692</v>
      </c>
      <c r="E35" s="38">
        <f t="shared" si="6"/>
        <v>0</v>
      </c>
      <c r="F35" s="38">
        <f t="shared" si="7"/>
        <v>19897.631107712463</v>
      </c>
      <c r="G35" s="38">
        <f t="shared" si="8"/>
        <v>21683.139333056737</v>
      </c>
      <c r="H35" s="38">
        <f t="shared" si="9"/>
        <v>0</v>
      </c>
      <c r="I35" s="48">
        <f t="shared" si="10"/>
        <v>0</v>
      </c>
    </row>
    <row r="36" spans="1:9">
      <c r="A36" s="42" t="s">
        <v>177</v>
      </c>
      <c r="B36" s="50" t="str">
        <f>IP!A19</f>
        <v>SO</v>
      </c>
      <c r="C36" s="50" t="str">
        <f>IP!B19</f>
        <v>LABOR</v>
      </c>
      <c r="D36" s="38">
        <f>IP!C19</f>
        <v>0</v>
      </c>
      <c r="E36" s="38">
        <f>$D36*VLOOKUP(+$C36,$C$45:$I$52,3)</f>
        <v>0</v>
      </c>
      <c r="F36" s="38">
        <f t="shared" si="7"/>
        <v>0</v>
      </c>
      <c r="G36" s="38">
        <f t="shared" si="8"/>
        <v>0</v>
      </c>
      <c r="H36" s="38">
        <f t="shared" si="9"/>
        <v>0</v>
      </c>
      <c r="I36" s="48">
        <f t="shared" si="10"/>
        <v>0</v>
      </c>
    </row>
    <row r="37" spans="1:9">
      <c r="A37" s="42" t="s">
        <v>177</v>
      </c>
      <c r="B37" s="50" t="str">
        <f>IP!A25</f>
        <v>SITUS</v>
      </c>
      <c r="C37" s="50" t="str">
        <f>IP!B25</f>
        <v>TD</v>
      </c>
      <c r="D37" s="38">
        <f>IP!C25</f>
        <v>15997.230569230764</v>
      </c>
      <c r="E37" s="38">
        <f t="shared" si="6"/>
        <v>0</v>
      </c>
      <c r="F37" s="38">
        <f t="shared" si="7"/>
        <v>7655.1489844324888</v>
      </c>
      <c r="G37" s="38">
        <f t="shared" si="8"/>
        <v>8342.081584798274</v>
      </c>
      <c r="H37" s="38">
        <f t="shared" si="9"/>
        <v>0</v>
      </c>
      <c r="I37" s="48">
        <f t="shared" si="10"/>
        <v>0</v>
      </c>
    </row>
    <row r="38" spans="1:9">
      <c r="A38" s="42" t="s">
        <v>178</v>
      </c>
      <c r="B38" s="42"/>
      <c r="C38" s="42"/>
      <c r="D38" s="49">
        <f t="shared" ref="D38:I38" si="11">SUBTOTAL(9,D27:D37)</f>
        <v>836759.91771538428</v>
      </c>
      <c r="E38" s="49">
        <f t="shared" si="11"/>
        <v>444565.27971222461</v>
      </c>
      <c r="F38" s="49">
        <f t="shared" si="11"/>
        <v>148352.13343507171</v>
      </c>
      <c r="G38" s="49">
        <f t="shared" si="11"/>
        <v>98875.705285011165</v>
      </c>
      <c r="H38" s="49">
        <f t="shared" si="11"/>
        <v>144966.79928307689</v>
      </c>
      <c r="I38" s="49">
        <f t="shared" si="11"/>
        <v>0</v>
      </c>
    </row>
    <row r="39" spans="1:9">
      <c r="A39" s="42"/>
      <c r="B39" s="42"/>
      <c r="C39" s="42"/>
      <c r="D39" s="38"/>
      <c r="E39" s="38"/>
      <c r="F39" s="38"/>
      <c r="G39" s="38"/>
      <c r="H39" s="38"/>
    </row>
    <row r="40" spans="1:9" ht="13.5" thickBot="1">
      <c r="A40" s="42" t="s">
        <v>179</v>
      </c>
      <c r="B40" s="42"/>
      <c r="C40" s="42"/>
      <c r="D40" s="51">
        <f t="shared" ref="D40:I40" si="12">SUBTOTAL(9,D8:D38)</f>
        <v>26958560.78475767</v>
      </c>
      <c r="E40" s="51">
        <f t="shared" si="12"/>
        <v>12981802.499868352</v>
      </c>
      <c r="F40" s="51">
        <f t="shared" si="12"/>
        <v>6620892.6821909891</v>
      </c>
      <c r="G40" s="51">
        <f t="shared" si="12"/>
        <v>7191670.2617537081</v>
      </c>
      <c r="H40" s="51">
        <f t="shared" si="12"/>
        <v>164195.34094461537</v>
      </c>
      <c r="I40" s="51">
        <f t="shared" si="12"/>
        <v>0</v>
      </c>
    </row>
    <row r="41" spans="1:9" ht="13.5" thickTop="1">
      <c r="D41" s="52"/>
    </row>
    <row r="42" spans="1:9">
      <c r="B42" s="202" t="s">
        <v>180</v>
      </c>
      <c r="C42" s="203"/>
      <c r="D42" s="204">
        <f>SUM(E42:I42)</f>
        <v>0.99999999999999989</v>
      </c>
      <c r="E42" s="204">
        <f>E40/$D40</f>
        <v>0.48154657080982766</v>
      </c>
      <c r="F42" s="204">
        <f>F40/$D40</f>
        <v>0.24559518347635353</v>
      </c>
      <c r="G42" s="204">
        <f>G40/$D40</f>
        <v>0.26676758893671609</v>
      </c>
      <c r="H42" s="204">
        <f>H40/$D40</f>
        <v>6.0906567771025506E-3</v>
      </c>
      <c r="I42" s="205">
        <f>I40/$D40</f>
        <v>0</v>
      </c>
    </row>
    <row r="43" spans="1:9">
      <c r="A43" s="42"/>
      <c r="B43" s="42"/>
      <c r="C43" s="42"/>
      <c r="D43" s="53"/>
      <c r="E43" s="54"/>
      <c r="F43" s="54"/>
      <c r="G43" s="54"/>
      <c r="H43" s="54"/>
      <c r="I43" s="54"/>
    </row>
    <row r="44" spans="1:9">
      <c r="A44" s="55"/>
      <c r="D44" s="54"/>
      <c r="E44" s="54"/>
      <c r="F44" s="54"/>
      <c r="G44" s="54"/>
      <c r="H44" s="54"/>
      <c r="I44" s="54"/>
    </row>
    <row r="45" spans="1:9">
      <c r="A45" s="55"/>
      <c r="B45" s="42" t="s">
        <v>181</v>
      </c>
      <c r="C45" s="42"/>
      <c r="D45" s="54"/>
      <c r="E45" s="56" t="s">
        <v>182</v>
      </c>
      <c r="F45" s="56" t="s">
        <v>183</v>
      </c>
      <c r="G45" s="57" t="s">
        <v>7</v>
      </c>
      <c r="H45" s="57" t="s">
        <v>8</v>
      </c>
      <c r="I45" s="57" t="s">
        <v>163</v>
      </c>
    </row>
    <row r="46" spans="1:9">
      <c r="A46" s="55"/>
      <c r="C46" s="25" t="s">
        <v>72</v>
      </c>
      <c r="D46" s="58">
        <f>SUM(E46:F46)</f>
        <v>1</v>
      </c>
      <c r="E46" s="58">
        <f>'FORM 1'!$C$13</f>
        <v>1</v>
      </c>
      <c r="F46" s="58">
        <f>'FORM 1'!$D$13</f>
        <v>0</v>
      </c>
      <c r="G46" s="58">
        <f>'FORM 1'!$E$13</f>
        <v>0</v>
      </c>
      <c r="H46" s="58">
        <f>'FORM 1'!$F$13</f>
        <v>0</v>
      </c>
      <c r="I46" s="58">
        <f>'FORM 1'!$G$13</f>
        <v>0</v>
      </c>
    </row>
    <row r="47" spans="1:9">
      <c r="C47" s="25" t="s">
        <v>113</v>
      </c>
      <c r="D47" s="58">
        <f>SUM(E47:F47)</f>
        <v>1</v>
      </c>
      <c r="E47" s="58">
        <f>'FORM 1'!$C$14</f>
        <v>0</v>
      </c>
      <c r="F47" s="58">
        <f>'FORM 1'!$D$14</f>
        <v>1</v>
      </c>
      <c r="G47" s="58">
        <f>'FORM 1'!$E$14</f>
        <v>0</v>
      </c>
      <c r="H47" s="58">
        <f>'FORM 1'!$F$14</f>
        <v>0</v>
      </c>
      <c r="I47" s="58">
        <f>'FORM 1'!$G$14</f>
        <v>0</v>
      </c>
    </row>
    <row r="48" spans="1:9">
      <c r="C48" s="25" t="s">
        <v>116</v>
      </c>
      <c r="D48" s="58">
        <f>SUM(E48:I48)</f>
        <v>1</v>
      </c>
      <c r="E48" s="58">
        <f>'FORM 1'!$C$18</f>
        <v>0</v>
      </c>
      <c r="F48" s="58">
        <f>'FORM 1'!$D$18</f>
        <v>0.47852963994633424</v>
      </c>
      <c r="G48" s="58">
        <f>'FORM 1'!$E$18</f>
        <v>0.52147036005366576</v>
      </c>
      <c r="H48" s="58">
        <f>'FORM 1'!$F$18</f>
        <v>0</v>
      </c>
      <c r="I48" s="58">
        <f>'FORM 1'!$G$18</f>
        <v>0</v>
      </c>
    </row>
    <row r="49" spans="2:9">
      <c r="C49" s="25" t="s">
        <v>8</v>
      </c>
      <c r="D49" s="58">
        <f>SUM(E49:I49)</f>
        <v>1</v>
      </c>
      <c r="E49" s="58">
        <v>0</v>
      </c>
      <c r="F49" s="58">
        <v>0</v>
      </c>
      <c r="G49" s="58">
        <v>0</v>
      </c>
      <c r="H49" s="58">
        <v>1</v>
      </c>
      <c r="I49" s="58">
        <v>0</v>
      </c>
    </row>
    <row r="50" spans="2:9">
      <c r="C50" s="25" t="s">
        <v>7</v>
      </c>
      <c r="D50" s="58">
        <f>SUM(E50:I50)</f>
        <v>1</v>
      </c>
      <c r="E50" s="58">
        <v>0</v>
      </c>
      <c r="F50" s="58">
        <v>0</v>
      </c>
      <c r="G50" s="58">
        <v>1</v>
      </c>
      <c r="H50" s="58">
        <v>0</v>
      </c>
      <c r="I50" s="58">
        <v>0</v>
      </c>
    </row>
    <row r="51" spans="2:9">
      <c r="B51" s="42"/>
      <c r="C51" s="210" t="s">
        <v>132</v>
      </c>
      <c r="D51" s="58">
        <f>SUM(E51:I51)</f>
        <v>1</v>
      </c>
      <c r="E51" s="58">
        <f>'FORM 1'!$C$16</f>
        <v>0.48923013980835528</v>
      </c>
      <c r="F51" s="58">
        <f>'FORM 1'!$D$16</f>
        <v>0.2444185172929472</v>
      </c>
      <c r="G51" s="58">
        <f>'FORM 1'!$E$16</f>
        <v>0.2663513428986975</v>
      </c>
      <c r="H51" s="58">
        <f>'FORM 1'!$F$16</f>
        <v>0</v>
      </c>
      <c r="I51" s="58">
        <f>'FORM 1'!$G$16</f>
        <v>0</v>
      </c>
    </row>
    <row r="52" spans="2:9">
      <c r="C52" s="25" t="s">
        <v>54</v>
      </c>
      <c r="D52" s="58">
        <f>SUM(E52:I52)</f>
        <v>1</v>
      </c>
      <c r="E52" s="54">
        <f>'SCH M'!F146</f>
        <v>0.44929163079032386</v>
      </c>
      <c r="F52" s="54">
        <f>'SCH M'!G146</f>
        <v>8.4851850814689656E-2</v>
      </c>
      <c r="G52" s="54">
        <f>'SCH M'!H146</f>
        <v>0.32797219630821162</v>
      </c>
      <c r="H52" s="54">
        <f>'SCH M'!I146</f>
        <v>0.13788432208677487</v>
      </c>
      <c r="I52" s="54">
        <f>'SCH M'!J146</f>
        <v>0</v>
      </c>
    </row>
    <row r="53" spans="2:9">
      <c r="D53" s="54"/>
      <c r="E53" s="54"/>
      <c r="F53" s="54"/>
      <c r="G53" s="54"/>
      <c r="H53" s="54"/>
      <c r="I53" s="54"/>
    </row>
    <row r="54" spans="2:9" s="59" customFormat="1">
      <c r="D54" s="60"/>
      <c r="E54" s="60"/>
      <c r="F54" s="60"/>
      <c r="G54" s="60"/>
      <c r="H54" s="60"/>
      <c r="I54" s="60"/>
    </row>
    <row r="55" spans="2:9">
      <c r="D55" s="54"/>
      <c r="E55" s="54"/>
      <c r="F55" s="54"/>
      <c r="G55" s="54"/>
      <c r="H55" s="54"/>
      <c r="I55" s="54"/>
    </row>
  </sheetData>
  <printOptions horizontalCentered="1"/>
  <pageMargins left="0.5" right="0.5" top="0.5" bottom="0.65" header="0.4" footer="0.2"/>
  <pageSetup scale="79" orientation="landscape" r:id="rId1"/>
  <headerFooter alignWithMargins="0">
    <oddFooter>&amp;LExhibit RMP_____(CCP-3)&amp;R&amp;F&amp;CTab 3 - Page  4 of 16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72"/>
  <sheetViews>
    <sheetView zoomScale="90" zoomScaleNormal="90" workbookViewId="0"/>
  </sheetViews>
  <sheetFormatPr defaultRowHeight="12.75"/>
  <cols>
    <col min="1" max="2" width="21.7109375" style="17" customWidth="1"/>
    <col min="3" max="4" width="20.140625" style="17" bestFit="1" customWidth="1"/>
    <col min="5" max="5" width="20" style="17" customWidth="1"/>
    <col min="6" max="6" width="20.140625" style="17" bestFit="1" customWidth="1"/>
    <col min="7" max="7" width="23.5703125" style="17" customWidth="1"/>
    <col min="8" max="8" width="8.85546875" style="17" bestFit="1" customWidth="1"/>
    <col min="9" max="9" width="67.28515625" style="17" bestFit="1" customWidth="1"/>
    <col min="10" max="16384" width="9.140625" style="17"/>
  </cols>
  <sheetData>
    <row r="1" spans="1:9">
      <c r="A1" s="61" t="str">
        <f>+'TOTAL FUNCFAC'!A1</f>
        <v>PacifiCorp</v>
      </c>
      <c r="B1" s="61"/>
      <c r="C1" s="61"/>
      <c r="D1" s="61"/>
      <c r="E1" s="61"/>
      <c r="F1" s="61"/>
      <c r="G1" s="61"/>
    </row>
    <row r="2" spans="1:9">
      <c r="A2" s="62" t="s">
        <v>1</v>
      </c>
      <c r="B2" s="63"/>
      <c r="C2" s="62"/>
      <c r="D2" s="178"/>
      <c r="E2" s="178"/>
      <c r="F2" s="178"/>
      <c r="G2" s="178"/>
    </row>
    <row r="3" spans="1:9">
      <c r="A3" s="61" t="s">
        <v>184</v>
      </c>
      <c r="B3" s="61"/>
      <c r="C3" s="61"/>
      <c r="D3" s="178"/>
      <c r="E3" s="178"/>
      <c r="F3" s="178"/>
      <c r="G3" s="178"/>
    </row>
    <row r="4" spans="1:9">
      <c r="A4" s="207"/>
      <c r="B4" s="61"/>
      <c r="C4" s="61"/>
      <c r="D4" s="178"/>
      <c r="E4" s="178"/>
      <c r="F4" s="178"/>
      <c r="G4" s="178"/>
    </row>
    <row r="5" spans="1:9">
      <c r="A5" s="61"/>
      <c r="B5" s="61"/>
      <c r="C5" s="61"/>
      <c r="D5" s="178"/>
      <c r="E5" s="178"/>
      <c r="F5" s="178"/>
      <c r="G5" s="178"/>
    </row>
    <row r="6" spans="1:9" ht="13.5" thickBot="1">
      <c r="A6" s="6" t="s">
        <v>158</v>
      </c>
      <c r="B6" s="6" t="s">
        <v>10</v>
      </c>
      <c r="C6" s="6" t="s">
        <v>5</v>
      </c>
      <c r="D6" s="6" t="s">
        <v>6</v>
      </c>
      <c r="E6" s="6" t="s">
        <v>7</v>
      </c>
      <c r="F6" s="6" t="s">
        <v>8</v>
      </c>
      <c r="G6" s="6" t="s">
        <v>9</v>
      </c>
    </row>
    <row r="7" spans="1:9">
      <c r="A7" s="189"/>
      <c r="B7" s="189"/>
      <c r="C7" s="189"/>
      <c r="D7" s="189"/>
      <c r="E7" s="178"/>
      <c r="F7" s="178"/>
      <c r="G7" s="178"/>
    </row>
    <row r="8" spans="1:9">
      <c r="A8" s="64" t="s">
        <v>185</v>
      </c>
      <c r="B8" s="213">
        <f>SUM(C8:G8)</f>
        <v>25049580.113476902</v>
      </c>
      <c r="C8" s="214">
        <f>+'GROSS PLANT'!D9</f>
        <v>12255009.5810569</v>
      </c>
      <c r="D8" s="214">
        <f>+'GROSS PLANT'!D10</f>
        <v>6122581.2301469203</v>
      </c>
      <c r="E8" s="214">
        <f>+'GROSS PLANT'!D11</f>
        <v>6671989.3022730798</v>
      </c>
      <c r="F8" s="213">
        <v>0</v>
      </c>
      <c r="G8" s="213">
        <v>0</v>
      </c>
      <c r="I8" s="9" t="s">
        <v>186</v>
      </c>
    </row>
    <row r="9" spans="1:9">
      <c r="A9" s="64" t="s">
        <v>187</v>
      </c>
      <c r="B9" s="213">
        <f>SUM(C9:G9)</f>
        <v>0</v>
      </c>
      <c r="C9" s="213"/>
      <c r="D9" s="213"/>
      <c r="E9" s="213"/>
      <c r="F9" s="213">
        <v>0</v>
      </c>
      <c r="G9" s="213">
        <v>0</v>
      </c>
      <c r="H9" s="16"/>
    </row>
    <row r="10" spans="1:9">
      <c r="A10" s="64" t="s">
        <v>188</v>
      </c>
      <c r="B10" s="213">
        <f>SUM(C10:G10)</f>
        <v>25049580.113476902</v>
      </c>
      <c r="C10" s="213">
        <f>C8+C9</f>
        <v>12255009.5810569</v>
      </c>
      <c r="D10" s="213">
        <f>D8+D9</f>
        <v>6122581.2301469203</v>
      </c>
      <c r="E10" s="213">
        <f>E8+E9</f>
        <v>6671989.3022730798</v>
      </c>
      <c r="F10" s="213">
        <v>0</v>
      </c>
      <c r="G10" s="213">
        <v>0</v>
      </c>
    </row>
    <row r="11" spans="1:9">
      <c r="A11" s="189"/>
      <c r="B11" s="189"/>
      <c r="C11" s="189"/>
      <c r="D11" s="189"/>
      <c r="E11" s="189"/>
      <c r="F11" s="189"/>
      <c r="G11" s="189"/>
      <c r="H11" s="4"/>
    </row>
    <row r="12" spans="1:9">
      <c r="A12" s="64" t="s">
        <v>189</v>
      </c>
      <c r="B12" s="213"/>
      <c r="C12" s="213"/>
      <c r="D12" s="213"/>
      <c r="E12" s="213"/>
      <c r="F12" s="213"/>
      <c r="G12" s="213"/>
      <c r="H12" s="4"/>
    </row>
    <row r="13" spans="1:9">
      <c r="A13" s="64" t="s">
        <v>72</v>
      </c>
      <c r="B13" s="215">
        <f t="shared" ref="B13:B18" si="0">SUM(C13:G13)</f>
        <v>1</v>
      </c>
      <c r="C13" s="215">
        <f>C10/C10</f>
        <v>1</v>
      </c>
      <c r="D13" s="215"/>
      <c r="E13" s="215"/>
      <c r="F13" s="215"/>
      <c r="G13" s="215"/>
      <c r="H13" s="4"/>
    </row>
    <row r="14" spans="1:9">
      <c r="A14" s="64" t="s">
        <v>113</v>
      </c>
      <c r="B14" s="194">
        <f t="shared" si="0"/>
        <v>1</v>
      </c>
      <c r="C14" s="194"/>
      <c r="D14" s="194">
        <f>D10/D10</f>
        <v>1</v>
      </c>
      <c r="E14" s="194"/>
      <c r="F14" s="194"/>
      <c r="G14" s="194"/>
      <c r="H14" s="4"/>
    </row>
    <row r="15" spans="1:9">
      <c r="A15" s="64" t="s">
        <v>7</v>
      </c>
      <c r="B15" s="194">
        <f t="shared" si="0"/>
        <v>1</v>
      </c>
      <c r="C15" s="194"/>
      <c r="D15" s="194"/>
      <c r="E15" s="194">
        <f>E10/E10</f>
        <v>1</v>
      </c>
      <c r="F15" s="194"/>
      <c r="G15" s="194"/>
      <c r="H15" s="4"/>
    </row>
    <row r="16" spans="1:9">
      <c r="A16" s="64" t="s">
        <v>132</v>
      </c>
      <c r="B16" s="194">
        <f t="shared" si="0"/>
        <v>1</v>
      </c>
      <c r="C16" s="194">
        <f>C10/$B10</f>
        <v>0.48923013980835528</v>
      </c>
      <c r="D16" s="194">
        <f>D10/$B10</f>
        <v>0.2444185172929472</v>
      </c>
      <c r="E16" s="194">
        <f>E10/$B10</f>
        <v>0.2663513428986975</v>
      </c>
      <c r="F16" s="194">
        <f>F10/$B10</f>
        <v>0</v>
      </c>
      <c r="G16" s="194">
        <f>G10/$B10</f>
        <v>0</v>
      </c>
      <c r="H16" s="4"/>
    </row>
    <row r="17" spans="1:9">
      <c r="A17" s="64" t="s">
        <v>130</v>
      </c>
      <c r="B17" s="194">
        <f t="shared" si="0"/>
        <v>1</v>
      </c>
      <c r="C17" s="194">
        <f>C10/(C10+D10)</f>
        <v>0.66684527405984495</v>
      </c>
      <c r="D17" s="194">
        <f>D10/(C10+D10)</f>
        <v>0.33315472594015499</v>
      </c>
      <c r="E17" s="194"/>
      <c r="F17" s="194"/>
      <c r="G17" s="194"/>
      <c r="H17" s="4"/>
    </row>
    <row r="18" spans="1:9" ht="13.5" thickBot="1">
      <c r="A18" s="64" t="s">
        <v>116</v>
      </c>
      <c r="B18" s="216">
        <f t="shared" si="0"/>
        <v>1</v>
      </c>
      <c r="C18" s="216"/>
      <c r="D18" s="216">
        <f>D10/(D10+E10)</f>
        <v>0.47852963994633424</v>
      </c>
      <c r="E18" s="216">
        <f>E10/(D10+E10)</f>
        <v>0.52147036005366576</v>
      </c>
      <c r="F18" s="216"/>
      <c r="G18" s="216"/>
      <c r="H18" s="4"/>
    </row>
    <row r="19" spans="1:9" ht="13.5" thickTop="1">
      <c r="A19" s="189"/>
      <c r="B19" s="194"/>
      <c r="C19" s="194"/>
      <c r="D19" s="194"/>
      <c r="E19" s="178"/>
      <c r="F19" s="178"/>
      <c r="G19" s="178"/>
      <c r="H19" s="4"/>
    </row>
    <row r="20" spans="1:9">
      <c r="A20" s="189"/>
      <c r="B20" s="189"/>
      <c r="C20" s="189"/>
      <c r="D20" s="189"/>
      <c r="E20" s="178"/>
      <c r="F20" s="217"/>
      <c r="G20" s="178"/>
      <c r="H20" s="4"/>
    </row>
    <row r="21" spans="1:9">
      <c r="A21" s="61"/>
      <c r="B21" s="61"/>
      <c r="C21" s="66"/>
      <c r="D21" s="66"/>
      <c r="E21" s="66"/>
      <c r="F21" s="66"/>
      <c r="G21" s="178"/>
      <c r="H21" s="4"/>
    </row>
    <row r="22" spans="1:9">
      <c r="A22" s="61"/>
      <c r="B22" s="61"/>
      <c r="C22" s="61"/>
      <c r="D22" s="178"/>
      <c r="E22" s="178"/>
      <c r="F22" s="178"/>
      <c r="G22" s="178"/>
      <c r="H22" s="4"/>
    </row>
    <row r="23" spans="1:9">
      <c r="A23" s="64" t="s">
        <v>54</v>
      </c>
      <c r="B23" s="213">
        <f>SUM(C23:G23)</f>
        <v>313890690</v>
      </c>
      <c r="C23" s="213">
        <v>141028460</v>
      </c>
      <c r="D23" s="213">
        <v>26634206</v>
      </c>
      <c r="E23" s="213">
        <v>102947419</v>
      </c>
      <c r="F23" s="213">
        <f>36939741+6340864</f>
        <v>43280605</v>
      </c>
      <c r="G23" s="213">
        <v>0</v>
      </c>
      <c r="H23" s="39"/>
      <c r="I23" s="70"/>
    </row>
    <row r="24" spans="1:9">
      <c r="A24" s="189"/>
      <c r="B24" s="213"/>
      <c r="C24" s="213"/>
      <c r="D24" s="213"/>
      <c r="E24" s="213"/>
      <c r="F24" s="213"/>
      <c r="G24" s="213"/>
      <c r="H24" s="67"/>
    </row>
    <row r="25" spans="1:9" ht="13.5" thickBot="1">
      <c r="A25" s="189" t="s">
        <v>190</v>
      </c>
      <c r="B25" s="218">
        <f t="shared" ref="B25:G25" si="1">B23/$B23</f>
        <v>1</v>
      </c>
      <c r="C25" s="218">
        <f t="shared" si="1"/>
        <v>0.44929163079032386</v>
      </c>
      <c r="D25" s="218">
        <f t="shared" si="1"/>
        <v>8.4851850814689656E-2</v>
      </c>
      <c r="E25" s="218">
        <f t="shared" si="1"/>
        <v>0.32797219630821162</v>
      </c>
      <c r="F25" s="218">
        <f t="shared" si="1"/>
        <v>0.13788432208677487</v>
      </c>
      <c r="G25" s="218">
        <f t="shared" si="1"/>
        <v>0</v>
      </c>
      <c r="H25" s="68"/>
    </row>
    <row r="26" spans="1:9" ht="13.5" thickTop="1">
      <c r="A26" s="189"/>
      <c r="B26" s="213"/>
      <c r="C26" s="213"/>
      <c r="D26" s="213"/>
      <c r="E26" s="213"/>
      <c r="F26" s="213"/>
      <c r="G26" s="189"/>
      <c r="H26" s="69"/>
    </row>
    <row r="27" spans="1:9">
      <c r="A27" s="189"/>
      <c r="B27" s="189"/>
      <c r="C27" s="213"/>
      <c r="D27" s="213"/>
      <c r="E27" s="213"/>
      <c r="F27" s="213"/>
      <c r="G27" s="189"/>
      <c r="H27" s="69"/>
    </row>
    <row r="28" spans="1:9">
      <c r="A28" s="189"/>
      <c r="B28" s="213"/>
      <c r="C28" s="213"/>
      <c r="D28" s="213"/>
      <c r="E28" s="213"/>
      <c r="F28" s="213"/>
      <c r="G28" s="189"/>
      <c r="H28" s="69"/>
    </row>
    <row r="29" spans="1:9">
      <c r="A29" s="189"/>
      <c r="B29" s="213"/>
      <c r="C29" s="213"/>
      <c r="D29" s="213"/>
      <c r="E29" s="213"/>
      <c r="F29" s="213"/>
      <c r="G29" s="189"/>
      <c r="H29" s="69"/>
    </row>
    <row r="30" spans="1:9">
      <c r="A30" s="64" t="s">
        <v>191</v>
      </c>
      <c r="B30" s="213">
        <f>SUM(C30:G30)</f>
        <v>85232490</v>
      </c>
      <c r="C30" s="213">
        <v>73975748</v>
      </c>
      <c r="D30" s="213">
        <v>381386</v>
      </c>
      <c r="E30" s="213">
        <v>10875356</v>
      </c>
      <c r="F30" s="213">
        <v>0</v>
      </c>
      <c r="G30" s="213">
        <v>0</v>
      </c>
      <c r="H30" s="39"/>
      <c r="I30" s="70"/>
    </row>
    <row r="31" spans="1:9">
      <c r="A31" s="189"/>
      <c r="B31" s="213"/>
      <c r="C31" s="213"/>
      <c r="D31" s="213"/>
      <c r="E31" s="213"/>
      <c r="F31" s="213"/>
      <c r="G31" s="213"/>
      <c r="H31" s="67"/>
    </row>
    <row r="32" spans="1:9" ht="13.5" thickBot="1">
      <c r="A32" s="189" t="s">
        <v>192</v>
      </c>
      <c r="B32" s="218">
        <f t="shared" ref="B32:G32" si="2">B30/$B30</f>
        <v>1</v>
      </c>
      <c r="C32" s="218">
        <f t="shared" si="2"/>
        <v>0.86792897872630492</v>
      </c>
      <c r="D32" s="218">
        <f t="shared" si="2"/>
        <v>4.474655146177238E-3</v>
      </c>
      <c r="E32" s="218">
        <f t="shared" si="2"/>
        <v>0.12759636612751779</v>
      </c>
      <c r="F32" s="218">
        <f t="shared" si="2"/>
        <v>0</v>
      </c>
      <c r="G32" s="218">
        <f t="shared" si="2"/>
        <v>0</v>
      </c>
      <c r="H32" s="68"/>
    </row>
    <row r="33" spans="1:9" ht="13.5" thickTop="1">
      <c r="A33" s="189"/>
      <c r="B33" s="213"/>
      <c r="C33" s="213"/>
      <c r="D33" s="213"/>
      <c r="E33" s="213"/>
      <c r="F33" s="213"/>
      <c r="G33" s="189"/>
      <c r="H33" s="68"/>
    </row>
    <row r="34" spans="1:9">
      <c r="A34" s="189"/>
      <c r="B34" s="189"/>
      <c r="C34" s="213"/>
      <c r="D34" s="213"/>
      <c r="E34" s="213"/>
      <c r="F34" s="213"/>
      <c r="G34" s="189"/>
      <c r="H34" s="69"/>
    </row>
    <row r="35" spans="1:9">
      <c r="A35" s="189"/>
      <c r="B35" s="213"/>
      <c r="C35" s="213"/>
      <c r="D35" s="213"/>
      <c r="E35" s="213"/>
      <c r="F35" s="213"/>
      <c r="G35" s="189"/>
      <c r="H35" s="69"/>
    </row>
    <row r="36" spans="1:9">
      <c r="A36" s="189"/>
      <c r="B36" s="213"/>
      <c r="C36" s="213"/>
      <c r="D36" s="213"/>
      <c r="E36" s="213"/>
      <c r="F36" s="213"/>
      <c r="G36" s="189"/>
      <c r="H36" s="69"/>
    </row>
    <row r="37" spans="1:9">
      <c r="A37" s="64" t="s">
        <v>193</v>
      </c>
      <c r="B37" s="213">
        <v>29288335</v>
      </c>
      <c r="C37" s="213">
        <f>B37-D37</f>
        <v>14098912</v>
      </c>
      <c r="D37" s="213">
        <v>15189423</v>
      </c>
      <c r="E37" s="213">
        <v>0</v>
      </c>
      <c r="F37" s="213">
        <v>0</v>
      </c>
      <c r="G37" s="213">
        <v>0</v>
      </c>
      <c r="H37" s="39"/>
      <c r="I37" s="70"/>
    </row>
    <row r="38" spans="1:9">
      <c r="A38" s="189"/>
      <c r="B38" s="213"/>
      <c r="C38" s="213"/>
      <c r="D38" s="213"/>
      <c r="E38" s="213"/>
      <c r="F38" s="213"/>
      <c r="G38" s="213"/>
      <c r="H38" s="67"/>
    </row>
    <row r="39" spans="1:9" ht="13.5" thickBot="1">
      <c r="A39" s="189" t="s">
        <v>194</v>
      </c>
      <c r="B39" s="218">
        <f t="shared" ref="B39:G39" si="3">B37/$B37</f>
        <v>1</v>
      </c>
      <c r="C39" s="218">
        <f>C37/$B37</f>
        <v>0.48138318549005943</v>
      </c>
      <c r="D39" s="218">
        <f>D37/$B37</f>
        <v>0.51861681450994057</v>
      </c>
      <c r="E39" s="218">
        <f t="shared" si="3"/>
        <v>0</v>
      </c>
      <c r="F39" s="218">
        <f t="shared" si="3"/>
        <v>0</v>
      </c>
      <c r="G39" s="218">
        <f t="shared" si="3"/>
        <v>0</v>
      </c>
      <c r="H39" s="10"/>
    </row>
    <row r="40" spans="1:9" ht="13.5" thickTop="1">
      <c r="A40" s="189"/>
      <c r="B40" s="213"/>
      <c r="C40" s="213"/>
      <c r="D40" s="213"/>
      <c r="E40" s="213"/>
      <c r="F40" s="213"/>
      <c r="G40" s="189"/>
    </row>
    <row r="41" spans="1:9">
      <c r="A41" s="189"/>
      <c r="B41" s="189"/>
      <c r="C41" s="213"/>
      <c r="D41" s="213"/>
      <c r="E41" s="213"/>
      <c r="F41" s="213"/>
      <c r="G41" s="189"/>
    </row>
    <row r="42" spans="1:9">
      <c r="A42" s="189"/>
      <c r="B42" s="213"/>
      <c r="C42" s="213"/>
      <c r="D42" s="213"/>
      <c r="E42" s="213"/>
      <c r="F42" s="213"/>
      <c r="G42" s="189"/>
    </row>
    <row r="43" spans="1:9">
      <c r="B43" s="71"/>
      <c r="E43" s="72"/>
    </row>
    <row r="44" spans="1:9">
      <c r="B44" s="71"/>
      <c r="E44" s="72"/>
    </row>
    <row r="45" spans="1:9">
      <c r="B45" s="71"/>
      <c r="C45" s="73"/>
      <c r="E45" s="72"/>
    </row>
    <row r="46" spans="1:9">
      <c r="B46" s="71"/>
      <c r="E46" s="72"/>
    </row>
    <row r="47" spans="1:9">
      <c r="E47" s="72"/>
    </row>
    <row r="48" spans="1:9">
      <c r="E48" s="72"/>
    </row>
    <row r="49" spans="2:6">
      <c r="E49" s="72"/>
    </row>
    <row r="50" spans="2:6">
      <c r="E50" s="72"/>
    </row>
    <row r="51" spans="2:6">
      <c r="E51" s="72"/>
    </row>
    <row r="52" spans="2:6">
      <c r="E52" s="72"/>
    </row>
    <row r="53" spans="2:6">
      <c r="E53" s="72"/>
    </row>
    <row r="54" spans="2:6">
      <c r="E54" s="72"/>
    </row>
    <row r="55" spans="2:6">
      <c r="B55" s="74"/>
      <c r="C55" s="74"/>
      <c r="D55" s="74"/>
      <c r="E55" s="72"/>
    </row>
    <row r="56" spans="2:6">
      <c r="B56" s="74"/>
      <c r="C56" s="74"/>
      <c r="D56" s="74"/>
      <c r="E56" s="72"/>
    </row>
    <row r="57" spans="2:6">
      <c r="B57" s="75"/>
      <c r="C57" s="76"/>
      <c r="D57" s="77"/>
      <c r="E57" s="72"/>
    </row>
    <row r="58" spans="2:6">
      <c r="B58" s="74"/>
      <c r="C58" s="78"/>
      <c r="D58" s="78"/>
      <c r="E58" s="72"/>
    </row>
    <row r="59" spans="2:6">
      <c r="B59" s="79"/>
      <c r="C59" s="80"/>
      <c r="D59" s="80"/>
      <c r="E59" s="72"/>
    </row>
    <row r="60" spans="2:6">
      <c r="B60" s="79"/>
      <c r="C60" s="80"/>
      <c r="D60" s="80"/>
      <c r="E60" s="72"/>
    </row>
    <row r="61" spans="2:6">
      <c r="B61" s="79"/>
      <c r="C61" s="80"/>
      <c r="D61" s="80"/>
      <c r="E61" s="72"/>
    </row>
    <row r="62" spans="2:6">
      <c r="B62" s="79"/>
      <c r="C62" s="80"/>
      <c r="D62" s="80"/>
      <c r="E62" s="72"/>
    </row>
    <row r="63" spans="2:6">
      <c r="B63" s="79"/>
      <c r="C63" s="80"/>
      <c r="D63" s="80"/>
      <c r="E63" s="74"/>
      <c r="F63" s="74"/>
    </row>
    <row r="64" spans="2:6">
      <c r="B64" s="79"/>
      <c r="C64" s="81"/>
      <c r="D64" s="81"/>
      <c r="E64" s="74"/>
      <c r="F64" s="74"/>
    </row>
    <row r="65" spans="2:6">
      <c r="B65" s="79"/>
      <c r="C65" s="80"/>
      <c r="D65" s="80"/>
      <c r="E65" s="74"/>
      <c r="F65" s="74"/>
    </row>
    <row r="66" spans="2:6">
      <c r="B66" s="79"/>
      <c r="C66" s="80"/>
      <c r="D66" s="80"/>
      <c r="E66" s="74"/>
      <c r="F66" s="74"/>
    </row>
    <row r="67" spans="2:6">
      <c r="B67" s="79"/>
      <c r="C67" s="80"/>
      <c r="D67" s="80"/>
      <c r="E67" s="74"/>
      <c r="F67" s="74"/>
    </row>
    <row r="68" spans="2:6">
      <c r="B68" s="79"/>
      <c r="C68" s="80"/>
      <c r="D68" s="80"/>
      <c r="E68" s="74"/>
      <c r="F68" s="74"/>
    </row>
    <row r="69" spans="2:6">
      <c r="B69" s="79"/>
      <c r="C69" s="80"/>
      <c r="D69" s="80"/>
      <c r="E69" s="74"/>
      <c r="F69" s="74"/>
    </row>
    <row r="70" spans="2:6">
      <c r="B70" s="79"/>
      <c r="C70" s="80"/>
      <c r="D70" s="80"/>
      <c r="E70" s="74"/>
      <c r="F70" s="74"/>
    </row>
    <row r="71" spans="2:6">
      <c r="B71" s="74"/>
      <c r="C71" s="82"/>
      <c r="D71" s="82"/>
      <c r="E71" s="74"/>
      <c r="F71" s="74"/>
    </row>
    <row r="72" spans="2:6">
      <c r="B72" s="74"/>
      <c r="C72" s="74"/>
      <c r="D72" s="74"/>
      <c r="E72" s="74"/>
      <c r="F72" s="74"/>
    </row>
  </sheetData>
  <printOptions horizontalCentered="1"/>
  <pageMargins left="0.5" right="0.5" top="0.5" bottom="0.65" header="0.4" footer="0.2"/>
  <pageSetup scale="82" orientation="landscape" r:id="rId1"/>
  <headerFooter alignWithMargins="0">
    <oddFooter>&amp;LExhibit RMP_____(CCP-3)&amp;R&amp;F&amp;CTab 3 - Page 16 of 16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L32"/>
  <sheetViews>
    <sheetView zoomScale="90" workbookViewId="0"/>
  </sheetViews>
  <sheetFormatPr defaultRowHeight="12.75"/>
  <cols>
    <col min="1" max="1" width="18" style="17" bestFit="1" customWidth="1"/>
    <col min="2" max="7" width="15.7109375" style="17" customWidth="1"/>
    <col min="8" max="8" width="8.85546875" style="17" bestFit="1" customWidth="1"/>
    <col min="9" max="9" width="31.5703125" style="17" bestFit="1" customWidth="1"/>
    <col min="10" max="11" width="9.140625" style="17"/>
    <col min="12" max="12" width="14.7109375" style="17" customWidth="1"/>
    <col min="13" max="16384" width="9.140625" style="17"/>
  </cols>
  <sheetData>
    <row r="1" spans="1:12" ht="15.75" customHeight="1">
      <c r="A1" s="83" t="str">
        <f>+'TOTAL FUNCFAC'!$A$1</f>
        <v>PacifiCorp</v>
      </c>
      <c r="B1" s="83"/>
      <c r="C1" s="83"/>
      <c r="D1" s="83"/>
      <c r="E1" s="83"/>
      <c r="F1" s="83"/>
      <c r="G1" s="83"/>
    </row>
    <row r="2" spans="1:12" ht="15.75" customHeight="1">
      <c r="A2" s="83" t="str">
        <f>+'TOTAL FUNCFAC'!A2</f>
        <v>12 Months Ended December 2017</v>
      </c>
      <c r="B2" s="83"/>
      <c r="C2" s="83"/>
      <c r="D2" s="83"/>
      <c r="E2" s="83"/>
      <c r="F2" s="83"/>
      <c r="G2" s="83"/>
    </row>
    <row r="3" spans="1:12" ht="15.75" customHeight="1">
      <c r="A3" s="83" t="s">
        <v>195</v>
      </c>
      <c r="B3" s="83"/>
      <c r="C3" s="83"/>
      <c r="D3" s="83"/>
      <c r="E3" s="83"/>
      <c r="F3" s="83"/>
      <c r="G3" s="83"/>
    </row>
    <row r="4" spans="1:12">
      <c r="A4" s="207"/>
      <c r="B4" s="84"/>
      <c r="C4" s="189"/>
      <c r="D4" s="189"/>
      <c r="E4" s="189"/>
      <c r="F4" s="189"/>
      <c r="G4" s="189"/>
      <c r="L4" s="66"/>
    </row>
    <row r="5" spans="1:12">
      <c r="A5" s="189"/>
      <c r="B5" s="189"/>
      <c r="C5" s="189"/>
      <c r="D5" s="189"/>
      <c r="E5" s="189"/>
      <c r="F5" s="189"/>
      <c r="G5" s="189"/>
      <c r="H5" s="27"/>
      <c r="L5" s="66"/>
    </row>
    <row r="6" spans="1:12">
      <c r="A6" s="85" t="s">
        <v>3</v>
      </c>
      <c r="B6" s="86" t="s">
        <v>160</v>
      </c>
      <c r="C6" s="86" t="s">
        <v>5</v>
      </c>
      <c r="D6" s="86" t="s">
        <v>6</v>
      </c>
      <c r="E6" s="86" t="s">
        <v>7</v>
      </c>
      <c r="F6" s="86" t="s">
        <v>8</v>
      </c>
      <c r="G6" s="86" t="s">
        <v>9</v>
      </c>
      <c r="H6" s="87"/>
      <c r="L6" s="66"/>
    </row>
    <row r="7" spans="1:12">
      <c r="A7" s="221" t="s">
        <v>8</v>
      </c>
      <c r="B7" s="222">
        <v>1069.37311</v>
      </c>
      <c r="C7" s="88">
        <f>VLOOKUP($A7,$A$16:$G$22,3,FALSE)*$B7</f>
        <v>0</v>
      </c>
      <c r="D7" s="88">
        <f>VLOOKUP($A7,$A$16:$G$22,4,FALSE)*$B7</f>
        <v>0</v>
      </c>
      <c r="E7" s="88">
        <f>VLOOKUP($A7,$A$16:$G$22,5,FALSE)*$B7</f>
        <v>0</v>
      </c>
      <c r="F7" s="88">
        <f>VLOOKUP($A7,$A$16:$G$22,6,FALSE)*$B7</f>
        <v>1069.37311</v>
      </c>
      <c r="G7" s="88">
        <f>VLOOKUP($A7,$A$16:$G$22,7,FALSE)*$B7</f>
        <v>0</v>
      </c>
      <c r="H7" s="39"/>
      <c r="I7" s="55"/>
    </row>
    <row r="8" spans="1:12">
      <c r="A8" s="221" t="s">
        <v>7</v>
      </c>
      <c r="B8" s="222">
        <v>148951.20316999991</v>
      </c>
      <c r="C8" s="88">
        <f>VLOOKUP($A8,$A$16:$G$22,3,FALSE)*$B8</f>
        <v>0</v>
      </c>
      <c r="D8" s="88">
        <f>VLOOKUP($A8,$A$16:$G$22,4,FALSE)*$B8</f>
        <v>0</v>
      </c>
      <c r="E8" s="88">
        <f>VLOOKUP($A8,$A$16:$G$22,5,FALSE)*$B8</f>
        <v>148951.20316999991</v>
      </c>
      <c r="F8" s="88">
        <f>VLOOKUP($A8,$A$16:$G$22,6,FALSE)*$B8</f>
        <v>0</v>
      </c>
      <c r="G8" s="88">
        <f>VLOOKUP($A8,$A$16:$G$22,7,FALSE)*$B8</f>
        <v>0</v>
      </c>
      <c r="H8" s="39"/>
      <c r="I8" s="55"/>
    </row>
    <row r="9" spans="1:12">
      <c r="A9" s="221" t="s">
        <v>72</v>
      </c>
      <c r="B9" s="222">
        <v>405681.88426999992</v>
      </c>
      <c r="C9" s="88">
        <f>VLOOKUP($A9,$A$16:$G$22,3,FALSE)*$B9</f>
        <v>405681.88426999992</v>
      </c>
      <c r="D9" s="88">
        <f>VLOOKUP($A9,$A$16:$G$22,4,FALSE)*$B9</f>
        <v>0</v>
      </c>
      <c r="E9" s="88">
        <f>VLOOKUP($A9,$A$16:$G$22,5,FALSE)*$B9</f>
        <v>0</v>
      </c>
      <c r="F9" s="88">
        <f>VLOOKUP($A9,$A$16:$G$22,6,FALSE)*$B9</f>
        <v>0</v>
      </c>
      <c r="G9" s="88">
        <f>VLOOKUP($A9,$A$16:$G$22,7,FALSE)*$B9</f>
        <v>0</v>
      </c>
      <c r="H9" s="39"/>
      <c r="I9" s="55"/>
    </row>
    <row r="10" spans="1:12">
      <c r="A10" s="221" t="s">
        <v>132</v>
      </c>
      <c r="B10" s="222">
        <v>13364.905119999999</v>
      </c>
      <c r="C10" s="88">
        <f>VLOOKUP($A10,$A$16:$G$22,3,FALSE)*$B10</f>
        <v>6538.5144003830028</v>
      </c>
      <c r="D10" s="88">
        <f>VLOOKUP($A10,$A$16:$G$22,4,FALSE)*$B10</f>
        <v>3266.6302931913183</v>
      </c>
      <c r="E10" s="88">
        <f>VLOOKUP($A10,$A$16:$G$22,5,FALSE)*$B10</f>
        <v>3559.7604264256775</v>
      </c>
      <c r="F10" s="88">
        <f>VLOOKUP($A10,$A$16:$G$22,6,FALSE)*$B10</f>
        <v>0</v>
      </c>
      <c r="G10" s="88">
        <f>VLOOKUP($A10,$A$16:$G$22,7,FALSE)*$B10</f>
        <v>0</v>
      </c>
      <c r="H10" s="39"/>
      <c r="I10" s="55"/>
    </row>
    <row r="11" spans="1:12">
      <c r="A11" s="221" t="s">
        <v>113</v>
      </c>
      <c r="B11" s="222">
        <v>106515.41126000001</v>
      </c>
      <c r="C11" s="88">
        <f>VLOOKUP($A11,$A$16:$G$22,3,FALSE)*$B11</f>
        <v>0</v>
      </c>
      <c r="D11" s="88">
        <f>VLOOKUP($A11,$A$16:$G$22,4,FALSE)*$B11</f>
        <v>106515.41126000001</v>
      </c>
      <c r="E11" s="88">
        <f>VLOOKUP($A11,$A$16:$G$22,5,FALSE)*$B11</f>
        <v>0</v>
      </c>
      <c r="F11" s="88">
        <f>VLOOKUP($A11,$A$16:$G$22,6,FALSE)*$B11</f>
        <v>0</v>
      </c>
      <c r="G11" s="88">
        <f>VLOOKUP($A11,$A$16:$G$22,7,FALSE)*$B11</f>
        <v>0</v>
      </c>
      <c r="H11" s="39"/>
      <c r="I11" s="55"/>
    </row>
    <row r="12" spans="1:12">
      <c r="A12" s="90" t="s">
        <v>14</v>
      </c>
      <c r="B12" s="88">
        <f t="shared" ref="B12:G12" si="0">SUM(B7:B11)</f>
        <v>675582.77692999982</v>
      </c>
      <c r="C12" s="88">
        <f t="shared" si="0"/>
        <v>412220.39867038291</v>
      </c>
      <c r="D12" s="88">
        <f t="shared" si="0"/>
        <v>109782.04155319133</v>
      </c>
      <c r="E12" s="88">
        <f t="shared" si="0"/>
        <v>152510.96359642557</v>
      </c>
      <c r="F12" s="88">
        <f t="shared" si="0"/>
        <v>1069.37311</v>
      </c>
      <c r="G12" s="88">
        <f t="shared" si="0"/>
        <v>0</v>
      </c>
      <c r="H12" s="91"/>
    </row>
    <row r="13" spans="1:12" s="74" customFormat="1">
      <c r="A13" s="90" t="s">
        <v>196</v>
      </c>
      <c r="B13" s="219">
        <f t="shared" ref="B13:G13" si="1">B12/$B12</f>
        <v>1</v>
      </c>
      <c r="C13" s="220">
        <f t="shared" si="1"/>
        <v>0.61017008240441706</v>
      </c>
      <c r="D13" s="220">
        <f t="shared" si="1"/>
        <v>0.16249976361455754</v>
      </c>
      <c r="E13" s="220">
        <f t="shared" si="1"/>
        <v>0.22574726414647472</v>
      </c>
      <c r="F13" s="220">
        <f t="shared" si="1"/>
        <v>1.5828898345506559E-3</v>
      </c>
      <c r="G13" s="220">
        <f t="shared" si="1"/>
        <v>0</v>
      </c>
    </row>
    <row r="14" spans="1:12" s="74" customFormat="1">
      <c r="A14" s="221"/>
      <c r="B14" s="92"/>
      <c r="C14" s="92"/>
      <c r="D14" s="92"/>
      <c r="E14" s="92"/>
      <c r="F14" s="92"/>
      <c r="G14" s="92"/>
    </row>
    <row r="15" spans="1:12">
      <c r="A15" s="189"/>
      <c r="B15" s="223"/>
      <c r="C15" s="189"/>
      <c r="D15" s="189"/>
      <c r="E15" s="189"/>
      <c r="F15" s="189"/>
      <c r="G15" s="189"/>
    </row>
    <row r="16" spans="1:12">
      <c r="A16" s="189" t="s">
        <v>72</v>
      </c>
      <c r="B16" s="194">
        <f>'FORM 1'!$B$13</f>
        <v>1</v>
      </c>
      <c r="C16" s="194">
        <f>'FORM 1'!$C$13</f>
        <v>1</v>
      </c>
      <c r="D16" s="194">
        <f>'FORM 1'!$D$13</f>
        <v>0</v>
      </c>
      <c r="E16" s="194">
        <f>'FORM 1'!$E$13</f>
        <v>0</v>
      </c>
      <c r="F16" s="194">
        <f>'FORM 1'!$F$13</f>
        <v>0</v>
      </c>
      <c r="G16" s="194">
        <f>'FORM 1'!$G$13</f>
        <v>0</v>
      </c>
    </row>
    <row r="17" spans="1:7">
      <c r="A17" s="189" t="s">
        <v>113</v>
      </c>
      <c r="B17" s="194">
        <f>'FORM 1'!$B$14</f>
        <v>1</v>
      </c>
      <c r="C17" s="194">
        <f>'FORM 1'!$C$14</f>
        <v>0</v>
      </c>
      <c r="D17" s="194">
        <f>'FORM 1'!$D$14</f>
        <v>1</v>
      </c>
      <c r="E17" s="194">
        <f>'FORM 1'!$E$14</f>
        <v>0</v>
      </c>
      <c r="F17" s="194">
        <f>'FORM 1'!$F$14</f>
        <v>0</v>
      </c>
      <c r="G17" s="194">
        <f>'FORM 1'!$G$14</f>
        <v>0</v>
      </c>
    </row>
    <row r="18" spans="1:7">
      <c r="A18" s="189" t="s">
        <v>7</v>
      </c>
      <c r="B18" s="194">
        <f>'FORM 1'!$B$15</f>
        <v>1</v>
      </c>
      <c r="C18" s="194">
        <f>'FORM 1'!$C$15</f>
        <v>0</v>
      </c>
      <c r="D18" s="194">
        <f>'FORM 1'!$D$15</f>
        <v>0</v>
      </c>
      <c r="E18" s="194">
        <f>'FORM 1'!$E$15</f>
        <v>1</v>
      </c>
      <c r="F18" s="194">
        <f>'FORM 1'!$F$15</f>
        <v>0</v>
      </c>
      <c r="G18" s="194">
        <f>'FORM 1'!$G$15</f>
        <v>0</v>
      </c>
    </row>
    <row r="19" spans="1:7">
      <c r="A19" s="189" t="s">
        <v>8</v>
      </c>
      <c r="B19" s="194">
        <f>'FORM 1'!$B$15</f>
        <v>1</v>
      </c>
      <c r="C19" s="194">
        <v>0</v>
      </c>
      <c r="D19" s="194">
        <v>0</v>
      </c>
      <c r="E19" s="194">
        <v>0</v>
      </c>
      <c r="F19" s="194">
        <v>1</v>
      </c>
      <c r="G19" s="194">
        <v>0</v>
      </c>
    </row>
    <row r="20" spans="1:7">
      <c r="A20" s="189" t="s">
        <v>132</v>
      </c>
      <c r="B20" s="194">
        <f>'FORM 1'!$B$16</f>
        <v>1</v>
      </c>
      <c r="C20" s="194">
        <f>'FORM 1'!$C$16</f>
        <v>0.48923013980835528</v>
      </c>
      <c r="D20" s="194">
        <f>'FORM 1'!$D$16</f>
        <v>0.2444185172929472</v>
      </c>
      <c r="E20" s="194">
        <f>'FORM 1'!$E$16</f>
        <v>0.2663513428986975</v>
      </c>
      <c r="F20" s="194">
        <f>'FORM 1'!$F$16</f>
        <v>0</v>
      </c>
      <c r="G20" s="194">
        <f>'FORM 1'!$G$16</f>
        <v>0</v>
      </c>
    </row>
    <row r="21" spans="1:7">
      <c r="A21" s="189" t="s">
        <v>116</v>
      </c>
      <c r="B21" s="194">
        <f>'FORM 1'!$B$18</f>
        <v>1</v>
      </c>
      <c r="C21" s="194">
        <f>'FORM 1'!$C$18</f>
        <v>0</v>
      </c>
      <c r="D21" s="194">
        <f>'FORM 1'!$D$18</f>
        <v>0.47852963994633424</v>
      </c>
      <c r="E21" s="194">
        <f>'FORM 1'!$E$18</f>
        <v>0.52147036005366576</v>
      </c>
      <c r="F21" s="194">
        <f>'FORM 1'!$F$18</f>
        <v>0</v>
      </c>
      <c r="G21" s="194">
        <f>'FORM 1'!$G$18</f>
        <v>0</v>
      </c>
    </row>
    <row r="22" spans="1:7">
      <c r="A22" s="189" t="s">
        <v>32</v>
      </c>
      <c r="B22" s="194">
        <f>GP!$D$38</f>
        <v>0.99999999999999989</v>
      </c>
      <c r="C22" s="194">
        <f>GP!$E$38</f>
        <v>0.216069683761582</v>
      </c>
      <c r="D22" s="194">
        <f>GP!$F$38</f>
        <v>0.35141454542449407</v>
      </c>
      <c r="E22" s="194">
        <f>GP!$G$38</f>
        <v>0.41627087625970161</v>
      </c>
      <c r="F22" s="194">
        <f>GP!$H$38</f>
        <v>1.6244894554222143E-2</v>
      </c>
      <c r="G22" s="194">
        <f>GP!$I$38</f>
        <v>0</v>
      </c>
    </row>
    <row r="23" spans="1:7">
      <c r="A23" s="189"/>
      <c r="B23" s="189"/>
      <c r="C23" s="189"/>
      <c r="D23" s="189"/>
      <c r="E23" s="189"/>
      <c r="F23" s="189"/>
      <c r="G23" s="189"/>
    </row>
    <row r="24" spans="1:7">
      <c r="A24" s="189"/>
      <c r="B24" s="189"/>
      <c r="C24" s="189"/>
      <c r="D24" s="189"/>
      <c r="E24" s="189"/>
      <c r="F24" s="189"/>
      <c r="G24" s="189"/>
    </row>
    <row r="25" spans="1:7">
      <c r="B25" s="66"/>
    </row>
    <row r="27" spans="1:7">
      <c r="B27" s="91"/>
    </row>
    <row r="28" spans="1:7">
      <c r="B28" s="91"/>
    </row>
    <row r="30" spans="1:7">
      <c r="B30" s="93"/>
    </row>
    <row r="31" spans="1:7">
      <c r="B31" s="66"/>
    </row>
    <row r="32" spans="1:7">
      <c r="B32" s="91"/>
    </row>
  </sheetData>
  <printOptions horizontalCentered="1"/>
  <pageMargins left="0.5" right="0.5" top="0.5" bottom="0.65" header="0.4" footer="0.2"/>
  <pageSetup orientation="landscape" r:id="rId1"/>
  <headerFooter alignWithMargins="0">
    <oddFooter>&amp;LExhibit RMP_____(CCP-3)&amp;R&amp;F&amp;CTab 3 - Page  8 of 16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K43"/>
  <sheetViews>
    <sheetView zoomScale="90" workbookViewId="0"/>
  </sheetViews>
  <sheetFormatPr defaultRowHeight="12.75"/>
  <cols>
    <col min="1" max="3" width="9.140625" style="17"/>
    <col min="4" max="4" width="16.7109375" style="17" customWidth="1"/>
    <col min="5" max="5" width="17.5703125" style="17" customWidth="1"/>
    <col min="6" max="6" width="14.7109375" style="17" customWidth="1"/>
    <col min="7" max="9" width="16.7109375" style="17" customWidth="1"/>
    <col min="10" max="10" width="8.85546875" style="17" bestFit="1" customWidth="1"/>
    <col min="11" max="11" width="37.28515625" style="17" bestFit="1" customWidth="1"/>
    <col min="12" max="16384" width="9.140625" style="17"/>
  </cols>
  <sheetData>
    <row r="1" spans="1:11">
      <c r="A1" s="61" t="str">
        <f>+'TOTAL FUNCFAC'!A1</f>
        <v>PacifiCorp</v>
      </c>
      <c r="B1" s="178"/>
      <c r="C1" s="178"/>
      <c r="D1" s="178"/>
      <c r="E1" s="178"/>
      <c r="F1" s="178"/>
      <c r="G1" s="178"/>
      <c r="H1" s="178"/>
      <c r="I1" s="178"/>
    </row>
    <row r="2" spans="1:11">
      <c r="A2" s="61" t="str">
        <f>+'TOTAL FUNCFAC'!A2:A2</f>
        <v>12 Months Ended December 2017</v>
      </c>
      <c r="B2" s="61"/>
      <c r="C2" s="61"/>
      <c r="D2" s="61"/>
      <c r="E2" s="61"/>
      <c r="F2" s="61"/>
      <c r="G2" s="61"/>
      <c r="H2" s="61"/>
      <c r="I2" s="61"/>
    </row>
    <row r="3" spans="1:11">
      <c r="A3" s="61" t="s">
        <v>197</v>
      </c>
      <c r="B3" s="61"/>
      <c r="C3" s="61"/>
      <c r="D3" s="61"/>
      <c r="E3" s="61"/>
      <c r="F3" s="61"/>
      <c r="G3" s="61"/>
      <c r="H3" s="61"/>
      <c r="I3" s="61"/>
    </row>
    <row r="4" spans="1:11">
      <c r="A4" s="189"/>
      <c r="B4" s="189"/>
      <c r="C4" s="189"/>
      <c r="D4" s="207"/>
      <c r="E4" s="189"/>
      <c r="F4" s="189"/>
      <c r="G4" s="189"/>
      <c r="H4" s="189"/>
      <c r="I4" s="189"/>
    </row>
    <row r="5" spans="1:11">
      <c r="A5" s="189" t="s">
        <v>198</v>
      </c>
      <c r="B5" s="189"/>
      <c r="C5" s="189"/>
      <c r="D5" s="189"/>
      <c r="E5" s="189"/>
      <c r="F5" s="189"/>
      <c r="G5" s="189"/>
      <c r="H5" s="189"/>
      <c r="I5" s="189"/>
      <c r="J5" s="27"/>
    </row>
    <row r="6" spans="1:11">
      <c r="A6" s="224" t="s">
        <v>199</v>
      </c>
      <c r="B6" s="224" t="s">
        <v>158</v>
      </c>
      <c r="C6" s="224" t="s">
        <v>3</v>
      </c>
      <c r="D6" s="225" t="s">
        <v>160</v>
      </c>
      <c r="E6" s="225" t="s">
        <v>5</v>
      </c>
      <c r="F6" s="225" t="s">
        <v>6</v>
      </c>
      <c r="G6" s="225" t="s">
        <v>7</v>
      </c>
      <c r="H6" s="225" t="s">
        <v>200</v>
      </c>
      <c r="I6" s="225" t="s">
        <v>9</v>
      </c>
      <c r="J6" s="87"/>
    </row>
    <row r="7" spans="1:11">
      <c r="A7" s="189" t="s">
        <v>201</v>
      </c>
      <c r="B7" s="189" t="s">
        <v>202</v>
      </c>
      <c r="C7" s="189" t="s">
        <v>72</v>
      </c>
      <c r="D7" s="226">
        <v>-4333.6179899999988</v>
      </c>
      <c r="E7" s="227">
        <f>$D7*VLOOKUP(+$C7,$C$31:$I37,3,FALSE)</f>
        <v>-4333.6179899999988</v>
      </c>
      <c r="F7" s="227">
        <f>$D7*VLOOKUP(+$C7,$C$31:$I37,4,FALSE)</f>
        <v>0</v>
      </c>
      <c r="G7" s="227">
        <f>$D7*VLOOKUP(+$C7,$C$31:$I37,5,FALSE)</f>
        <v>0</v>
      </c>
      <c r="H7" s="227">
        <f>$D7*VLOOKUP(+$C7,$C$31:$I37,6,FALSE)</f>
        <v>0</v>
      </c>
      <c r="I7" s="227">
        <f>$D7*VLOOKUP(+$C7,$C$31:$I37,7,FALSE)</f>
        <v>0</v>
      </c>
      <c r="J7" s="39"/>
      <c r="K7" s="55"/>
    </row>
    <row r="8" spans="1:11">
      <c r="A8" s="189" t="s">
        <v>201</v>
      </c>
      <c r="B8" s="189" t="s">
        <v>202</v>
      </c>
      <c r="C8" s="189" t="s">
        <v>113</v>
      </c>
      <c r="D8" s="226">
        <v>0</v>
      </c>
      <c r="E8" s="227">
        <f>$D8*VLOOKUP(+$C8,$C$31:$I38,3,FALSE)</f>
        <v>0</v>
      </c>
      <c r="F8" s="227">
        <f>$D8*VLOOKUP(+$C8,$C$31:$I38,4,FALSE)</f>
        <v>0</v>
      </c>
      <c r="G8" s="227">
        <f>$D8*VLOOKUP(+$C8,$C$31:$I38,5,FALSE)</f>
        <v>0</v>
      </c>
      <c r="H8" s="227">
        <f>$D8*VLOOKUP(+$C8,$C$31:$I38,6,FALSE)</f>
        <v>0</v>
      </c>
      <c r="I8" s="227">
        <f>$D8*VLOOKUP(+$C8,$C$31:$I38,7,FALSE)</f>
        <v>0</v>
      </c>
      <c r="J8" s="39"/>
      <c r="K8" s="55"/>
    </row>
    <row r="9" spans="1:11">
      <c r="A9" s="189" t="s">
        <v>201</v>
      </c>
      <c r="B9" s="189" t="s">
        <v>167</v>
      </c>
      <c r="C9" s="189" t="s">
        <v>72</v>
      </c>
      <c r="D9" s="226">
        <v>0</v>
      </c>
      <c r="E9" s="227">
        <f>$D9*VLOOKUP(+$C9,$C$31:$I38,3,FALSE)</f>
        <v>0</v>
      </c>
      <c r="F9" s="227">
        <f>$D9*VLOOKUP(+$C9,$C$31:$I38,4,FALSE)</f>
        <v>0</v>
      </c>
      <c r="G9" s="227">
        <f>$D9*VLOOKUP(+$C9,$C$31:$I38,5,FALSE)</f>
        <v>0</v>
      </c>
      <c r="H9" s="227">
        <f>$D9*VLOOKUP(+$C9,$C$31:$I38,6,FALSE)</f>
        <v>0</v>
      </c>
      <c r="I9" s="227">
        <f>$D9*VLOOKUP(+$C9,$C$31:$I38,7,FALSE)</f>
        <v>0</v>
      </c>
      <c r="J9" s="39"/>
      <c r="K9" s="55"/>
    </row>
    <row r="10" spans="1:11">
      <c r="A10" s="189" t="s">
        <v>201</v>
      </c>
      <c r="B10" s="189" t="s">
        <v>167</v>
      </c>
      <c r="C10" s="189" t="s">
        <v>113</v>
      </c>
      <c r="D10" s="226">
        <v>-14466.35023</v>
      </c>
      <c r="E10" s="227">
        <f>$D10*VLOOKUP(+$C10,$C$31:$I39,3,FALSE)</f>
        <v>0</v>
      </c>
      <c r="F10" s="227">
        <f>$D10*VLOOKUP(+$C10,$C$31:$I39,4,FALSE)</f>
        <v>-14466.35023</v>
      </c>
      <c r="G10" s="227">
        <f>$D10*VLOOKUP(+$C10,$C$31:$I39,5,FALSE)</f>
        <v>0</v>
      </c>
      <c r="H10" s="227">
        <f>$D10*VLOOKUP(+$C10,$C$31:$I39,6,FALSE)</f>
        <v>0</v>
      </c>
      <c r="I10" s="227">
        <f>$D10*VLOOKUP(+$C10,$C$31:$I39,7,FALSE)</f>
        <v>0</v>
      </c>
      <c r="J10" s="39"/>
      <c r="K10" s="55"/>
    </row>
    <row r="11" spans="1:11">
      <c r="A11" s="189" t="s">
        <v>201</v>
      </c>
      <c r="B11" s="189" t="s">
        <v>203</v>
      </c>
      <c r="C11" s="189" t="s">
        <v>72</v>
      </c>
      <c r="D11" s="226">
        <v>-23411.003959999995</v>
      </c>
      <c r="E11" s="227">
        <f>$D11*VLOOKUP(+$C11,$C$31:$I40,3,FALSE)</f>
        <v>-23411.003959999995</v>
      </c>
      <c r="F11" s="227">
        <f>$D11*VLOOKUP(+$C11,$C$31:$I40,4,FALSE)</f>
        <v>0</v>
      </c>
      <c r="G11" s="227">
        <f>$D11*VLOOKUP(+$C11,$C$31:$I40,5,FALSE)</f>
        <v>0</v>
      </c>
      <c r="H11" s="227">
        <f>$D11*VLOOKUP(+$C11,$C$31:$I40,6,FALSE)</f>
        <v>0</v>
      </c>
      <c r="I11" s="227">
        <f>$D11*VLOOKUP(+$C11,$C$31:$I40,7,FALSE)</f>
        <v>0</v>
      </c>
      <c r="J11" s="39"/>
      <c r="K11" s="55"/>
    </row>
    <row r="12" spans="1:11">
      <c r="A12" s="189" t="s">
        <v>201</v>
      </c>
      <c r="B12" s="189" t="s">
        <v>203</v>
      </c>
      <c r="C12" s="189" t="s">
        <v>113</v>
      </c>
      <c r="D12" s="226">
        <v>-101251.48144999998</v>
      </c>
      <c r="E12" s="227">
        <f>$D12*VLOOKUP(+$C12,$C$31:$I40,3,FALSE)</f>
        <v>0</v>
      </c>
      <c r="F12" s="227">
        <f>$D12*VLOOKUP(+$C12,$C$31:$I40,4,FALSE)</f>
        <v>-101251.48144999998</v>
      </c>
      <c r="G12" s="227">
        <f>$D12*VLOOKUP(+$C12,$C$31:$I40,5,FALSE)</f>
        <v>0</v>
      </c>
      <c r="H12" s="227">
        <f>$D12*VLOOKUP(+$C12,$C$31:$I40,6,FALSE)</f>
        <v>0</v>
      </c>
      <c r="I12" s="227">
        <f>$D12*VLOOKUP(+$C12,$C$31:$I40,7,FALSE)</f>
        <v>0</v>
      </c>
      <c r="J12" s="39"/>
      <c r="K12" s="55"/>
    </row>
    <row r="13" spans="1:11">
      <c r="A13" s="189" t="s">
        <v>201</v>
      </c>
      <c r="B13" s="189" t="s">
        <v>204</v>
      </c>
      <c r="C13" s="189" t="s">
        <v>9</v>
      </c>
      <c r="D13" s="226">
        <v>-3212.6725999999999</v>
      </c>
      <c r="E13" s="227">
        <f>$D13*VLOOKUP(+$C13,$C$31:$I41,3,FALSE)</f>
        <v>0</v>
      </c>
      <c r="F13" s="227">
        <f>$D13*VLOOKUP(+$C13,$C$31:$I41,4,FALSE)</f>
        <v>0</v>
      </c>
      <c r="G13" s="227">
        <f>$D13*VLOOKUP(+$C13,$C$31:$I41,5,FALSE)</f>
        <v>0</v>
      </c>
      <c r="H13" s="227">
        <f>$D13*VLOOKUP(+$C13,$C$31:$I41,6,FALSE)</f>
        <v>0</v>
      </c>
      <c r="I13" s="227">
        <f>$D13*VLOOKUP(+$C13,$C$31:$I41,7,FALSE)</f>
        <v>-3212.6725999999999</v>
      </c>
      <c r="J13" s="39"/>
      <c r="K13" s="55"/>
    </row>
    <row r="14" spans="1:11">
      <c r="A14" s="189" t="s">
        <v>201</v>
      </c>
      <c r="B14" s="189" t="s">
        <v>205</v>
      </c>
      <c r="C14" s="189" t="s">
        <v>9</v>
      </c>
      <c r="D14" s="226">
        <v>2636.6581899999996</v>
      </c>
      <c r="E14" s="227">
        <f>$D14*VLOOKUP(+$C14,$C$31:$I42,3,FALSE)</f>
        <v>0</v>
      </c>
      <c r="F14" s="227">
        <f>$D14*VLOOKUP(+$C14,$C$31:$I42,4,FALSE)</f>
        <v>0</v>
      </c>
      <c r="G14" s="227">
        <f>$D14*VLOOKUP(+$C14,$C$31:$I42,5,FALSE)</f>
        <v>0</v>
      </c>
      <c r="H14" s="227">
        <f>$D14*VLOOKUP(+$C14,$C$31:$I42,6,FALSE)</f>
        <v>0</v>
      </c>
      <c r="I14" s="227">
        <f>$D14*VLOOKUP(+$C14,$C$31:$I42,7,FALSE)</f>
        <v>2636.6581899999996</v>
      </c>
      <c r="J14" s="39"/>
      <c r="K14" s="55"/>
    </row>
    <row r="15" spans="1:11">
      <c r="A15" s="189" t="s">
        <v>201</v>
      </c>
      <c r="B15" s="189" t="s">
        <v>205</v>
      </c>
      <c r="C15" s="189" t="s">
        <v>72</v>
      </c>
      <c r="D15" s="226">
        <v>-275.27427</v>
      </c>
      <c r="E15" s="227">
        <f>$D15*VLOOKUP(+$C15,$C$31:$I43,3,FALSE)</f>
        <v>-275.27427</v>
      </c>
      <c r="F15" s="227">
        <f>$D15*VLOOKUP(+$C15,$C$31:$I43,4,FALSE)</f>
        <v>0</v>
      </c>
      <c r="G15" s="227">
        <f>$D15*VLOOKUP(+$C15,$C$31:$I43,5,FALSE)</f>
        <v>0</v>
      </c>
      <c r="H15" s="227">
        <f>$D15*VLOOKUP(+$C15,$C$31:$I43,6,FALSE)</f>
        <v>0</v>
      </c>
      <c r="I15" s="227">
        <f>$D15*VLOOKUP(+$C15,$C$31:$I43,7,FALSE)</f>
        <v>0</v>
      </c>
      <c r="J15" s="39"/>
      <c r="K15" s="55"/>
    </row>
    <row r="16" spans="1:11">
      <c r="A16" s="189" t="s">
        <v>201</v>
      </c>
      <c r="B16" s="189" t="s">
        <v>205</v>
      </c>
      <c r="C16" s="189" t="s">
        <v>113</v>
      </c>
      <c r="D16" s="226">
        <v>3978.7990799999998</v>
      </c>
      <c r="E16" s="227">
        <f>$D16*VLOOKUP(+$C16,$C$31:$I44,3,FALSE)</f>
        <v>0</v>
      </c>
      <c r="F16" s="227">
        <f>$D16*VLOOKUP(+$C16,$C$31:$I44,4,FALSE)</f>
        <v>3978.7990799999998</v>
      </c>
      <c r="G16" s="227">
        <f>$D16*VLOOKUP(+$C16,$C$31:$I44,5,FALSE)</f>
        <v>0</v>
      </c>
      <c r="H16" s="227">
        <f>$D16*VLOOKUP(+$C16,$C$31:$I44,6,FALSE)</f>
        <v>0</v>
      </c>
      <c r="I16" s="227">
        <f>$D16*VLOOKUP(+$C16,$C$31:$I44,7,FALSE)</f>
        <v>0</v>
      </c>
      <c r="J16" s="39"/>
      <c r="K16" s="55"/>
    </row>
    <row r="17" spans="1:10" s="74" customFormat="1">
      <c r="A17" s="85" t="s">
        <v>206</v>
      </c>
      <c r="B17" s="221"/>
      <c r="C17" s="221"/>
      <c r="D17" s="227">
        <f t="shared" ref="D17:I17" si="0">SUMIF($B:$B,"SITUS",D:D)</f>
        <v>6340.1829999999991</v>
      </c>
      <c r="E17" s="227">
        <f t="shared" si="0"/>
        <v>-275.27427</v>
      </c>
      <c r="F17" s="227">
        <f t="shared" si="0"/>
        <v>3978.7990799999998</v>
      </c>
      <c r="G17" s="227">
        <f t="shared" si="0"/>
        <v>0</v>
      </c>
      <c r="H17" s="227">
        <f t="shared" si="0"/>
        <v>0</v>
      </c>
      <c r="I17" s="227">
        <f t="shared" si="0"/>
        <v>2636.6581899999996</v>
      </c>
    </row>
    <row r="18" spans="1:10" s="74" customFormat="1">
      <c r="A18" s="85" t="s">
        <v>207</v>
      </c>
      <c r="B18" s="221"/>
      <c r="C18" s="221"/>
      <c r="D18" s="227">
        <f t="shared" ref="D18:I18" si="1">SUMIF($B:$B,"CN",D:D)</f>
        <v>0</v>
      </c>
      <c r="E18" s="227">
        <f t="shared" si="1"/>
        <v>0</v>
      </c>
      <c r="F18" s="227">
        <f t="shared" si="1"/>
        <v>0</v>
      </c>
      <c r="G18" s="227">
        <f t="shared" si="1"/>
        <v>0</v>
      </c>
      <c r="H18" s="227">
        <f t="shared" si="1"/>
        <v>0</v>
      </c>
      <c r="I18" s="227">
        <f t="shared" si="1"/>
        <v>0</v>
      </c>
    </row>
    <row r="19" spans="1:10" s="74" customFormat="1">
      <c r="A19" s="85" t="s">
        <v>208</v>
      </c>
      <c r="B19" s="221"/>
      <c r="C19" s="221"/>
      <c r="D19" s="227">
        <f t="shared" ref="D19:I19" si="2">SUMIF($B:$B,"SE",D:D)</f>
        <v>-14466.35023</v>
      </c>
      <c r="E19" s="227">
        <f t="shared" si="2"/>
        <v>0</v>
      </c>
      <c r="F19" s="227">
        <f t="shared" si="2"/>
        <v>-14466.35023</v>
      </c>
      <c r="G19" s="227">
        <f t="shared" si="2"/>
        <v>0</v>
      </c>
      <c r="H19" s="227">
        <f t="shared" si="2"/>
        <v>0</v>
      </c>
      <c r="I19" s="227">
        <f t="shared" si="2"/>
        <v>0</v>
      </c>
    </row>
    <row r="20" spans="1:10" s="74" customFormat="1">
      <c r="A20" s="85" t="s">
        <v>209</v>
      </c>
      <c r="B20" s="221"/>
      <c r="C20" s="221"/>
      <c r="D20" s="227">
        <f t="shared" ref="D20:I20" si="3">SUMIF($B:$B,"SG",D:D)</f>
        <v>-124662.48540999996</v>
      </c>
      <c r="E20" s="227">
        <f t="shared" si="3"/>
        <v>-23411.003959999995</v>
      </c>
      <c r="F20" s="227">
        <f t="shared" si="3"/>
        <v>-101251.48144999998</v>
      </c>
      <c r="G20" s="227">
        <f t="shared" si="3"/>
        <v>0</v>
      </c>
      <c r="H20" s="227">
        <f t="shared" si="3"/>
        <v>0</v>
      </c>
      <c r="I20" s="227">
        <f t="shared" si="3"/>
        <v>0</v>
      </c>
    </row>
    <row r="21" spans="1:10" s="74" customFormat="1">
      <c r="A21" s="85" t="s">
        <v>210</v>
      </c>
      <c r="B21" s="221"/>
      <c r="C21" s="221"/>
      <c r="D21" s="227">
        <f t="shared" ref="D21:I21" si="4">SUMIF($B:$B,"SO",D:D)</f>
        <v>-3212.6725999999999</v>
      </c>
      <c r="E21" s="227">
        <f t="shared" si="4"/>
        <v>0</v>
      </c>
      <c r="F21" s="227">
        <f t="shared" si="4"/>
        <v>0</v>
      </c>
      <c r="G21" s="227">
        <f t="shared" si="4"/>
        <v>0</v>
      </c>
      <c r="H21" s="227">
        <f t="shared" si="4"/>
        <v>0</v>
      </c>
      <c r="I21" s="227">
        <f t="shared" si="4"/>
        <v>-3212.6725999999999</v>
      </c>
    </row>
    <row r="22" spans="1:10" s="74" customFormat="1">
      <c r="A22" s="85" t="s">
        <v>211</v>
      </c>
      <c r="B22" s="221"/>
      <c r="C22" s="221"/>
      <c r="D22" s="227">
        <f t="shared" ref="D22:I22" si="5">SUM(D7:D16)</f>
        <v>-140334.94322999998</v>
      </c>
      <c r="E22" s="227">
        <f t="shared" si="5"/>
        <v>-28019.896219999995</v>
      </c>
      <c r="F22" s="227">
        <f t="shared" si="5"/>
        <v>-111739.03259999998</v>
      </c>
      <c r="G22" s="227">
        <f t="shared" si="5"/>
        <v>0</v>
      </c>
      <c r="H22" s="227">
        <f t="shared" si="5"/>
        <v>0</v>
      </c>
      <c r="I22" s="227">
        <f t="shared" si="5"/>
        <v>-576.01441000000023</v>
      </c>
    </row>
    <row r="23" spans="1:10" s="85" customFormat="1">
      <c r="A23" s="85" t="s">
        <v>68</v>
      </c>
      <c r="D23" s="220">
        <f t="shared" ref="D23:D28" si="6">SUM(E23:I23)</f>
        <v>1</v>
      </c>
      <c r="E23" s="220">
        <f>E17/$D$17</f>
        <v>-4.341740135891977E-2</v>
      </c>
      <c r="F23" s="220">
        <f>F17/$D$17</f>
        <v>0.62755271890417053</v>
      </c>
      <c r="G23" s="220">
        <f>G17/$D$17</f>
        <v>0</v>
      </c>
      <c r="H23" s="220">
        <f>H17/$D$17</f>
        <v>0</v>
      </c>
      <c r="I23" s="220">
        <f>I17/$D$17</f>
        <v>0.41586468245474933</v>
      </c>
    </row>
    <row r="24" spans="1:10" s="85" customFormat="1">
      <c r="A24" s="85" t="s">
        <v>212</v>
      </c>
      <c r="D24" s="220">
        <f t="shared" si="6"/>
        <v>0</v>
      </c>
      <c r="E24" s="220" t="str">
        <f>IF(ISERROR(E18/$D$18)," ",(E18/$D$18))</f>
        <v xml:space="preserve"> </v>
      </c>
      <c r="F24" s="220" t="str">
        <f>IF(ISERROR(F18/$D$18)," ",(F18/$D$18))</f>
        <v xml:space="preserve"> </v>
      </c>
      <c r="G24" s="220" t="str">
        <f>IF(ISERROR(G18/$D$18)," ",(G18/$D$18))</f>
        <v xml:space="preserve"> </v>
      </c>
      <c r="H24" s="220" t="str">
        <f>IF(ISERROR(H18/$D$18)," ",(H18/$D$18))</f>
        <v xml:space="preserve"> </v>
      </c>
      <c r="I24" s="220" t="str">
        <f>IF(ISERROR(I18/$D$18)," ",(I18/$D$18))</f>
        <v xml:space="preserve"> </v>
      </c>
    </row>
    <row r="25" spans="1:10" s="74" customFormat="1">
      <c r="A25" s="85" t="s">
        <v>62</v>
      </c>
      <c r="B25" s="221"/>
      <c r="C25" s="221"/>
      <c r="D25" s="220">
        <f t="shared" si="6"/>
        <v>1</v>
      </c>
      <c r="E25" s="220">
        <f>E19/$D$19</f>
        <v>0</v>
      </c>
      <c r="F25" s="220">
        <f>F19/$D$19</f>
        <v>1</v>
      </c>
      <c r="G25" s="220">
        <f>G19/$D$19</f>
        <v>0</v>
      </c>
      <c r="H25" s="220">
        <f>H19/$D$19</f>
        <v>0</v>
      </c>
      <c r="I25" s="220">
        <f>I19/$D$19</f>
        <v>0</v>
      </c>
      <c r="J25" s="94"/>
    </row>
    <row r="26" spans="1:10" s="74" customFormat="1">
      <c r="A26" s="85" t="s">
        <v>64</v>
      </c>
      <c r="B26" s="221"/>
      <c r="C26" s="221"/>
      <c r="D26" s="220">
        <f t="shared" si="6"/>
        <v>1</v>
      </c>
      <c r="E26" s="220">
        <f>E20/$D$20</f>
        <v>0.18779510037044433</v>
      </c>
      <c r="F26" s="220">
        <f>F20/$D$20</f>
        <v>0.81220489962955578</v>
      </c>
      <c r="G26" s="220">
        <f>G20/$D$20</f>
        <v>0</v>
      </c>
      <c r="H26" s="220">
        <f>H20/$D$20</f>
        <v>0</v>
      </c>
      <c r="I26" s="220">
        <f>I20/$D$20</f>
        <v>0</v>
      </c>
    </row>
    <row r="27" spans="1:10" s="74" customFormat="1">
      <c r="A27" s="85" t="s">
        <v>70</v>
      </c>
      <c r="B27" s="221"/>
      <c r="C27" s="221"/>
      <c r="D27" s="220">
        <f t="shared" si="6"/>
        <v>1</v>
      </c>
      <c r="E27" s="220">
        <f>E21/$D$21</f>
        <v>0</v>
      </c>
      <c r="F27" s="220">
        <f>F21/$D$21</f>
        <v>0</v>
      </c>
      <c r="G27" s="220">
        <f>G21/$D$21</f>
        <v>0</v>
      </c>
      <c r="H27" s="220">
        <f>H21/$D$21</f>
        <v>0</v>
      </c>
      <c r="I27" s="220">
        <f>I21/$D$21</f>
        <v>1</v>
      </c>
    </row>
    <row r="28" spans="1:10" ht="12.75" customHeight="1">
      <c r="A28" s="85" t="s">
        <v>213</v>
      </c>
      <c r="B28" s="85"/>
      <c r="C28" s="85"/>
      <c r="D28" s="220">
        <f t="shared" si="6"/>
        <v>1</v>
      </c>
      <c r="E28" s="220">
        <f>E22/$D$22</f>
        <v>0.19966442836747497</v>
      </c>
      <c r="F28" s="220">
        <f>F22/$D$22</f>
        <v>0.79623100297170368</v>
      </c>
      <c r="G28" s="220">
        <f>G22/$D$22</f>
        <v>0</v>
      </c>
      <c r="H28" s="220">
        <f>H22/$D$22</f>
        <v>0</v>
      </c>
      <c r="I28" s="220">
        <f>I22/$D$22</f>
        <v>4.1045686608213432E-3</v>
      </c>
    </row>
    <row r="29" spans="1:10" ht="12.75" customHeight="1">
      <c r="A29" s="189"/>
      <c r="B29" s="189"/>
      <c r="C29" s="189"/>
      <c r="D29" s="66"/>
      <c r="E29" s="66"/>
      <c r="F29" s="66"/>
      <c r="G29" s="189"/>
      <c r="H29" s="189"/>
      <c r="I29" s="189"/>
    </row>
    <row r="30" spans="1:10">
      <c r="A30" s="189"/>
      <c r="B30" s="189"/>
      <c r="C30" s="228"/>
      <c r="D30" s="96" t="s">
        <v>10</v>
      </c>
      <c r="E30" s="97" t="s">
        <v>182</v>
      </c>
      <c r="F30" s="97" t="s">
        <v>183</v>
      </c>
      <c r="G30" s="96" t="s">
        <v>7</v>
      </c>
      <c r="H30" s="96" t="s">
        <v>8</v>
      </c>
      <c r="I30" s="96" t="s">
        <v>9</v>
      </c>
    </row>
    <row r="31" spans="1:10">
      <c r="A31" s="189"/>
      <c r="B31" s="189"/>
      <c r="C31" s="229" t="s">
        <v>72</v>
      </c>
      <c r="D31" s="230">
        <f>SUM(E31:I31)</f>
        <v>1</v>
      </c>
      <c r="E31" s="230">
        <f>'FORM 1'!$C$13</f>
        <v>1</v>
      </c>
      <c r="F31" s="230">
        <f>'FORM 1'!$D$13</f>
        <v>0</v>
      </c>
      <c r="G31" s="230">
        <f>'FORM 1'!$E$13</f>
        <v>0</v>
      </c>
      <c r="H31" s="230">
        <f>'FORM 1'!$F$13</f>
        <v>0</v>
      </c>
      <c r="I31" s="230">
        <f>'FORM 1'!$G$13</f>
        <v>0</v>
      </c>
    </row>
    <row r="32" spans="1:10">
      <c r="A32" s="189"/>
      <c r="B32" s="189"/>
      <c r="C32" s="229" t="s">
        <v>113</v>
      </c>
      <c r="D32" s="230">
        <f t="shared" ref="D32:D37" si="7">SUM(E32:I32)</f>
        <v>1</v>
      </c>
      <c r="E32" s="230">
        <f>'FORM 1'!$C$14</f>
        <v>0</v>
      </c>
      <c r="F32" s="230">
        <f>'FORM 1'!$D$14</f>
        <v>1</v>
      </c>
      <c r="G32" s="230">
        <f>'FORM 1'!$E$14</f>
        <v>0</v>
      </c>
      <c r="H32" s="230">
        <f>'FORM 1'!$F$14</f>
        <v>0</v>
      </c>
      <c r="I32" s="230">
        <f>'FORM 1'!$G$14</f>
        <v>0</v>
      </c>
    </row>
    <row r="33" spans="1:9">
      <c r="A33" s="189"/>
      <c r="B33" s="189"/>
      <c r="C33" s="229" t="s">
        <v>116</v>
      </c>
      <c r="D33" s="230">
        <f t="shared" si="7"/>
        <v>1</v>
      </c>
      <c r="E33" s="230">
        <f>'FORM 1'!$C$18</f>
        <v>0</v>
      </c>
      <c r="F33" s="230">
        <f>'FORM 1'!$D$18</f>
        <v>0.47852963994633424</v>
      </c>
      <c r="G33" s="230">
        <f>'FORM 1'!$E$18</f>
        <v>0.52147036005366576</v>
      </c>
      <c r="H33" s="230">
        <f>'FORM 1'!$F$18</f>
        <v>0</v>
      </c>
      <c r="I33" s="230">
        <f>'FORM 1'!$G$18</f>
        <v>0</v>
      </c>
    </row>
    <row r="34" spans="1:9">
      <c r="A34" s="189"/>
      <c r="B34" s="189"/>
      <c r="C34" s="229" t="s">
        <v>8</v>
      </c>
      <c r="D34" s="230">
        <f t="shared" si="7"/>
        <v>1</v>
      </c>
      <c r="E34" s="230">
        <v>0</v>
      </c>
      <c r="F34" s="230">
        <v>0</v>
      </c>
      <c r="G34" s="230">
        <v>0</v>
      </c>
      <c r="H34" s="230">
        <v>1</v>
      </c>
      <c r="I34" s="230">
        <v>0</v>
      </c>
    </row>
    <row r="35" spans="1:9">
      <c r="A35" s="189"/>
      <c r="B35" s="189"/>
      <c r="C35" s="229" t="s">
        <v>7</v>
      </c>
      <c r="D35" s="230">
        <f t="shared" si="7"/>
        <v>1</v>
      </c>
      <c r="E35" s="230">
        <v>0</v>
      </c>
      <c r="F35" s="230">
        <v>0</v>
      </c>
      <c r="G35" s="230">
        <v>1</v>
      </c>
      <c r="H35" s="230">
        <v>0</v>
      </c>
      <c r="I35" s="230">
        <v>0</v>
      </c>
    </row>
    <row r="36" spans="1:9">
      <c r="A36" s="189"/>
      <c r="B36" s="189"/>
      <c r="C36" s="231" t="s">
        <v>132</v>
      </c>
      <c r="D36" s="230">
        <f t="shared" si="7"/>
        <v>1</v>
      </c>
      <c r="E36" s="230">
        <f>'FORM 1'!$C$16</f>
        <v>0.48923013980835528</v>
      </c>
      <c r="F36" s="230">
        <f>'FORM 1'!$D$16</f>
        <v>0.2444185172929472</v>
      </c>
      <c r="G36" s="230">
        <f>'FORM 1'!$E$16</f>
        <v>0.2663513428986975</v>
      </c>
      <c r="H36" s="230">
        <f>'FORM 1'!$F$16</f>
        <v>0</v>
      </c>
      <c r="I36" s="230">
        <f>'FORM 1'!$G$16</f>
        <v>0</v>
      </c>
    </row>
    <row r="37" spans="1:9">
      <c r="A37" s="189"/>
      <c r="B37" s="189"/>
      <c r="C37" s="189" t="s">
        <v>9</v>
      </c>
      <c r="D37" s="230">
        <f t="shared" si="7"/>
        <v>1</v>
      </c>
      <c r="E37" s="230">
        <v>0</v>
      </c>
      <c r="F37" s="230">
        <v>0</v>
      </c>
      <c r="G37" s="230">
        <v>0</v>
      </c>
      <c r="H37" s="230">
        <v>0</v>
      </c>
      <c r="I37" s="230">
        <v>1</v>
      </c>
    </row>
    <row r="38" spans="1:9">
      <c r="A38" s="189"/>
      <c r="B38" s="189"/>
      <c r="C38" s="189"/>
      <c r="D38" s="189"/>
      <c r="E38" s="189"/>
      <c r="F38" s="189"/>
      <c r="G38" s="189"/>
      <c r="H38" s="189"/>
      <c r="I38" s="189"/>
    </row>
    <row r="39" spans="1:9">
      <c r="A39" s="189"/>
      <c r="B39" s="189"/>
      <c r="C39" s="189"/>
      <c r="D39" s="189"/>
      <c r="E39" s="189"/>
      <c r="F39" s="189"/>
      <c r="G39" s="189"/>
      <c r="H39" s="189"/>
      <c r="I39" s="189"/>
    </row>
    <row r="40" spans="1:9">
      <c r="A40" s="189"/>
      <c r="B40" s="189"/>
      <c r="C40" s="189"/>
      <c r="D40" s="189"/>
      <c r="E40" s="189"/>
      <c r="F40" s="189"/>
      <c r="G40" s="189"/>
      <c r="H40" s="189"/>
      <c r="I40" s="189"/>
    </row>
    <row r="41" spans="1:9">
      <c r="A41" s="189"/>
      <c r="B41" s="189"/>
      <c r="C41" s="189"/>
      <c r="D41" s="232" t="s">
        <v>333</v>
      </c>
      <c r="E41" s="189"/>
      <c r="F41" s="189"/>
      <c r="G41" s="189"/>
      <c r="H41" s="189"/>
      <c r="I41" s="189"/>
    </row>
    <row r="42" spans="1:9">
      <c r="A42" s="189"/>
      <c r="B42" s="189"/>
      <c r="C42" s="189"/>
      <c r="D42" s="189"/>
      <c r="E42" s="189"/>
      <c r="F42" s="189"/>
      <c r="G42" s="189"/>
      <c r="H42" s="189"/>
      <c r="I42" s="189"/>
    </row>
    <row r="43" spans="1:9">
      <c r="A43" s="189"/>
      <c r="B43" s="189"/>
      <c r="C43" s="189"/>
      <c r="D43" s="189"/>
      <c r="E43" s="189"/>
      <c r="F43" s="189"/>
      <c r="G43" s="189"/>
      <c r="H43" s="189"/>
      <c r="I43" s="189"/>
    </row>
  </sheetData>
  <printOptions horizontalCentered="1"/>
  <pageMargins left="0.5" right="0.5" top="0.5" bottom="0.65" header="0.4" footer="0.2"/>
  <pageSetup orientation="landscape" r:id="rId1"/>
  <headerFooter alignWithMargins="0">
    <oddFooter>&amp;LExhibit RMP_____(CCP-3)&amp;R&amp;F&amp;CTab 3 - Page  7 of 16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13">
    <pageSetUpPr fitToPage="1"/>
  </sheetPr>
  <dimension ref="A1:K70"/>
  <sheetViews>
    <sheetView defaultGridColor="0" colorId="22" zoomScale="90" zoomScaleNormal="80" workbookViewId="0"/>
  </sheetViews>
  <sheetFormatPr defaultColWidth="12.5703125" defaultRowHeight="12.75"/>
  <cols>
    <col min="1" max="1" width="24.28515625" style="101" bestFit="1" customWidth="1"/>
    <col min="2" max="2" width="13" style="101" customWidth="1"/>
    <col min="3" max="3" width="10.7109375" style="101" customWidth="1"/>
    <col min="4" max="4" width="20" style="101" customWidth="1"/>
    <col min="5" max="5" width="13.42578125" style="101" bestFit="1" customWidth="1"/>
    <col min="6" max="9" width="13.42578125" style="101" customWidth="1"/>
    <col min="10" max="10" width="8.85546875" style="101" bestFit="1" customWidth="1"/>
    <col min="11" max="11" width="19.7109375" style="101" bestFit="1" customWidth="1"/>
    <col min="12" max="16384" width="12.5703125" style="101"/>
  </cols>
  <sheetData>
    <row r="1" spans="1:11">
      <c r="A1" s="22" t="str">
        <f>+'TOTAL FUNCFAC'!$A$1</f>
        <v>PacifiCorp</v>
      </c>
      <c r="B1" s="99"/>
      <c r="C1" s="99"/>
      <c r="D1" s="99"/>
      <c r="E1" s="99"/>
      <c r="F1" s="99"/>
      <c r="G1" s="99"/>
      <c r="H1" s="100"/>
      <c r="I1" s="100"/>
    </row>
    <row r="2" spans="1:11">
      <c r="A2" s="22" t="str">
        <f>+'TOTAL FUNCFAC'!A2</f>
        <v>12 Months Ended December 2017</v>
      </c>
      <c r="B2" s="99"/>
      <c r="C2" s="99"/>
      <c r="D2" s="99"/>
      <c r="E2" s="99"/>
      <c r="F2" s="99"/>
      <c r="G2" s="99"/>
      <c r="H2" s="100"/>
      <c r="I2" s="100"/>
    </row>
    <row r="3" spans="1:11">
      <c r="A3" s="22" t="s">
        <v>33</v>
      </c>
      <c r="B3" s="99"/>
      <c r="C3" s="99"/>
      <c r="D3" s="99"/>
      <c r="E3" s="99"/>
      <c r="F3" s="99"/>
      <c r="G3" s="99"/>
      <c r="H3" s="100"/>
      <c r="I3" s="100"/>
    </row>
    <row r="4" spans="1:11">
      <c r="B4" s="22"/>
    </row>
    <row r="5" spans="1:11">
      <c r="B5" s="102" t="s">
        <v>157</v>
      </c>
    </row>
    <row r="6" spans="1:11">
      <c r="A6" s="103" t="s">
        <v>4</v>
      </c>
      <c r="B6" s="104" t="s">
        <v>158</v>
      </c>
      <c r="C6" s="104" t="s">
        <v>159</v>
      </c>
      <c r="D6" s="104" t="s">
        <v>160</v>
      </c>
      <c r="E6" s="104" t="s">
        <v>182</v>
      </c>
      <c r="F6" s="104" t="s">
        <v>183</v>
      </c>
      <c r="G6" s="104" t="s">
        <v>7</v>
      </c>
      <c r="H6" s="105" t="s">
        <v>8</v>
      </c>
      <c r="I6" s="105" t="s">
        <v>9</v>
      </c>
      <c r="J6" s="207"/>
    </row>
    <row r="7" spans="1:11" s="109" customFormat="1">
      <c r="A7" s="46" t="s">
        <v>168</v>
      </c>
      <c r="B7" s="106" t="s">
        <v>214</v>
      </c>
      <c r="C7" s="107" t="s">
        <v>8</v>
      </c>
      <c r="D7" s="138">
        <v>19228.541661538471</v>
      </c>
      <c r="E7" s="108">
        <f t="shared" ref="E7:E21" si="0">$D7*VLOOKUP(+$C7,$B$45:$H$51,3)</f>
        <v>0</v>
      </c>
      <c r="F7" s="108">
        <f t="shared" ref="F7:F21" si="1">$D7*VLOOKUP(+$C7,$B$45:$H$51,4)</f>
        <v>0</v>
      </c>
      <c r="G7" s="108">
        <f t="shared" ref="G7:G21" si="2">$D7*VLOOKUP(+$C7,$B$45:$H$51,5)</f>
        <v>0</v>
      </c>
      <c r="H7" s="108">
        <f t="shared" ref="H7:H21" si="3">$D7*VLOOKUP(+$C7,$B$45:$H$51,6)</f>
        <v>19228.541661538471</v>
      </c>
      <c r="I7" s="108">
        <f t="shared" ref="I7:I21" si="4">$D7*VLOOKUP(+$C7,$B$45:$H$51,7)</f>
        <v>0</v>
      </c>
      <c r="J7" s="238"/>
      <c r="K7" s="55"/>
    </row>
    <row r="8" spans="1:11" s="109" customFormat="1">
      <c r="A8" s="46"/>
      <c r="B8" s="106" t="s">
        <v>167</v>
      </c>
      <c r="C8" s="107" t="s">
        <v>72</v>
      </c>
      <c r="D8" s="138">
        <v>5473.1030215384626</v>
      </c>
      <c r="E8" s="108">
        <f t="shared" si="0"/>
        <v>5473.1030215384626</v>
      </c>
      <c r="F8" s="108">
        <f t="shared" si="1"/>
        <v>0</v>
      </c>
      <c r="G8" s="108">
        <f t="shared" si="2"/>
        <v>0</v>
      </c>
      <c r="H8" s="108">
        <f t="shared" si="3"/>
        <v>0</v>
      </c>
      <c r="I8" s="108">
        <f t="shared" si="4"/>
        <v>0</v>
      </c>
      <c r="J8" s="238"/>
      <c r="K8" s="55"/>
    </row>
    <row r="9" spans="1:11" s="109" customFormat="1">
      <c r="A9" s="46"/>
      <c r="B9" s="47" t="s">
        <v>203</v>
      </c>
      <c r="C9" s="110" t="s">
        <v>72</v>
      </c>
      <c r="D9" s="138">
        <v>118178.45807769234</v>
      </c>
      <c r="E9" s="111">
        <f t="shared" si="0"/>
        <v>118178.45807769234</v>
      </c>
      <c r="F9" s="111">
        <f t="shared" si="1"/>
        <v>0</v>
      </c>
      <c r="G9" s="111">
        <f t="shared" si="2"/>
        <v>0</v>
      </c>
      <c r="H9" s="111">
        <f t="shared" si="3"/>
        <v>0</v>
      </c>
      <c r="I9" s="111">
        <f t="shared" si="4"/>
        <v>0</v>
      </c>
      <c r="J9" s="238"/>
      <c r="K9" s="55"/>
    </row>
    <row r="10" spans="1:11" s="109" customFormat="1">
      <c r="A10" s="46"/>
      <c r="B10" s="47" t="s">
        <v>203</v>
      </c>
      <c r="C10" s="110" t="s">
        <v>113</v>
      </c>
      <c r="D10" s="138">
        <v>162372.44940076899</v>
      </c>
      <c r="E10" s="111">
        <f t="shared" si="0"/>
        <v>0</v>
      </c>
      <c r="F10" s="111">
        <f t="shared" si="1"/>
        <v>162372.44940076899</v>
      </c>
      <c r="G10" s="111">
        <f t="shared" si="2"/>
        <v>0</v>
      </c>
      <c r="H10" s="111">
        <f t="shared" si="3"/>
        <v>0</v>
      </c>
      <c r="I10" s="111">
        <f t="shared" si="4"/>
        <v>0</v>
      </c>
      <c r="J10" s="238"/>
      <c r="K10" s="55"/>
    </row>
    <row r="11" spans="1:11" s="109" customFormat="1">
      <c r="A11" s="46"/>
      <c r="B11" s="106" t="s">
        <v>203</v>
      </c>
      <c r="C11" s="107" t="s">
        <v>116</v>
      </c>
      <c r="D11" s="138">
        <v>0</v>
      </c>
      <c r="E11" s="108">
        <f t="shared" si="0"/>
        <v>0</v>
      </c>
      <c r="F11" s="108">
        <f t="shared" si="1"/>
        <v>0</v>
      </c>
      <c r="G11" s="108">
        <f t="shared" si="2"/>
        <v>0</v>
      </c>
      <c r="H11" s="108">
        <f t="shared" si="3"/>
        <v>0</v>
      </c>
      <c r="I11" s="108">
        <f t="shared" si="4"/>
        <v>0</v>
      </c>
      <c r="J11" s="238"/>
      <c r="K11" s="55"/>
    </row>
    <row r="12" spans="1:11" s="109" customFormat="1">
      <c r="A12" s="46" t="s">
        <v>33</v>
      </c>
      <c r="B12" s="112" t="s">
        <v>204</v>
      </c>
      <c r="C12" s="113" t="s">
        <v>7</v>
      </c>
      <c r="D12" s="236">
        <v>0</v>
      </c>
      <c r="E12" s="114">
        <f t="shared" si="0"/>
        <v>0</v>
      </c>
      <c r="F12" s="114">
        <f t="shared" si="1"/>
        <v>0</v>
      </c>
      <c r="G12" s="114">
        <f t="shared" si="2"/>
        <v>0</v>
      </c>
      <c r="H12" s="114">
        <f t="shared" si="3"/>
        <v>0</v>
      </c>
      <c r="I12" s="114">
        <f t="shared" si="4"/>
        <v>0</v>
      </c>
      <c r="J12" s="238"/>
      <c r="K12" s="55"/>
    </row>
    <row r="13" spans="1:11" s="109" customFormat="1">
      <c r="A13" s="46"/>
      <c r="B13" s="47" t="s">
        <v>204</v>
      </c>
      <c r="C13" s="110" t="s">
        <v>132</v>
      </c>
      <c r="D13" s="138">
        <v>270022.08184923086</v>
      </c>
      <c r="E13" s="111">
        <f t="shared" si="0"/>
        <v>132102.94085444236</v>
      </c>
      <c r="F13" s="111">
        <f t="shared" si="1"/>
        <v>65998.396881943831</v>
      </c>
      <c r="G13" s="111">
        <f t="shared" si="2"/>
        <v>71920.744112844652</v>
      </c>
      <c r="H13" s="111">
        <f t="shared" si="3"/>
        <v>0</v>
      </c>
      <c r="I13" s="111">
        <f t="shared" si="4"/>
        <v>0</v>
      </c>
      <c r="J13" s="238"/>
      <c r="K13" s="55"/>
    </row>
    <row r="14" spans="1:11" s="109" customFormat="1">
      <c r="A14" s="46"/>
      <c r="B14" s="47" t="s">
        <v>204</v>
      </c>
      <c r="C14" s="110" t="s">
        <v>116</v>
      </c>
      <c r="D14" s="138">
        <v>0</v>
      </c>
      <c r="E14" s="111">
        <f t="shared" si="0"/>
        <v>0</v>
      </c>
      <c r="F14" s="111">
        <f t="shared" si="1"/>
        <v>0</v>
      </c>
      <c r="G14" s="111">
        <f t="shared" si="2"/>
        <v>0</v>
      </c>
      <c r="H14" s="111">
        <f t="shared" si="3"/>
        <v>0</v>
      </c>
      <c r="I14" s="111">
        <f t="shared" si="4"/>
        <v>0</v>
      </c>
    </row>
    <row r="15" spans="1:11" s="109" customFormat="1">
      <c r="A15" s="46"/>
      <c r="B15" s="106" t="s">
        <v>204</v>
      </c>
      <c r="C15" s="107" t="s">
        <v>72</v>
      </c>
      <c r="D15" s="237">
        <v>0</v>
      </c>
      <c r="E15" s="108">
        <f t="shared" si="0"/>
        <v>0</v>
      </c>
      <c r="F15" s="108">
        <f t="shared" si="1"/>
        <v>0</v>
      </c>
      <c r="G15" s="108">
        <f t="shared" si="2"/>
        <v>0</v>
      </c>
      <c r="H15" s="108">
        <f t="shared" si="3"/>
        <v>0</v>
      </c>
      <c r="I15" s="108">
        <f t="shared" si="4"/>
        <v>0</v>
      </c>
    </row>
    <row r="16" spans="1:11" s="109" customFormat="1">
      <c r="A16" s="115"/>
      <c r="B16" s="47" t="s">
        <v>215</v>
      </c>
      <c r="C16" s="110" t="s">
        <v>72</v>
      </c>
      <c r="D16" s="138">
        <v>0</v>
      </c>
      <c r="E16" s="111">
        <f t="shared" si="0"/>
        <v>0</v>
      </c>
      <c r="F16" s="111">
        <f t="shared" si="1"/>
        <v>0</v>
      </c>
      <c r="G16" s="111">
        <f t="shared" si="2"/>
        <v>0</v>
      </c>
      <c r="H16" s="111">
        <f t="shared" si="3"/>
        <v>0</v>
      </c>
      <c r="I16" s="111">
        <f t="shared" si="4"/>
        <v>0</v>
      </c>
    </row>
    <row r="17" spans="1:11" s="109" customFormat="1">
      <c r="A17" s="115"/>
      <c r="B17" s="47" t="s">
        <v>216</v>
      </c>
      <c r="C17" s="110" t="s">
        <v>7</v>
      </c>
      <c r="D17" s="138">
        <v>0</v>
      </c>
      <c r="E17" s="111">
        <f t="shared" si="0"/>
        <v>0</v>
      </c>
      <c r="F17" s="111">
        <f t="shared" si="1"/>
        <v>0</v>
      </c>
      <c r="G17" s="111">
        <f t="shared" si="2"/>
        <v>0</v>
      </c>
      <c r="H17" s="111">
        <f t="shared" si="3"/>
        <v>0</v>
      </c>
      <c r="I17" s="111">
        <f t="shared" si="4"/>
        <v>0</v>
      </c>
    </row>
    <row r="18" spans="1:11" s="109" customFormat="1">
      <c r="A18" s="115"/>
      <c r="B18" s="106" t="s">
        <v>216</v>
      </c>
      <c r="C18" s="107" t="s">
        <v>72</v>
      </c>
      <c r="D18" s="138">
        <v>0</v>
      </c>
      <c r="E18" s="108">
        <f t="shared" si="0"/>
        <v>0</v>
      </c>
      <c r="F18" s="108">
        <f t="shared" si="1"/>
        <v>0</v>
      </c>
      <c r="G18" s="108">
        <f t="shared" si="2"/>
        <v>0</v>
      </c>
      <c r="H18" s="108">
        <f t="shared" si="3"/>
        <v>0</v>
      </c>
      <c r="I18" s="108">
        <f t="shared" si="4"/>
        <v>0</v>
      </c>
      <c r="J18" s="238"/>
      <c r="K18" s="55"/>
    </row>
    <row r="19" spans="1:11" s="109" customFormat="1">
      <c r="A19" s="46"/>
      <c r="B19" s="47" t="s">
        <v>205</v>
      </c>
      <c r="C19" s="110" t="s">
        <v>7</v>
      </c>
      <c r="D19" s="138">
        <v>216385.33103615389</v>
      </c>
      <c r="E19" s="111">
        <f t="shared" si="0"/>
        <v>0</v>
      </c>
      <c r="F19" s="111">
        <f t="shared" si="1"/>
        <v>0</v>
      </c>
      <c r="G19" s="111">
        <f t="shared" si="2"/>
        <v>216385.33103615389</v>
      </c>
      <c r="H19" s="111">
        <f t="shared" si="3"/>
        <v>0</v>
      </c>
      <c r="I19" s="111">
        <f t="shared" si="4"/>
        <v>0</v>
      </c>
      <c r="J19" s="238"/>
      <c r="K19" s="55"/>
    </row>
    <row r="20" spans="1:11" s="109" customFormat="1">
      <c r="A20" s="46"/>
      <c r="B20" s="47" t="s">
        <v>205</v>
      </c>
      <c r="C20" s="110" t="s">
        <v>72</v>
      </c>
      <c r="D20" s="138">
        <v>0</v>
      </c>
      <c r="E20" s="111">
        <f t="shared" si="0"/>
        <v>0</v>
      </c>
      <c r="F20" s="111">
        <f t="shared" si="1"/>
        <v>0</v>
      </c>
      <c r="G20" s="111">
        <f t="shared" si="2"/>
        <v>0</v>
      </c>
      <c r="H20" s="111">
        <f t="shared" si="3"/>
        <v>0</v>
      </c>
      <c r="I20" s="111">
        <f t="shared" si="4"/>
        <v>0</v>
      </c>
      <c r="J20" s="238"/>
      <c r="K20" s="55"/>
    </row>
    <row r="21" spans="1:11" s="109" customFormat="1">
      <c r="A21" s="46"/>
      <c r="B21" s="106" t="s">
        <v>205</v>
      </c>
      <c r="C21" s="107" t="s">
        <v>116</v>
      </c>
      <c r="D21" s="138">
        <v>392006.79236769228</v>
      </c>
      <c r="E21" s="108">
        <f t="shared" si="0"/>
        <v>0</v>
      </c>
      <c r="F21" s="108">
        <f t="shared" si="1"/>
        <v>187586.86920822918</v>
      </c>
      <c r="G21" s="108">
        <f t="shared" si="2"/>
        <v>204419.9231594631</v>
      </c>
      <c r="H21" s="108">
        <f t="shared" si="3"/>
        <v>0</v>
      </c>
      <c r="I21" s="108">
        <f t="shared" si="4"/>
        <v>0</v>
      </c>
      <c r="J21" s="238"/>
      <c r="K21" s="55"/>
    </row>
    <row r="22" spans="1:11" s="109" customFormat="1">
      <c r="A22" s="103" t="s">
        <v>217</v>
      </c>
      <c r="B22" s="47"/>
      <c r="C22" s="110"/>
      <c r="D22" s="111">
        <f t="shared" ref="D22:I22" si="5">SUMIF($C:$C,"CUST",D:D)</f>
        <v>19228.541661538471</v>
      </c>
      <c r="E22" s="111">
        <f t="shared" si="5"/>
        <v>0</v>
      </c>
      <c r="F22" s="111">
        <f t="shared" si="5"/>
        <v>0</v>
      </c>
      <c r="G22" s="111">
        <f t="shared" si="5"/>
        <v>0</v>
      </c>
      <c r="H22" s="111">
        <f t="shared" si="5"/>
        <v>19228.541661538471</v>
      </c>
      <c r="I22" s="111">
        <f t="shared" si="5"/>
        <v>0</v>
      </c>
    </row>
    <row r="23" spans="1:11" s="109" customFormat="1">
      <c r="A23" s="103" t="s">
        <v>218</v>
      </c>
      <c r="B23" s="47"/>
      <c r="C23" s="110"/>
      <c r="D23" s="111">
        <f t="shared" ref="D23:I23" si="6">SUMIF($C:$C,"TD",D:D)</f>
        <v>392006.79236769228</v>
      </c>
      <c r="E23" s="111">
        <f t="shared" si="6"/>
        <v>0</v>
      </c>
      <c r="F23" s="111">
        <f t="shared" si="6"/>
        <v>187586.86920822918</v>
      </c>
      <c r="G23" s="111">
        <f t="shared" si="6"/>
        <v>204419.9231594631</v>
      </c>
      <c r="H23" s="111">
        <f t="shared" si="6"/>
        <v>0</v>
      </c>
      <c r="I23" s="111">
        <f t="shared" si="6"/>
        <v>0</v>
      </c>
    </row>
    <row r="24" spans="1:11" s="109" customFormat="1">
      <c r="A24" s="103" t="s">
        <v>219</v>
      </c>
      <c r="B24" s="47"/>
      <c r="C24" s="110"/>
      <c r="D24" s="111">
        <f t="shared" ref="D24:I24" si="7">SUMIF($C:$C,"PTD",D:D)</f>
        <v>270022.08184923086</v>
      </c>
      <c r="E24" s="111">
        <f t="shared" si="7"/>
        <v>132102.94085444236</v>
      </c>
      <c r="F24" s="111">
        <f t="shared" si="7"/>
        <v>65998.396881943831</v>
      </c>
      <c r="G24" s="111">
        <f t="shared" si="7"/>
        <v>71920.744112844652</v>
      </c>
      <c r="H24" s="111">
        <f t="shared" si="7"/>
        <v>0</v>
      </c>
      <c r="I24" s="111">
        <f t="shared" si="7"/>
        <v>0</v>
      </c>
    </row>
    <row r="25" spans="1:11" s="109" customFormat="1">
      <c r="A25" s="103" t="s">
        <v>220</v>
      </c>
      <c r="B25" s="47"/>
      <c r="C25" s="110"/>
      <c r="D25" s="111">
        <f t="shared" ref="D25:I25" si="8">SUMIF($C:$C,"DPW",D:D)</f>
        <v>216385.33103615389</v>
      </c>
      <c r="E25" s="111">
        <f t="shared" si="8"/>
        <v>0</v>
      </c>
      <c r="F25" s="111">
        <f t="shared" si="8"/>
        <v>0</v>
      </c>
      <c r="G25" s="111">
        <f t="shared" si="8"/>
        <v>216385.33103615389</v>
      </c>
      <c r="H25" s="111">
        <f t="shared" si="8"/>
        <v>0</v>
      </c>
      <c r="I25" s="111">
        <f t="shared" si="8"/>
        <v>0</v>
      </c>
    </row>
    <row r="26" spans="1:11" s="109" customFormat="1">
      <c r="A26" s="103" t="s">
        <v>221</v>
      </c>
      <c r="B26" s="46"/>
      <c r="C26" s="46"/>
      <c r="D26" s="111">
        <f t="shared" ref="D26:I26" si="9">SUMIF($B:$B,"SSGCH",D:D)</f>
        <v>0</v>
      </c>
      <c r="E26" s="111">
        <f t="shared" si="9"/>
        <v>0</v>
      </c>
      <c r="F26" s="111">
        <f t="shared" si="9"/>
        <v>0</v>
      </c>
      <c r="G26" s="111">
        <f t="shared" si="9"/>
        <v>0</v>
      </c>
      <c r="H26" s="111">
        <f t="shared" si="9"/>
        <v>0</v>
      </c>
      <c r="I26" s="111">
        <f t="shared" si="9"/>
        <v>0</v>
      </c>
    </row>
    <row r="27" spans="1:11" s="109" customFormat="1">
      <c r="A27" s="103" t="s">
        <v>222</v>
      </c>
      <c r="B27" s="46"/>
      <c r="C27" s="46"/>
      <c r="D27" s="111">
        <f t="shared" ref="D27:I27" si="10">SUMIF($B:$B,"SSGCT",D:D)</f>
        <v>0</v>
      </c>
      <c r="E27" s="111">
        <f t="shared" si="10"/>
        <v>0</v>
      </c>
      <c r="F27" s="111">
        <f t="shared" si="10"/>
        <v>0</v>
      </c>
      <c r="G27" s="111">
        <f t="shared" si="10"/>
        <v>0</v>
      </c>
      <c r="H27" s="111">
        <f t="shared" si="10"/>
        <v>0</v>
      </c>
      <c r="I27" s="111">
        <f t="shared" si="10"/>
        <v>0</v>
      </c>
    </row>
    <row r="28" spans="1:11" s="109" customFormat="1">
      <c r="A28" s="103" t="s">
        <v>223</v>
      </c>
      <c r="B28" s="46"/>
      <c r="C28" s="46"/>
      <c r="D28" s="111">
        <f t="shared" ref="D28:I28" si="11">SUMIF($B:$B,"SG",D:D)</f>
        <v>280550.90747846133</v>
      </c>
      <c r="E28" s="111">
        <f t="shared" si="11"/>
        <v>118178.45807769234</v>
      </c>
      <c r="F28" s="111">
        <f t="shared" si="11"/>
        <v>162372.44940076899</v>
      </c>
      <c r="G28" s="111">
        <f t="shared" si="11"/>
        <v>0</v>
      </c>
      <c r="H28" s="111">
        <f t="shared" si="11"/>
        <v>0</v>
      </c>
      <c r="I28" s="111">
        <f t="shared" si="11"/>
        <v>0</v>
      </c>
    </row>
    <row r="29" spans="1:11" s="109" customFormat="1">
      <c r="A29" s="103" t="s">
        <v>224</v>
      </c>
      <c r="B29" s="46"/>
      <c r="C29" s="46"/>
      <c r="D29" s="111">
        <f t="shared" ref="D29:I29" si="12">SUMIF($B:$B,"SE",D:D)</f>
        <v>5473.1030215384626</v>
      </c>
      <c r="E29" s="111">
        <f t="shared" si="12"/>
        <v>5473.1030215384626</v>
      </c>
      <c r="F29" s="111">
        <f t="shared" si="12"/>
        <v>0</v>
      </c>
      <c r="G29" s="111">
        <f t="shared" si="12"/>
        <v>0</v>
      </c>
      <c r="H29" s="111">
        <f t="shared" si="12"/>
        <v>0</v>
      </c>
      <c r="I29" s="111">
        <f t="shared" si="12"/>
        <v>0</v>
      </c>
    </row>
    <row r="30" spans="1:11" s="109" customFormat="1">
      <c r="A30" s="103" t="s">
        <v>225</v>
      </c>
      <c r="B30" s="46"/>
      <c r="C30" s="46"/>
      <c r="D30" s="111">
        <f t="shared" ref="D30:I30" si="13">SUMIF($B:$B,"SITUS",D:D)</f>
        <v>608392.12340384617</v>
      </c>
      <c r="E30" s="111">
        <f t="shared" si="13"/>
        <v>0</v>
      </c>
      <c r="F30" s="111">
        <f t="shared" si="13"/>
        <v>187586.86920822918</v>
      </c>
      <c r="G30" s="111">
        <f t="shared" si="13"/>
        <v>420805.25419561699</v>
      </c>
      <c r="H30" s="111">
        <f t="shared" si="13"/>
        <v>0</v>
      </c>
      <c r="I30" s="111">
        <f t="shared" si="13"/>
        <v>0</v>
      </c>
    </row>
    <row r="31" spans="1:11" s="109" customFormat="1">
      <c r="A31" s="116" t="s">
        <v>226</v>
      </c>
      <c r="B31" s="117"/>
      <c r="C31" s="117"/>
      <c r="D31" s="118">
        <f t="shared" ref="D31:I31" si="14">SUMIF($B:$B,"SO",D:D)</f>
        <v>270022.08184923086</v>
      </c>
      <c r="E31" s="118">
        <f t="shared" si="14"/>
        <v>132102.94085444236</v>
      </c>
      <c r="F31" s="118">
        <f t="shared" si="14"/>
        <v>65998.396881943831</v>
      </c>
      <c r="G31" s="118">
        <f t="shared" si="14"/>
        <v>71920.744112844652</v>
      </c>
      <c r="H31" s="118">
        <f t="shared" si="14"/>
        <v>0</v>
      </c>
      <c r="I31" s="118">
        <f t="shared" si="14"/>
        <v>0</v>
      </c>
    </row>
    <row r="32" spans="1:11" s="109" customFormat="1">
      <c r="A32" s="103" t="s">
        <v>227</v>
      </c>
      <c r="B32" s="46"/>
      <c r="C32" s="46"/>
      <c r="D32" s="111">
        <f t="shared" ref="D32:I32" si="15">SUM(D7:D21)</f>
        <v>1183666.7574146155</v>
      </c>
      <c r="E32" s="111">
        <f t="shared" si="15"/>
        <v>255754.50195367317</v>
      </c>
      <c r="F32" s="111">
        <f t="shared" si="15"/>
        <v>415957.71549094201</v>
      </c>
      <c r="G32" s="111">
        <f t="shared" si="15"/>
        <v>492725.99830846163</v>
      </c>
      <c r="H32" s="111">
        <f t="shared" si="15"/>
        <v>19228.541661538471</v>
      </c>
      <c r="I32" s="111">
        <f t="shared" si="15"/>
        <v>0</v>
      </c>
    </row>
    <row r="33" spans="1:9" s="109" customFormat="1">
      <c r="A33" s="103"/>
      <c r="B33" s="46"/>
      <c r="C33" s="46"/>
      <c r="D33" s="111"/>
      <c r="E33" s="111"/>
      <c r="F33" s="111"/>
      <c r="G33" s="111"/>
      <c r="H33" s="111"/>
      <c r="I33" s="111"/>
    </row>
    <row r="34" spans="1:9" s="109" customFormat="1">
      <c r="A34" s="103" t="s">
        <v>228</v>
      </c>
      <c r="B34" s="103"/>
      <c r="C34" s="103"/>
      <c r="D34" s="233">
        <f>SUM(E34:I34)</f>
        <v>1</v>
      </c>
      <c r="E34" s="234">
        <f>E28/$D$28</f>
        <v>0.42123712640909999</v>
      </c>
      <c r="F34" s="234">
        <f>F28/$D$28</f>
        <v>0.57876287359089995</v>
      </c>
      <c r="G34" s="234">
        <f>G28/$D$28</f>
        <v>0</v>
      </c>
      <c r="H34" s="234">
        <f>H28/$D$28</f>
        <v>0</v>
      </c>
      <c r="I34" s="234">
        <f>I28/$D$28</f>
        <v>0</v>
      </c>
    </row>
    <row r="35" spans="1:9" s="109" customFormat="1">
      <c r="A35" s="103" t="s">
        <v>229</v>
      </c>
      <c r="B35" s="103"/>
      <c r="C35" s="103"/>
      <c r="D35" s="233">
        <f>SUM(E35:I35)</f>
        <v>1</v>
      </c>
      <c r="E35" s="234">
        <f>E29/$D$29</f>
        <v>1</v>
      </c>
      <c r="F35" s="234">
        <f>F29/$D$29</f>
        <v>0</v>
      </c>
      <c r="G35" s="234">
        <f>G29/$D$29</f>
        <v>0</v>
      </c>
      <c r="H35" s="234">
        <f>H29/$D$29</f>
        <v>0</v>
      </c>
      <c r="I35" s="234">
        <f>I29/$D$29</f>
        <v>0</v>
      </c>
    </row>
    <row r="36" spans="1:9" s="109" customFormat="1">
      <c r="A36" s="103" t="s">
        <v>230</v>
      </c>
      <c r="B36" s="103"/>
      <c r="C36" s="103"/>
      <c r="D36" s="233">
        <f>SUM(E36:I36)</f>
        <v>1</v>
      </c>
      <c r="E36" s="234">
        <f>E30/$D$30</f>
        <v>0</v>
      </c>
      <c r="F36" s="234">
        <f>F30/$D$30</f>
        <v>0.30833217918521671</v>
      </c>
      <c r="G36" s="234">
        <f>G30/$D$30</f>
        <v>0.69166782081478329</v>
      </c>
      <c r="H36" s="234">
        <f>H30/$D$30</f>
        <v>0</v>
      </c>
      <c r="I36" s="234">
        <f>I30/$D$30</f>
        <v>0</v>
      </c>
    </row>
    <row r="37" spans="1:9" s="109" customFormat="1">
      <c r="A37" s="103" t="s">
        <v>231</v>
      </c>
      <c r="B37" s="103"/>
      <c r="C37" s="103"/>
      <c r="D37" s="233">
        <f>SUM(E37:I37)</f>
        <v>1</v>
      </c>
      <c r="E37" s="234">
        <f>E31/$D$31</f>
        <v>0.48923013980835528</v>
      </c>
      <c r="F37" s="234">
        <f>F31/$D$31</f>
        <v>0.24441851729294717</v>
      </c>
      <c r="G37" s="234">
        <f>G31/$D$31</f>
        <v>0.2663513428986975</v>
      </c>
      <c r="H37" s="234">
        <f>H31/$D$31</f>
        <v>0</v>
      </c>
      <c r="I37" s="234">
        <f>I31/$D$31</f>
        <v>0</v>
      </c>
    </row>
    <row r="38" spans="1:9" s="109" customFormat="1">
      <c r="A38" s="103" t="s">
        <v>232</v>
      </c>
      <c r="B38" s="103"/>
      <c r="C38" s="103"/>
      <c r="D38" s="233">
        <f>SUM(E38:I38)</f>
        <v>0.99999999999999989</v>
      </c>
      <c r="E38" s="235">
        <f>E32/$D$32</f>
        <v>0.216069683761582</v>
      </c>
      <c r="F38" s="235">
        <f>F32/$D$32</f>
        <v>0.35141454542449407</v>
      </c>
      <c r="G38" s="235">
        <f>G32/$D$32</f>
        <v>0.41627087625970161</v>
      </c>
      <c r="H38" s="235">
        <f>H32/$D$32</f>
        <v>1.6244894554222143E-2</v>
      </c>
      <c r="I38" s="235">
        <f>I32/$D$32</f>
        <v>0</v>
      </c>
    </row>
    <row r="39" spans="1:9" s="109" customFormat="1">
      <c r="A39" s="46" t="s">
        <v>233</v>
      </c>
      <c r="C39" s="46"/>
      <c r="D39" s="119">
        <f>D32</f>
        <v>1183666.7574146155</v>
      </c>
    </row>
    <row r="40" spans="1:9" s="109" customFormat="1">
      <c r="A40" s="46" t="s">
        <v>141</v>
      </c>
      <c r="C40" s="46" t="s">
        <v>234</v>
      </c>
      <c r="D40" s="119">
        <f>'GROSS PLANT'!D12</f>
        <v>158576.07800000001</v>
      </c>
      <c r="E40" s="120">
        <f>D29</f>
        <v>5473.1030215384626</v>
      </c>
      <c r="F40" s="120">
        <f>SUM(D40+E40)</f>
        <v>164049.18102153848</v>
      </c>
    </row>
    <row r="41" spans="1:9" s="109" customFormat="1">
      <c r="A41" s="46" t="s">
        <v>235</v>
      </c>
      <c r="C41" s="46" t="s">
        <v>72</v>
      </c>
      <c r="D41" s="149">
        <f>SUM(D39:D40)</f>
        <v>1342242.8354146155</v>
      </c>
      <c r="F41" s="120"/>
    </row>
    <row r="42" spans="1:9" s="109" customFormat="1">
      <c r="D42" s="120"/>
    </row>
    <row r="43" spans="1:9" s="109" customFormat="1">
      <c r="D43" s="120"/>
    </row>
    <row r="44" spans="1:9" s="109" customFormat="1">
      <c r="B44" s="46" t="s">
        <v>181</v>
      </c>
      <c r="C44" s="46"/>
      <c r="D44" s="121" t="s">
        <v>182</v>
      </c>
      <c r="E44" s="121" t="s">
        <v>183</v>
      </c>
      <c r="F44" s="122" t="s">
        <v>7</v>
      </c>
      <c r="G44" s="122" t="s">
        <v>8</v>
      </c>
      <c r="H44" s="122" t="s">
        <v>163</v>
      </c>
    </row>
    <row r="45" spans="1:9" s="109" customFormat="1">
      <c r="B45" s="109" t="s">
        <v>72</v>
      </c>
      <c r="C45" s="123">
        <f t="shared" ref="C45:C50" si="16">SUM(D45:H45)</f>
        <v>1</v>
      </c>
      <c r="D45" s="123">
        <f>'FORM 1'!$C$13</f>
        <v>1</v>
      </c>
      <c r="E45" s="123">
        <f>'FORM 1'!$D$13</f>
        <v>0</v>
      </c>
      <c r="F45" s="123">
        <f>'FORM 1'!$E$13</f>
        <v>0</v>
      </c>
      <c r="G45" s="123">
        <f>'FORM 1'!$F$13</f>
        <v>0</v>
      </c>
      <c r="H45" s="123">
        <f>'FORM 1'!$G$13</f>
        <v>0</v>
      </c>
    </row>
    <row r="46" spans="1:9" s="109" customFormat="1">
      <c r="B46" s="109" t="s">
        <v>113</v>
      </c>
      <c r="C46" s="123">
        <f t="shared" si="16"/>
        <v>1</v>
      </c>
      <c r="D46" s="123">
        <f>'FORM 1'!$C$14</f>
        <v>0</v>
      </c>
      <c r="E46" s="123">
        <f>'FORM 1'!$D$14</f>
        <v>1</v>
      </c>
      <c r="F46" s="123">
        <f>'FORM 1'!$E$14</f>
        <v>0</v>
      </c>
      <c r="G46" s="123">
        <f>'FORM 1'!$F$14</f>
        <v>0</v>
      </c>
      <c r="H46" s="123">
        <f>'FORM 1'!$G$14</f>
        <v>0</v>
      </c>
    </row>
    <row r="47" spans="1:9" s="109" customFormat="1">
      <c r="B47" s="109" t="s">
        <v>116</v>
      </c>
      <c r="C47" s="123">
        <f t="shared" si="16"/>
        <v>1</v>
      </c>
      <c r="D47" s="123">
        <f>'FORM 1'!$C$18</f>
        <v>0</v>
      </c>
      <c r="E47" s="123">
        <f>'FORM 1'!$D$18</f>
        <v>0.47852963994633424</v>
      </c>
      <c r="F47" s="123">
        <f>'FORM 1'!$E$18</f>
        <v>0.52147036005366576</v>
      </c>
      <c r="G47" s="123">
        <f>'FORM 1'!$F$18</f>
        <v>0</v>
      </c>
      <c r="H47" s="123">
        <f>'FORM 1'!$G$18</f>
        <v>0</v>
      </c>
    </row>
    <row r="48" spans="1:9" s="109" customFormat="1">
      <c r="B48" s="109" t="s">
        <v>8</v>
      </c>
      <c r="C48" s="123">
        <f t="shared" si="16"/>
        <v>1</v>
      </c>
      <c r="D48" s="123">
        <v>0</v>
      </c>
      <c r="E48" s="123">
        <v>0</v>
      </c>
      <c r="F48" s="123">
        <v>0</v>
      </c>
      <c r="G48" s="123">
        <v>1</v>
      </c>
      <c r="H48" s="123">
        <v>0</v>
      </c>
    </row>
    <row r="49" spans="1:9" s="109" customFormat="1">
      <c r="B49" s="109" t="s">
        <v>7</v>
      </c>
      <c r="C49" s="123">
        <f t="shared" si="16"/>
        <v>1</v>
      </c>
      <c r="D49" s="123">
        <v>0</v>
      </c>
      <c r="E49" s="123">
        <v>0</v>
      </c>
      <c r="F49" s="123">
        <v>1</v>
      </c>
      <c r="G49" s="123">
        <v>0</v>
      </c>
      <c r="H49" s="123">
        <v>0</v>
      </c>
    </row>
    <row r="50" spans="1:9" s="109" customFormat="1">
      <c r="B50" s="110" t="s">
        <v>132</v>
      </c>
      <c r="C50" s="123">
        <f t="shared" si="16"/>
        <v>1</v>
      </c>
      <c r="D50" s="123">
        <f>'FORM 1'!$C$16</f>
        <v>0.48923013980835528</v>
      </c>
      <c r="E50" s="123">
        <f>'FORM 1'!$D$16</f>
        <v>0.2444185172929472</v>
      </c>
      <c r="F50" s="123">
        <f>'FORM 1'!$E$16</f>
        <v>0.2663513428986975</v>
      </c>
      <c r="G50" s="123">
        <f>'FORM 1'!$F$16</f>
        <v>0</v>
      </c>
      <c r="H50" s="123">
        <f>'FORM 1'!$G$16</f>
        <v>0</v>
      </c>
    </row>
    <row r="51" spans="1:9" s="109" customFormat="1">
      <c r="B51" s="110" t="s">
        <v>38</v>
      </c>
      <c r="C51" s="123">
        <f>SUM(D51:H51)</f>
        <v>0.99999999999999989</v>
      </c>
      <c r="D51" s="123">
        <f>+'GROSS PLANT'!E42</f>
        <v>0.48154657080982766</v>
      </c>
      <c r="E51" s="123">
        <f>+'GROSS PLANT'!F42</f>
        <v>0.24559518347635353</v>
      </c>
      <c r="F51" s="123">
        <f>+'GROSS PLANT'!G42</f>
        <v>0.26676758893671609</v>
      </c>
      <c r="G51" s="123">
        <f>+'GROSS PLANT'!H42</f>
        <v>6.0906567771025506E-3</v>
      </c>
      <c r="H51" s="123">
        <f>+'GROSS PLANT'!I42</f>
        <v>0</v>
      </c>
    </row>
    <row r="52" spans="1:9" s="109" customFormat="1">
      <c r="A52" s="46"/>
      <c r="B52" s="46"/>
      <c r="C52" s="46"/>
      <c r="D52" s="111"/>
      <c r="E52" s="111"/>
      <c r="F52" s="111"/>
      <c r="G52" s="111"/>
      <c r="H52" s="111"/>
      <c r="I52" s="111"/>
    </row>
    <row r="53" spans="1:9" s="109" customFormat="1">
      <c r="A53" s="46"/>
      <c r="B53" s="46"/>
      <c r="C53" s="46"/>
      <c r="D53" s="111"/>
      <c r="E53" s="111"/>
      <c r="F53" s="111"/>
      <c r="G53" s="111"/>
    </row>
    <row r="54" spans="1:9" s="109" customFormat="1">
      <c r="A54" s="46"/>
      <c r="B54" s="46"/>
      <c r="C54" s="46"/>
      <c r="D54" s="111"/>
      <c r="E54" s="111"/>
      <c r="F54" s="111"/>
      <c r="G54" s="111"/>
    </row>
    <row r="55" spans="1:9" s="109" customFormat="1">
      <c r="A55" s="46"/>
      <c r="B55" s="46"/>
      <c r="C55" s="46"/>
      <c r="D55" s="111"/>
      <c r="E55" s="111"/>
      <c r="F55" s="111"/>
      <c r="G55" s="111"/>
      <c r="H55" s="111"/>
      <c r="I55" s="111"/>
    </row>
    <row r="56" spans="1:9" s="109" customFormat="1">
      <c r="A56" s="46"/>
      <c r="B56" s="46"/>
      <c r="C56" s="46"/>
      <c r="D56" s="111"/>
      <c r="E56" s="111"/>
      <c r="F56" s="111"/>
      <c r="G56" s="111"/>
      <c r="H56" s="111"/>
      <c r="I56" s="111"/>
    </row>
    <row r="57" spans="1:9" s="109" customFormat="1">
      <c r="A57" s="46"/>
      <c r="B57" s="46"/>
      <c r="C57" s="46"/>
      <c r="D57" s="111"/>
      <c r="E57" s="111"/>
      <c r="F57" s="111"/>
      <c r="G57" s="111"/>
    </row>
    <row r="58" spans="1:9" s="109" customFormat="1">
      <c r="A58" s="46"/>
      <c r="E58" s="111"/>
      <c r="F58" s="111"/>
      <c r="G58" s="111"/>
    </row>
    <row r="59" spans="1:9" s="109" customFormat="1">
      <c r="A59" s="46"/>
      <c r="E59" s="111"/>
      <c r="F59" s="111"/>
      <c r="G59" s="111"/>
    </row>
    <row r="60" spans="1:9" s="109" customFormat="1">
      <c r="A60" s="46"/>
      <c r="B60" s="46"/>
      <c r="C60" s="46"/>
      <c r="D60" s="111"/>
      <c r="E60" s="111"/>
      <c r="F60" s="111"/>
      <c r="G60" s="111"/>
    </row>
    <row r="61" spans="1:9" s="109" customFormat="1">
      <c r="A61" s="46"/>
      <c r="B61" s="46"/>
      <c r="C61" s="46"/>
      <c r="D61" s="111"/>
      <c r="E61" s="111"/>
      <c r="F61" s="111"/>
      <c r="G61" s="111"/>
      <c r="H61" s="111"/>
      <c r="I61" s="111"/>
    </row>
    <row r="62" spans="1:9" s="109" customFormat="1">
      <c r="A62" s="46"/>
      <c r="B62" s="46"/>
      <c r="C62" s="46"/>
      <c r="D62" s="111"/>
      <c r="E62" s="111"/>
      <c r="F62" s="111"/>
      <c r="G62" s="111"/>
      <c r="H62" s="111"/>
      <c r="I62" s="111"/>
    </row>
    <row r="63" spans="1:9" s="109" customFormat="1">
      <c r="A63" s="46"/>
      <c r="B63" s="46"/>
      <c r="C63" s="46"/>
      <c r="D63" s="111"/>
      <c r="E63" s="111"/>
      <c r="F63" s="111"/>
      <c r="G63" s="111"/>
    </row>
    <row r="64" spans="1:9" s="109" customFormat="1">
      <c r="D64" s="124"/>
      <c r="E64" s="124"/>
      <c r="F64" s="124"/>
      <c r="G64" s="124"/>
      <c r="H64" s="124"/>
      <c r="I64" s="124"/>
    </row>
    <row r="65" spans="1:9" s="109" customFormat="1">
      <c r="A65" s="46"/>
      <c r="B65" s="46"/>
      <c r="C65" s="46"/>
      <c r="D65" s="111"/>
      <c r="E65" s="111"/>
      <c r="F65" s="111"/>
      <c r="G65" s="111"/>
      <c r="H65" s="111"/>
      <c r="I65" s="111"/>
    </row>
    <row r="66" spans="1:9" s="109" customFormat="1">
      <c r="A66" s="46"/>
      <c r="B66" s="46"/>
      <c r="C66" s="46"/>
      <c r="D66" s="111"/>
      <c r="E66" s="111"/>
      <c r="F66" s="111"/>
      <c r="G66" s="111"/>
    </row>
    <row r="67" spans="1:9" s="109" customFormat="1">
      <c r="D67" s="125"/>
    </row>
    <row r="68" spans="1:9" s="109" customFormat="1"/>
    <row r="69" spans="1:9" s="109" customFormat="1"/>
    <row r="70" spans="1:9">
      <c r="A70" s="109"/>
      <c r="B70" s="109"/>
      <c r="C70" s="109"/>
      <c r="D70" s="109"/>
      <c r="E70" s="109"/>
      <c r="F70" s="109"/>
      <c r="G70" s="109"/>
      <c r="H70" s="109"/>
      <c r="I70" s="109"/>
    </row>
  </sheetData>
  <printOptions horizontalCentered="1"/>
  <pageMargins left="0.5" right="0.5" top="0.5" bottom="0.56000000000000005" header="0.4" footer="0.2"/>
  <pageSetup scale="84" orientation="landscape" r:id="rId1"/>
  <headerFooter alignWithMargins="0">
    <oddFooter>&amp;LExhibit RMP_____(CCP-3)&amp;R&amp;F&amp;CTab 3 - Page  3 of 16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10">
    <pageSetUpPr fitToPage="1"/>
  </sheetPr>
  <dimension ref="A1:J47"/>
  <sheetViews>
    <sheetView defaultGridColor="0" colorId="22" zoomScale="90" workbookViewId="0"/>
  </sheetViews>
  <sheetFormatPr defaultColWidth="12.5703125" defaultRowHeight="12.75"/>
  <cols>
    <col min="1" max="1" width="10" style="129" customWidth="1"/>
    <col min="2" max="2" width="21" style="95" bestFit="1" customWidth="1"/>
    <col min="3" max="8" width="16.7109375" style="95" customWidth="1"/>
    <col min="9" max="9" width="8.85546875" style="95" bestFit="1" customWidth="1"/>
    <col min="10" max="10" width="19.7109375" style="95" bestFit="1" customWidth="1"/>
    <col min="11" max="16384" width="12.5703125" style="95"/>
  </cols>
  <sheetData>
    <row r="1" spans="1:10">
      <c r="A1" s="126" t="str">
        <f>+'TOTAL FUNCFAC'!A1</f>
        <v>PacifiCorp</v>
      </c>
      <c r="B1" s="127"/>
      <c r="C1" s="127"/>
      <c r="D1" s="127"/>
      <c r="E1" s="127"/>
      <c r="F1" s="127"/>
      <c r="G1" s="128"/>
      <c r="H1" s="128"/>
    </row>
    <row r="2" spans="1:10">
      <c r="A2" s="126" t="str">
        <f>+'TOTAL FUNCFAC'!A2</f>
        <v>12 Months Ended December 2017</v>
      </c>
      <c r="B2" s="127"/>
      <c r="C2" s="127"/>
      <c r="D2" s="127"/>
      <c r="E2" s="127"/>
      <c r="F2" s="127"/>
      <c r="G2" s="128"/>
      <c r="H2" s="128"/>
    </row>
    <row r="3" spans="1:10">
      <c r="A3" s="126" t="s">
        <v>45</v>
      </c>
      <c r="B3" s="127"/>
      <c r="C3" s="127"/>
      <c r="D3" s="127"/>
      <c r="E3" s="127"/>
      <c r="F3" s="127"/>
      <c r="G3" s="128"/>
      <c r="H3" s="128"/>
    </row>
    <row r="4" spans="1:10">
      <c r="A4" s="206" t="s">
        <v>156</v>
      </c>
      <c r="B4" s="128"/>
      <c r="C4" s="128"/>
      <c r="D4" s="128"/>
      <c r="E4" s="128"/>
      <c r="F4" s="128"/>
      <c r="G4" s="128"/>
      <c r="H4" s="128"/>
    </row>
    <row r="5" spans="1:10">
      <c r="A5" s="129" t="s">
        <v>157</v>
      </c>
    </row>
    <row r="6" spans="1:10">
      <c r="A6" s="130" t="s">
        <v>158</v>
      </c>
      <c r="B6" s="130" t="s">
        <v>159</v>
      </c>
      <c r="C6" s="130" t="s">
        <v>160</v>
      </c>
      <c r="D6" s="130" t="s">
        <v>5</v>
      </c>
      <c r="E6" s="130" t="s">
        <v>161</v>
      </c>
      <c r="F6" s="130" t="s">
        <v>7</v>
      </c>
      <c r="G6" s="131" t="s">
        <v>200</v>
      </c>
      <c r="H6" s="131" t="s">
        <v>9</v>
      </c>
      <c r="I6" s="27"/>
    </row>
    <row r="7" spans="1:10">
      <c r="A7" s="132" t="s">
        <v>214</v>
      </c>
      <c r="B7" s="132" t="s">
        <v>8</v>
      </c>
      <c r="C7" s="241">
        <v>144966.79928307689</v>
      </c>
      <c r="D7" s="133">
        <f t="shared" ref="D7:D25" si="0">$C7*VLOOKUP(+$B7,$B$39:$H$46,3)</f>
        <v>0</v>
      </c>
      <c r="E7" s="133">
        <f t="shared" ref="E7:E25" si="1">$C7*VLOOKUP(+$B7,$B$39:$H$46,4)</f>
        <v>0</v>
      </c>
      <c r="F7" s="133">
        <f t="shared" ref="F7:F25" si="2">$C7*VLOOKUP(+$B7,$B$39:$H$46,5)</f>
        <v>0</v>
      </c>
      <c r="G7" s="133">
        <f t="shared" ref="G7:G25" si="3">$C7*VLOOKUP(+$B7,$B$39:$H$46,6)</f>
        <v>144966.79928307689</v>
      </c>
      <c r="H7" s="133">
        <f t="shared" ref="H7:H25" si="4">$C7*VLOOKUP(+$B7,$B$39:$H$46,7)</f>
        <v>0</v>
      </c>
      <c r="I7" s="39"/>
      <c r="J7" s="55"/>
    </row>
    <row r="8" spans="1:10">
      <c r="A8" s="132" t="s">
        <v>167</v>
      </c>
      <c r="B8" s="132" t="s">
        <v>72</v>
      </c>
      <c r="C8" s="241">
        <v>16.6486384615385</v>
      </c>
      <c r="D8" s="133">
        <f t="shared" si="0"/>
        <v>16.6486384615385</v>
      </c>
      <c r="E8" s="133">
        <f t="shared" si="1"/>
        <v>0</v>
      </c>
      <c r="F8" s="133">
        <f t="shared" si="2"/>
        <v>0</v>
      </c>
      <c r="G8" s="133">
        <f t="shared" si="3"/>
        <v>0</v>
      </c>
      <c r="H8" s="133">
        <f t="shared" si="4"/>
        <v>0</v>
      </c>
      <c r="I8" s="39"/>
      <c r="J8" s="55"/>
    </row>
    <row r="9" spans="1:10">
      <c r="A9" s="132" t="s">
        <v>203</v>
      </c>
      <c r="B9" s="132" t="s">
        <v>72</v>
      </c>
      <c r="C9" s="241">
        <v>106582.74951000002</v>
      </c>
      <c r="D9" s="133">
        <f t="shared" si="0"/>
        <v>106582.74951000002</v>
      </c>
      <c r="E9" s="133">
        <f t="shared" si="1"/>
        <v>0</v>
      </c>
      <c r="F9" s="133">
        <f t="shared" si="2"/>
        <v>0</v>
      </c>
      <c r="G9" s="133">
        <f t="shared" si="3"/>
        <v>0</v>
      </c>
      <c r="H9" s="133">
        <f t="shared" si="4"/>
        <v>0</v>
      </c>
      <c r="I9" s="39"/>
      <c r="J9" s="55"/>
    </row>
    <row r="10" spans="1:10">
      <c r="A10" s="132" t="s">
        <v>203</v>
      </c>
      <c r="B10" s="132" t="s">
        <v>113</v>
      </c>
      <c r="C10" s="241">
        <v>57618.394235384614</v>
      </c>
      <c r="D10" s="133">
        <f t="shared" si="0"/>
        <v>0</v>
      </c>
      <c r="E10" s="133">
        <f t="shared" si="1"/>
        <v>57618.394235384614</v>
      </c>
      <c r="F10" s="133">
        <f t="shared" si="2"/>
        <v>0</v>
      </c>
      <c r="G10" s="133">
        <f t="shared" si="3"/>
        <v>0</v>
      </c>
      <c r="H10" s="133">
        <f t="shared" si="4"/>
        <v>0</v>
      </c>
      <c r="I10" s="39"/>
      <c r="J10" s="55"/>
    </row>
    <row r="11" spans="1:10">
      <c r="A11" s="132" t="s">
        <v>236</v>
      </c>
      <c r="B11" s="132" t="s">
        <v>72</v>
      </c>
      <c r="C11" s="241">
        <v>173445.078546923</v>
      </c>
      <c r="D11" s="133">
        <f t="shared" si="0"/>
        <v>173445.078546923</v>
      </c>
      <c r="E11" s="133">
        <f t="shared" si="1"/>
        <v>0</v>
      </c>
      <c r="F11" s="133">
        <f t="shared" si="2"/>
        <v>0</v>
      </c>
      <c r="G11" s="133">
        <f t="shared" si="3"/>
        <v>0</v>
      </c>
      <c r="H11" s="133">
        <f t="shared" si="4"/>
        <v>0</v>
      </c>
      <c r="I11" s="39"/>
      <c r="J11" s="55"/>
    </row>
    <row r="12" spans="1:10">
      <c r="A12" s="132" t="s">
        <v>237</v>
      </c>
      <c r="B12" s="132" t="s">
        <v>72</v>
      </c>
      <c r="C12" s="241">
        <v>9790.3560099999995</v>
      </c>
      <c r="D12" s="133">
        <f t="shared" si="0"/>
        <v>9790.3560099999995</v>
      </c>
      <c r="E12" s="133">
        <f t="shared" si="1"/>
        <v>0</v>
      </c>
      <c r="F12" s="133">
        <f t="shared" si="2"/>
        <v>0</v>
      </c>
      <c r="G12" s="133">
        <f t="shared" si="3"/>
        <v>0</v>
      </c>
      <c r="H12" s="133">
        <f t="shared" si="4"/>
        <v>0</v>
      </c>
      <c r="I12" s="39"/>
      <c r="J12" s="55"/>
    </row>
    <row r="13" spans="1:10">
      <c r="A13" s="132" t="s">
        <v>204</v>
      </c>
      <c r="B13" s="132" t="s">
        <v>8</v>
      </c>
      <c r="C13" s="241">
        <v>8022.6192984615409</v>
      </c>
      <c r="D13" s="133">
        <f t="shared" si="0"/>
        <v>0</v>
      </c>
      <c r="E13" s="133">
        <f t="shared" si="1"/>
        <v>0</v>
      </c>
      <c r="F13" s="133">
        <f t="shared" si="2"/>
        <v>0</v>
      </c>
      <c r="G13" s="133">
        <f t="shared" si="3"/>
        <v>8022.6192984615409</v>
      </c>
      <c r="H13" s="133">
        <f t="shared" si="4"/>
        <v>0</v>
      </c>
      <c r="I13" s="39"/>
      <c r="J13" s="55"/>
    </row>
    <row r="14" spans="1:10">
      <c r="A14" s="132" t="s">
        <v>204</v>
      </c>
      <c r="B14" s="132" t="s">
        <v>7</v>
      </c>
      <c r="C14" s="241">
        <v>32569.122466923098</v>
      </c>
      <c r="D14" s="133">
        <f t="shared" si="0"/>
        <v>0</v>
      </c>
      <c r="E14" s="133">
        <f t="shared" si="1"/>
        <v>0</v>
      </c>
      <c r="F14" s="133">
        <f t="shared" si="2"/>
        <v>32569.122466923098</v>
      </c>
      <c r="G14" s="133">
        <f t="shared" si="3"/>
        <v>0</v>
      </c>
      <c r="H14" s="133">
        <f t="shared" si="4"/>
        <v>0</v>
      </c>
      <c r="I14" s="39"/>
      <c r="J14" s="55"/>
    </row>
    <row r="15" spans="1:10">
      <c r="A15" s="132" t="s">
        <v>204</v>
      </c>
      <c r="B15" s="132" t="s">
        <v>72</v>
      </c>
      <c r="C15" s="241">
        <v>28266.9130661538</v>
      </c>
      <c r="D15" s="133">
        <f t="shared" si="0"/>
        <v>28266.9130661538</v>
      </c>
      <c r="E15" s="133">
        <f t="shared" si="1"/>
        <v>0</v>
      </c>
      <c r="F15" s="133">
        <f t="shared" si="2"/>
        <v>0</v>
      </c>
      <c r="G15" s="133">
        <f t="shared" si="3"/>
        <v>0</v>
      </c>
      <c r="H15" s="133">
        <f t="shared" si="4"/>
        <v>0</v>
      </c>
      <c r="I15" s="39"/>
      <c r="J15" s="55"/>
    </row>
    <row r="16" spans="1:10">
      <c r="A16" s="132" t="s">
        <v>204</v>
      </c>
      <c r="B16" s="132" t="s">
        <v>132</v>
      </c>
      <c r="C16" s="241">
        <v>258494.97741538455</v>
      </c>
      <c r="D16" s="133">
        <f t="shared" si="0"/>
        <v>126463.53394068622</v>
      </c>
      <c r="E16" s="133">
        <f t="shared" si="1"/>
        <v>63180.959107542163</v>
      </c>
      <c r="F16" s="133">
        <f t="shared" si="2"/>
        <v>68850.484367156154</v>
      </c>
      <c r="G16" s="133">
        <f t="shared" si="3"/>
        <v>0</v>
      </c>
      <c r="H16" s="133">
        <f t="shared" si="4"/>
        <v>0</v>
      </c>
      <c r="I16" s="39"/>
      <c r="J16" s="55"/>
    </row>
    <row r="17" spans="1:10">
      <c r="A17" s="132" t="s">
        <v>204</v>
      </c>
      <c r="B17" s="132" t="s">
        <v>113</v>
      </c>
      <c r="C17" s="241">
        <v>1239.5300299999999</v>
      </c>
      <c r="D17" s="133">
        <f t="shared" si="0"/>
        <v>0</v>
      </c>
      <c r="E17" s="133">
        <f t="shared" si="1"/>
        <v>1239.5300299999999</v>
      </c>
      <c r="F17" s="133">
        <f t="shared" si="2"/>
        <v>0</v>
      </c>
      <c r="G17" s="133">
        <f t="shared" si="3"/>
        <v>0</v>
      </c>
      <c r="H17" s="133">
        <f t="shared" si="4"/>
        <v>0</v>
      </c>
      <c r="I17" s="39"/>
      <c r="J17" s="55"/>
    </row>
    <row r="18" spans="1:10">
      <c r="A18" s="132" t="s">
        <v>204</v>
      </c>
      <c r="B18" s="132" t="s">
        <v>116</v>
      </c>
      <c r="C18" s="241">
        <v>41580.7704407692</v>
      </c>
      <c r="D18" s="133">
        <f t="shared" si="0"/>
        <v>0</v>
      </c>
      <c r="E18" s="133">
        <f t="shared" si="1"/>
        <v>19897.631107712463</v>
      </c>
      <c r="F18" s="133">
        <f t="shared" si="2"/>
        <v>21683.139333056737</v>
      </c>
      <c r="G18" s="133">
        <f t="shared" si="3"/>
        <v>0</v>
      </c>
      <c r="H18" s="133">
        <f t="shared" si="4"/>
        <v>0</v>
      </c>
      <c r="I18" s="39"/>
      <c r="J18" s="55"/>
    </row>
    <row r="19" spans="1:10">
      <c r="A19" s="132" t="s">
        <v>204</v>
      </c>
      <c r="B19" s="132" t="s">
        <v>54</v>
      </c>
      <c r="C19" s="242">
        <v>0</v>
      </c>
      <c r="D19" s="133">
        <f t="shared" si="0"/>
        <v>0</v>
      </c>
      <c r="E19" s="133">
        <f t="shared" si="1"/>
        <v>0</v>
      </c>
      <c r="F19" s="133">
        <f t="shared" si="2"/>
        <v>0</v>
      </c>
      <c r="G19" s="133">
        <f t="shared" si="3"/>
        <v>0</v>
      </c>
      <c r="H19" s="133">
        <f t="shared" si="4"/>
        <v>0</v>
      </c>
      <c r="I19" s="39"/>
      <c r="J19" s="55"/>
    </row>
    <row r="20" spans="1:10">
      <c r="A20" s="132" t="s">
        <v>204</v>
      </c>
      <c r="B20" s="132" t="s">
        <v>9</v>
      </c>
      <c r="C20" s="242">
        <v>0</v>
      </c>
      <c r="D20" s="133">
        <f t="shared" si="0"/>
        <v>0</v>
      </c>
      <c r="E20" s="133">
        <f t="shared" si="1"/>
        <v>0</v>
      </c>
      <c r="F20" s="133">
        <f t="shared" si="2"/>
        <v>0</v>
      </c>
      <c r="G20" s="133">
        <f t="shared" si="3"/>
        <v>0</v>
      </c>
      <c r="H20" s="133">
        <f t="shared" si="4"/>
        <v>0</v>
      </c>
      <c r="I20" s="39"/>
      <c r="J20" s="55"/>
    </row>
    <row r="21" spans="1:10">
      <c r="A21" s="132" t="s">
        <v>205</v>
      </c>
      <c r="B21" s="132" t="s">
        <v>7</v>
      </c>
      <c r="C21" s="241">
        <v>157.66159999999999</v>
      </c>
      <c r="D21" s="133">
        <f t="shared" si="0"/>
        <v>0</v>
      </c>
      <c r="E21" s="133">
        <f t="shared" si="1"/>
        <v>0</v>
      </c>
      <c r="F21" s="133">
        <f t="shared" si="2"/>
        <v>157.66159999999999</v>
      </c>
      <c r="G21" s="133">
        <f t="shared" si="3"/>
        <v>0</v>
      </c>
      <c r="H21" s="133">
        <f t="shared" si="4"/>
        <v>0</v>
      </c>
      <c r="I21" s="39"/>
      <c r="J21" s="55"/>
    </row>
    <row r="22" spans="1:10">
      <c r="A22" s="132" t="s">
        <v>205</v>
      </c>
      <c r="B22" s="132" t="s">
        <v>72</v>
      </c>
      <c r="C22" s="241">
        <v>-32065.115283076924</v>
      </c>
      <c r="D22" s="133">
        <f t="shared" si="0"/>
        <v>-32065.115283076924</v>
      </c>
      <c r="E22" s="133">
        <f t="shared" si="1"/>
        <v>0</v>
      </c>
      <c r="F22" s="133">
        <f t="shared" si="2"/>
        <v>0</v>
      </c>
      <c r="G22" s="133">
        <f t="shared" si="3"/>
        <v>0</v>
      </c>
      <c r="H22" s="133">
        <f t="shared" si="4"/>
        <v>0</v>
      </c>
      <c r="I22" s="39"/>
      <c r="J22" s="55"/>
    </row>
    <row r="23" spans="1:10">
      <c r="A23" s="132" t="s">
        <v>205</v>
      </c>
      <c r="B23" s="132" t="s">
        <v>132</v>
      </c>
      <c r="C23" s="241">
        <v>0</v>
      </c>
      <c r="D23" s="133">
        <f t="shared" si="0"/>
        <v>0</v>
      </c>
      <c r="E23" s="133">
        <f t="shared" si="1"/>
        <v>0</v>
      </c>
      <c r="F23" s="133">
        <f t="shared" si="2"/>
        <v>0</v>
      </c>
      <c r="G23" s="133">
        <f t="shared" si="3"/>
        <v>0</v>
      </c>
      <c r="H23" s="133">
        <f t="shared" si="4"/>
        <v>0</v>
      </c>
      <c r="I23" s="39"/>
      <c r="J23" s="55"/>
    </row>
    <row r="24" spans="1:10">
      <c r="A24" s="132" t="s">
        <v>205</v>
      </c>
      <c r="B24" s="132" t="s">
        <v>113</v>
      </c>
      <c r="C24" s="241">
        <v>530.80893000000003</v>
      </c>
      <c r="D24" s="133">
        <f t="shared" si="0"/>
        <v>0</v>
      </c>
      <c r="E24" s="133">
        <f t="shared" si="1"/>
        <v>530.80893000000003</v>
      </c>
      <c r="F24" s="133">
        <f t="shared" si="2"/>
        <v>0</v>
      </c>
      <c r="G24" s="133">
        <f t="shared" si="3"/>
        <v>0</v>
      </c>
      <c r="H24" s="133">
        <f t="shared" si="4"/>
        <v>0</v>
      </c>
      <c r="I24" s="39"/>
      <c r="J24" s="55"/>
    </row>
    <row r="25" spans="1:10">
      <c r="A25" s="132" t="s">
        <v>205</v>
      </c>
      <c r="B25" s="132" t="s">
        <v>116</v>
      </c>
      <c r="C25" s="241">
        <v>15997.230569230764</v>
      </c>
      <c r="D25" s="133">
        <f t="shared" si="0"/>
        <v>0</v>
      </c>
      <c r="E25" s="133">
        <f t="shared" si="1"/>
        <v>7655.1489844324888</v>
      </c>
      <c r="F25" s="133">
        <f t="shared" si="2"/>
        <v>8342.081584798274</v>
      </c>
      <c r="G25" s="133">
        <f t="shared" si="3"/>
        <v>0</v>
      </c>
      <c r="H25" s="133">
        <f t="shared" si="4"/>
        <v>0</v>
      </c>
      <c r="I25" s="39"/>
      <c r="J25" s="55"/>
    </row>
    <row r="26" spans="1:10">
      <c r="A26" s="134" t="s">
        <v>238</v>
      </c>
      <c r="B26" s="70"/>
      <c r="C26" s="124"/>
      <c r="D26" s="124"/>
      <c r="E26" s="124"/>
      <c r="F26" s="124"/>
      <c r="G26" s="124"/>
      <c r="H26" s="124"/>
    </row>
    <row r="27" spans="1:10">
      <c r="A27" s="90" t="s">
        <v>239</v>
      </c>
      <c r="B27" s="135"/>
      <c r="C27" s="124"/>
      <c r="D27" s="124"/>
      <c r="E27" s="124"/>
      <c r="F27" s="124"/>
      <c r="G27" s="124"/>
      <c r="H27" s="124"/>
    </row>
    <row r="28" spans="1:10">
      <c r="A28" s="90" t="s">
        <v>240</v>
      </c>
      <c r="B28" s="132"/>
      <c r="C28" s="124">
        <f t="shared" ref="C28:H28" si="5">SUMIF($A:$A,"SG",C:C)+SUMIF($A:$A,"SG-P",C:C)+SUMIF($A:$A,"SG-U",C:C)</f>
        <v>347436.57830230764</v>
      </c>
      <c r="D28" s="124">
        <f t="shared" si="5"/>
        <v>289818.18406692299</v>
      </c>
      <c r="E28" s="124">
        <f t="shared" si="5"/>
        <v>57618.394235384614</v>
      </c>
      <c r="F28" s="124">
        <f t="shared" si="5"/>
        <v>0</v>
      </c>
      <c r="G28" s="124">
        <f t="shared" si="5"/>
        <v>0</v>
      </c>
      <c r="H28" s="124">
        <f t="shared" si="5"/>
        <v>0</v>
      </c>
      <c r="I28" s="129"/>
    </row>
    <row r="29" spans="1:10">
      <c r="A29" s="90" t="s">
        <v>241</v>
      </c>
      <c r="B29" s="132"/>
      <c r="C29" s="124">
        <f t="shared" ref="C29:H29" si="6">SUMIF($A:$A,"SITUS",C:C)</f>
        <v>-15379.414183846162</v>
      </c>
      <c r="D29" s="124">
        <f t="shared" si="6"/>
        <v>-32065.115283076924</v>
      </c>
      <c r="E29" s="124">
        <f t="shared" si="6"/>
        <v>8185.9579144324889</v>
      </c>
      <c r="F29" s="124">
        <f t="shared" si="6"/>
        <v>8499.7431847982734</v>
      </c>
      <c r="G29" s="124">
        <f t="shared" si="6"/>
        <v>0</v>
      </c>
      <c r="H29" s="124">
        <f t="shared" si="6"/>
        <v>0</v>
      </c>
      <c r="I29" s="129"/>
    </row>
    <row r="30" spans="1:10">
      <c r="A30" s="90" t="s">
        <v>242</v>
      </c>
      <c r="B30" s="132"/>
      <c r="C30" s="124">
        <f t="shared" ref="C30:H30" si="7">SUM(C7:C25)</f>
        <v>847214.54475769203</v>
      </c>
      <c r="D30" s="124">
        <f>SUM(D7:D25)</f>
        <v>412500.16442914767</v>
      </c>
      <c r="E30" s="124">
        <f t="shared" si="7"/>
        <v>150122.4723950717</v>
      </c>
      <c r="F30" s="124">
        <f t="shared" si="7"/>
        <v>131602.48935193429</v>
      </c>
      <c r="G30" s="124">
        <f t="shared" si="7"/>
        <v>152989.41858153843</v>
      </c>
      <c r="H30" s="124">
        <f t="shared" si="7"/>
        <v>0</v>
      </c>
      <c r="I30" s="129"/>
    </row>
    <row r="31" spans="1:10" hidden="1">
      <c r="A31" s="239" t="s">
        <v>243</v>
      </c>
      <c r="B31" s="239"/>
      <c r="C31" s="233" t="e">
        <f>SUM(D31:H31)</f>
        <v>#DIV/0!</v>
      </c>
      <c r="D31" s="234" t="e">
        <f>D26/$C$26</f>
        <v>#DIV/0!</v>
      </c>
      <c r="E31" s="234" t="e">
        <f>E26/$C$26</f>
        <v>#DIV/0!</v>
      </c>
      <c r="F31" s="234" t="e">
        <f>F26/$C$26</f>
        <v>#DIV/0!</v>
      </c>
      <c r="G31" s="234" t="e">
        <f>G26/$C$26</f>
        <v>#DIV/0!</v>
      </c>
      <c r="H31" s="234" t="e">
        <f>H26/$C$26</f>
        <v>#DIV/0!</v>
      </c>
      <c r="I31" s="129"/>
    </row>
    <row r="32" spans="1:10" hidden="1">
      <c r="A32" s="239" t="s">
        <v>244</v>
      </c>
      <c r="B32" s="239"/>
      <c r="C32" s="233" t="e">
        <f>SUM(D32:H32)</f>
        <v>#DIV/0!</v>
      </c>
      <c r="D32" s="234" t="e">
        <f>D27/$C$27</f>
        <v>#DIV/0!</v>
      </c>
      <c r="E32" s="234" t="e">
        <f>E27/$C$27</f>
        <v>#DIV/0!</v>
      </c>
      <c r="F32" s="234" t="e">
        <f>F27/$C$27</f>
        <v>#DIV/0!</v>
      </c>
      <c r="G32" s="234" t="e">
        <f>G27/$C$27</f>
        <v>#DIV/0!</v>
      </c>
      <c r="H32" s="234" t="e">
        <f>H27/$C$27</f>
        <v>#DIV/0!</v>
      </c>
    </row>
    <row r="33" spans="1:9">
      <c r="A33" s="239" t="s">
        <v>245</v>
      </c>
      <c r="B33" s="239"/>
      <c r="C33" s="233">
        <f>SUM(D33:H33)</f>
        <v>0.99999999999999989</v>
      </c>
      <c r="D33" s="234">
        <f>D28/$C$28</f>
        <v>0.83416140431463037</v>
      </c>
      <c r="E33" s="234">
        <f>E28/$C$28</f>
        <v>0.16583859568536949</v>
      </c>
      <c r="F33" s="234">
        <f>F28/$C$28</f>
        <v>0</v>
      </c>
      <c r="G33" s="234">
        <f>G28/$C$28</f>
        <v>0</v>
      </c>
      <c r="H33" s="234">
        <f>H28/$C$28</f>
        <v>0</v>
      </c>
    </row>
    <row r="34" spans="1:9">
      <c r="A34" s="239" t="s">
        <v>246</v>
      </c>
      <c r="B34" s="239"/>
      <c r="C34" s="233">
        <f>SUM(D34:H34)</f>
        <v>0.99999999999999978</v>
      </c>
      <c r="D34" s="234">
        <f>D29/$C$29</f>
        <v>2.0849373649587162</v>
      </c>
      <c r="E34" s="234">
        <f>E29/$C$29</f>
        <v>-0.53226721229932461</v>
      </c>
      <c r="F34" s="234">
        <f>F29/$C$29</f>
        <v>-0.55267015265939179</v>
      </c>
      <c r="G34" s="234">
        <f>G29/$C$29</f>
        <v>0</v>
      </c>
      <c r="H34" s="234">
        <f>H29/$C$29</f>
        <v>0</v>
      </c>
    </row>
    <row r="35" spans="1:9">
      <c r="A35" s="240" t="s">
        <v>247</v>
      </c>
      <c r="B35" s="240"/>
      <c r="C35" s="233">
        <f>SUM(D35:H35)</f>
        <v>1</v>
      </c>
      <c r="D35" s="234">
        <f>D30/$C$30</f>
        <v>0.48688985214143715</v>
      </c>
      <c r="E35" s="234">
        <f>E30/$C$30</f>
        <v>0.17719534363991302</v>
      </c>
      <c r="F35" s="234">
        <f>F30/$C$30</f>
        <v>0.15533549343109226</v>
      </c>
      <c r="G35" s="234">
        <f>G30/$C$30</f>
        <v>0.18057931078755762</v>
      </c>
      <c r="H35" s="234">
        <f>H30/$C$30</f>
        <v>0</v>
      </c>
    </row>
    <row r="36" spans="1:9">
      <c r="A36" s="136"/>
      <c r="B36" s="137"/>
      <c r="C36" s="138"/>
      <c r="D36" s="138"/>
      <c r="E36" s="138"/>
      <c r="F36" s="138"/>
      <c r="G36" s="138"/>
      <c r="H36" s="139"/>
      <c r="I36" s="129"/>
    </row>
    <row r="38" spans="1:9">
      <c r="A38" s="95"/>
      <c r="B38" s="140" t="s">
        <v>181</v>
      </c>
      <c r="D38" s="141" t="s">
        <v>182</v>
      </c>
      <c r="E38" s="141" t="s">
        <v>183</v>
      </c>
      <c r="F38" s="141" t="s">
        <v>7</v>
      </c>
      <c r="G38" s="141" t="s">
        <v>8</v>
      </c>
      <c r="H38" s="141" t="s">
        <v>9</v>
      </c>
    </row>
    <row r="39" spans="1:9">
      <c r="B39" s="25" t="s">
        <v>72</v>
      </c>
      <c r="C39" s="98">
        <f t="shared" ref="C39:C45" si="8">SUM(D39:H39)</f>
        <v>1</v>
      </c>
      <c r="D39" s="98">
        <f>'FORM 1'!$C$13</f>
        <v>1</v>
      </c>
      <c r="E39" s="98">
        <f>'FORM 1'!$D$13</f>
        <v>0</v>
      </c>
      <c r="F39" s="98">
        <f>'FORM 1'!$E$13</f>
        <v>0</v>
      </c>
      <c r="G39" s="98">
        <f>'FORM 1'!$F$13</f>
        <v>0</v>
      </c>
      <c r="H39" s="98">
        <f>'FORM 1'!$G$13</f>
        <v>0</v>
      </c>
    </row>
    <row r="40" spans="1:9">
      <c r="B40" s="25" t="s">
        <v>113</v>
      </c>
      <c r="C40" s="98">
        <f t="shared" si="8"/>
        <v>1</v>
      </c>
      <c r="D40" s="98">
        <f>'FORM 1'!$C$14</f>
        <v>0</v>
      </c>
      <c r="E40" s="98">
        <f>'FORM 1'!$D$14</f>
        <v>1</v>
      </c>
      <c r="F40" s="98">
        <f>'FORM 1'!$E$14</f>
        <v>0</v>
      </c>
      <c r="G40" s="98">
        <f>'FORM 1'!$F$14</f>
        <v>0</v>
      </c>
      <c r="H40" s="98">
        <f>'FORM 1'!$G$14</f>
        <v>0</v>
      </c>
    </row>
    <row r="41" spans="1:9">
      <c r="B41" s="25" t="s">
        <v>116</v>
      </c>
      <c r="C41" s="98">
        <f t="shared" si="8"/>
        <v>1</v>
      </c>
      <c r="D41" s="98">
        <f>'FORM 1'!$C$18</f>
        <v>0</v>
      </c>
      <c r="E41" s="98">
        <f>'FORM 1'!$D$18</f>
        <v>0.47852963994633424</v>
      </c>
      <c r="F41" s="98">
        <f>'FORM 1'!$E$18</f>
        <v>0.52147036005366576</v>
      </c>
      <c r="G41" s="98">
        <f>'FORM 1'!$F$18</f>
        <v>0</v>
      </c>
      <c r="H41" s="98">
        <f>'FORM 1'!$G$18</f>
        <v>0</v>
      </c>
    </row>
    <row r="42" spans="1:9">
      <c r="B42" s="25" t="s">
        <v>8</v>
      </c>
      <c r="C42" s="98">
        <f t="shared" si="8"/>
        <v>1</v>
      </c>
      <c r="D42" s="98">
        <v>0</v>
      </c>
      <c r="E42" s="98">
        <v>0</v>
      </c>
      <c r="F42" s="98">
        <v>0</v>
      </c>
      <c r="G42" s="98">
        <v>1</v>
      </c>
      <c r="H42" s="98">
        <v>0</v>
      </c>
    </row>
    <row r="43" spans="1:9">
      <c r="B43" s="25" t="s">
        <v>7</v>
      </c>
      <c r="C43" s="98">
        <f t="shared" si="8"/>
        <v>1</v>
      </c>
      <c r="D43" s="98">
        <v>0</v>
      </c>
      <c r="E43" s="98">
        <v>0</v>
      </c>
      <c r="F43" s="98">
        <v>1</v>
      </c>
      <c r="G43" s="98">
        <v>0</v>
      </c>
      <c r="H43" s="98">
        <v>0</v>
      </c>
    </row>
    <row r="44" spans="1:9">
      <c r="B44" s="210" t="s">
        <v>132</v>
      </c>
      <c r="C44" s="98">
        <f t="shared" si="8"/>
        <v>1</v>
      </c>
      <c r="D44" s="98">
        <f>'FORM 1'!$C$16</f>
        <v>0.48923013980835528</v>
      </c>
      <c r="E44" s="98">
        <f>'FORM 1'!$D$16</f>
        <v>0.2444185172929472</v>
      </c>
      <c r="F44" s="98">
        <f>'FORM 1'!$E$16</f>
        <v>0.2663513428986975</v>
      </c>
      <c r="G44" s="98">
        <f>'FORM 1'!$F$16</f>
        <v>0</v>
      </c>
      <c r="H44" s="98">
        <f>'FORM 1'!$G$16</f>
        <v>0</v>
      </c>
    </row>
    <row r="45" spans="1:9">
      <c r="B45" s="210" t="s">
        <v>9</v>
      </c>
      <c r="C45" s="98">
        <f t="shared" si="8"/>
        <v>1</v>
      </c>
      <c r="D45" s="98">
        <f>'TOTAL FUNCFAC'!C16</f>
        <v>0</v>
      </c>
      <c r="E45" s="98">
        <f>'TOTAL FUNCFAC'!D16</f>
        <v>0</v>
      </c>
      <c r="F45" s="98">
        <f>'TOTAL FUNCFAC'!E16</f>
        <v>0</v>
      </c>
      <c r="G45" s="98">
        <f>'TOTAL FUNCFAC'!F16</f>
        <v>0</v>
      </c>
      <c r="H45" s="98">
        <f>'TOTAL FUNCFAC'!G16</f>
        <v>1</v>
      </c>
    </row>
    <row r="46" spans="1:9">
      <c r="B46" s="95" t="s">
        <v>54</v>
      </c>
      <c r="C46" s="98">
        <f>SUM(D46:H46)</f>
        <v>1</v>
      </c>
      <c r="D46" s="98">
        <f>'SCH M'!F146</f>
        <v>0.44929163079032386</v>
      </c>
      <c r="E46" s="98">
        <f>'SCH M'!G146</f>
        <v>8.4851850814689656E-2</v>
      </c>
      <c r="F46" s="98">
        <f>'SCH M'!H146</f>
        <v>0.32797219630821162</v>
      </c>
      <c r="G46" s="98">
        <f>'SCH M'!I146</f>
        <v>0.13788432208677487</v>
      </c>
      <c r="H46" s="98">
        <f>'SCH M'!J146</f>
        <v>0</v>
      </c>
    </row>
    <row r="47" spans="1:9">
      <c r="B47" s="232"/>
    </row>
  </sheetData>
  <printOptions horizontalCentered="1"/>
  <pageMargins left="0.5" right="0.5" top="0.5" bottom="0.65" header="0.4" footer="0.2"/>
  <pageSetup scale="99" orientation="landscape" r:id="rId1"/>
  <headerFooter alignWithMargins="0">
    <oddFooter>&amp;LExhibit RMP_____(CCP-3)&amp;R&amp;F&amp;CTab 3 - Page  5 of 16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Q165"/>
  <sheetViews>
    <sheetView zoomScale="90" zoomScaleNormal="90" workbookViewId="0"/>
  </sheetViews>
  <sheetFormatPr defaultRowHeight="12.75"/>
  <cols>
    <col min="1" max="1" width="19.7109375" style="70" customWidth="1"/>
    <col min="2" max="2" width="14.28515625" style="70" customWidth="1"/>
    <col min="3" max="3" width="12" style="70" customWidth="1"/>
    <col min="4" max="4" width="13.7109375" style="70" customWidth="1"/>
    <col min="5" max="5" width="15.7109375" style="70" customWidth="1"/>
    <col min="6" max="6" width="15" style="70" bestFit="1" customWidth="1"/>
    <col min="7" max="10" width="15.7109375" style="70" customWidth="1"/>
    <col min="11" max="11" width="9.42578125" style="17" bestFit="1" customWidth="1"/>
    <col min="12" max="12" width="14.85546875" style="70" bestFit="1" customWidth="1"/>
    <col min="13" max="13" width="11.140625" style="17" bestFit="1" customWidth="1"/>
    <col min="14" max="14" width="10.85546875" style="17" customWidth="1"/>
    <col min="15" max="15" width="10.5703125" style="17" bestFit="1" customWidth="1"/>
    <col min="16" max="17" width="10" style="17" bestFit="1" customWidth="1"/>
    <col min="18" max="16384" width="9.140625" style="17"/>
  </cols>
  <sheetData>
    <row r="1" spans="1:12">
      <c r="A1" s="189"/>
      <c r="B1" s="61" t="str">
        <f>+'TOTAL FUNCFAC'!A1</f>
        <v>PacifiCorp</v>
      </c>
      <c r="C1" s="61"/>
      <c r="D1" s="178"/>
      <c r="E1" s="178"/>
      <c r="F1" s="61"/>
      <c r="G1" s="61"/>
      <c r="H1" s="61"/>
      <c r="I1" s="61"/>
      <c r="J1" s="61"/>
      <c r="K1" s="189"/>
      <c r="L1" s="142"/>
    </row>
    <row r="2" spans="1:12">
      <c r="A2" s="189"/>
      <c r="B2" s="143" t="str">
        <f>+'TOTAL FUNCFAC'!A2</f>
        <v>12 Months Ended December 2017</v>
      </c>
      <c r="C2" s="61"/>
      <c r="D2" s="178"/>
      <c r="E2" s="178"/>
      <c r="F2" s="61"/>
      <c r="G2" s="61"/>
      <c r="H2" s="61"/>
      <c r="I2" s="61"/>
      <c r="J2" s="61"/>
      <c r="K2" s="189"/>
      <c r="L2" s="142"/>
    </row>
    <row r="3" spans="1:12">
      <c r="A3" s="189"/>
      <c r="B3" s="61" t="s">
        <v>248</v>
      </c>
      <c r="C3" s="61"/>
      <c r="D3" s="178"/>
      <c r="E3" s="178"/>
      <c r="F3" s="61"/>
      <c r="G3" s="61"/>
      <c r="H3" s="61"/>
      <c r="I3" s="61"/>
      <c r="J3" s="61"/>
      <c r="K3" s="189"/>
      <c r="L3" s="142"/>
    </row>
    <row r="4" spans="1:12">
      <c r="A4" s="189"/>
      <c r="B4" s="64" t="s">
        <v>249</v>
      </c>
      <c r="C4" s="64" t="s">
        <v>250</v>
      </c>
      <c r="D4" s="189"/>
      <c r="E4" s="189"/>
      <c r="F4" s="189"/>
      <c r="G4" s="189"/>
      <c r="H4" s="189"/>
      <c r="I4" s="189"/>
      <c r="J4" s="189"/>
      <c r="K4" s="189"/>
      <c r="L4" s="87"/>
    </row>
    <row r="5" spans="1:12">
      <c r="A5" s="189"/>
      <c r="B5" s="144" t="s">
        <v>199</v>
      </c>
      <c r="C5" s="144" t="s">
        <v>158</v>
      </c>
      <c r="D5" s="144" t="s">
        <v>3</v>
      </c>
      <c r="E5" s="145" t="s">
        <v>160</v>
      </c>
      <c r="F5" s="145" t="s">
        <v>5</v>
      </c>
      <c r="G5" s="145" t="s">
        <v>6</v>
      </c>
      <c r="H5" s="145" t="s">
        <v>251</v>
      </c>
      <c r="I5" s="145" t="s">
        <v>252</v>
      </c>
      <c r="J5" s="145" t="s">
        <v>253</v>
      </c>
      <c r="K5" s="189"/>
      <c r="L5" s="27"/>
    </row>
    <row r="6" spans="1:12" ht="20.100000000000001" customHeight="1">
      <c r="A6" s="189"/>
      <c r="B6" s="250" t="s">
        <v>254</v>
      </c>
      <c r="C6" s="178"/>
      <c r="D6" s="178"/>
      <c r="E6" s="178"/>
      <c r="F6" s="178"/>
      <c r="G6" s="178"/>
      <c r="H6" s="178"/>
      <c r="I6" s="178"/>
      <c r="J6" s="178"/>
      <c r="K6" s="189"/>
    </row>
    <row r="7" spans="1:12">
      <c r="A7" s="189" t="str">
        <f>IF(C7="","",B7&amp;"-"&amp;C7)</f>
        <v>SCHMAP-SCHMDEXP</v>
      </c>
      <c r="B7" s="243" t="s">
        <v>77</v>
      </c>
      <c r="C7" s="244" t="s">
        <v>255</v>
      </c>
      <c r="D7" s="244" t="s">
        <v>54</v>
      </c>
      <c r="E7" s="92">
        <v>41.27093</v>
      </c>
      <c r="F7" s="88">
        <f>VLOOKUP($D7,$D$140:$J$152,3,FALSE)*$E7</f>
        <v>18.542683443933299</v>
      </c>
      <c r="G7" s="88">
        <f>VLOOKUP($D7,$D$140:$J$152,4,FALSE)*$E7</f>
        <v>3.5019147953434997</v>
      </c>
      <c r="H7" s="88">
        <f>VLOOKUP($D7,$D$140:$J$152,5,FALSE)*$E7</f>
        <v>13.53571755578246</v>
      </c>
      <c r="I7" s="88">
        <f>VLOOKUP($D7,$D$140:$J$152,6,FALSE)*$E7</f>
        <v>5.6906142049407391</v>
      </c>
      <c r="J7" s="88">
        <f>VLOOKUP($D7,$D$140:$J$152,7,FALSE)*$E7</f>
        <v>0</v>
      </c>
      <c r="K7" s="238"/>
      <c r="L7" s="55"/>
    </row>
    <row r="8" spans="1:12">
      <c r="A8" s="189" t="str">
        <f>IF(C8="","",B8&amp;"-"&amp;C8)</f>
        <v>SCHMAP-SE</v>
      </c>
      <c r="B8" s="243" t="s">
        <v>77</v>
      </c>
      <c r="C8" s="244" t="s">
        <v>167</v>
      </c>
      <c r="D8" s="244" t="s">
        <v>72</v>
      </c>
      <c r="E8" s="92">
        <v>2.3360000000000003</v>
      </c>
      <c r="F8" s="88">
        <f>VLOOKUP($D8,$D$140:$J$152,3,FALSE)*$E8</f>
        <v>2.3360000000000003</v>
      </c>
      <c r="G8" s="88">
        <f>VLOOKUP($D8,$D$140:$J$152,4,FALSE)*$E8</f>
        <v>0</v>
      </c>
      <c r="H8" s="88">
        <f>VLOOKUP($D8,$D$140:$J$152,5,FALSE)*$E8</f>
        <v>0</v>
      </c>
      <c r="I8" s="88">
        <f>VLOOKUP($D8,$D$140:$J$152,6,FALSE)*$E8</f>
        <v>0</v>
      </c>
      <c r="J8" s="88">
        <f>VLOOKUP($D8,$D$140:$J$152,7,FALSE)*$E8</f>
        <v>0</v>
      </c>
      <c r="K8" s="238"/>
      <c r="L8" s="55"/>
    </row>
    <row r="9" spans="1:12">
      <c r="A9" s="189" t="str">
        <f>IF(C9="","",B9&amp;"-"&amp;C9)</f>
        <v>SCHMAP-SO</v>
      </c>
      <c r="B9" s="243" t="s">
        <v>77</v>
      </c>
      <c r="C9" s="244" t="s">
        <v>204</v>
      </c>
      <c r="D9" s="244" t="s">
        <v>72</v>
      </c>
      <c r="E9" s="92">
        <v>365.75220000000002</v>
      </c>
      <c r="F9" s="88">
        <f>VLOOKUP($D9,$D$140:$J$152,3,FALSE)*$E9</f>
        <v>365.75220000000002</v>
      </c>
      <c r="G9" s="88">
        <f>VLOOKUP($D9,$D$140:$J$152,4,FALSE)*$E9</f>
        <v>0</v>
      </c>
      <c r="H9" s="88">
        <f>VLOOKUP($D9,$D$140:$J$152,5,FALSE)*$E9</f>
        <v>0</v>
      </c>
      <c r="I9" s="88">
        <f>VLOOKUP($D9,$D$140:$J$152,6,FALSE)*$E9</f>
        <v>0</v>
      </c>
      <c r="J9" s="88">
        <f>VLOOKUP($D9,$D$140:$J$152,7,FALSE)*$E9</f>
        <v>0</v>
      </c>
      <c r="K9" s="238"/>
      <c r="L9" s="55"/>
    </row>
    <row r="10" spans="1:12">
      <c r="A10" s="189" t="str">
        <f>IF(C10="","",B10&amp;"-"&amp;C10)</f>
        <v>SCHMAP-SO</v>
      </c>
      <c r="B10" s="243" t="s">
        <v>77</v>
      </c>
      <c r="C10" s="244" t="s">
        <v>204</v>
      </c>
      <c r="D10" s="244" t="s">
        <v>54</v>
      </c>
      <c r="E10" s="92">
        <v>0</v>
      </c>
      <c r="F10" s="88">
        <f>VLOOKUP($D10,$D$140:$J$152,3,FALSE)*$E10</f>
        <v>0</v>
      </c>
      <c r="G10" s="88">
        <f>VLOOKUP($D10,$D$140:$J$152,4,FALSE)*$E10</f>
        <v>0</v>
      </c>
      <c r="H10" s="88">
        <f>VLOOKUP($D10,$D$140:$J$152,5,FALSE)*$E10</f>
        <v>0</v>
      </c>
      <c r="I10" s="88">
        <f>VLOOKUP($D10,$D$140:$J$152,6,FALSE)*$E10</f>
        <v>0</v>
      </c>
      <c r="J10" s="88">
        <f>VLOOKUP($D10,$D$140:$J$152,7,FALSE)*$E10</f>
        <v>0</v>
      </c>
      <c r="K10" s="238"/>
      <c r="L10" s="55"/>
    </row>
    <row r="11" spans="1:12">
      <c r="A11" s="189" t="str">
        <f>IF(C11="","",B11&amp;"-"&amp;C11)</f>
        <v>SCHMAP-SO</v>
      </c>
      <c r="B11" s="243" t="s">
        <v>77</v>
      </c>
      <c r="C11" s="244" t="s">
        <v>204</v>
      </c>
      <c r="D11" s="244" t="s">
        <v>132</v>
      </c>
      <c r="E11" s="92">
        <v>0</v>
      </c>
      <c r="F11" s="88">
        <f>VLOOKUP($D11,$D$140:$J$152,3,FALSE)*$E11</f>
        <v>0</v>
      </c>
      <c r="G11" s="88">
        <f>VLOOKUP($D11,$D$140:$J$152,4,FALSE)*$E11</f>
        <v>0</v>
      </c>
      <c r="H11" s="88">
        <f>VLOOKUP($D11,$D$140:$J$152,5,FALSE)*$E11</f>
        <v>0</v>
      </c>
      <c r="I11" s="88">
        <f>VLOOKUP($D11,$D$140:$J$152,6,FALSE)*$E11</f>
        <v>0</v>
      </c>
      <c r="J11" s="88">
        <f>VLOOKUP($D11,$D$140:$J$152,7,FALSE)*$E11</f>
        <v>0</v>
      </c>
      <c r="K11" s="238"/>
      <c r="L11" s="55"/>
    </row>
    <row r="12" spans="1:12">
      <c r="A12" s="189"/>
      <c r="B12" s="243"/>
      <c r="C12" s="243"/>
      <c r="D12" s="243"/>
      <c r="E12" s="245"/>
      <c r="F12" s="88"/>
      <c r="G12" s="88"/>
      <c r="H12" s="88"/>
      <c r="I12" s="88"/>
      <c r="J12" s="88"/>
      <c r="K12" s="189"/>
      <c r="L12" s="146"/>
    </row>
    <row r="13" spans="1:12">
      <c r="A13" s="189" t="str">
        <f>IF(C13="","",B13&amp;"-"&amp;C13)</f>
        <v/>
      </c>
      <c r="B13" s="134" t="s">
        <v>226</v>
      </c>
      <c r="C13" s="189"/>
      <c r="D13" s="189"/>
      <c r="E13" s="88">
        <f t="shared" ref="E13:J13" si="0">SUMIF($A:$A,"SCHMAP-SO",E:E)</f>
        <v>365.75220000000002</v>
      </c>
      <c r="F13" s="88">
        <f t="shared" si="0"/>
        <v>365.75220000000002</v>
      </c>
      <c r="G13" s="88">
        <f t="shared" si="0"/>
        <v>0</v>
      </c>
      <c r="H13" s="88">
        <f t="shared" si="0"/>
        <v>0</v>
      </c>
      <c r="I13" s="88">
        <f t="shared" si="0"/>
        <v>0</v>
      </c>
      <c r="J13" s="88">
        <f t="shared" si="0"/>
        <v>0</v>
      </c>
      <c r="K13" s="189"/>
    </row>
    <row r="14" spans="1:12">
      <c r="A14" s="189" t="str">
        <f>IF(C14="","",B14&amp;"-"&amp;C14)</f>
        <v/>
      </c>
      <c r="B14" s="90" t="s">
        <v>257</v>
      </c>
      <c r="C14" s="221"/>
      <c r="D14" s="221"/>
      <c r="E14" s="88">
        <f t="shared" ref="E14:J14" si="1">SUMIF($B:$B,"SCHMAP",E:E)</f>
        <v>409.35912999999999</v>
      </c>
      <c r="F14" s="88">
        <f t="shared" si="1"/>
        <v>386.63088344393333</v>
      </c>
      <c r="G14" s="88">
        <f t="shared" si="1"/>
        <v>3.5019147953434997</v>
      </c>
      <c r="H14" s="88">
        <f t="shared" si="1"/>
        <v>13.53571755578246</v>
      </c>
      <c r="I14" s="88">
        <f t="shared" si="1"/>
        <v>5.6906142049407391</v>
      </c>
      <c r="J14" s="88">
        <f t="shared" si="1"/>
        <v>0</v>
      </c>
      <c r="K14" s="189"/>
    </row>
    <row r="15" spans="1:12">
      <c r="A15" s="189" t="str">
        <f>IF(C15="","",B15&amp;"-"&amp;C15)</f>
        <v/>
      </c>
      <c r="B15" s="90" t="s">
        <v>79</v>
      </c>
      <c r="C15" s="90"/>
      <c r="D15" s="221"/>
      <c r="E15" s="219">
        <f>SUM(F15:J15)</f>
        <v>1</v>
      </c>
      <c r="F15" s="220">
        <f t="shared" ref="F15:J16" si="2">IF(ISERROR(F13/$E13)," ",(F13/$E13))</f>
        <v>1</v>
      </c>
      <c r="G15" s="220">
        <f t="shared" si="2"/>
        <v>0</v>
      </c>
      <c r="H15" s="220">
        <f t="shared" si="2"/>
        <v>0</v>
      </c>
      <c r="I15" s="220">
        <f t="shared" si="2"/>
        <v>0</v>
      </c>
      <c r="J15" s="220">
        <f t="shared" si="2"/>
        <v>0</v>
      </c>
      <c r="K15" s="189"/>
    </row>
    <row r="16" spans="1:12">
      <c r="A16" s="189" t="str">
        <f>IF(C16="","",B16&amp;"-"&amp;C16)</f>
        <v/>
      </c>
      <c r="B16" s="90" t="s">
        <v>258</v>
      </c>
      <c r="C16" s="90"/>
      <c r="D16" s="221"/>
      <c r="E16" s="219">
        <f>SUM(F16:J16)</f>
        <v>1.0000000000000002</v>
      </c>
      <c r="F16" s="220">
        <f t="shared" si="2"/>
        <v>0.94447846672903901</v>
      </c>
      <c r="G16" s="220">
        <f t="shared" si="2"/>
        <v>8.5546273154906791E-3</v>
      </c>
      <c r="H16" s="220">
        <f t="shared" si="2"/>
        <v>3.3065630063710709E-2</v>
      </c>
      <c r="I16" s="220">
        <f t="shared" si="2"/>
        <v>1.3901275891759735E-2</v>
      </c>
      <c r="J16" s="220">
        <f t="shared" si="2"/>
        <v>0</v>
      </c>
      <c r="K16" s="189"/>
    </row>
    <row r="17" spans="1:12" s="70" customFormat="1">
      <c r="A17" s="189"/>
      <c r="B17" s="246"/>
      <c r="C17" s="246"/>
      <c r="D17" s="221"/>
      <c r="E17" s="247"/>
      <c r="F17" s="200"/>
      <c r="G17" s="200"/>
      <c r="H17" s="200"/>
      <c r="I17" s="200"/>
      <c r="J17" s="200"/>
      <c r="K17" s="189"/>
    </row>
    <row r="18" spans="1:12" s="70" customFormat="1">
      <c r="A18" s="189" t="str">
        <f t="shared" ref="A18:A47" si="3">IF(C18="","",B18&amp;"-"&amp;C18)</f>
        <v>SCHMAT-CIAC</v>
      </c>
      <c r="B18" s="243" t="s">
        <v>81</v>
      </c>
      <c r="C18" s="244" t="s">
        <v>259</v>
      </c>
      <c r="D18" s="244" t="s">
        <v>7</v>
      </c>
      <c r="E18" s="92">
        <v>20389.410500000002</v>
      </c>
      <c r="F18" s="88">
        <f t="shared" ref="F18:F47" si="4">VLOOKUP($D18,$D$140:$J$152,3,FALSE)*$E18</f>
        <v>0</v>
      </c>
      <c r="G18" s="88">
        <f t="shared" ref="G18:G47" si="5">VLOOKUP($D18,$D$140:$J$152,4,FALSE)*$E18</f>
        <v>0</v>
      </c>
      <c r="H18" s="88">
        <f t="shared" ref="H18:H47" si="6">VLOOKUP($D18,$D$140:$J$152,5,FALSE)*$E18</f>
        <v>20389.410500000002</v>
      </c>
      <c r="I18" s="88">
        <f t="shared" ref="I18:I47" si="7">VLOOKUP($D18,$D$140:$J$152,6,FALSE)*$E18</f>
        <v>0</v>
      </c>
      <c r="J18" s="88">
        <f t="shared" ref="J18:J47" si="8">VLOOKUP($D18,$D$140:$J$152,7,FALSE)*$E18</f>
        <v>0</v>
      </c>
      <c r="K18" s="238"/>
      <c r="L18" s="55"/>
    </row>
    <row r="19" spans="1:12" s="70" customFormat="1">
      <c r="A19" s="189" t="str">
        <f t="shared" si="3"/>
        <v>SCHMAT-BADDEBT</v>
      </c>
      <c r="B19" s="243" t="s">
        <v>81</v>
      </c>
      <c r="C19" s="244" t="s">
        <v>260</v>
      </c>
      <c r="D19" s="244" t="s">
        <v>8</v>
      </c>
      <c r="E19" s="92">
        <v>3567.7002935677001</v>
      </c>
      <c r="F19" s="88">
        <f t="shared" si="4"/>
        <v>0</v>
      </c>
      <c r="G19" s="88">
        <f t="shared" si="5"/>
        <v>0</v>
      </c>
      <c r="H19" s="88">
        <f t="shared" si="6"/>
        <v>0</v>
      </c>
      <c r="I19" s="88">
        <f t="shared" si="7"/>
        <v>3567.7002935677001</v>
      </c>
      <c r="J19" s="88">
        <f t="shared" si="8"/>
        <v>0</v>
      </c>
      <c r="K19" s="238"/>
      <c r="L19" s="55"/>
    </row>
    <row r="20" spans="1:12" s="70" customFormat="1">
      <c r="A20" s="189" t="str">
        <f t="shared" si="3"/>
        <v>SCHMAT-SCHMDEXP</v>
      </c>
      <c r="B20" s="243" t="s">
        <v>81</v>
      </c>
      <c r="C20" s="244" t="s">
        <v>255</v>
      </c>
      <c r="D20" s="244" t="s">
        <v>38</v>
      </c>
      <c r="E20" s="92">
        <v>391405.82419999997</v>
      </c>
      <c r="F20" s="88">
        <f t="shared" si="4"/>
        <v>188480.13243850425</v>
      </c>
      <c r="G20" s="88">
        <f t="shared" si="5"/>
        <v>96127.385208112377</v>
      </c>
      <c r="H20" s="88">
        <f t="shared" si="6"/>
        <v>104414.38801762216</v>
      </c>
      <c r="I20" s="88">
        <f t="shared" si="7"/>
        <v>2383.9185357611395</v>
      </c>
      <c r="J20" s="88">
        <f t="shared" si="8"/>
        <v>0</v>
      </c>
      <c r="K20" s="238"/>
      <c r="L20" s="55"/>
    </row>
    <row r="21" spans="1:12" s="70" customFormat="1">
      <c r="A21" s="189" t="str">
        <f>IF(C21="","",B21&amp;"-"&amp;C21)</f>
        <v>SCHMAT-GPS</v>
      </c>
      <c r="B21" s="243" t="s">
        <v>81</v>
      </c>
      <c r="C21" s="244" t="s">
        <v>261</v>
      </c>
      <c r="D21" s="244" t="s">
        <v>38</v>
      </c>
      <c r="E21" s="92">
        <v>79.878739999999993</v>
      </c>
      <c r="F21" s="88">
        <f t="shared" si="4"/>
        <v>38.465333327609812</v>
      </c>
      <c r="G21" s="88">
        <f t="shared" si="5"/>
        <v>19.61783380615994</v>
      </c>
      <c r="H21" s="88">
        <f t="shared" si="6"/>
        <v>21.309058877102821</v>
      </c>
      <c r="I21" s="88">
        <f t="shared" si="7"/>
        <v>0.48651398912741256</v>
      </c>
      <c r="J21" s="88">
        <f t="shared" si="8"/>
        <v>0</v>
      </c>
      <c r="K21" s="238"/>
      <c r="L21" s="55"/>
    </row>
    <row r="22" spans="1:12" s="70" customFormat="1">
      <c r="A22" s="189" t="str">
        <f>IF(C22="","",B22&amp;"-"&amp;C22)</f>
        <v>SCHMAT-SE</v>
      </c>
      <c r="B22" s="243" t="s">
        <v>81</v>
      </c>
      <c r="C22" s="244" t="s">
        <v>167</v>
      </c>
      <c r="D22" s="244" t="s">
        <v>54</v>
      </c>
      <c r="E22" s="92">
        <v>0</v>
      </c>
      <c r="F22" s="88">
        <f t="shared" si="4"/>
        <v>0</v>
      </c>
      <c r="G22" s="88">
        <f t="shared" si="5"/>
        <v>0</v>
      </c>
      <c r="H22" s="88">
        <f t="shared" si="6"/>
        <v>0</v>
      </c>
      <c r="I22" s="88">
        <f t="shared" si="7"/>
        <v>0</v>
      </c>
      <c r="J22" s="88">
        <f t="shared" si="8"/>
        <v>0</v>
      </c>
      <c r="K22" s="238"/>
      <c r="L22" s="55"/>
    </row>
    <row r="23" spans="1:12" s="70" customFormat="1">
      <c r="A23" s="189" t="str">
        <f t="shared" si="3"/>
        <v>SCHMAT-SE</v>
      </c>
      <c r="B23" s="243" t="s">
        <v>81</v>
      </c>
      <c r="C23" s="244" t="s">
        <v>167</v>
      </c>
      <c r="D23" s="244" t="s">
        <v>72</v>
      </c>
      <c r="E23" s="92">
        <v>13091.43986</v>
      </c>
      <c r="F23" s="88">
        <f t="shared" si="4"/>
        <v>13091.43986</v>
      </c>
      <c r="G23" s="88">
        <f t="shared" si="5"/>
        <v>0</v>
      </c>
      <c r="H23" s="88">
        <f t="shared" si="6"/>
        <v>0</v>
      </c>
      <c r="I23" s="88">
        <f t="shared" si="7"/>
        <v>0</v>
      </c>
      <c r="J23" s="88">
        <f t="shared" si="8"/>
        <v>0</v>
      </c>
      <c r="K23" s="238"/>
      <c r="L23" s="55"/>
    </row>
    <row r="24" spans="1:12" s="70" customFormat="1">
      <c r="A24" s="189" t="str">
        <f t="shared" si="3"/>
        <v>SCHMAT-SG</v>
      </c>
      <c r="B24" s="243" t="s">
        <v>81</v>
      </c>
      <c r="C24" s="244" t="s">
        <v>203</v>
      </c>
      <c r="D24" s="244" t="s">
        <v>7</v>
      </c>
      <c r="E24" s="92">
        <v>0</v>
      </c>
      <c r="F24" s="88">
        <f t="shared" si="4"/>
        <v>0</v>
      </c>
      <c r="G24" s="88">
        <f t="shared" si="5"/>
        <v>0</v>
      </c>
      <c r="H24" s="88">
        <f t="shared" si="6"/>
        <v>0</v>
      </c>
      <c r="I24" s="88">
        <f t="shared" si="7"/>
        <v>0</v>
      </c>
      <c r="J24" s="88">
        <f t="shared" si="8"/>
        <v>0</v>
      </c>
      <c r="K24" s="238"/>
      <c r="L24" s="55"/>
    </row>
    <row r="25" spans="1:12" s="70" customFormat="1">
      <c r="A25" s="189" t="str">
        <f>IF(C25="","",B25&amp;"-"&amp;C25)</f>
        <v>SCHMAT-SG</v>
      </c>
      <c r="B25" s="243" t="s">
        <v>81</v>
      </c>
      <c r="C25" s="244" t="s">
        <v>203</v>
      </c>
      <c r="D25" s="244" t="s">
        <v>72</v>
      </c>
      <c r="E25" s="92">
        <v>1834.5522900000001</v>
      </c>
      <c r="F25" s="88">
        <f t="shared" si="4"/>
        <v>1834.5522900000001</v>
      </c>
      <c r="G25" s="88">
        <f t="shared" si="5"/>
        <v>0</v>
      </c>
      <c r="H25" s="88">
        <f t="shared" si="6"/>
        <v>0</v>
      </c>
      <c r="I25" s="88">
        <f t="shared" si="7"/>
        <v>0</v>
      </c>
      <c r="J25" s="88">
        <f t="shared" si="8"/>
        <v>0</v>
      </c>
      <c r="K25" s="238"/>
      <c r="L25" s="55"/>
    </row>
    <row r="26" spans="1:12" s="70" customFormat="1">
      <c r="A26" s="189" t="str">
        <f t="shared" si="3"/>
        <v>SCHMAT-SG</v>
      </c>
      <c r="B26" s="243" t="s">
        <v>81</v>
      </c>
      <c r="C26" s="244" t="s">
        <v>203</v>
      </c>
      <c r="D26" s="244" t="s">
        <v>113</v>
      </c>
      <c r="E26" s="92">
        <v>0</v>
      </c>
      <c r="F26" s="88">
        <f t="shared" si="4"/>
        <v>0</v>
      </c>
      <c r="G26" s="88">
        <f t="shared" si="5"/>
        <v>0</v>
      </c>
      <c r="H26" s="88">
        <f t="shared" si="6"/>
        <v>0</v>
      </c>
      <c r="I26" s="88">
        <f t="shared" si="7"/>
        <v>0</v>
      </c>
      <c r="J26" s="88">
        <f t="shared" si="8"/>
        <v>0</v>
      </c>
      <c r="K26" s="238"/>
      <c r="L26" s="55"/>
    </row>
    <row r="27" spans="1:12" s="70" customFormat="1">
      <c r="A27" s="189" t="str">
        <f t="shared" si="3"/>
        <v>SCHMAT-SGCT</v>
      </c>
      <c r="B27" s="243" t="s">
        <v>81</v>
      </c>
      <c r="C27" s="244" t="s">
        <v>262</v>
      </c>
      <c r="D27" s="244" t="s">
        <v>72</v>
      </c>
      <c r="E27" s="92">
        <v>561.21252000000004</v>
      </c>
      <c r="F27" s="88">
        <f t="shared" si="4"/>
        <v>561.21252000000004</v>
      </c>
      <c r="G27" s="88">
        <f t="shared" si="5"/>
        <v>0</v>
      </c>
      <c r="H27" s="88">
        <f t="shared" si="6"/>
        <v>0</v>
      </c>
      <c r="I27" s="88">
        <f t="shared" si="7"/>
        <v>0</v>
      </c>
      <c r="J27" s="88">
        <f t="shared" si="8"/>
        <v>0</v>
      </c>
      <c r="K27" s="238"/>
      <c r="L27" s="55"/>
    </row>
    <row r="28" spans="1:12" s="70" customFormat="1">
      <c r="A28" s="189" t="str">
        <f t="shared" si="3"/>
        <v>SCHMAT-SNP</v>
      </c>
      <c r="B28" s="243" t="s">
        <v>81</v>
      </c>
      <c r="C28" s="244" t="s">
        <v>263</v>
      </c>
      <c r="D28" s="244" t="s">
        <v>38</v>
      </c>
      <c r="E28" s="92">
        <v>319.79750999999999</v>
      </c>
      <c r="F28" s="88">
        <f t="shared" si="4"/>
        <v>153.99739429402157</v>
      </c>
      <c r="G28" s="88">
        <f t="shared" si="5"/>
        <v>78.540728143731002</v>
      </c>
      <c r="H28" s="88">
        <f t="shared" si="6"/>
        <v>85.311610690665347</v>
      </c>
      <c r="I28" s="88">
        <f t="shared" si="7"/>
        <v>1.9477768715820205</v>
      </c>
      <c r="J28" s="88">
        <f t="shared" si="8"/>
        <v>0</v>
      </c>
      <c r="K28" s="238"/>
      <c r="L28" s="55"/>
    </row>
    <row r="29" spans="1:12" s="70" customFormat="1">
      <c r="A29" s="189" t="str">
        <f t="shared" si="3"/>
        <v>SCHMAT-SNP</v>
      </c>
      <c r="B29" s="243" t="s">
        <v>81</v>
      </c>
      <c r="C29" s="244" t="s">
        <v>263</v>
      </c>
      <c r="D29" s="244" t="s">
        <v>132</v>
      </c>
      <c r="E29" s="92">
        <v>10257.46141</v>
      </c>
      <c r="F29" s="88">
        <f t="shared" si="4"/>
        <v>5018.2592796931094</v>
      </c>
      <c r="G29" s="88">
        <f t="shared" si="5"/>
        <v>2507.1135090218236</v>
      </c>
      <c r="H29" s="88">
        <f t="shared" si="6"/>
        <v>2732.0886212850669</v>
      </c>
      <c r="I29" s="88">
        <f t="shared" si="7"/>
        <v>0</v>
      </c>
      <c r="J29" s="88">
        <f t="shared" si="8"/>
        <v>0</v>
      </c>
      <c r="K29" s="238"/>
      <c r="L29" s="55"/>
    </row>
    <row r="30" spans="1:12" s="70" customFormat="1">
      <c r="A30" s="189" t="str">
        <f t="shared" si="3"/>
        <v>SCHMAT-SNPD</v>
      </c>
      <c r="B30" s="243" t="s">
        <v>81</v>
      </c>
      <c r="C30" s="244" t="s">
        <v>264</v>
      </c>
      <c r="D30" s="244" t="s">
        <v>7</v>
      </c>
      <c r="E30" s="92">
        <v>0</v>
      </c>
      <c r="F30" s="88">
        <f t="shared" si="4"/>
        <v>0</v>
      </c>
      <c r="G30" s="88">
        <f t="shared" si="5"/>
        <v>0</v>
      </c>
      <c r="H30" s="88">
        <f t="shared" si="6"/>
        <v>0</v>
      </c>
      <c r="I30" s="88">
        <f t="shared" si="7"/>
        <v>0</v>
      </c>
      <c r="J30" s="88">
        <f t="shared" si="8"/>
        <v>0</v>
      </c>
      <c r="K30" s="238"/>
      <c r="L30" s="55"/>
    </row>
    <row r="31" spans="1:12" s="70" customFormat="1">
      <c r="A31" s="189" t="str">
        <f>IF(C31="","",B31&amp;"-"&amp;C31)</f>
        <v>SCHMAT-SO</v>
      </c>
      <c r="B31" s="243" t="s">
        <v>81</v>
      </c>
      <c r="C31" s="244" t="s">
        <v>204</v>
      </c>
      <c r="D31" s="221" t="s">
        <v>9</v>
      </c>
      <c r="E31" s="92">
        <v>0</v>
      </c>
      <c r="F31" s="88">
        <f t="shared" si="4"/>
        <v>0</v>
      </c>
      <c r="G31" s="88">
        <f t="shared" si="5"/>
        <v>0</v>
      </c>
      <c r="H31" s="88">
        <f t="shared" si="6"/>
        <v>0</v>
      </c>
      <c r="I31" s="88">
        <f t="shared" si="7"/>
        <v>0</v>
      </c>
      <c r="J31" s="88">
        <f t="shared" si="8"/>
        <v>0</v>
      </c>
      <c r="K31" s="238"/>
      <c r="L31" s="55"/>
    </row>
    <row r="32" spans="1:12" s="70" customFormat="1">
      <c r="A32" s="189" t="str">
        <f>IF(C32="","",B32&amp;"-"&amp;C32)</f>
        <v>SCHMAT-SO</v>
      </c>
      <c r="B32" s="243" t="s">
        <v>81</v>
      </c>
      <c r="C32" s="244" t="s">
        <v>204</v>
      </c>
      <c r="D32" s="221" t="s">
        <v>54</v>
      </c>
      <c r="E32" s="92">
        <v>11599.351369999997</v>
      </c>
      <c r="F32" s="88">
        <f t="shared" si="4"/>
        <v>5211.4914931372759</v>
      </c>
      <c r="G32" s="88">
        <f t="shared" si="5"/>
        <v>984.22643199440574</v>
      </c>
      <c r="H32" s="88">
        <f t="shared" si="6"/>
        <v>3804.2647445695625</v>
      </c>
      <c r="I32" s="88">
        <f t="shared" si="7"/>
        <v>1599.3687002987529</v>
      </c>
      <c r="J32" s="88">
        <f t="shared" si="8"/>
        <v>0</v>
      </c>
      <c r="K32" s="238"/>
      <c r="L32" s="55"/>
    </row>
    <row r="33" spans="1:12" s="70" customFormat="1">
      <c r="A33" s="189" t="str">
        <f t="shared" si="3"/>
        <v>SCHMAT-SO</v>
      </c>
      <c r="B33" s="243" t="s">
        <v>81</v>
      </c>
      <c r="C33" s="244" t="s">
        <v>204</v>
      </c>
      <c r="D33" s="221" t="s">
        <v>132</v>
      </c>
      <c r="E33" s="92">
        <v>21713.291130000001</v>
      </c>
      <c r="F33" s="88">
        <f t="shared" si="4"/>
        <v>10622.796455229422</v>
      </c>
      <c r="G33" s="88">
        <f t="shared" si="5"/>
        <v>5307.1304235447024</v>
      </c>
      <c r="H33" s="88">
        <f t="shared" si="6"/>
        <v>5783.3642512258775</v>
      </c>
      <c r="I33" s="88">
        <f t="shared" si="7"/>
        <v>0</v>
      </c>
      <c r="J33" s="88">
        <f t="shared" si="8"/>
        <v>0</v>
      </c>
      <c r="K33" s="238"/>
      <c r="L33" s="55"/>
    </row>
    <row r="34" spans="1:12" s="70" customFormat="1">
      <c r="A34" s="189" t="str">
        <f>IF(C34="","",B34&amp;"-"&amp;C34)</f>
        <v>SCHMAT-OTHER</v>
      </c>
      <c r="B34" s="243" t="s">
        <v>81</v>
      </c>
      <c r="C34" s="244" t="s">
        <v>202</v>
      </c>
      <c r="D34" s="221" t="s">
        <v>9</v>
      </c>
      <c r="E34" s="92">
        <v>-1803.86816</v>
      </c>
      <c r="F34" s="88">
        <f t="shared" si="4"/>
        <v>0</v>
      </c>
      <c r="G34" s="88">
        <f t="shared" si="5"/>
        <v>0</v>
      </c>
      <c r="H34" s="88">
        <f t="shared" si="6"/>
        <v>0</v>
      </c>
      <c r="I34" s="88">
        <f t="shared" si="7"/>
        <v>0</v>
      </c>
      <c r="J34" s="88">
        <f t="shared" si="8"/>
        <v>-1803.86816</v>
      </c>
      <c r="K34" s="238"/>
      <c r="L34" s="55"/>
    </row>
    <row r="35" spans="1:12" s="70" customFormat="1">
      <c r="A35" s="189" t="str">
        <f>IF(C35="","",B35&amp;"-"&amp;C35)</f>
        <v>SCHMAT-OTHER</v>
      </c>
      <c r="B35" s="243" t="s">
        <v>81</v>
      </c>
      <c r="C35" s="244" t="s">
        <v>202</v>
      </c>
      <c r="D35" s="221" t="s">
        <v>38</v>
      </c>
      <c r="E35" s="92">
        <v>0</v>
      </c>
      <c r="F35" s="88">
        <f t="shared" si="4"/>
        <v>0</v>
      </c>
      <c r="G35" s="88">
        <f t="shared" si="5"/>
        <v>0</v>
      </c>
      <c r="H35" s="88">
        <f t="shared" si="6"/>
        <v>0</v>
      </c>
      <c r="I35" s="88">
        <f t="shared" si="7"/>
        <v>0</v>
      </c>
      <c r="J35" s="88">
        <f t="shared" si="8"/>
        <v>0</v>
      </c>
      <c r="K35" s="238"/>
      <c r="L35" s="55"/>
    </row>
    <row r="36" spans="1:12" s="70" customFormat="1">
      <c r="A36" s="189" t="str">
        <f>IF(C36="","",B36&amp;"-"&amp;C36)</f>
        <v>SCHMAT-OTHER</v>
      </c>
      <c r="B36" s="243" t="s">
        <v>81</v>
      </c>
      <c r="C36" s="244" t="s">
        <v>202</v>
      </c>
      <c r="D36" s="221" t="s">
        <v>72</v>
      </c>
      <c r="E36" s="92">
        <v>12315.910099999999</v>
      </c>
      <c r="F36" s="88">
        <f t="shared" si="4"/>
        <v>12315.910099999999</v>
      </c>
      <c r="G36" s="88">
        <f t="shared" si="5"/>
        <v>0</v>
      </c>
      <c r="H36" s="88">
        <f t="shared" si="6"/>
        <v>0</v>
      </c>
      <c r="I36" s="88">
        <f t="shared" si="7"/>
        <v>0</v>
      </c>
      <c r="J36" s="88">
        <f t="shared" si="8"/>
        <v>0</v>
      </c>
      <c r="K36" s="238"/>
      <c r="L36" s="55"/>
    </row>
    <row r="37" spans="1:12" s="70" customFormat="1">
      <c r="A37" s="189" t="str">
        <f>IF(C37="","",B37&amp;"-"&amp;C37)</f>
        <v>SCHMAT-OTHER</v>
      </c>
      <c r="B37" s="243" t="s">
        <v>81</v>
      </c>
      <c r="C37" s="244" t="s">
        <v>202</v>
      </c>
      <c r="D37" s="221" t="s">
        <v>132</v>
      </c>
      <c r="E37" s="92">
        <v>27698.023400000002</v>
      </c>
      <c r="F37" s="88">
        <f t="shared" si="4"/>
        <v>13550.707860397097</v>
      </c>
      <c r="G37" s="88">
        <f t="shared" si="5"/>
        <v>6769.9098113733562</v>
      </c>
      <c r="H37" s="88">
        <f t="shared" si="6"/>
        <v>7377.405728229548</v>
      </c>
      <c r="I37" s="88">
        <f t="shared" si="7"/>
        <v>0</v>
      </c>
      <c r="J37" s="88">
        <f t="shared" si="8"/>
        <v>0</v>
      </c>
      <c r="K37" s="238"/>
      <c r="L37" s="55"/>
    </row>
    <row r="38" spans="1:12" s="70" customFormat="1">
      <c r="A38" s="189" t="str">
        <f>IF(C38="","",B38&amp;"-"&amp;C38)</f>
        <v>SCHMAT-OTHER</v>
      </c>
      <c r="B38" s="243" t="s">
        <v>81</v>
      </c>
      <c r="C38" s="244" t="s">
        <v>202</v>
      </c>
      <c r="D38" s="221" t="s">
        <v>8</v>
      </c>
      <c r="E38" s="92">
        <v>-25.907350000000001</v>
      </c>
      <c r="F38" s="88">
        <f t="shared" si="4"/>
        <v>0</v>
      </c>
      <c r="G38" s="88">
        <f t="shared" si="5"/>
        <v>0</v>
      </c>
      <c r="H38" s="88">
        <f t="shared" si="6"/>
        <v>0</v>
      </c>
      <c r="I38" s="88">
        <f t="shared" si="7"/>
        <v>-25.907350000000001</v>
      </c>
      <c r="J38" s="88">
        <f t="shared" si="8"/>
        <v>0</v>
      </c>
      <c r="K38" s="238"/>
      <c r="L38" s="55"/>
    </row>
    <row r="39" spans="1:12" s="70" customFormat="1">
      <c r="A39" s="189" t="str">
        <f t="shared" si="3"/>
        <v>SCHMAT-TROJD</v>
      </c>
      <c r="B39" s="243" t="s">
        <v>81</v>
      </c>
      <c r="C39" s="244" t="s">
        <v>265</v>
      </c>
      <c r="D39" s="244" t="s">
        <v>72</v>
      </c>
      <c r="E39" s="92">
        <v>26.6843</v>
      </c>
      <c r="F39" s="88">
        <f t="shared" si="4"/>
        <v>26.6843</v>
      </c>
      <c r="G39" s="88">
        <f t="shared" si="5"/>
        <v>0</v>
      </c>
      <c r="H39" s="88">
        <f t="shared" si="6"/>
        <v>0</v>
      </c>
      <c r="I39" s="88">
        <f t="shared" si="7"/>
        <v>0</v>
      </c>
      <c r="J39" s="88">
        <f t="shared" si="8"/>
        <v>0</v>
      </c>
      <c r="K39" s="238"/>
      <c r="L39" s="55"/>
    </row>
    <row r="40" spans="1:12" s="70" customFormat="1">
      <c r="A40" s="189" t="str">
        <f t="shared" si="3"/>
        <v>SCHMAT-SITUS</v>
      </c>
      <c r="B40" s="243" t="s">
        <v>81</v>
      </c>
      <c r="C40" s="244" t="s">
        <v>205</v>
      </c>
      <c r="D40" s="244" t="s">
        <v>9</v>
      </c>
      <c r="E40" s="92">
        <v>0</v>
      </c>
      <c r="F40" s="88">
        <f t="shared" si="4"/>
        <v>0</v>
      </c>
      <c r="G40" s="88">
        <f t="shared" si="5"/>
        <v>0</v>
      </c>
      <c r="H40" s="88">
        <f t="shared" si="6"/>
        <v>0</v>
      </c>
      <c r="I40" s="88">
        <f t="shared" si="7"/>
        <v>0</v>
      </c>
      <c r="J40" s="88">
        <f t="shared" si="8"/>
        <v>0</v>
      </c>
      <c r="K40" s="238"/>
      <c r="L40" s="55"/>
    </row>
    <row r="41" spans="1:12" s="70" customFormat="1">
      <c r="A41" s="189" t="str">
        <f t="shared" si="3"/>
        <v>SCHMAT-SITUS</v>
      </c>
      <c r="B41" s="243" t="s">
        <v>81</v>
      </c>
      <c r="C41" s="244" t="s">
        <v>205</v>
      </c>
      <c r="D41" s="244" t="s">
        <v>7</v>
      </c>
      <c r="E41" s="92">
        <v>-809.05232000000001</v>
      </c>
      <c r="F41" s="88">
        <f t="shared" si="4"/>
        <v>0</v>
      </c>
      <c r="G41" s="88">
        <f t="shared" si="5"/>
        <v>0</v>
      </c>
      <c r="H41" s="88">
        <f t="shared" si="6"/>
        <v>-809.05232000000001</v>
      </c>
      <c r="I41" s="88">
        <f t="shared" si="7"/>
        <v>0</v>
      </c>
      <c r="J41" s="88">
        <f t="shared" si="8"/>
        <v>0</v>
      </c>
      <c r="K41" s="238"/>
      <c r="L41" s="55"/>
    </row>
    <row r="42" spans="1:12" s="70" customFormat="1">
      <c r="A42" s="189" t="str">
        <f t="shared" si="3"/>
        <v>SCHMAT-SITUS</v>
      </c>
      <c r="B42" s="243" t="s">
        <v>81</v>
      </c>
      <c r="C42" s="244" t="s">
        <v>205</v>
      </c>
      <c r="D42" s="244" t="s">
        <v>28</v>
      </c>
      <c r="E42" s="92">
        <v>156.51777999999999</v>
      </c>
      <c r="F42" s="88">
        <f t="shared" si="4"/>
        <v>46.955333999999993</v>
      </c>
      <c r="G42" s="88">
        <f t="shared" si="5"/>
        <v>15.651778</v>
      </c>
      <c r="H42" s="88">
        <f t="shared" si="6"/>
        <v>93.910667999999987</v>
      </c>
      <c r="I42" s="88">
        <f t="shared" si="7"/>
        <v>0</v>
      </c>
      <c r="J42" s="88">
        <f t="shared" si="8"/>
        <v>0</v>
      </c>
      <c r="K42" s="238"/>
      <c r="L42" s="55"/>
    </row>
    <row r="43" spans="1:12" s="70" customFormat="1">
      <c r="A43" s="189" t="str">
        <f t="shared" si="3"/>
        <v>SCHMAT-SITUS</v>
      </c>
      <c r="B43" s="243" t="s">
        <v>81</v>
      </c>
      <c r="C43" s="244" t="s">
        <v>205</v>
      </c>
      <c r="D43" s="244" t="s">
        <v>38</v>
      </c>
      <c r="E43" s="92">
        <v>0</v>
      </c>
      <c r="F43" s="88">
        <f t="shared" si="4"/>
        <v>0</v>
      </c>
      <c r="G43" s="88">
        <f t="shared" si="5"/>
        <v>0</v>
      </c>
      <c r="H43" s="88">
        <f t="shared" si="6"/>
        <v>0</v>
      </c>
      <c r="I43" s="88">
        <f t="shared" si="7"/>
        <v>0</v>
      </c>
      <c r="J43" s="88">
        <f t="shared" si="8"/>
        <v>0</v>
      </c>
      <c r="K43" s="238"/>
      <c r="L43" s="55"/>
    </row>
    <row r="44" spans="1:12" s="70" customFormat="1">
      <c r="A44" s="189" t="str">
        <f t="shared" si="3"/>
        <v>SCHMAT-SITUS</v>
      </c>
      <c r="B44" s="243" t="s">
        <v>81</v>
      </c>
      <c r="C44" s="244" t="s">
        <v>205</v>
      </c>
      <c r="D44" s="244" t="s">
        <v>54</v>
      </c>
      <c r="E44" s="92">
        <v>1079.2073399999999</v>
      </c>
      <c r="F44" s="88">
        <f t="shared" si="4"/>
        <v>484.87882574948748</v>
      </c>
      <c r="G44" s="88">
        <f t="shared" si="5"/>
        <v>91.572740211798049</v>
      </c>
      <c r="H44" s="88">
        <f t="shared" si="6"/>
        <v>353.95000157174286</v>
      </c>
      <c r="I44" s="88">
        <f t="shared" si="7"/>
        <v>148.80577246697155</v>
      </c>
      <c r="J44" s="88">
        <f t="shared" si="8"/>
        <v>0</v>
      </c>
      <c r="K44" s="238"/>
      <c r="L44" s="55"/>
    </row>
    <row r="45" spans="1:12" s="70" customFormat="1">
      <c r="A45" s="189" t="str">
        <f t="shared" si="3"/>
        <v>SCHMAT-SITUS</v>
      </c>
      <c r="B45" s="243" t="s">
        <v>81</v>
      </c>
      <c r="C45" s="244" t="s">
        <v>205</v>
      </c>
      <c r="D45" s="244" t="s">
        <v>72</v>
      </c>
      <c r="E45" s="92">
        <v>5543.9029400000009</v>
      </c>
      <c r="F45" s="88">
        <f t="shared" si="4"/>
        <v>5543.9029400000009</v>
      </c>
      <c r="G45" s="88">
        <f t="shared" si="5"/>
        <v>0</v>
      </c>
      <c r="H45" s="88">
        <f t="shared" si="6"/>
        <v>0</v>
      </c>
      <c r="I45" s="88">
        <f t="shared" si="7"/>
        <v>0</v>
      </c>
      <c r="J45" s="88">
        <f t="shared" si="8"/>
        <v>0</v>
      </c>
      <c r="K45" s="238"/>
      <c r="L45" s="55"/>
    </row>
    <row r="46" spans="1:12" s="70" customFormat="1">
      <c r="A46" s="189" t="str">
        <f t="shared" si="3"/>
        <v>SCHMAT-SITUS</v>
      </c>
      <c r="B46" s="243" t="s">
        <v>81</v>
      </c>
      <c r="C46" s="244" t="s">
        <v>205</v>
      </c>
      <c r="D46" s="244" t="s">
        <v>132</v>
      </c>
      <c r="E46" s="92">
        <v>-7872.7665700000007</v>
      </c>
      <c r="F46" s="88">
        <f t="shared" si="4"/>
        <v>-3851.5946897196459</v>
      </c>
      <c r="G46" s="88">
        <f t="shared" si="5"/>
        <v>-1924.2499320328818</v>
      </c>
      <c r="H46" s="88">
        <f t="shared" si="6"/>
        <v>-2096.9219482474728</v>
      </c>
      <c r="I46" s="88">
        <f t="shared" si="7"/>
        <v>0</v>
      </c>
      <c r="J46" s="88">
        <f t="shared" si="8"/>
        <v>0</v>
      </c>
      <c r="K46" s="238"/>
      <c r="L46" s="55"/>
    </row>
    <row r="47" spans="1:12" s="70" customFormat="1">
      <c r="A47" s="189" t="str">
        <f t="shared" si="3"/>
        <v>SCHMAT-SITUS</v>
      </c>
      <c r="B47" s="243" t="s">
        <v>81</v>
      </c>
      <c r="C47" s="244" t="s">
        <v>205</v>
      </c>
      <c r="D47" s="244" t="s">
        <v>113</v>
      </c>
      <c r="E47" s="92">
        <v>0</v>
      </c>
      <c r="F47" s="88">
        <f t="shared" si="4"/>
        <v>0</v>
      </c>
      <c r="G47" s="88">
        <f t="shared" si="5"/>
        <v>0</v>
      </c>
      <c r="H47" s="88">
        <f t="shared" si="6"/>
        <v>0</v>
      </c>
      <c r="I47" s="88">
        <f t="shared" si="7"/>
        <v>0</v>
      </c>
      <c r="J47" s="88">
        <f t="shared" si="8"/>
        <v>0</v>
      </c>
      <c r="K47" s="238"/>
      <c r="L47" s="55"/>
    </row>
    <row r="48" spans="1:12" s="70" customFormat="1">
      <c r="A48" s="189"/>
      <c r="B48" s="134" t="s">
        <v>224</v>
      </c>
      <c r="C48" s="244"/>
      <c r="D48" s="244"/>
      <c r="E48" s="245">
        <f t="shared" ref="E48:J48" si="9">SUMIF($A:$A,"SCHMAT-SE",E:E)</f>
        <v>13091.43986</v>
      </c>
      <c r="F48" s="245">
        <f t="shared" si="9"/>
        <v>13091.43986</v>
      </c>
      <c r="G48" s="245">
        <f t="shared" si="9"/>
        <v>0</v>
      </c>
      <c r="H48" s="245">
        <f t="shared" si="9"/>
        <v>0</v>
      </c>
      <c r="I48" s="245">
        <f t="shared" si="9"/>
        <v>0</v>
      </c>
      <c r="J48" s="245">
        <f t="shared" si="9"/>
        <v>0</v>
      </c>
      <c r="K48" s="189"/>
    </row>
    <row r="49" spans="1:17">
      <c r="A49" s="189" t="str">
        <f t="shared" ref="A49:A57" si="10">IF(C49="","",B49&amp;"-"&amp;C49)</f>
        <v/>
      </c>
      <c r="B49" s="134" t="s">
        <v>266</v>
      </c>
      <c r="C49" s="189"/>
      <c r="D49" s="189"/>
      <c r="E49" s="245">
        <f t="shared" ref="E49:J49" si="11">SUMIF($A:$A,"SCHMAT-SNP",E:E)</f>
        <v>10577.25892</v>
      </c>
      <c r="F49" s="245">
        <f t="shared" si="11"/>
        <v>5172.2566739871309</v>
      </c>
      <c r="G49" s="245">
        <f t="shared" si="11"/>
        <v>2585.6542371655546</v>
      </c>
      <c r="H49" s="245">
        <f t="shared" si="11"/>
        <v>2817.4002319757324</v>
      </c>
      <c r="I49" s="245">
        <f t="shared" si="11"/>
        <v>1.9477768715820205</v>
      </c>
      <c r="J49" s="245">
        <f t="shared" si="11"/>
        <v>0</v>
      </c>
      <c r="K49" s="189"/>
    </row>
    <row r="50" spans="1:17">
      <c r="A50" s="189" t="str">
        <f t="shared" si="10"/>
        <v/>
      </c>
      <c r="B50" s="134" t="s">
        <v>241</v>
      </c>
      <c r="C50" s="189"/>
      <c r="D50" s="189"/>
      <c r="E50" s="245">
        <f t="shared" ref="E50:J50" si="12">SUMIF($A:$A,"SCHMAT-SITUS",E:E)</f>
        <v>-1902.1908299999996</v>
      </c>
      <c r="F50" s="245">
        <f t="shared" si="12"/>
        <v>2224.1424100298423</v>
      </c>
      <c r="G50" s="245">
        <f t="shared" si="12"/>
        <v>-1817.0254138210837</v>
      </c>
      <c r="H50" s="245">
        <f t="shared" si="12"/>
        <v>-2458.1135986757299</v>
      </c>
      <c r="I50" s="245">
        <f t="shared" si="12"/>
        <v>148.80577246697155</v>
      </c>
      <c r="J50" s="245">
        <f t="shared" si="12"/>
        <v>0</v>
      </c>
      <c r="K50" s="189"/>
    </row>
    <row r="51" spans="1:17">
      <c r="A51" s="189"/>
      <c r="B51" s="134" t="s">
        <v>226</v>
      </c>
      <c r="C51" s="189"/>
      <c r="D51" s="189"/>
      <c r="E51" s="245">
        <f t="shared" ref="E51:J51" si="13">SUMIF($A:$A,"SCHMAT-SO",E:E)</f>
        <v>33312.642500000002</v>
      </c>
      <c r="F51" s="245">
        <f t="shared" si="13"/>
        <v>15834.287948366698</v>
      </c>
      <c r="G51" s="245">
        <f t="shared" si="13"/>
        <v>6291.3568555391084</v>
      </c>
      <c r="H51" s="245">
        <f t="shared" si="13"/>
        <v>9587.6289957954396</v>
      </c>
      <c r="I51" s="245">
        <f t="shared" si="13"/>
        <v>1599.3687002987529</v>
      </c>
      <c r="J51" s="245">
        <f t="shared" si="13"/>
        <v>0</v>
      </c>
      <c r="K51" s="189"/>
    </row>
    <row r="52" spans="1:17" s="74" customFormat="1">
      <c r="A52" s="189" t="str">
        <f t="shared" si="10"/>
        <v/>
      </c>
      <c r="B52" s="134" t="s">
        <v>267</v>
      </c>
      <c r="C52" s="244"/>
      <c r="D52" s="244"/>
      <c r="E52" s="245">
        <f t="shared" ref="E52:J52" si="14">SUMIF($B:$B,"SCHMAT",E:E)</f>
        <v>511128.57128356776</v>
      </c>
      <c r="F52" s="245">
        <f t="shared" si="14"/>
        <v>253129.79173461261</v>
      </c>
      <c r="G52" s="245">
        <f t="shared" si="14"/>
        <v>109976.89853217547</v>
      </c>
      <c r="H52" s="245">
        <f t="shared" si="14"/>
        <v>142149.42893382424</v>
      </c>
      <c r="I52" s="245">
        <f t="shared" si="14"/>
        <v>7676.320242955273</v>
      </c>
      <c r="J52" s="245">
        <f t="shared" si="14"/>
        <v>-1803.86816</v>
      </c>
      <c r="K52" s="221"/>
      <c r="L52" s="148"/>
    </row>
    <row r="53" spans="1:17" s="74" customFormat="1">
      <c r="A53" s="189"/>
      <c r="B53" s="90" t="s">
        <v>85</v>
      </c>
      <c r="C53" s="244"/>
      <c r="D53" s="244"/>
      <c r="E53" s="219">
        <f>SUM(F53:J53)</f>
        <v>1</v>
      </c>
      <c r="F53" s="220">
        <f t="shared" ref="F53:J57" si="15">IF(ISERROR(F48/$E48)," ",(F48/$E48))</f>
        <v>1</v>
      </c>
      <c r="G53" s="220">
        <f t="shared" si="15"/>
        <v>0</v>
      </c>
      <c r="H53" s="220">
        <f t="shared" si="15"/>
        <v>0</v>
      </c>
      <c r="I53" s="220">
        <f t="shared" si="15"/>
        <v>0</v>
      </c>
      <c r="J53" s="220">
        <f t="shared" si="15"/>
        <v>0</v>
      </c>
      <c r="K53" s="221"/>
      <c r="L53" s="148"/>
      <c r="M53" s="75"/>
      <c r="N53" s="75"/>
      <c r="O53" s="75"/>
      <c r="P53" s="75"/>
      <c r="Q53" s="75"/>
    </row>
    <row r="54" spans="1:17">
      <c r="A54" s="189" t="str">
        <f t="shared" si="10"/>
        <v/>
      </c>
      <c r="B54" s="90" t="s">
        <v>89</v>
      </c>
      <c r="C54" s="90"/>
      <c r="D54" s="221"/>
      <c r="E54" s="219">
        <f>SUM(F54:J54)</f>
        <v>1</v>
      </c>
      <c r="F54" s="220">
        <f t="shared" si="15"/>
        <v>0.48899783139535086</v>
      </c>
      <c r="G54" s="220">
        <f t="shared" si="15"/>
        <v>0.24445409313716171</v>
      </c>
      <c r="H54" s="220">
        <f t="shared" si="15"/>
        <v>0.26636392786494562</v>
      </c>
      <c r="I54" s="220">
        <f t="shared" si="15"/>
        <v>1.8414760254181436E-4</v>
      </c>
      <c r="J54" s="220">
        <f t="shared" si="15"/>
        <v>0</v>
      </c>
      <c r="K54" s="189"/>
      <c r="L54" s="146"/>
      <c r="M54" s="65"/>
      <c r="N54" s="65"/>
      <c r="O54" s="65"/>
      <c r="P54" s="65"/>
      <c r="Q54" s="65"/>
    </row>
    <row r="55" spans="1:17">
      <c r="A55" s="189" t="str">
        <f t="shared" si="10"/>
        <v/>
      </c>
      <c r="B55" s="90" t="s">
        <v>87</v>
      </c>
      <c r="C55" s="90"/>
      <c r="D55" s="221"/>
      <c r="E55" s="219">
        <f>SUM(F55:J55)</f>
        <v>1</v>
      </c>
      <c r="F55" s="220">
        <f t="shared" si="15"/>
        <v>-1.1692530396804841</v>
      </c>
      <c r="G55" s="220">
        <f t="shared" si="15"/>
        <v>0.95522772224755392</v>
      </c>
      <c r="H55" s="220">
        <f t="shared" si="15"/>
        <v>1.2922539420904109</v>
      </c>
      <c r="I55" s="220">
        <f t="shared" si="15"/>
        <v>-7.822862465748065E-2</v>
      </c>
      <c r="J55" s="220">
        <f t="shared" si="15"/>
        <v>0</v>
      </c>
      <c r="K55" s="189"/>
      <c r="M55" s="65"/>
      <c r="N55" s="65"/>
      <c r="O55" s="65"/>
      <c r="P55" s="65"/>
      <c r="Q55" s="65"/>
    </row>
    <row r="56" spans="1:17">
      <c r="A56" s="189"/>
      <c r="B56" s="90" t="s">
        <v>91</v>
      </c>
      <c r="C56" s="90"/>
      <c r="D56" s="221"/>
      <c r="E56" s="219">
        <f>SUM(F56:J56)</f>
        <v>0.99999999999999989</v>
      </c>
      <c r="F56" s="220">
        <f t="shared" si="15"/>
        <v>0.47532368374459327</v>
      </c>
      <c r="G56" s="220">
        <f t="shared" si="15"/>
        <v>0.18885793450757046</v>
      </c>
      <c r="H56" s="220">
        <f t="shared" si="15"/>
        <v>0.28780751919621622</v>
      </c>
      <c r="I56" s="220">
        <f t="shared" si="15"/>
        <v>4.8010862551619939E-2</v>
      </c>
      <c r="J56" s="220">
        <f t="shared" si="15"/>
        <v>0</v>
      </c>
      <c r="K56" s="189"/>
      <c r="M56" s="65"/>
      <c r="N56" s="65"/>
      <c r="O56" s="65"/>
      <c r="P56" s="65"/>
      <c r="Q56" s="65"/>
    </row>
    <row r="57" spans="1:17">
      <c r="A57" s="189" t="str">
        <f t="shared" si="10"/>
        <v/>
      </c>
      <c r="B57" s="90" t="s">
        <v>268</v>
      </c>
      <c r="C57" s="90"/>
      <c r="D57" s="221"/>
      <c r="E57" s="219">
        <f>SUM(F57:J57)</f>
        <v>0.99999999999999956</v>
      </c>
      <c r="F57" s="220">
        <f t="shared" si="15"/>
        <v>0.49523702245590057</v>
      </c>
      <c r="G57" s="220">
        <f t="shared" si="15"/>
        <v>0.21516484248962411</v>
      </c>
      <c r="H57" s="220">
        <f t="shared" si="15"/>
        <v>0.27810894737668951</v>
      </c>
      <c r="I57" s="220">
        <f t="shared" si="15"/>
        <v>1.5018374386073102E-2</v>
      </c>
      <c r="J57" s="220">
        <f t="shared" si="15"/>
        <v>-3.5291867082876032E-3</v>
      </c>
      <c r="K57" s="189"/>
      <c r="M57" s="65"/>
      <c r="N57" s="65"/>
      <c r="O57" s="65"/>
      <c r="P57" s="65"/>
      <c r="Q57" s="65"/>
    </row>
    <row r="58" spans="1:17" s="70" customFormat="1">
      <c r="A58" s="189"/>
      <c r="B58" s="246"/>
      <c r="C58" s="246"/>
      <c r="D58" s="221"/>
      <c r="E58" s="247"/>
      <c r="F58" s="200"/>
      <c r="G58" s="200"/>
      <c r="H58" s="200"/>
      <c r="I58" s="200"/>
      <c r="J58" s="200"/>
      <c r="K58" s="189"/>
    </row>
    <row r="59" spans="1:17">
      <c r="A59" s="189" t="str">
        <f>IF(C59="","",B59&amp;"-"&amp;C59)</f>
        <v>SCHMAF-DGP</v>
      </c>
      <c r="B59" s="189" t="s">
        <v>75</v>
      </c>
      <c r="C59" s="189" t="s">
        <v>269</v>
      </c>
      <c r="D59" s="189" t="s">
        <v>72</v>
      </c>
      <c r="E59" s="88">
        <v>0</v>
      </c>
      <c r="F59" s="173">
        <f>VLOOKUP($D59,$D$140:$J$152,3,FALSE)*$E59</f>
        <v>0</v>
      </c>
      <c r="G59" s="173">
        <f>VLOOKUP($D59,$D$140:$J$152,4,FALSE)*$E59</f>
        <v>0</v>
      </c>
      <c r="H59" s="173">
        <f>VLOOKUP($D59,$D$140:$J$152,5,FALSE)*$E59</f>
        <v>0</v>
      </c>
      <c r="I59" s="173">
        <f>VLOOKUP($D59,$D$140:$J$152,6,FALSE)*$E59</f>
        <v>0</v>
      </c>
      <c r="J59" s="173">
        <f>VLOOKUP($D59,$D$140:$J$152,7,FALSE)*$E59</f>
        <v>0</v>
      </c>
      <c r="K59" s="189"/>
    </row>
    <row r="60" spans="1:17">
      <c r="A60" s="189" t="str">
        <f>IF(C60="","",B60&amp;"-"&amp;C60)</f>
        <v>SCHMAF-TROJP</v>
      </c>
      <c r="B60" s="189" t="s">
        <v>75</v>
      </c>
      <c r="C60" s="189" t="s">
        <v>270</v>
      </c>
      <c r="D60" s="189" t="s">
        <v>72</v>
      </c>
      <c r="E60" s="245">
        <v>0</v>
      </c>
      <c r="F60" s="173">
        <f>VLOOKUP($D60,$D$140:$J$152,3,FALSE)*$E60</f>
        <v>0</v>
      </c>
      <c r="G60" s="173">
        <f>VLOOKUP($D60,$D$140:$J$152,4,FALSE)*$E60</f>
        <v>0</v>
      </c>
      <c r="H60" s="173">
        <f>VLOOKUP($D60,$D$140:$J$152,5,FALSE)*$E60</f>
        <v>0</v>
      </c>
      <c r="I60" s="173">
        <f>VLOOKUP($D60,$D$140:$J$152,6,FALSE)*$E60</f>
        <v>0</v>
      </c>
      <c r="J60" s="173">
        <f>VLOOKUP($D60,$D$140:$J$152,7,FALSE)*$E60</f>
        <v>0</v>
      </c>
      <c r="K60" s="189"/>
    </row>
    <row r="61" spans="1:17">
      <c r="A61" s="189" t="str">
        <f t="shared" ref="A61:A124" si="16">IF(C61="","",B61&amp;"-"&amp;C61)</f>
        <v/>
      </c>
      <c r="B61" s="90" t="s">
        <v>271</v>
      </c>
      <c r="C61" s="189"/>
      <c r="D61" s="189"/>
      <c r="E61" s="245">
        <f t="shared" ref="E61:J61" si="17">SUMIF($A:$A,"SCHMAF",E:E)</f>
        <v>0</v>
      </c>
      <c r="F61" s="245">
        <f t="shared" si="17"/>
        <v>0</v>
      </c>
      <c r="G61" s="245">
        <f t="shared" si="17"/>
        <v>0</v>
      </c>
      <c r="H61" s="245">
        <f t="shared" si="17"/>
        <v>0</v>
      </c>
      <c r="I61" s="245">
        <f t="shared" si="17"/>
        <v>0</v>
      </c>
      <c r="J61" s="245">
        <f t="shared" si="17"/>
        <v>0</v>
      </c>
      <c r="K61" s="189"/>
    </row>
    <row r="62" spans="1:17">
      <c r="A62" s="189" t="str">
        <f t="shared" si="16"/>
        <v/>
      </c>
      <c r="B62" s="90" t="s">
        <v>272</v>
      </c>
      <c r="C62" s="90"/>
      <c r="D62" s="221"/>
      <c r="E62" s="219">
        <f>SUM(F62:J62)</f>
        <v>0</v>
      </c>
      <c r="F62" s="220" t="str">
        <f>IF(ISERROR(F61/$E61)," ",(F61/$E61))</f>
        <v xml:space="preserve"> </v>
      </c>
      <c r="G62" s="220" t="str">
        <f>IF(ISERROR(G61/$E61)," ",(G61/$E61))</f>
        <v xml:space="preserve"> </v>
      </c>
      <c r="H62" s="220" t="str">
        <f>IF(ISERROR(H61/$E61)," ",(H61/$E61))</f>
        <v xml:space="preserve"> </v>
      </c>
      <c r="I62" s="220" t="str">
        <f>IF(ISERROR(I61/$E61)," ",(I61/$E61))</f>
        <v xml:space="preserve"> </v>
      </c>
      <c r="J62" s="220" t="str">
        <f>IF(ISERROR(J61/$E61)," ",(J61/$E61))</f>
        <v xml:space="preserve"> </v>
      </c>
      <c r="K62" s="189"/>
    </row>
    <row r="63" spans="1:17" s="70" customFormat="1">
      <c r="A63" s="189"/>
      <c r="B63" s="246"/>
      <c r="C63" s="246"/>
      <c r="D63" s="221"/>
      <c r="E63" s="247"/>
      <c r="F63" s="200"/>
      <c r="G63" s="200"/>
      <c r="H63" s="200"/>
      <c r="I63" s="200"/>
      <c r="J63" s="200"/>
      <c r="K63" s="189"/>
    </row>
    <row r="64" spans="1:17">
      <c r="A64" s="189" t="str">
        <f t="shared" si="16"/>
        <v/>
      </c>
      <c r="B64" s="85" t="s">
        <v>273</v>
      </c>
      <c r="C64" s="221"/>
      <c r="D64" s="221"/>
      <c r="E64" s="88">
        <f t="shared" ref="E64:J64" si="18">SUM(E61,E52,E14)</f>
        <v>511537.93041356775</v>
      </c>
      <c r="F64" s="88">
        <f t="shared" si="18"/>
        <v>253516.42261805653</v>
      </c>
      <c r="G64" s="88">
        <f t="shared" si="18"/>
        <v>109980.40044697082</v>
      </c>
      <c r="H64" s="88">
        <f t="shared" si="18"/>
        <v>142162.96465138003</v>
      </c>
      <c r="I64" s="88">
        <f t="shared" si="18"/>
        <v>7682.0108571602141</v>
      </c>
      <c r="J64" s="88">
        <f t="shared" si="18"/>
        <v>-1803.86816</v>
      </c>
      <c r="K64" s="189"/>
    </row>
    <row r="65" spans="1:12">
      <c r="A65" s="189" t="str">
        <f t="shared" si="16"/>
        <v/>
      </c>
      <c r="B65" s="90" t="s">
        <v>274</v>
      </c>
      <c r="C65" s="90"/>
      <c r="D65" s="221"/>
      <c r="E65" s="219">
        <f>SUM(F65:J65)</f>
        <v>0.99999999999999967</v>
      </c>
      <c r="F65" s="220">
        <f>IF(ISERROR(F64/$E64)," ",(F64/$E64))</f>
        <v>0.49559652871311771</v>
      </c>
      <c r="G65" s="220">
        <f>IF(ISERROR(G64/$E64)," ",(G64/$E64))</f>
        <v>0.2149995023009417</v>
      </c>
      <c r="H65" s="220">
        <f>IF(ISERROR(H64/$E64)," ",(H64/$E64))</f>
        <v>0.2779128510303121</v>
      </c>
      <c r="I65" s="220">
        <f>IF(ISERROR(I64/$E64)," ",(I64/$E64))</f>
        <v>1.5017480426035013E-2</v>
      </c>
      <c r="J65" s="220">
        <f>IF(ISERROR(J64/$E64)," ",(J64/$E64))</f>
        <v>-3.5263624704068575E-3</v>
      </c>
      <c r="K65" s="189"/>
    </row>
    <row r="66" spans="1:12" s="70" customFormat="1">
      <c r="A66" s="189"/>
      <c r="B66" s="246"/>
      <c r="C66" s="246"/>
      <c r="D66" s="221"/>
      <c r="E66" s="247"/>
      <c r="F66" s="200"/>
      <c r="G66" s="200"/>
      <c r="H66" s="200"/>
      <c r="I66" s="200"/>
      <c r="J66" s="200"/>
      <c r="K66" s="189"/>
    </row>
    <row r="67" spans="1:12" ht="15.75">
      <c r="A67" s="189" t="str">
        <f t="shared" si="16"/>
        <v/>
      </c>
      <c r="B67" s="83" t="s">
        <v>275</v>
      </c>
      <c r="C67" s="178"/>
      <c r="D67" s="178"/>
      <c r="E67" s="178"/>
      <c r="F67" s="251"/>
      <c r="G67" s="251"/>
      <c r="H67" s="251"/>
      <c r="I67" s="251"/>
      <c r="J67" s="251"/>
      <c r="K67" s="189"/>
      <c r="L67" s="146"/>
    </row>
    <row r="68" spans="1:12">
      <c r="A68" s="189" t="str">
        <f t="shared" si="16"/>
        <v>SCHMDP-SCHMDEXP</v>
      </c>
      <c r="B68" s="243" t="s">
        <v>97</v>
      </c>
      <c r="C68" s="243" t="s">
        <v>255</v>
      </c>
      <c r="D68" s="243" t="s">
        <v>54</v>
      </c>
      <c r="E68" s="92">
        <v>0</v>
      </c>
      <c r="F68" s="173">
        <f t="shared" ref="F68:F73" si="19">VLOOKUP($D68,$D$140:$J$152,3,FALSE)*$E68</f>
        <v>0</v>
      </c>
      <c r="G68" s="173">
        <f t="shared" ref="G68:G73" si="20">VLOOKUP($D68,$D$140:$J$152,4,FALSE)*$E68</f>
        <v>0</v>
      </c>
      <c r="H68" s="173">
        <f t="shared" ref="H68:H73" si="21">VLOOKUP($D68,$D$140:$J$152,5,FALSE)*$E68</f>
        <v>0</v>
      </c>
      <c r="I68" s="173">
        <f t="shared" ref="I68:I73" si="22">VLOOKUP($D68,$D$140:$J$152,6,FALSE)*$E68</f>
        <v>0</v>
      </c>
      <c r="J68" s="173">
        <f t="shared" ref="J68:J73" si="23">VLOOKUP($D68,$D$140:$J$152,7,FALSE)*$E68</f>
        <v>0</v>
      </c>
      <c r="K68" s="238" t="s">
        <v>142</v>
      </c>
      <c r="L68" s="89" t="s">
        <v>256</v>
      </c>
    </row>
    <row r="69" spans="1:12">
      <c r="A69" s="189" t="str">
        <f t="shared" si="16"/>
        <v>SCHMDP-SE</v>
      </c>
      <c r="B69" s="244" t="s">
        <v>97</v>
      </c>
      <c r="C69" s="243" t="s">
        <v>167</v>
      </c>
      <c r="D69" s="244" t="s">
        <v>72</v>
      </c>
      <c r="E69" s="92">
        <v>90.86</v>
      </c>
      <c r="F69" s="173">
        <f t="shared" si="19"/>
        <v>90.86</v>
      </c>
      <c r="G69" s="173">
        <f t="shared" si="20"/>
        <v>0</v>
      </c>
      <c r="H69" s="173">
        <f t="shared" si="21"/>
        <v>0</v>
      </c>
      <c r="I69" s="173">
        <f t="shared" si="22"/>
        <v>0</v>
      </c>
      <c r="J69" s="173">
        <f t="shared" si="23"/>
        <v>0</v>
      </c>
      <c r="K69" s="238" t="s">
        <v>142</v>
      </c>
      <c r="L69" s="89" t="s">
        <v>256</v>
      </c>
    </row>
    <row r="70" spans="1:12">
      <c r="A70" s="189" t="str">
        <f t="shared" si="16"/>
        <v>SCHMDP-SG</v>
      </c>
      <c r="B70" s="244" t="s">
        <v>97</v>
      </c>
      <c r="C70" s="244" t="s">
        <v>203</v>
      </c>
      <c r="D70" s="244" t="s">
        <v>72</v>
      </c>
      <c r="E70" s="92">
        <v>15665.67029</v>
      </c>
      <c r="F70" s="173">
        <f t="shared" si="19"/>
        <v>15665.67029</v>
      </c>
      <c r="G70" s="173">
        <f t="shared" si="20"/>
        <v>0</v>
      </c>
      <c r="H70" s="173">
        <f t="shared" si="21"/>
        <v>0</v>
      </c>
      <c r="I70" s="173">
        <f t="shared" si="22"/>
        <v>0</v>
      </c>
      <c r="J70" s="173">
        <f t="shared" si="23"/>
        <v>0</v>
      </c>
      <c r="K70" s="238" t="s">
        <v>142</v>
      </c>
      <c r="L70" s="89" t="s">
        <v>256</v>
      </c>
    </row>
    <row r="71" spans="1:12">
      <c r="A71" s="189" t="str">
        <f t="shared" si="16"/>
        <v>SCHMDP-SNP</v>
      </c>
      <c r="B71" s="244" t="s">
        <v>97</v>
      </c>
      <c r="C71" s="244" t="s">
        <v>263</v>
      </c>
      <c r="D71" s="244" t="s">
        <v>132</v>
      </c>
      <c r="E71" s="92">
        <v>30.445720000000001</v>
      </c>
      <c r="F71" s="173">
        <f t="shared" si="19"/>
        <v>14.89496385216604</v>
      </c>
      <c r="G71" s="173">
        <f t="shared" si="20"/>
        <v>7.4414977403162288</v>
      </c>
      <c r="H71" s="173">
        <f t="shared" si="21"/>
        <v>8.1092584075177321</v>
      </c>
      <c r="I71" s="173">
        <f t="shared" si="22"/>
        <v>0</v>
      </c>
      <c r="J71" s="173">
        <f t="shared" si="23"/>
        <v>0</v>
      </c>
      <c r="K71" s="238" t="s">
        <v>142</v>
      </c>
      <c r="L71" s="89" t="s">
        <v>256</v>
      </c>
    </row>
    <row r="72" spans="1:12">
      <c r="A72" s="189" t="str">
        <f t="shared" si="16"/>
        <v>SCHMDP-SO</v>
      </c>
      <c r="B72" s="244" t="s">
        <v>97</v>
      </c>
      <c r="C72" s="244" t="s">
        <v>204</v>
      </c>
      <c r="D72" s="244" t="s">
        <v>54</v>
      </c>
      <c r="E72" s="92">
        <v>0</v>
      </c>
      <c r="F72" s="173">
        <f t="shared" si="19"/>
        <v>0</v>
      </c>
      <c r="G72" s="173">
        <f t="shared" si="20"/>
        <v>0</v>
      </c>
      <c r="H72" s="173">
        <f t="shared" si="21"/>
        <v>0</v>
      </c>
      <c r="I72" s="173">
        <f t="shared" si="22"/>
        <v>0</v>
      </c>
      <c r="J72" s="173">
        <f t="shared" si="23"/>
        <v>0</v>
      </c>
      <c r="K72" s="238" t="s">
        <v>142</v>
      </c>
      <c r="L72" s="89" t="s">
        <v>256</v>
      </c>
    </row>
    <row r="73" spans="1:12">
      <c r="A73" s="189" t="str">
        <f t="shared" si="16"/>
        <v>SCHMDP-SITUS</v>
      </c>
      <c r="B73" s="244" t="s">
        <v>97</v>
      </c>
      <c r="C73" s="244" t="s">
        <v>205</v>
      </c>
      <c r="D73" s="244" t="s">
        <v>132</v>
      </c>
      <c r="E73" s="92">
        <v>0</v>
      </c>
      <c r="F73" s="173">
        <f t="shared" si="19"/>
        <v>0</v>
      </c>
      <c r="G73" s="173">
        <f t="shared" si="20"/>
        <v>0</v>
      </c>
      <c r="H73" s="173">
        <f t="shared" si="21"/>
        <v>0</v>
      </c>
      <c r="I73" s="173">
        <f t="shared" si="22"/>
        <v>0</v>
      </c>
      <c r="J73" s="173">
        <f t="shared" si="23"/>
        <v>0</v>
      </c>
      <c r="K73" s="238" t="s">
        <v>142</v>
      </c>
      <c r="L73" s="89" t="s">
        <v>256</v>
      </c>
    </row>
    <row r="74" spans="1:12">
      <c r="A74" s="189"/>
      <c r="B74" s="90" t="s">
        <v>226</v>
      </c>
      <c r="C74" s="244"/>
      <c r="D74" s="244"/>
      <c r="E74" s="248">
        <f t="shared" ref="E74:J74" si="24">SUMIF($A:$A,"SCHMDP-SO",E:E)</f>
        <v>0</v>
      </c>
      <c r="F74" s="248">
        <f t="shared" si="24"/>
        <v>0</v>
      </c>
      <c r="G74" s="248">
        <f t="shared" si="24"/>
        <v>0</v>
      </c>
      <c r="H74" s="248">
        <f t="shared" si="24"/>
        <v>0</v>
      </c>
      <c r="I74" s="248">
        <f t="shared" si="24"/>
        <v>0</v>
      </c>
      <c r="J74" s="248">
        <f t="shared" si="24"/>
        <v>0</v>
      </c>
      <c r="K74" s="189"/>
    </row>
    <row r="75" spans="1:12">
      <c r="A75" s="189" t="str">
        <f t="shared" si="16"/>
        <v/>
      </c>
      <c r="B75" s="90" t="s">
        <v>276</v>
      </c>
      <c r="C75" s="221"/>
      <c r="D75" s="221"/>
      <c r="E75" s="88">
        <f t="shared" ref="E75:J75" si="25">SUMIF($B:$B,"SCHMDP",E:E)</f>
        <v>15786.97601</v>
      </c>
      <c r="F75" s="88">
        <f t="shared" si="25"/>
        <v>15771.425253852167</v>
      </c>
      <c r="G75" s="88">
        <f t="shared" si="25"/>
        <v>7.4414977403162288</v>
      </c>
      <c r="H75" s="88">
        <f t="shared" si="25"/>
        <v>8.1092584075177321</v>
      </c>
      <c r="I75" s="88">
        <f t="shared" si="25"/>
        <v>0</v>
      </c>
      <c r="J75" s="88">
        <f t="shared" si="25"/>
        <v>0</v>
      </c>
      <c r="K75" s="189"/>
    </row>
    <row r="76" spans="1:12">
      <c r="A76" s="189" t="str">
        <f t="shared" si="16"/>
        <v/>
      </c>
      <c r="B76" s="90" t="s">
        <v>99</v>
      </c>
      <c r="C76" s="90"/>
      <c r="D76" s="221"/>
      <c r="E76" s="219">
        <f>SUM(F76:J76)</f>
        <v>0</v>
      </c>
      <c r="F76" s="220" t="str">
        <f t="shared" ref="F76:J77" si="26">IF(ISERROR(F74/$E74)," ",(F74/$E74))</f>
        <v xml:space="preserve"> </v>
      </c>
      <c r="G76" s="220" t="str">
        <f t="shared" si="26"/>
        <v xml:space="preserve"> </v>
      </c>
      <c r="H76" s="220" t="str">
        <f t="shared" si="26"/>
        <v xml:space="preserve"> </v>
      </c>
      <c r="I76" s="220" t="str">
        <f t="shared" si="26"/>
        <v xml:space="preserve"> </v>
      </c>
      <c r="J76" s="220" t="str">
        <f t="shared" si="26"/>
        <v xml:space="preserve"> </v>
      </c>
      <c r="K76" s="189"/>
    </row>
    <row r="77" spans="1:12">
      <c r="A77" s="189" t="str">
        <f t="shared" si="16"/>
        <v/>
      </c>
      <c r="B77" s="90" t="s">
        <v>277</v>
      </c>
      <c r="C77" s="90"/>
      <c r="D77" s="221"/>
      <c r="E77" s="219">
        <f>SUM(F77:J77)</f>
        <v>1</v>
      </c>
      <c r="F77" s="220">
        <f t="shared" si="26"/>
        <v>0.99901496295820158</v>
      </c>
      <c r="G77" s="220">
        <f t="shared" si="26"/>
        <v>4.7136942094562853E-4</v>
      </c>
      <c r="H77" s="220">
        <f t="shared" si="26"/>
        <v>5.1366762085285089E-4</v>
      </c>
      <c r="I77" s="220">
        <f t="shared" si="26"/>
        <v>0</v>
      </c>
      <c r="J77" s="220">
        <f t="shared" si="26"/>
        <v>0</v>
      </c>
      <c r="K77" s="189"/>
      <c r="L77" s="146"/>
    </row>
    <row r="78" spans="1:12" s="70" customFormat="1">
      <c r="A78" s="189"/>
      <c r="B78" s="246"/>
      <c r="C78" s="246"/>
      <c r="D78" s="221"/>
      <c r="E78" s="247"/>
      <c r="F78" s="200"/>
      <c r="G78" s="200"/>
      <c r="H78" s="200"/>
      <c r="I78" s="200"/>
      <c r="J78" s="200"/>
      <c r="K78" s="189"/>
    </row>
    <row r="79" spans="1:12">
      <c r="A79" s="189" t="str">
        <f t="shared" si="16"/>
        <v>SCHMDT-BADDEBT</v>
      </c>
      <c r="B79" s="244" t="s">
        <v>101</v>
      </c>
      <c r="C79" s="244" t="s">
        <v>260</v>
      </c>
      <c r="D79" s="244" t="s">
        <v>8</v>
      </c>
      <c r="E79" s="92">
        <v>0</v>
      </c>
      <c r="F79" s="88">
        <f t="shared" ref="F79:F108" si="27">VLOOKUP($D79,$D$140:$J$152,3,FALSE)*$E79</f>
        <v>0</v>
      </c>
      <c r="G79" s="88">
        <f t="shared" ref="G79:G108" si="28">VLOOKUP($D79,$D$140:$J$152,4,FALSE)*$E79</f>
        <v>0</v>
      </c>
      <c r="H79" s="88">
        <f t="shared" ref="H79:H108" si="29">VLOOKUP($D79,$D$140:$J$152,5,FALSE)*$E79</f>
        <v>0</v>
      </c>
      <c r="I79" s="88">
        <f t="shared" ref="I79:I108" si="30">VLOOKUP($D79,$D$140:$J$152,6,FALSE)*$E79</f>
        <v>0</v>
      </c>
      <c r="J79" s="88">
        <f t="shared" ref="J79:J108" si="31">VLOOKUP($D79,$D$140:$J$152,7,FALSE)*$E79</f>
        <v>0</v>
      </c>
      <c r="K79" s="238" t="s">
        <v>142</v>
      </c>
      <c r="L79" s="89" t="s">
        <v>256</v>
      </c>
    </row>
    <row r="80" spans="1:12">
      <c r="A80" s="189" t="str">
        <f t="shared" si="16"/>
        <v>SCHMDT-CN</v>
      </c>
      <c r="B80" s="244" t="s">
        <v>101</v>
      </c>
      <c r="C80" s="244" t="s">
        <v>214</v>
      </c>
      <c r="D80" s="244" t="s">
        <v>8</v>
      </c>
      <c r="E80" s="92">
        <v>0</v>
      </c>
      <c r="F80" s="88">
        <f t="shared" si="27"/>
        <v>0</v>
      </c>
      <c r="G80" s="88">
        <f t="shared" si="28"/>
        <v>0</v>
      </c>
      <c r="H80" s="88">
        <f t="shared" si="29"/>
        <v>0</v>
      </c>
      <c r="I80" s="88">
        <f t="shared" si="30"/>
        <v>0</v>
      </c>
      <c r="J80" s="88">
        <f t="shared" si="31"/>
        <v>0</v>
      </c>
      <c r="K80" s="238" t="s">
        <v>142</v>
      </c>
      <c r="L80" s="89" t="s">
        <v>256</v>
      </c>
    </row>
    <row r="81" spans="1:14">
      <c r="A81" s="189" t="str">
        <f t="shared" si="16"/>
        <v>SCHMDT-GPS</v>
      </c>
      <c r="B81" s="244" t="s">
        <v>101</v>
      </c>
      <c r="C81" s="244" t="s">
        <v>261</v>
      </c>
      <c r="D81" s="244" t="s">
        <v>38</v>
      </c>
      <c r="E81" s="92">
        <v>0</v>
      </c>
      <c r="F81" s="88">
        <f t="shared" si="27"/>
        <v>0</v>
      </c>
      <c r="G81" s="88">
        <f t="shared" si="28"/>
        <v>0</v>
      </c>
      <c r="H81" s="88">
        <f t="shared" si="29"/>
        <v>0</v>
      </c>
      <c r="I81" s="88">
        <f t="shared" si="30"/>
        <v>0</v>
      </c>
      <c r="J81" s="88">
        <f t="shared" si="31"/>
        <v>0</v>
      </c>
      <c r="K81" s="238" t="s">
        <v>142</v>
      </c>
      <c r="L81" s="89" t="s">
        <v>256</v>
      </c>
    </row>
    <row r="82" spans="1:14">
      <c r="A82" s="189" t="str">
        <f t="shared" si="16"/>
        <v>SCHMDT-GPS</v>
      </c>
      <c r="B82" s="244" t="s">
        <v>101</v>
      </c>
      <c r="C82" s="244" t="s">
        <v>261</v>
      </c>
      <c r="D82" s="244" t="s">
        <v>72</v>
      </c>
      <c r="E82" s="92">
        <v>0</v>
      </c>
      <c r="F82" s="88">
        <f t="shared" si="27"/>
        <v>0</v>
      </c>
      <c r="G82" s="88">
        <f t="shared" si="28"/>
        <v>0</v>
      </c>
      <c r="H82" s="88">
        <f t="shared" si="29"/>
        <v>0</v>
      </c>
      <c r="I82" s="88">
        <f t="shared" si="30"/>
        <v>0</v>
      </c>
      <c r="J82" s="88">
        <f t="shared" si="31"/>
        <v>0</v>
      </c>
      <c r="K82" s="238" t="s">
        <v>142</v>
      </c>
      <c r="L82" s="89" t="s">
        <v>256</v>
      </c>
    </row>
    <row r="83" spans="1:14">
      <c r="A83" s="189" t="str">
        <f t="shared" si="16"/>
        <v>SCHMDT-GPS</v>
      </c>
      <c r="B83" s="244" t="s">
        <v>101</v>
      </c>
      <c r="C83" s="244" t="s">
        <v>261</v>
      </c>
      <c r="D83" s="244" t="s">
        <v>132</v>
      </c>
      <c r="E83" s="92">
        <v>22442.843000000004</v>
      </c>
      <c r="F83" s="88">
        <f t="shared" si="27"/>
        <v>10979.715218586969</v>
      </c>
      <c r="G83" s="88">
        <f t="shared" si="28"/>
        <v>5485.4464098983999</v>
      </c>
      <c r="H83" s="88">
        <f t="shared" si="29"/>
        <v>5977.6813715146336</v>
      </c>
      <c r="I83" s="88">
        <f t="shared" si="30"/>
        <v>0</v>
      </c>
      <c r="J83" s="88">
        <f t="shared" si="31"/>
        <v>0</v>
      </c>
      <c r="K83" s="238" t="s">
        <v>142</v>
      </c>
      <c r="L83" s="89" t="s">
        <v>256</v>
      </c>
    </row>
    <row r="84" spans="1:14">
      <c r="A84" s="189" t="str">
        <f t="shared" si="16"/>
        <v>SCHMDT-SG</v>
      </c>
      <c r="B84" s="244" t="s">
        <v>101</v>
      </c>
      <c r="C84" s="244" t="s">
        <v>203</v>
      </c>
      <c r="D84" s="244" t="s">
        <v>72</v>
      </c>
      <c r="E84" s="92">
        <v>45987.379230000006</v>
      </c>
      <c r="F84" s="88">
        <f t="shared" si="27"/>
        <v>45987.379230000006</v>
      </c>
      <c r="G84" s="88">
        <f t="shared" si="28"/>
        <v>0</v>
      </c>
      <c r="H84" s="88">
        <f t="shared" si="29"/>
        <v>0</v>
      </c>
      <c r="I84" s="88">
        <f t="shared" si="30"/>
        <v>0</v>
      </c>
      <c r="J84" s="88">
        <f t="shared" si="31"/>
        <v>0</v>
      </c>
      <c r="K84" s="238" t="s">
        <v>142</v>
      </c>
      <c r="L84" s="89" t="s">
        <v>256</v>
      </c>
    </row>
    <row r="85" spans="1:14">
      <c r="A85" s="189" t="str">
        <f>IF(C85="","",B85&amp;"-"&amp;C85)</f>
        <v>SCHMDT-SG</v>
      </c>
      <c r="B85" s="244" t="s">
        <v>101</v>
      </c>
      <c r="C85" s="244" t="s">
        <v>203</v>
      </c>
      <c r="D85" s="244" t="s">
        <v>113</v>
      </c>
      <c r="E85" s="92">
        <v>28.165179999999999</v>
      </c>
      <c r="F85" s="88">
        <f t="shared" si="27"/>
        <v>0</v>
      </c>
      <c r="G85" s="88">
        <f t="shared" si="28"/>
        <v>28.165179999999999</v>
      </c>
      <c r="H85" s="88">
        <f t="shared" si="29"/>
        <v>0</v>
      </c>
      <c r="I85" s="88">
        <f t="shared" si="30"/>
        <v>0</v>
      </c>
      <c r="J85" s="88">
        <f t="shared" si="31"/>
        <v>0</v>
      </c>
      <c r="K85" s="238" t="s">
        <v>142</v>
      </c>
      <c r="L85" s="89" t="s">
        <v>256</v>
      </c>
    </row>
    <row r="86" spans="1:14">
      <c r="A86" s="189" t="str">
        <f t="shared" si="16"/>
        <v>SCHMDT-SE</v>
      </c>
      <c r="B86" s="244" t="s">
        <v>101</v>
      </c>
      <c r="C86" s="244" t="s">
        <v>167</v>
      </c>
      <c r="D86" s="244" t="s">
        <v>72</v>
      </c>
      <c r="E86" s="92">
        <v>4773.7557500000003</v>
      </c>
      <c r="F86" s="88">
        <f t="shared" si="27"/>
        <v>4773.7557500000003</v>
      </c>
      <c r="G86" s="88">
        <f t="shared" si="28"/>
        <v>0</v>
      </c>
      <c r="H86" s="88">
        <f t="shared" si="29"/>
        <v>0</v>
      </c>
      <c r="I86" s="88">
        <f t="shared" si="30"/>
        <v>0</v>
      </c>
      <c r="J86" s="88">
        <f t="shared" si="31"/>
        <v>0</v>
      </c>
      <c r="K86" s="238" t="s">
        <v>142</v>
      </c>
      <c r="L86" s="89" t="s">
        <v>256</v>
      </c>
    </row>
    <row r="87" spans="1:14">
      <c r="A87" s="189" t="str">
        <f>IF(C87="","",B87&amp;"-"&amp;C87)</f>
        <v>SCHMDT-SNPD</v>
      </c>
      <c r="B87" s="244" t="s">
        <v>101</v>
      </c>
      <c r="C87" s="244" t="s">
        <v>264</v>
      </c>
      <c r="D87" s="244" t="s">
        <v>7</v>
      </c>
      <c r="E87" s="92">
        <v>2610.39039</v>
      </c>
      <c r="F87" s="88">
        <f t="shared" si="27"/>
        <v>0</v>
      </c>
      <c r="G87" s="88">
        <f t="shared" si="28"/>
        <v>0</v>
      </c>
      <c r="H87" s="88">
        <f t="shared" si="29"/>
        <v>2610.39039</v>
      </c>
      <c r="I87" s="88">
        <f t="shared" si="30"/>
        <v>0</v>
      </c>
      <c r="J87" s="88">
        <f t="shared" si="31"/>
        <v>0</v>
      </c>
      <c r="K87" s="238" t="s">
        <v>142</v>
      </c>
      <c r="L87" s="89" t="s">
        <v>256</v>
      </c>
    </row>
    <row r="88" spans="1:14">
      <c r="A88" s="189" t="str">
        <f>IF(C88="","",B88&amp;"-"&amp;C88)</f>
        <v>SCHMDT-SNPD</v>
      </c>
      <c r="B88" s="244" t="s">
        <v>101</v>
      </c>
      <c r="C88" s="244" t="s">
        <v>264</v>
      </c>
      <c r="D88" s="244" t="s">
        <v>72</v>
      </c>
      <c r="E88" s="92">
        <v>5.5485699999999998</v>
      </c>
      <c r="F88" s="88">
        <f t="shared" si="27"/>
        <v>5.5485699999999998</v>
      </c>
      <c r="G88" s="88">
        <f t="shared" si="28"/>
        <v>0</v>
      </c>
      <c r="H88" s="88">
        <f t="shared" si="29"/>
        <v>0</v>
      </c>
      <c r="I88" s="88">
        <f t="shared" si="30"/>
        <v>0</v>
      </c>
      <c r="J88" s="88">
        <f t="shared" si="31"/>
        <v>0</v>
      </c>
      <c r="K88" s="238" t="s">
        <v>142</v>
      </c>
      <c r="L88" s="89" t="s">
        <v>256</v>
      </c>
    </row>
    <row r="89" spans="1:14">
      <c r="A89" s="189" t="str">
        <f t="shared" si="16"/>
        <v>SCHMDT-SNP</v>
      </c>
      <c r="B89" s="244" t="s">
        <v>101</v>
      </c>
      <c r="C89" s="244" t="s">
        <v>263</v>
      </c>
      <c r="D89" s="244" t="s">
        <v>132</v>
      </c>
      <c r="E89" s="92">
        <v>21953.067520000001</v>
      </c>
      <c r="F89" s="88">
        <f t="shared" si="27"/>
        <v>10740.102292031863</v>
      </c>
      <c r="G89" s="88">
        <f t="shared" si="28"/>
        <v>5365.7362132703574</v>
      </c>
      <c r="H89" s="88">
        <f t="shared" si="29"/>
        <v>5847.2290146977784</v>
      </c>
      <c r="I89" s="88">
        <f t="shared" si="30"/>
        <v>0</v>
      </c>
      <c r="J89" s="88">
        <f t="shared" si="31"/>
        <v>0</v>
      </c>
      <c r="K89" s="238" t="s">
        <v>142</v>
      </c>
      <c r="L89" s="89" t="s">
        <v>256</v>
      </c>
    </row>
    <row r="90" spans="1:14">
      <c r="A90" s="189" t="str">
        <f t="shared" si="16"/>
        <v>SCHMDT-SO</v>
      </c>
      <c r="B90" s="244" t="s">
        <v>101</v>
      </c>
      <c r="C90" s="244" t="s">
        <v>204</v>
      </c>
      <c r="D90" s="244" t="s">
        <v>28</v>
      </c>
      <c r="E90" s="92">
        <v>24674.750370000002</v>
      </c>
      <c r="F90" s="88">
        <f t="shared" si="27"/>
        <v>7402.4251110000005</v>
      </c>
      <c r="G90" s="88">
        <f t="shared" si="28"/>
        <v>2467.4750370000002</v>
      </c>
      <c r="H90" s="88">
        <f t="shared" si="29"/>
        <v>14804.850222000001</v>
      </c>
      <c r="I90" s="88">
        <f t="shared" si="30"/>
        <v>0</v>
      </c>
      <c r="J90" s="88">
        <f t="shared" si="31"/>
        <v>0</v>
      </c>
      <c r="K90" s="238" t="s">
        <v>142</v>
      </c>
      <c r="L90" s="89" t="s">
        <v>256</v>
      </c>
    </row>
    <row r="91" spans="1:14">
      <c r="A91" s="189" t="str">
        <f t="shared" si="16"/>
        <v>SCHMDT-SO</v>
      </c>
      <c r="B91" s="244" t="s">
        <v>101</v>
      </c>
      <c r="C91" s="244" t="s">
        <v>204</v>
      </c>
      <c r="D91" s="244" t="s">
        <v>38</v>
      </c>
      <c r="E91" s="92">
        <v>0</v>
      </c>
      <c r="F91" s="88">
        <f t="shared" si="27"/>
        <v>0</v>
      </c>
      <c r="G91" s="88">
        <f t="shared" si="28"/>
        <v>0</v>
      </c>
      <c r="H91" s="88">
        <f t="shared" si="29"/>
        <v>0</v>
      </c>
      <c r="I91" s="88">
        <f t="shared" si="30"/>
        <v>0</v>
      </c>
      <c r="J91" s="88">
        <f t="shared" si="31"/>
        <v>0</v>
      </c>
      <c r="K91" s="238" t="s">
        <v>142</v>
      </c>
      <c r="L91" s="89" t="s">
        <v>256</v>
      </c>
    </row>
    <row r="92" spans="1:14">
      <c r="A92" s="189" t="str">
        <f t="shared" si="16"/>
        <v>SCHMDT-SO</v>
      </c>
      <c r="B92" s="244" t="s">
        <v>101</v>
      </c>
      <c r="C92" s="244" t="s">
        <v>204</v>
      </c>
      <c r="D92" s="244" t="s">
        <v>54</v>
      </c>
      <c r="E92" s="92">
        <v>14223.542959999999</v>
      </c>
      <c r="F92" s="88">
        <f t="shared" si="27"/>
        <v>6390.5188121146293</v>
      </c>
      <c r="G92" s="88">
        <f t="shared" si="28"/>
        <v>1206.8939452982493</v>
      </c>
      <c r="H92" s="88">
        <f t="shared" si="29"/>
        <v>4664.9266238754008</v>
      </c>
      <c r="I92" s="88">
        <f t="shared" si="30"/>
        <v>1961.203578711719</v>
      </c>
      <c r="J92" s="88">
        <f t="shared" si="31"/>
        <v>0</v>
      </c>
      <c r="K92" s="238" t="s">
        <v>142</v>
      </c>
      <c r="L92" s="89" t="s">
        <v>256</v>
      </c>
    </row>
    <row r="93" spans="1:14">
      <c r="A93" s="189" t="str">
        <f t="shared" si="16"/>
        <v>SCHMDT-SO</v>
      </c>
      <c r="B93" s="244" t="s">
        <v>101</v>
      </c>
      <c r="C93" s="244" t="s">
        <v>204</v>
      </c>
      <c r="D93" s="244" t="s">
        <v>132</v>
      </c>
      <c r="E93" s="92">
        <v>-3953.4669799999997</v>
      </c>
      <c r="F93" s="88">
        <f t="shared" si="27"/>
        <v>-1934.1552033531159</v>
      </c>
      <c r="G93" s="88">
        <f t="shared" si="28"/>
        <v>-966.30053741822564</v>
      </c>
      <c r="H93" s="88">
        <f t="shared" si="29"/>
        <v>-1053.011239228658</v>
      </c>
      <c r="I93" s="88">
        <f t="shared" si="30"/>
        <v>0</v>
      </c>
      <c r="J93" s="88">
        <f t="shared" si="31"/>
        <v>0</v>
      </c>
      <c r="K93" s="238" t="s">
        <v>142</v>
      </c>
      <c r="L93" s="89" t="s">
        <v>256</v>
      </c>
    </row>
    <row r="94" spans="1:14">
      <c r="A94" s="189" t="str">
        <f>IF(C94="","",B94&amp;"-"&amp;C94)</f>
        <v>SCHMDT-OTHER</v>
      </c>
      <c r="B94" s="244" t="s">
        <v>101</v>
      </c>
      <c r="C94" s="244" t="s">
        <v>202</v>
      </c>
      <c r="D94" s="244" t="s">
        <v>8</v>
      </c>
      <c r="E94" s="92">
        <v>3.1229900000000002</v>
      </c>
      <c r="F94" s="88">
        <f t="shared" si="27"/>
        <v>0</v>
      </c>
      <c r="G94" s="88">
        <f t="shared" si="28"/>
        <v>0</v>
      </c>
      <c r="H94" s="88">
        <f t="shared" si="29"/>
        <v>0</v>
      </c>
      <c r="I94" s="88">
        <f t="shared" si="30"/>
        <v>3.1229900000000002</v>
      </c>
      <c r="J94" s="88">
        <f t="shared" si="31"/>
        <v>0</v>
      </c>
      <c r="K94" s="238" t="s">
        <v>142</v>
      </c>
      <c r="L94" s="89" t="s">
        <v>256</v>
      </c>
      <c r="N94" s="70"/>
    </row>
    <row r="95" spans="1:14">
      <c r="A95" s="189" t="str">
        <f t="shared" si="16"/>
        <v>SCHMDT-OTHER</v>
      </c>
      <c r="B95" s="244" t="s">
        <v>101</v>
      </c>
      <c r="C95" s="244" t="s">
        <v>202</v>
      </c>
      <c r="D95" s="244" t="s">
        <v>18</v>
      </c>
      <c r="E95" s="92">
        <v>-62.145119999999999</v>
      </c>
      <c r="F95" s="88">
        <f t="shared" si="27"/>
        <v>-56.458447026169914</v>
      </c>
      <c r="G95" s="88">
        <f t="shared" si="28"/>
        <v>0.82948726300247466</v>
      </c>
      <c r="H95" s="88">
        <f t="shared" si="29"/>
        <v>3.206161761288433</v>
      </c>
      <c r="I95" s="88">
        <f t="shared" si="30"/>
        <v>-9.7246151211775551</v>
      </c>
      <c r="J95" s="88">
        <f t="shared" si="31"/>
        <v>2.2931230565562902E-3</v>
      </c>
      <c r="K95" s="238" t="s">
        <v>142</v>
      </c>
      <c r="L95" s="89" t="s">
        <v>256</v>
      </c>
      <c r="N95" s="70"/>
    </row>
    <row r="96" spans="1:14">
      <c r="A96" s="189" t="str">
        <f t="shared" si="16"/>
        <v>SCHMDT-OTHER</v>
      </c>
      <c r="B96" s="244" t="s">
        <v>101</v>
      </c>
      <c r="C96" s="244" t="s">
        <v>202</v>
      </c>
      <c r="D96" s="244" t="s">
        <v>9</v>
      </c>
      <c r="E96" s="92">
        <v>97.141719999999992</v>
      </c>
      <c r="F96" s="88">
        <f t="shared" si="27"/>
        <v>0</v>
      </c>
      <c r="G96" s="88">
        <f t="shared" si="28"/>
        <v>0</v>
      </c>
      <c r="H96" s="88">
        <f t="shared" si="29"/>
        <v>0</v>
      </c>
      <c r="I96" s="88">
        <f t="shared" si="30"/>
        <v>0</v>
      </c>
      <c r="J96" s="88">
        <f t="shared" si="31"/>
        <v>97.141719999999992</v>
      </c>
      <c r="K96" s="238" t="s">
        <v>142</v>
      </c>
      <c r="L96" s="89" t="s">
        <v>256</v>
      </c>
      <c r="N96" s="70"/>
    </row>
    <row r="97" spans="1:14">
      <c r="A97" s="189" t="str">
        <f t="shared" si="16"/>
        <v>SCHMDT-OTHER</v>
      </c>
      <c r="B97" s="244" t="s">
        <v>101</v>
      </c>
      <c r="C97" s="244" t="s">
        <v>202</v>
      </c>
      <c r="D97" s="244" t="s">
        <v>7</v>
      </c>
      <c r="E97" s="92">
        <v>0</v>
      </c>
      <c r="F97" s="88">
        <f t="shared" si="27"/>
        <v>0</v>
      </c>
      <c r="G97" s="88">
        <f t="shared" si="28"/>
        <v>0</v>
      </c>
      <c r="H97" s="88">
        <f t="shared" si="29"/>
        <v>0</v>
      </c>
      <c r="I97" s="88">
        <f t="shared" si="30"/>
        <v>0</v>
      </c>
      <c r="J97" s="88">
        <f t="shared" si="31"/>
        <v>0</v>
      </c>
      <c r="K97" s="238" t="s">
        <v>142</v>
      </c>
      <c r="L97" s="89" t="s">
        <v>256</v>
      </c>
      <c r="N97" s="70"/>
    </row>
    <row r="98" spans="1:14">
      <c r="A98" s="189" t="str">
        <f t="shared" si="16"/>
        <v>SCHMDT-OTHER</v>
      </c>
      <c r="B98" s="244" t="s">
        <v>101</v>
      </c>
      <c r="C98" s="244" t="s">
        <v>202</v>
      </c>
      <c r="D98" s="244" t="s">
        <v>54</v>
      </c>
      <c r="E98" s="92">
        <v>0</v>
      </c>
      <c r="F98" s="88">
        <f t="shared" si="27"/>
        <v>0</v>
      </c>
      <c r="G98" s="88">
        <f t="shared" si="28"/>
        <v>0</v>
      </c>
      <c r="H98" s="88">
        <f t="shared" si="29"/>
        <v>0</v>
      </c>
      <c r="I98" s="88">
        <f t="shared" si="30"/>
        <v>0</v>
      </c>
      <c r="J98" s="88">
        <f t="shared" si="31"/>
        <v>0</v>
      </c>
      <c r="K98" s="238" t="s">
        <v>142</v>
      </c>
      <c r="L98" s="89" t="s">
        <v>256</v>
      </c>
      <c r="N98" s="70"/>
    </row>
    <row r="99" spans="1:14">
      <c r="A99" s="189" t="str">
        <f t="shared" si="16"/>
        <v>SCHMDT-OTHER</v>
      </c>
      <c r="B99" s="244" t="s">
        <v>101</v>
      </c>
      <c r="C99" s="244" t="s">
        <v>202</v>
      </c>
      <c r="D99" s="244" t="s">
        <v>72</v>
      </c>
      <c r="E99" s="92">
        <v>-22428.622399999997</v>
      </c>
      <c r="F99" s="88">
        <f t="shared" si="27"/>
        <v>-22428.622399999997</v>
      </c>
      <c r="G99" s="88">
        <f t="shared" si="28"/>
        <v>0</v>
      </c>
      <c r="H99" s="88">
        <f t="shared" si="29"/>
        <v>0</v>
      </c>
      <c r="I99" s="88">
        <f t="shared" si="30"/>
        <v>0</v>
      </c>
      <c r="J99" s="88">
        <f t="shared" si="31"/>
        <v>0</v>
      </c>
      <c r="K99" s="238" t="s">
        <v>142</v>
      </c>
      <c r="L99" s="89" t="s">
        <v>256</v>
      </c>
      <c r="N99" s="70"/>
    </row>
    <row r="100" spans="1:14">
      <c r="A100" s="189" t="str">
        <f t="shared" si="16"/>
        <v>SCHMDT-OTHER</v>
      </c>
      <c r="B100" s="244" t="s">
        <v>101</v>
      </c>
      <c r="C100" s="244" t="s">
        <v>202</v>
      </c>
      <c r="D100" s="244" t="s">
        <v>130</v>
      </c>
      <c r="E100" s="92">
        <v>0</v>
      </c>
      <c r="F100" s="88">
        <f t="shared" si="27"/>
        <v>0</v>
      </c>
      <c r="G100" s="88">
        <f t="shared" si="28"/>
        <v>0</v>
      </c>
      <c r="H100" s="88">
        <f t="shared" si="29"/>
        <v>0</v>
      </c>
      <c r="I100" s="88">
        <f t="shared" si="30"/>
        <v>0</v>
      </c>
      <c r="J100" s="88">
        <f t="shared" si="31"/>
        <v>0</v>
      </c>
      <c r="K100" s="238" t="s">
        <v>142</v>
      </c>
      <c r="L100" s="89" t="s">
        <v>256</v>
      </c>
      <c r="N100" s="70"/>
    </row>
    <row r="101" spans="1:14">
      <c r="A101" s="189" t="str">
        <f t="shared" si="16"/>
        <v>SCHMDT-OTHER</v>
      </c>
      <c r="B101" s="244" t="s">
        <v>101</v>
      </c>
      <c r="C101" s="244" t="s">
        <v>202</v>
      </c>
      <c r="D101" s="244" t="s">
        <v>38</v>
      </c>
      <c r="E101" s="92">
        <v>10397.91293</v>
      </c>
      <c r="F101" s="88">
        <f t="shared" si="27"/>
        <v>5007.0793150206673</v>
      </c>
      <c r="G101" s="88">
        <f t="shared" si="28"/>
        <v>2553.677333814499</v>
      </c>
      <c r="H101" s="88">
        <f t="shared" si="29"/>
        <v>2773.8261623100052</v>
      </c>
      <c r="I101" s="88">
        <f t="shared" si="30"/>
        <v>63.330118854826743</v>
      </c>
      <c r="J101" s="88">
        <f t="shared" si="31"/>
        <v>0</v>
      </c>
      <c r="K101" s="238" t="s">
        <v>142</v>
      </c>
      <c r="L101" s="89" t="s">
        <v>256</v>
      </c>
      <c r="N101" s="70"/>
    </row>
    <row r="102" spans="1:14">
      <c r="A102" s="189" t="str">
        <f t="shared" si="16"/>
        <v>SCHMDT-TAXDEPR</v>
      </c>
      <c r="B102" s="244" t="s">
        <v>101</v>
      </c>
      <c r="C102" s="244" t="s">
        <v>278</v>
      </c>
      <c r="D102" s="244" t="s">
        <v>278</v>
      </c>
      <c r="E102" s="92">
        <v>361660.88099999999</v>
      </c>
      <c r="F102" s="88">
        <f t="shared" si="27"/>
        <v>129175.49213110728</v>
      </c>
      <c r="G102" s="88">
        <f t="shared" si="28"/>
        <v>108409.0727083204</v>
      </c>
      <c r="H102" s="88">
        <f t="shared" si="29"/>
        <v>120931.40383787335</v>
      </c>
      <c r="I102" s="88">
        <f t="shared" si="30"/>
        <v>3144.9123226989323</v>
      </c>
      <c r="J102" s="88">
        <f t="shared" si="31"/>
        <v>0</v>
      </c>
      <c r="K102" s="238" t="s">
        <v>142</v>
      </c>
      <c r="L102" s="89" t="s">
        <v>256</v>
      </c>
    </row>
    <row r="103" spans="1:14">
      <c r="A103" s="189" t="str">
        <f t="shared" si="16"/>
        <v>SCHMDT-SITUS</v>
      </c>
      <c r="B103" s="244" t="s">
        <v>101</v>
      </c>
      <c r="C103" s="244" t="s">
        <v>205</v>
      </c>
      <c r="D103" s="244" t="s">
        <v>9</v>
      </c>
      <c r="E103" s="92">
        <v>-38.481160000000003</v>
      </c>
      <c r="F103" s="88">
        <f t="shared" si="27"/>
        <v>0</v>
      </c>
      <c r="G103" s="88">
        <f t="shared" si="28"/>
        <v>0</v>
      </c>
      <c r="H103" s="88">
        <f t="shared" si="29"/>
        <v>0</v>
      </c>
      <c r="I103" s="88">
        <f t="shared" si="30"/>
        <v>0</v>
      </c>
      <c r="J103" s="88">
        <f t="shared" si="31"/>
        <v>-38.481160000000003</v>
      </c>
      <c r="K103" s="238" t="s">
        <v>142</v>
      </c>
      <c r="L103" s="89" t="s">
        <v>256</v>
      </c>
    </row>
    <row r="104" spans="1:14">
      <c r="A104" s="189" t="str">
        <f>IF(C104="","",B104&amp;"-"&amp;C104)</f>
        <v>SCHMDT-SITUS</v>
      </c>
      <c r="B104" s="244" t="s">
        <v>101</v>
      </c>
      <c r="C104" s="244" t="s">
        <v>205</v>
      </c>
      <c r="D104" s="244" t="s">
        <v>18</v>
      </c>
      <c r="E104" s="92">
        <v>149.49218000000002</v>
      </c>
      <c r="F104" s="88">
        <f t="shared" si="27"/>
        <v>135.81269656180015</v>
      </c>
      <c r="G104" s="88">
        <f t="shared" si="28"/>
        <v>-1.9953595588595421</v>
      </c>
      <c r="H104" s="88">
        <f t="shared" si="29"/>
        <v>-7.712530141186428</v>
      </c>
      <c r="I104" s="88">
        <f t="shared" si="30"/>
        <v>23.392889323020007</v>
      </c>
      <c r="J104" s="88">
        <f t="shared" si="31"/>
        <v>-5.516184774168321E-3</v>
      </c>
      <c r="K104" s="238" t="s">
        <v>142</v>
      </c>
      <c r="L104" s="89" t="s">
        <v>256</v>
      </c>
    </row>
    <row r="105" spans="1:14">
      <c r="A105" s="189" t="str">
        <f t="shared" si="16"/>
        <v>SCHMDT-SITUS</v>
      </c>
      <c r="B105" s="244" t="s">
        <v>101</v>
      </c>
      <c r="C105" s="244" t="s">
        <v>205</v>
      </c>
      <c r="D105" s="244" t="s">
        <v>38</v>
      </c>
      <c r="E105" s="92">
        <v>5309.0508899999995</v>
      </c>
      <c r="F105" s="88">
        <f t="shared" si="27"/>
        <v>2556.5552503343633</v>
      </c>
      <c r="G105" s="88">
        <f t="shared" si="28"/>
        <v>1303.877327414848</v>
      </c>
      <c r="H105" s="88">
        <f t="shared" si="29"/>
        <v>1416.2827054676266</v>
      </c>
      <c r="I105" s="88">
        <f t="shared" si="30"/>
        <v>32.335606783160827</v>
      </c>
      <c r="J105" s="88">
        <f t="shared" si="31"/>
        <v>0</v>
      </c>
      <c r="K105" s="238" t="s">
        <v>142</v>
      </c>
      <c r="L105" s="89" t="s">
        <v>256</v>
      </c>
    </row>
    <row r="106" spans="1:14">
      <c r="A106" s="189" t="str">
        <f t="shared" si="16"/>
        <v>SCHMDT-SITUS</v>
      </c>
      <c r="B106" s="244" t="s">
        <v>101</v>
      </c>
      <c r="C106" s="244" t="s">
        <v>205</v>
      </c>
      <c r="D106" s="244" t="s">
        <v>54</v>
      </c>
      <c r="E106" s="92">
        <v>553.27689999999996</v>
      </c>
      <c r="F106" s="88">
        <f t="shared" si="27"/>
        <v>248.58268067961492</v>
      </c>
      <c r="G106" s="88">
        <f t="shared" si="28"/>
        <v>46.946568978013964</v>
      </c>
      <c r="H106" s="88">
        <f t="shared" si="29"/>
        <v>181.45944005959876</v>
      </c>
      <c r="I106" s="88">
        <f t="shared" si="30"/>
        <v>76.288210282772326</v>
      </c>
      <c r="J106" s="88">
        <f t="shared" si="31"/>
        <v>0</v>
      </c>
      <c r="K106" s="238" t="s">
        <v>142</v>
      </c>
      <c r="L106" s="89" t="s">
        <v>256</v>
      </c>
    </row>
    <row r="107" spans="1:14">
      <c r="A107" s="189" t="str">
        <f t="shared" si="16"/>
        <v>SCHMDT-SITUS</v>
      </c>
      <c r="B107" s="244" t="s">
        <v>101</v>
      </c>
      <c r="C107" s="244" t="s">
        <v>205</v>
      </c>
      <c r="D107" s="244" t="s">
        <v>72</v>
      </c>
      <c r="E107" s="92">
        <v>848.36988999999994</v>
      </c>
      <c r="F107" s="88">
        <f t="shared" si="27"/>
        <v>848.36988999999994</v>
      </c>
      <c r="G107" s="88">
        <f t="shared" si="28"/>
        <v>0</v>
      </c>
      <c r="H107" s="88">
        <f t="shared" si="29"/>
        <v>0</v>
      </c>
      <c r="I107" s="88">
        <f t="shared" si="30"/>
        <v>0</v>
      </c>
      <c r="J107" s="88">
        <f t="shared" si="31"/>
        <v>0</v>
      </c>
      <c r="K107" s="238" t="s">
        <v>142</v>
      </c>
      <c r="L107" s="89" t="s">
        <v>256</v>
      </c>
    </row>
    <row r="108" spans="1:14">
      <c r="A108" s="189" t="str">
        <f t="shared" si="16"/>
        <v>SCHMDT-SITUS</v>
      </c>
      <c r="B108" s="249" t="s">
        <v>101</v>
      </c>
      <c r="C108" s="249" t="s">
        <v>205</v>
      </c>
      <c r="D108" s="224" t="s">
        <v>132</v>
      </c>
      <c r="E108" s="252">
        <v>0.68066000000000004</v>
      </c>
      <c r="F108" s="197">
        <f t="shared" si="27"/>
        <v>0.33299938696195513</v>
      </c>
      <c r="G108" s="197">
        <f t="shared" si="28"/>
        <v>0.16636590798061746</v>
      </c>
      <c r="H108" s="197">
        <f t="shared" si="29"/>
        <v>0.18129470505742745</v>
      </c>
      <c r="I108" s="197">
        <f t="shared" si="30"/>
        <v>0</v>
      </c>
      <c r="J108" s="197">
        <f t="shared" si="31"/>
        <v>0</v>
      </c>
      <c r="K108" s="238" t="s">
        <v>142</v>
      </c>
      <c r="L108" s="89" t="s">
        <v>256</v>
      </c>
    </row>
    <row r="109" spans="1:14">
      <c r="A109" s="189" t="str">
        <f t="shared" si="16"/>
        <v/>
      </c>
      <c r="B109" s="134" t="s">
        <v>279</v>
      </c>
      <c r="C109" s="244"/>
      <c r="D109" s="221"/>
      <c r="E109" s="88">
        <f t="shared" ref="E109:J109" si="32">SUMIF($A:$A,"SCHMDT-GPS",E:E)</f>
        <v>22442.843000000004</v>
      </c>
      <c r="F109" s="88">
        <f t="shared" si="32"/>
        <v>10979.715218586969</v>
      </c>
      <c r="G109" s="88">
        <f t="shared" si="32"/>
        <v>5485.4464098983999</v>
      </c>
      <c r="H109" s="88">
        <f t="shared" si="32"/>
        <v>5977.6813715146336</v>
      </c>
      <c r="I109" s="88">
        <f t="shared" si="32"/>
        <v>0</v>
      </c>
      <c r="J109" s="88">
        <f t="shared" si="32"/>
        <v>0</v>
      </c>
      <c r="K109" s="189"/>
    </row>
    <row r="110" spans="1:14">
      <c r="A110" s="189" t="str">
        <f>IF(C110="","",B110&amp;"-"&amp;C110)</f>
        <v/>
      </c>
      <c r="B110" s="134" t="s">
        <v>280</v>
      </c>
      <c r="C110" s="244"/>
      <c r="D110" s="221"/>
      <c r="E110" s="88">
        <f t="shared" ref="E110:J110" si="33">SUMIF($A:$A,"SCHMDT-CN",E:E)</f>
        <v>0</v>
      </c>
      <c r="F110" s="88">
        <f t="shared" si="33"/>
        <v>0</v>
      </c>
      <c r="G110" s="88">
        <f t="shared" si="33"/>
        <v>0</v>
      </c>
      <c r="H110" s="88">
        <f t="shared" si="33"/>
        <v>0</v>
      </c>
      <c r="I110" s="88">
        <f t="shared" si="33"/>
        <v>0</v>
      </c>
      <c r="J110" s="88">
        <f t="shared" si="33"/>
        <v>0</v>
      </c>
      <c r="K110" s="189"/>
    </row>
    <row r="111" spans="1:14">
      <c r="A111" s="189" t="str">
        <f t="shared" si="16"/>
        <v/>
      </c>
      <c r="B111" s="134" t="s">
        <v>240</v>
      </c>
      <c r="C111" s="244"/>
      <c r="D111" s="221"/>
      <c r="E111" s="88">
        <f t="shared" ref="E111:J111" si="34">SUMIF($A:$A,"SCHMDT-SG",E:E)</f>
        <v>46015.54441000001</v>
      </c>
      <c r="F111" s="88">
        <f t="shared" si="34"/>
        <v>45987.379230000006</v>
      </c>
      <c r="G111" s="88">
        <f t="shared" si="34"/>
        <v>28.165179999999999</v>
      </c>
      <c r="H111" s="88">
        <f t="shared" si="34"/>
        <v>0</v>
      </c>
      <c r="I111" s="88">
        <f t="shared" si="34"/>
        <v>0</v>
      </c>
      <c r="J111" s="88">
        <f t="shared" si="34"/>
        <v>0</v>
      </c>
      <c r="K111" s="189"/>
    </row>
    <row r="112" spans="1:14">
      <c r="A112" s="189" t="str">
        <f>IF(C112="","",B112&amp;"-"&amp;C112)</f>
        <v/>
      </c>
      <c r="B112" s="134" t="s">
        <v>224</v>
      </c>
      <c r="C112" s="244"/>
      <c r="D112" s="221"/>
      <c r="E112" s="88">
        <f t="shared" ref="E112:J112" si="35">SUMIF($A:$A,"SCHMDT-SE",E:E)</f>
        <v>4773.7557500000003</v>
      </c>
      <c r="F112" s="88">
        <f t="shared" si="35"/>
        <v>4773.7557500000003</v>
      </c>
      <c r="G112" s="88">
        <f t="shared" si="35"/>
        <v>0</v>
      </c>
      <c r="H112" s="88">
        <f t="shared" si="35"/>
        <v>0</v>
      </c>
      <c r="I112" s="88">
        <f t="shared" si="35"/>
        <v>0</v>
      </c>
      <c r="J112" s="88">
        <f t="shared" si="35"/>
        <v>0</v>
      </c>
      <c r="K112" s="189"/>
    </row>
    <row r="113" spans="1:17">
      <c r="A113" s="189" t="str">
        <f t="shared" si="16"/>
        <v/>
      </c>
      <c r="B113" s="134" t="s">
        <v>266</v>
      </c>
      <c r="C113" s="244"/>
      <c r="D113" s="221"/>
      <c r="E113" s="88">
        <f t="shared" ref="E113:J113" si="36">SUMIF($A:$A,"SCHMDT-SNP",E:E)</f>
        <v>21953.067520000001</v>
      </c>
      <c r="F113" s="88">
        <f t="shared" si="36"/>
        <v>10740.102292031863</v>
      </c>
      <c r="G113" s="88">
        <f t="shared" si="36"/>
        <v>5365.7362132703574</v>
      </c>
      <c r="H113" s="88">
        <f t="shared" si="36"/>
        <v>5847.2290146977784</v>
      </c>
      <c r="I113" s="88">
        <f t="shared" si="36"/>
        <v>0</v>
      </c>
      <c r="J113" s="88">
        <f t="shared" si="36"/>
        <v>0</v>
      </c>
      <c r="K113" s="189"/>
    </row>
    <row r="114" spans="1:17">
      <c r="A114" s="189" t="str">
        <f t="shared" si="16"/>
        <v/>
      </c>
      <c r="B114" s="90" t="s">
        <v>281</v>
      </c>
      <c r="C114" s="244"/>
      <c r="D114" s="221"/>
      <c r="E114" s="88">
        <f t="shared" ref="E114:J114" si="37">SUMIF($A:$A,"SCHMDT-SO",E:E)</f>
        <v>34944.826350000003</v>
      </c>
      <c r="F114" s="88">
        <f t="shared" si="37"/>
        <v>11858.788719761515</v>
      </c>
      <c r="G114" s="88">
        <f t="shared" si="37"/>
        <v>2708.0684448800239</v>
      </c>
      <c r="H114" s="88">
        <f t="shared" si="37"/>
        <v>18416.765606646743</v>
      </c>
      <c r="I114" s="88">
        <f t="shared" si="37"/>
        <v>1961.203578711719</v>
      </c>
      <c r="J114" s="88">
        <f t="shared" si="37"/>
        <v>0</v>
      </c>
      <c r="K114" s="189"/>
    </row>
    <row r="115" spans="1:17">
      <c r="A115" s="189" t="str">
        <f>IF(C115="","",B115&amp;"-"&amp;C115)</f>
        <v/>
      </c>
      <c r="B115" s="90" t="s">
        <v>282</v>
      </c>
      <c r="C115" s="244"/>
      <c r="D115" s="221"/>
      <c r="E115" s="88">
        <f t="shared" ref="E115:J115" si="38">SUMIF($A:$A,"SCHMDT-OTHER",E:E)</f>
        <v>-11992.589879999998</v>
      </c>
      <c r="F115" s="88">
        <f t="shared" si="38"/>
        <v>-17478.001532005499</v>
      </c>
      <c r="G115" s="88">
        <f t="shared" si="38"/>
        <v>2554.5068210775016</v>
      </c>
      <c r="H115" s="88">
        <f t="shared" si="38"/>
        <v>2777.0323240712937</v>
      </c>
      <c r="I115" s="88">
        <f t="shared" si="38"/>
        <v>56.728493733649188</v>
      </c>
      <c r="J115" s="88">
        <f t="shared" si="38"/>
        <v>97.144013123056553</v>
      </c>
      <c r="K115" s="189"/>
    </row>
    <row r="116" spans="1:17">
      <c r="A116" s="189" t="str">
        <f>IF(C116="","",B116&amp;"-"&amp;C116)</f>
        <v/>
      </c>
      <c r="B116" s="90" t="s">
        <v>283</v>
      </c>
      <c r="C116" s="244"/>
      <c r="D116" s="221"/>
      <c r="E116" s="88">
        <f t="shared" ref="E116:J116" si="39">SUMIF($A:$A,"SCHMDT-TAXDEPR",E:E)</f>
        <v>361660.88099999999</v>
      </c>
      <c r="F116" s="88">
        <f t="shared" si="39"/>
        <v>129175.49213110728</v>
      </c>
      <c r="G116" s="88">
        <f t="shared" si="39"/>
        <v>108409.0727083204</v>
      </c>
      <c r="H116" s="88">
        <f t="shared" si="39"/>
        <v>120931.40383787335</v>
      </c>
      <c r="I116" s="88">
        <f t="shared" si="39"/>
        <v>3144.9123226989323</v>
      </c>
      <c r="J116" s="88">
        <f t="shared" si="39"/>
        <v>0</v>
      </c>
      <c r="K116" s="189"/>
    </row>
    <row r="117" spans="1:17">
      <c r="A117" s="189" t="str">
        <f t="shared" si="16"/>
        <v/>
      </c>
      <c r="B117" s="134" t="s">
        <v>241</v>
      </c>
      <c r="C117" s="244"/>
      <c r="D117" s="221"/>
      <c r="E117" s="88">
        <f t="shared" ref="E117:J117" si="40">SUMIF($A:$A,"SCHMDT-SITUS",E:E)+SUMIF($A:$A,"SCHMDT-CN",E:E)</f>
        <v>6822.3893599999992</v>
      </c>
      <c r="F117" s="88">
        <f t="shared" si="40"/>
        <v>3789.6535169627405</v>
      </c>
      <c r="G117" s="88">
        <f t="shared" si="40"/>
        <v>1348.9949027419832</v>
      </c>
      <c r="H117" s="88">
        <f t="shared" si="40"/>
        <v>1590.2109100910964</v>
      </c>
      <c r="I117" s="88">
        <f t="shared" si="40"/>
        <v>132.01670638895317</v>
      </c>
      <c r="J117" s="88">
        <f t="shared" si="40"/>
        <v>-38.486676184774169</v>
      </c>
      <c r="K117" s="189"/>
    </row>
    <row r="118" spans="1:17">
      <c r="A118" s="189" t="str">
        <f t="shared" si="16"/>
        <v/>
      </c>
      <c r="B118" s="90" t="s">
        <v>284</v>
      </c>
      <c r="C118" s="221"/>
      <c r="D118" s="221"/>
      <c r="E118" s="88">
        <f t="shared" ref="E118:J118" si="41">SUMIF($B:$B,"SCHMDT",E:E)</f>
        <v>489236.65646999999</v>
      </c>
      <c r="F118" s="88">
        <f t="shared" si="41"/>
        <v>199832.43389644488</v>
      </c>
      <c r="G118" s="88">
        <f t="shared" si="41"/>
        <v>125899.99068018865</v>
      </c>
      <c r="H118" s="88">
        <f t="shared" si="41"/>
        <v>158150.7134548949</v>
      </c>
      <c r="I118" s="88">
        <f t="shared" si="41"/>
        <v>5294.8611015332544</v>
      </c>
      <c r="J118" s="88">
        <f t="shared" si="41"/>
        <v>58.657336938282384</v>
      </c>
      <c r="K118" s="189"/>
    </row>
    <row r="119" spans="1:17">
      <c r="A119" s="189" t="str">
        <f t="shared" si="16"/>
        <v/>
      </c>
      <c r="B119" s="90" t="s">
        <v>103</v>
      </c>
      <c r="C119" s="90"/>
      <c r="D119" s="221"/>
      <c r="E119" s="219">
        <f>SUM(F119:J119)</f>
        <v>1</v>
      </c>
      <c r="F119" s="220">
        <f t="shared" ref="F119:J128" si="42">IF(ISERROR(F109/$E109)," ",(F109/$E109))</f>
        <v>0.48923013980835522</v>
      </c>
      <c r="G119" s="220">
        <f t="shared" si="42"/>
        <v>0.2444185172929472</v>
      </c>
      <c r="H119" s="220">
        <f t="shared" si="42"/>
        <v>0.2663513428986975</v>
      </c>
      <c r="I119" s="220">
        <f t="shared" si="42"/>
        <v>0</v>
      </c>
      <c r="J119" s="220">
        <f t="shared" si="42"/>
        <v>0</v>
      </c>
      <c r="K119" s="189"/>
      <c r="L119" s="146"/>
      <c r="M119" s="65"/>
      <c r="N119" s="65"/>
      <c r="O119" s="65"/>
      <c r="P119" s="65"/>
      <c r="Q119" s="65"/>
    </row>
    <row r="120" spans="1:17">
      <c r="A120" s="189" t="str">
        <f>IF(C120="","",B120&amp;"-"&amp;C120)</f>
        <v/>
      </c>
      <c r="B120" s="90" t="s">
        <v>285</v>
      </c>
      <c r="C120" s="90"/>
      <c r="D120" s="221"/>
      <c r="E120" s="219">
        <f>SUM(F120:J120)</f>
        <v>0</v>
      </c>
      <c r="F120" s="220" t="str">
        <f t="shared" si="42"/>
        <v xml:space="preserve"> </v>
      </c>
      <c r="G120" s="220" t="str">
        <f t="shared" si="42"/>
        <v xml:space="preserve"> </v>
      </c>
      <c r="H120" s="220" t="str">
        <f t="shared" si="42"/>
        <v xml:space="preserve"> </v>
      </c>
      <c r="I120" s="220" t="str">
        <f t="shared" si="42"/>
        <v xml:space="preserve"> </v>
      </c>
      <c r="J120" s="220" t="str">
        <f t="shared" si="42"/>
        <v xml:space="preserve"> </v>
      </c>
      <c r="K120" s="189"/>
      <c r="L120" s="146"/>
      <c r="M120" s="65"/>
      <c r="N120" s="65"/>
      <c r="O120" s="65"/>
      <c r="P120" s="65"/>
      <c r="Q120" s="65"/>
    </row>
    <row r="121" spans="1:17">
      <c r="A121" s="189" t="str">
        <f t="shared" si="16"/>
        <v/>
      </c>
      <c r="B121" s="90" t="s">
        <v>105</v>
      </c>
      <c r="C121" s="90"/>
      <c r="D121" s="221"/>
      <c r="E121" s="219">
        <f t="shared" ref="E121:E128" si="43">SUM(F121:J121)</f>
        <v>0.99999999999999989</v>
      </c>
      <c r="F121" s="220">
        <f t="shared" si="42"/>
        <v>0.99938792031342605</v>
      </c>
      <c r="G121" s="220">
        <f t="shared" si="42"/>
        <v>6.1207968657389601E-4</v>
      </c>
      <c r="H121" s="220">
        <f t="shared" si="42"/>
        <v>0</v>
      </c>
      <c r="I121" s="220">
        <f t="shared" si="42"/>
        <v>0</v>
      </c>
      <c r="J121" s="220">
        <f t="shared" si="42"/>
        <v>0</v>
      </c>
      <c r="K121" s="189"/>
      <c r="L121" s="146"/>
      <c r="M121" s="65"/>
      <c r="N121" s="65"/>
      <c r="O121" s="65"/>
      <c r="P121" s="65"/>
      <c r="Q121" s="65"/>
    </row>
    <row r="122" spans="1:17">
      <c r="A122" s="189" t="str">
        <f>IF(C122="","",B122&amp;"-"&amp;C122)</f>
        <v/>
      </c>
      <c r="B122" s="90" t="s">
        <v>286</v>
      </c>
      <c r="C122" s="90"/>
      <c r="D122" s="221"/>
      <c r="E122" s="219">
        <f>SUM(F122:J122)</f>
        <v>1</v>
      </c>
      <c r="F122" s="220">
        <f t="shared" si="42"/>
        <v>1</v>
      </c>
      <c r="G122" s="220">
        <f t="shared" si="42"/>
        <v>0</v>
      </c>
      <c r="H122" s="220">
        <f t="shared" si="42"/>
        <v>0</v>
      </c>
      <c r="I122" s="220">
        <f t="shared" si="42"/>
        <v>0</v>
      </c>
      <c r="J122" s="220">
        <f t="shared" si="42"/>
        <v>0</v>
      </c>
      <c r="K122" s="189"/>
      <c r="L122" s="146"/>
      <c r="M122" s="65"/>
      <c r="N122" s="65"/>
      <c r="O122" s="65"/>
      <c r="P122" s="65"/>
      <c r="Q122" s="65"/>
    </row>
    <row r="123" spans="1:17">
      <c r="A123" s="189" t="str">
        <f t="shared" si="16"/>
        <v/>
      </c>
      <c r="B123" s="90" t="s">
        <v>109</v>
      </c>
      <c r="C123" s="90"/>
      <c r="D123" s="221"/>
      <c r="E123" s="219">
        <f t="shared" si="43"/>
        <v>1</v>
      </c>
      <c r="F123" s="220">
        <f t="shared" si="42"/>
        <v>0.48923013980835522</v>
      </c>
      <c r="G123" s="220">
        <f t="shared" si="42"/>
        <v>0.2444185172929472</v>
      </c>
      <c r="H123" s="220">
        <f t="shared" si="42"/>
        <v>0.2663513428986975</v>
      </c>
      <c r="I123" s="220">
        <f t="shared" si="42"/>
        <v>0</v>
      </c>
      <c r="J123" s="220">
        <f t="shared" si="42"/>
        <v>0</v>
      </c>
      <c r="K123" s="189"/>
      <c r="L123" s="146"/>
      <c r="M123" s="65"/>
      <c r="N123" s="65"/>
      <c r="O123" s="65"/>
      <c r="P123" s="65"/>
      <c r="Q123" s="65"/>
    </row>
    <row r="124" spans="1:17">
      <c r="A124" s="189" t="str">
        <f t="shared" si="16"/>
        <v/>
      </c>
      <c r="B124" s="90" t="s">
        <v>111</v>
      </c>
      <c r="C124" s="90"/>
      <c r="D124" s="221"/>
      <c r="E124" s="219">
        <f t="shared" si="43"/>
        <v>1</v>
      </c>
      <c r="F124" s="220">
        <f t="shared" si="42"/>
        <v>0.33935749461125919</v>
      </c>
      <c r="G124" s="220">
        <f t="shared" si="42"/>
        <v>7.7495547345308918E-2</v>
      </c>
      <c r="H124" s="220">
        <f t="shared" si="42"/>
        <v>0.52702409856578791</v>
      </c>
      <c r="I124" s="220">
        <f t="shared" si="42"/>
        <v>5.6122859477643929E-2</v>
      </c>
      <c r="J124" s="220">
        <f t="shared" si="42"/>
        <v>0</v>
      </c>
      <c r="K124" s="189"/>
      <c r="L124" s="146"/>
      <c r="M124" s="65"/>
      <c r="N124" s="65"/>
      <c r="O124" s="65"/>
      <c r="P124" s="65"/>
      <c r="Q124" s="65"/>
    </row>
    <row r="125" spans="1:17">
      <c r="A125" s="189" t="str">
        <f>IF(C125="","",B125&amp;"-"&amp;C125)</f>
        <v/>
      </c>
      <c r="B125" s="90" t="s">
        <v>287</v>
      </c>
      <c r="C125" s="90"/>
      <c r="D125" s="221"/>
      <c r="E125" s="219">
        <f>SUM(F125:J125)</f>
        <v>1</v>
      </c>
      <c r="F125" s="220">
        <f t="shared" si="42"/>
        <v>1.4574000867947219</v>
      </c>
      <c r="G125" s="220">
        <f t="shared" si="42"/>
        <v>-0.21300710243895227</v>
      </c>
      <c r="H125" s="220">
        <f t="shared" si="42"/>
        <v>-0.23156235240750969</v>
      </c>
      <c r="I125" s="220">
        <f t="shared" si="42"/>
        <v>-4.7302954825675404E-3</v>
      </c>
      <c r="J125" s="220">
        <f t="shared" si="42"/>
        <v>-8.1003364656923108E-3</v>
      </c>
      <c r="K125" s="189"/>
      <c r="L125" s="146"/>
      <c r="M125" s="65"/>
      <c r="N125" s="65"/>
      <c r="O125" s="65"/>
      <c r="P125" s="65"/>
      <c r="Q125" s="65"/>
    </row>
    <row r="126" spans="1:17">
      <c r="A126" s="189" t="str">
        <f>IF(C126="","",B126&amp;"-"&amp;C126)</f>
        <v/>
      </c>
      <c r="B126" s="90" t="s">
        <v>288</v>
      </c>
      <c r="C126" s="90"/>
      <c r="D126" s="221"/>
      <c r="E126" s="219">
        <f>SUM(F126:J126)</f>
        <v>0.99999999999999989</v>
      </c>
      <c r="F126" s="220">
        <f t="shared" si="42"/>
        <v>0.35717297312867874</v>
      </c>
      <c r="G126" s="220">
        <f t="shared" si="42"/>
        <v>0.29975338335892732</v>
      </c>
      <c r="H126" s="220">
        <f t="shared" si="42"/>
        <v>0.33437789429560494</v>
      </c>
      <c r="I126" s="220">
        <f t="shared" si="42"/>
        <v>8.6957492167888967E-3</v>
      </c>
      <c r="J126" s="220">
        <f t="shared" si="42"/>
        <v>0</v>
      </c>
      <c r="K126" s="189"/>
      <c r="L126" s="146"/>
      <c r="M126" s="65"/>
      <c r="N126" s="65"/>
      <c r="O126" s="65"/>
      <c r="P126" s="65"/>
      <c r="Q126" s="65"/>
    </row>
    <row r="127" spans="1:17">
      <c r="A127" s="189" t="str">
        <f t="shared" ref="A127:A138" si="44">IF(C127="","",B127&amp;"-"&amp;C127)</f>
        <v/>
      </c>
      <c r="B127" s="90" t="s">
        <v>107</v>
      </c>
      <c r="C127" s="90"/>
      <c r="D127" s="221"/>
      <c r="E127" s="219">
        <f t="shared" si="43"/>
        <v>0.99999999999999989</v>
      </c>
      <c r="F127" s="220">
        <f t="shared" si="42"/>
        <v>0.55547306332025892</v>
      </c>
      <c r="G127" s="220">
        <f t="shared" si="42"/>
        <v>0.19773056499108743</v>
      </c>
      <c r="H127" s="220">
        <f t="shared" si="42"/>
        <v>0.23308709400471633</v>
      </c>
      <c r="I127" s="220">
        <f t="shared" si="42"/>
        <v>1.9350508952622015E-2</v>
      </c>
      <c r="J127" s="220">
        <f t="shared" si="42"/>
        <v>-5.641231268684755E-3</v>
      </c>
      <c r="K127" s="189"/>
      <c r="M127" s="65"/>
      <c r="N127" s="65"/>
      <c r="O127" s="65"/>
      <c r="P127" s="65"/>
      <c r="Q127" s="65"/>
    </row>
    <row r="128" spans="1:17">
      <c r="A128" s="189" t="str">
        <f t="shared" si="44"/>
        <v/>
      </c>
      <c r="B128" s="90" t="s">
        <v>289</v>
      </c>
      <c r="C128" s="90"/>
      <c r="D128" s="221"/>
      <c r="E128" s="219">
        <f t="shared" si="43"/>
        <v>0.99999999999999989</v>
      </c>
      <c r="F128" s="220">
        <f t="shared" si="42"/>
        <v>0.40845760687332844</v>
      </c>
      <c r="G128" s="220">
        <f t="shared" si="42"/>
        <v>0.25733965150648691</v>
      </c>
      <c r="H128" s="220">
        <f t="shared" si="42"/>
        <v>0.32326014693175942</v>
      </c>
      <c r="I128" s="220">
        <f t="shared" si="42"/>
        <v>1.082269905885095E-2</v>
      </c>
      <c r="J128" s="220">
        <f t="shared" si="42"/>
        <v>1.198956295742718E-4</v>
      </c>
      <c r="K128" s="189"/>
      <c r="M128" s="65"/>
      <c r="N128" s="65"/>
      <c r="O128" s="65"/>
      <c r="P128" s="65"/>
      <c r="Q128" s="65"/>
    </row>
    <row r="129" spans="1:11" s="70" customFormat="1">
      <c r="A129" s="189"/>
      <c r="B129" s="246"/>
      <c r="C129" s="246"/>
      <c r="D129" s="221"/>
      <c r="E129" s="247"/>
      <c r="F129" s="200"/>
      <c r="G129" s="200"/>
      <c r="H129" s="200"/>
      <c r="I129" s="200"/>
      <c r="J129" s="200"/>
      <c r="K129" s="189"/>
    </row>
    <row r="130" spans="1:11">
      <c r="A130" s="189" t="str">
        <f t="shared" si="44"/>
        <v>SCHMDF-DGP</v>
      </c>
      <c r="B130" s="221" t="s">
        <v>95</v>
      </c>
      <c r="C130" s="244" t="s">
        <v>269</v>
      </c>
      <c r="D130" s="221" t="s">
        <v>72</v>
      </c>
      <c r="E130" s="245">
        <v>0</v>
      </c>
      <c r="F130" s="88">
        <f>VLOOKUP($D130,$D$140:$J$152,3,FALSE)*$E130</f>
        <v>0</v>
      </c>
      <c r="G130" s="88">
        <f>VLOOKUP($D130,$D$140:$J$152,4,FALSE)*$E130</f>
        <v>0</v>
      </c>
      <c r="H130" s="88">
        <f>VLOOKUP($D130,$D$140:$J$152,5,FALSE)*$E130</f>
        <v>0</v>
      </c>
      <c r="I130" s="88">
        <f>VLOOKUP($D130,$D$140:$J$152,6,FALSE)*$E130</f>
        <v>0</v>
      </c>
      <c r="J130" s="88">
        <f>VLOOKUP($D130,$D$140:$J$152,7,FALSE)*$E130</f>
        <v>0</v>
      </c>
      <c r="K130" s="189"/>
    </row>
    <row r="131" spans="1:11">
      <c r="A131" s="189" t="str">
        <f t="shared" si="44"/>
        <v/>
      </c>
      <c r="B131" s="90" t="s">
        <v>290</v>
      </c>
      <c r="C131" s="189"/>
      <c r="D131" s="189"/>
      <c r="E131" s="245">
        <f t="shared" ref="E131:J131" si="45">SUMIF($A:$A,"SCHMDF",E:E)</f>
        <v>0</v>
      </c>
      <c r="F131" s="245">
        <f t="shared" si="45"/>
        <v>0</v>
      </c>
      <c r="G131" s="245">
        <f t="shared" si="45"/>
        <v>0</v>
      </c>
      <c r="H131" s="245">
        <f t="shared" si="45"/>
        <v>0</v>
      </c>
      <c r="I131" s="245">
        <f t="shared" si="45"/>
        <v>0</v>
      </c>
      <c r="J131" s="245">
        <f t="shared" si="45"/>
        <v>0</v>
      </c>
      <c r="K131" s="189"/>
    </row>
    <row r="132" spans="1:11">
      <c r="A132" s="189" t="str">
        <f t="shared" si="44"/>
        <v/>
      </c>
      <c r="B132" s="90" t="s">
        <v>291</v>
      </c>
      <c r="C132" s="90"/>
      <c r="D132" s="221"/>
      <c r="E132" s="219">
        <f>SUM(F132:J132)</f>
        <v>0</v>
      </c>
      <c r="F132" s="220" t="str">
        <f>IF(ISERROR(F131/$E131)," ",(F131/$E131))</f>
        <v xml:space="preserve"> </v>
      </c>
      <c r="G132" s="220" t="str">
        <f>IF(ISERROR(G131/$E131)," ",(G131/$E131))</f>
        <v xml:space="preserve"> </v>
      </c>
      <c r="H132" s="220" t="str">
        <f>IF(ISERROR(H131/$E131)," ",(H131/$E131))</f>
        <v xml:space="preserve"> </v>
      </c>
      <c r="I132" s="220" t="str">
        <f>IF(ISERROR(I131/$E131)," ",(I131/$E131))</f>
        <v xml:space="preserve"> </v>
      </c>
      <c r="J132" s="220" t="str">
        <f>IF(ISERROR(J131/$E131)," ",(J131/$E131))</f>
        <v xml:space="preserve"> </v>
      </c>
      <c r="K132" s="189"/>
    </row>
    <row r="133" spans="1:11" s="70" customFormat="1">
      <c r="A133" s="189"/>
      <c r="B133" s="246"/>
      <c r="C133" s="246"/>
      <c r="D133" s="221"/>
      <c r="E133" s="247"/>
      <c r="F133" s="200"/>
      <c r="G133" s="200"/>
      <c r="H133" s="200"/>
      <c r="I133" s="200"/>
      <c r="J133" s="200"/>
      <c r="K133" s="189"/>
    </row>
    <row r="134" spans="1:11">
      <c r="A134" s="189" t="str">
        <f t="shared" si="44"/>
        <v/>
      </c>
      <c r="B134" s="85" t="s">
        <v>292</v>
      </c>
      <c r="C134" s="221"/>
      <c r="D134" s="221"/>
      <c r="E134" s="88">
        <f t="shared" ref="E134:J134" si="46">SUM(E131,E118,E75)</f>
        <v>505023.63247999997</v>
      </c>
      <c r="F134" s="88">
        <f t="shared" si="46"/>
        <v>215603.85915029704</v>
      </c>
      <c r="G134" s="88">
        <f t="shared" si="46"/>
        <v>125907.43217792897</v>
      </c>
      <c r="H134" s="88">
        <f t="shared" si="46"/>
        <v>158158.82271330242</v>
      </c>
      <c r="I134" s="88">
        <f t="shared" si="46"/>
        <v>5294.8611015332544</v>
      </c>
      <c r="J134" s="88">
        <f t="shared" si="46"/>
        <v>58.657336938282384</v>
      </c>
      <c r="K134" s="189"/>
    </row>
    <row r="135" spans="1:11">
      <c r="A135" s="189" t="str">
        <f t="shared" si="44"/>
        <v/>
      </c>
      <c r="B135" s="90" t="s">
        <v>293</v>
      </c>
      <c r="C135" s="90"/>
      <c r="D135" s="221"/>
      <c r="E135" s="219">
        <f>SUM(F135:J135)</f>
        <v>1</v>
      </c>
      <c r="F135" s="220">
        <f>IF(ISERROR(F134/$E134)," ",(F134/$E134))</f>
        <v>0.42691835645698306</v>
      </c>
      <c r="G135" s="220">
        <f>IF(ISERROR(G134/$E134)," ",(G134/$E134))</f>
        <v>0.24930998092037837</v>
      </c>
      <c r="H135" s="220">
        <f>IF(ISERROR(H134/$E134)," ",(H134/$E134))</f>
        <v>0.31317113208472647</v>
      </c>
      <c r="I135" s="220">
        <f>IF(ISERROR(I134/$E134)," ",(I134/$E134))</f>
        <v>1.0484382830823154E-2</v>
      </c>
      <c r="J135" s="220">
        <f>IF(ISERROR(J134/$E134)," ",(J134/$E134))</f>
        <v>1.1614770708894566E-4</v>
      </c>
      <c r="K135" s="189"/>
    </row>
    <row r="136" spans="1:11" s="70" customFormat="1">
      <c r="A136" s="189"/>
      <c r="B136" s="246"/>
      <c r="C136" s="246"/>
      <c r="D136" s="221"/>
      <c r="E136" s="247"/>
      <c r="F136" s="200"/>
      <c r="G136" s="200"/>
      <c r="H136" s="200"/>
      <c r="I136" s="200"/>
      <c r="J136" s="200"/>
      <c r="K136" s="189"/>
    </row>
    <row r="137" spans="1:11">
      <c r="A137" s="189" t="str">
        <f t="shared" si="44"/>
        <v/>
      </c>
      <c r="B137" s="85" t="s">
        <v>294</v>
      </c>
      <c r="C137" s="221"/>
      <c r="D137" s="221"/>
      <c r="E137" s="151"/>
      <c r="F137" s="199"/>
      <c r="G137" s="221"/>
      <c r="H137" s="221"/>
      <c r="I137" s="221"/>
      <c r="J137" s="221"/>
      <c r="K137" s="189"/>
    </row>
    <row r="138" spans="1:11">
      <c r="A138" s="189" t="str">
        <f t="shared" si="44"/>
        <v/>
      </c>
      <c r="B138" s="189"/>
      <c r="C138" s="189"/>
      <c r="D138" s="189"/>
      <c r="E138" s="189"/>
      <c r="F138" s="189"/>
      <c r="G138" s="189"/>
      <c r="H138" s="189"/>
      <c r="I138" s="189"/>
      <c r="J138" s="189"/>
      <c r="K138" s="189"/>
    </row>
    <row r="139" spans="1:11">
      <c r="A139" s="189"/>
      <c r="B139" s="189"/>
      <c r="C139" s="189"/>
      <c r="D139" s="189"/>
      <c r="E139" s="152" t="s">
        <v>10</v>
      </c>
      <c r="F139" s="152" t="s">
        <v>5</v>
      </c>
      <c r="G139" s="152" t="s">
        <v>6</v>
      </c>
      <c r="H139" s="152" t="s">
        <v>251</v>
      </c>
      <c r="I139" s="152" t="s">
        <v>252</v>
      </c>
      <c r="J139" s="152" t="s">
        <v>253</v>
      </c>
      <c r="K139" s="189"/>
    </row>
    <row r="140" spans="1:11">
      <c r="A140" s="189"/>
      <c r="B140" s="189"/>
      <c r="C140" s="189"/>
      <c r="D140" s="189" t="s">
        <v>9</v>
      </c>
      <c r="E140" s="230">
        <f>SUM(F140:J140)</f>
        <v>1</v>
      </c>
      <c r="F140" s="200">
        <v>0</v>
      </c>
      <c r="G140" s="200">
        <v>0</v>
      </c>
      <c r="H140" s="200">
        <v>0</v>
      </c>
      <c r="I140" s="200">
        <v>0</v>
      </c>
      <c r="J140" s="200">
        <v>1</v>
      </c>
      <c r="K140" s="189"/>
    </row>
    <row r="141" spans="1:11">
      <c r="A141" s="189"/>
      <c r="B141" s="189"/>
      <c r="C141" s="189"/>
      <c r="D141" s="189" t="s">
        <v>7</v>
      </c>
      <c r="E141" s="230">
        <f t="shared" ref="E141:E152" si="47">SUM(F141:J141)</f>
        <v>1</v>
      </c>
      <c r="F141" s="176">
        <v>0</v>
      </c>
      <c r="G141" s="176">
        <v>0</v>
      </c>
      <c r="H141" s="176">
        <v>1</v>
      </c>
      <c r="I141" s="176">
        <v>0</v>
      </c>
      <c r="J141" s="176">
        <v>0</v>
      </c>
      <c r="K141" s="189"/>
    </row>
    <row r="142" spans="1:11">
      <c r="A142" s="189"/>
      <c r="B142" s="189"/>
      <c r="C142" s="189"/>
      <c r="D142" s="189" t="s">
        <v>18</v>
      </c>
      <c r="E142" s="230">
        <f t="shared" si="47"/>
        <v>1</v>
      </c>
      <c r="F142" s="176">
        <f>'REGASS&amp;DDS'!F34</f>
        <v>0.90849365205457666</v>
      </c>
      <c r="G142" s="176">
        <f>'REGASS&amp;DDS'!G34</f>
        <v>-1.3347584862696776E-2</v>
      </c>
      <c r="H142" s="176">
        <f>'REGASS&amp;DDS'!H34</f>
        <v>-5.1591529009654066E-2</v>
      </c>
      <c r="I142" s="176">
        <f>'REGASS&amp;DDS'!I34</f>
        <v>0.15648236130491913</v>
      </c>
      <c r="J142" s="176">
        <f>'REGASS&amp;DDS'!J34</f>
        <v>-3.689948714486818E-5</v>
      </c>
      <c r="K142" s="189"/>
    </row>
    <row r="143" spans="1:11">
      <c r="A143" s="189"/>
      <c r="B143" s="189"/>
      <c r="C143" s="189"/>
      <c r="D143" s="189" t="s">
        <v>8</v>
      </c>
      <c r="E143" s="230">
        <f t="shared" si="47"/>
        <v>1</v>
      </c>
      <c r="F143" s="176">
        <v>0</v>
      </c>
      <c r="G143" s="176">
        <v>0</v>
      </c>
      <c r="H143" s="176">
        <v>0</v>
      </c>
      <c r="I143" s="176">
        <v>1</v>
      </c>
      <c r="J143" s="176">
        <v>0</v>
      </c>
      <c r="K143" s="189"/>
    </row>
    <row r="144" spans="1:11">
      <c r="A144" s="189"/>
      <c r="B144" s="189"/>
      <c r="C144" s="189"/>
      <c r="D144" s="189" t="s">
        <v>28</v>
      </c>
      <c r="E144" s="230">
        <f t="shared" si="47"/>
        <v>1</v>
      </c>
      <c r="F144" s="176">
        <v>0.3</v>
      </c>
      <c r="G144" s="176">
        <v>0.1</v>
      </c>
      <c r="H144" s="176">
        <v>0.6</v>
      </c>
      <c r="I144" s="176">
        <v>0</v>
      </c>
      <c r="J144" s="176">
        <v>0</v>
      </c>
      <c r="K144" s="189"/>
    </row>
    <row r="145" spans="1:11">
      <c r="A145" s="189"/>
      <c r="B145" s="189"/>
      <c r="C145" s="189"/>
      <c r="D145" s="189" t="s">
        <v>38</v>
      </c>
      <c r="E145" s="230">
        <f t="shared" si="47"/>
        <v>0.99999999999999989</v>
      </c>
      <c r="F145" s="176">
        <f>'GROSS PLANT'!E42</f>
        <v>0.48154657080982766</v>
      </c>
      <c r="G145" s="176">
        <f>'GROSS PLANT'!F42</f>
        <v>0.24559518347635353</v>
      </c>
      <c r="H145" s="176">
        <f>'GROSS PLANT'!G42</f>
        <v>0.26676758893671609</v>
      </c>
      <c r="I145" s="176">
        <f>'GROSS PLANT'!H42</f>
        <v>6.0906567771025506E-3</v>
      </c>
      <c r="J145" s="176">
        <f>'GROSS PLANT'!I42</f>
        <v>0</v>
      </c>
      <c r="K145" s="189"/>
    </row>
    <row r="146" spans="1:11">
      <c r="A146" s="189"/>
      <c r="B146" s="189"/>
      <c r="C146" s="189"/>
      <c r="D146" s="189" t="s">
        <v>54</v>
      </c>
      <c r="E146" s="230">
        <f t="shared" si="47"/>
        <v>1</v>
      </c>
      <c r="F146" s="176">
        <f>'FORM 1'!C25</f>
        <v>0.44929163079032386</v>
      </c>
      <c r="G146" s="176">
        <f>'FORM 1'!D25</f>
        <v>8.4851850814689656E-2</v>
      </c>
      <c r="H146" s="176">
        <f>'FORM 1'!E25</f>
        <v>0.32797219630821162</v>
      </c>
      <c r="I146" s="176">
        <f>'FORM 1'!F25</f>
        <v>0.13788432208677487</v>
      </c>
      <c r="J146" s="176">
        <f>'FORM 1'!G25</f>
        <v>0</v>
      </c>
      <c r="K146" s="189"/>
    </row>
    <row r="147" spans="1:11" ht="12" customHeight="1">
      <c r="A147" s="189"/>
      <c r="B147" s="189"/>
      <c r="C147" s="189"/>
      <c r="D147" s="189" t="s">
        <v>72</v>
      </c>
      <c r="E147" s="230">
        <f t="shared" si="47"/>
        <v>1</v>
      </c>
      <c r="F147" s="176">
        <f>'FORM 1'!C13</f>
        <v>1</v>
      </c>
      <c r="G147" s="176">
        <f>'FORM 1'!D13</f>
        <v>0</v>
      </c>
      <c r="H147" s="176">
        <f>'FORM 1'!E13</f>
        <v>0</v>
      </c>
      <c r="I147" s="176">
        <f>'FORM 1'!F13</f>
        <v>0</v>
      </c>
      <c r="J147" s="176">
        <f>'FORM 1'!G13</f>
        <v>0</v>
      </c>
      <c r="K147" s="189"/>
    </row>
    <row r="148" spans="1:11">
      <c r="A148" s="189"/>
      <c r="B148" s="189"/>
      <c r="C148" s="189"/>
      <c r="D148" s="189" t="s">
        <v>130</v>
      </c>
      <c r="E148" s="230">
        <f>SUM(F148:J148)</f>
        <v>1</v>
      </c>
      <c r="F148" s="176">
        <f>+'FORM 1'!C17</f>
        <v>0.66684527405984495</v>
      </c>
      <c r="G148" s="176">
        <f>+'FORM 1'!D17</f>
        <v>0.33315472594015499</v>
      </c>
      <c r="H148" s="176">
        <v>0</v>
      </c>
      <c r="I148" s="176">
        <v>0</v>
      </c>
      <c r="J148" s="176">
        <v>0</v>
      </c>
      <c r="K148" s="189"/>
    </row>
    <row r="149" spans="1:11">
      <c r="A149" s="189"/>
      <c r="B149" s="189"/>
      <c r="C149" s="189"/>
      <c r="D149" s="189" t="s">
        <v>132</v>
      </c>
      <c r="E149" s="230">
        <f t="shared" si="47"/>
        <v>1</v>
      </c>
      <c r="F149" s="176">
        <f>'FORM 1'!C16</f>
        <v>0.48923013980835528</v>
      </c>
      <c r="G149" s="176">
        <f>'FORM 1'!D16</f>
        <v>0.2444185172929472</v>
      </c>
      <c r="H149" s="176">
        <f>'FORM 1'!E16</f>
        <v>0.2663513428986975</v>
      </c>
      <c r="I149" s="176">
        <f>'FORM 1'!F16</f>
        <v>0</v>
      </c>
      <c r="J149" s="176">
        <f>'FORM 1'!G16</f>
        <v>0</v>
      </c>
      <c r="K149" s="189"/>
    </row>
    <row r="150" spans="1:11">
      <c r="A150" s="189"/>
      <c r="B150" s="189"/>
      <c r="C150" s="189"/>
      <c r="D150" s="189" t="s">
        <v>113</v>
      </c>
      <c r="E150" s="230">
        <f t="shared" si="47"/>
        <v>1</v>
      </c>
      <c r="F150" s="176">
        <f>'FORM 1'!C14</f>
        <v>0</v>
      </c>
      <c r="G150" s="176">
        <f>'FORM 1'!D14</f>
        <v>1</v>
      </c>
      <c r="H150" s="176">
        <f>'FORM 1'!E14</f>
        <v>0</v>
      </c>
      <c r="I150" s="176">
        <f>'FORM 1'!F14</f>
        <v>0</v>
      </c>
      <c r="J150" s="176">
        <f>'FORM 1'!G14</f>
        <v>0</v>
      </c>
      <c r="K150" s="189"/>
    </row>
    <row r="151" spans="1:11">
      <c r="A151" s="189"/>
      <c r="B151" s="189"/>
      <c r="C151" s="189"/>
      <c r="D151" s="189" t="s">
        <v>278</v>
      </c>
      <c r="E151" s="230">
        <f t="shared" si="47"/>
        <v>0.99999999999999989</v>
      </c>
      <c r="F151" s="176">
        <f>'TAX DEPR'!C24</f>
        <v>0.35717297312867874</v>
      </c>
      <c r="G151" s="176">
        <f>'TAX DEPR'!D24</f>
        <v>0.29975338335892732</v>
      </c>
      <c r="H151" s="176">
        <f>'TAX DEPR'!E24</f>
        <v>0.33437789429560494</v>
      </c>
      <c r="I151" s="176">
        <f>'TAX DEPR'!F24</f>
        <v>8.6957492167888967E-3</v>
      </c>
      <c r="J151" s="176">
        <f>'TAX DEPR'!G24</f>
        <v>0</v>
      </c>
      <c r="K151" s="189"/>
    </row>
    <row r="152" spans="1:11">
      <c r="A152" s="189"/>
      <c r="B152" s="189"/>
      <c r="C152" s="189"/>
      <c r="D152" s="189" t="s">
        <v>116</v>
      </c>
      <c r="E152" s="230">
        <f t="shared" si="47"/>
        <v>1</v>
      </c>
      <c r="F152" s="176">
        <f>'FORM 1'!C18</f>
        <v>0</v>
      </c>
      <c r="G152" s="176">
        <f>'FORM 1'!D18</f>
        <v>0.47852963994633424</v>
      </c>
      <c r="H152" s="176">
        <f>'FORM 1'!E18</f>
        <v>0.52147036005366576</v>
      </c>
      <c r="I152" s="176">
        <f>'FORM 1'!F18</f>
        <v>0</v>
      </c>
      <c r="J152" s="176">
        <f>'FORM 1'!G18</f>
        <v>0</v>
      </c>
      <c r="K152" s="189"/>
    </row>
    <row r="153" spans="1:11">
      <c r="A153" s="189"/>
      <c r="B153" s="189"/>
      <c r="C153" s="189"/>
      <c r="D153" s="189"/>
      <c r="E153" s="189"/>
      <c r="F153" s="176"/>
      <c r="G153" s="176"/>
      <c r="H153" s="176"/>
      <c r="I153" s="176"/>
      <c r="J153" s="176"/>
      <c r="K153" s="189"/>
    </row>
    <row r="154" spans="1:11">
      <c r="A154" s="189"/>
      <c r="B154" s="189"/>
      <c r="C154" s="189"/>
      <c r="D154" s="189"/>
      <c r="E154" s="189"/>
      <c r="F154" s="189"/>
      <c r="G154" s="189"/>
      <c r="H154" s="189"/>
      <c r="I154" s="189"/>
      <c r="J154" s="189"/>
      <c r="K154" s="189"/>
    </row>
    <row r="155" spans="1:11">
      <c r="A155" s="189"/>
      <c r="B155" s="189"/>
      <c r="C155" s="189"/>
      <c r="D155" s="189"/>
      <c r="E155" s="189"/>
      <c r="F155" s="189"/>
      <c r="G155" s="189"/>
      <c r="H155" s="189"/>
      <c r="I155" s="189"/>
      <c r="J155" s="189"/>
      <c r="K155" s="189"/>
    </row>
    <row r="156" spans="1:11">
      <c r="A156" s="189"/>
      <c r="B156" s="189"/>
      <c r="C156" s="189"/>
      <c r="D156" s="189"/>
      <c r="E156" s="189"/>
      <c r="F156" s="189"/>
      <c r="G156" s="189"/>
      <c r="H156" s="189"/>
      <c r="I156" s="189"/>
      <c r="J156" s="189"/>
      <c r="K156" s="189"/>
    </row>
    <row r="157" spans="1:11">
      <c r="A157" s="189"/>
      <c r="B157" s="189"/>
      <c r="C157" s="189"/>
      <c r="D157" s="189"/>
      <c r="E157" s="189"/>
      <c r="F157" s="189"/>
      <c r="G157" s="189"/>
      <c r="H157" s="189"/>
      <c r="I157" s="189"/>
      <c r="J157" s="189"/>
      <c r="K157" s="189"/>
    </row>
    <row r="158" spans="1:11">
      <c r="A158" s="189"/>
      <c r="B158" s="189"/>
      <c r="C158" s="189"/>
      <c r="D158" s="189"/>
      <c r="E158" s="189"/>
      <c r="F158" s="189"/>
      <c r="G158" s="189"/>
      <c r="H158" s="189"/>
      <c r="I158" s="189"/>
      <c r="J158" s="189"/>
      <c r="K158" s="189"/>
    </row>
    <row r="165" spans="5:5">
      <c r="E165" s="153"/>
    </row>
  </sheetData>
  <printOptions horizontalCentered="1"/>
  <pageMargins left="0.25" right="0.25" top="0.5" bottom="0.65" header="0.4" footer="0.2"/>
  <pageSetup scale="38" orientation="portrait" r:id="rId1"/>
  <headerFooter alignWithMargins="0">
    <oddFooter>&amp;LExhibit RMP_____(CCP-3)&amp;R&amp;F&amp;CTab 3 - Page 12 of 16</oddFooter>
  </headerFooter>
  <rowBreaks count="1" manualBreakCount="1">
    <brk id="13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TOTAL FUNCFAC</vt:lpstr>
      <vt:lpstr>TAX DEPR</vt:lpstr>
      <vt:lpstr>GROSS PLANT</vt:lpstr>
      <vt:lpstr>FORM 1</vt:lpstr>
      <vt:lpstr>BOOKDPR</vt:lpstr>
      <vt:lpstr>ELEC OPS</vt:lpstr>
      <vt:lpstr>GP</vt:lpstr>
      <vt:lpstr>IP</vt:lpstr>
      <vt:lpstr>SCH M</vt:lpstr>
      <vt:lpstr>REGASS&amp;DDS</vt:lpstr>
      <vt:lpstr>ACCUMDIT</vt:lpstr>
    </vt:vector>
  </TitlesOfParts>
  <Company>Pacificorp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Zimmerman, Michael</dc:creator>
  <cp:lastModifiedBy>laurieharris</cp:lastModifiedBy>
  <dcterms:created xsi:type="dcterms:W3CDTF">2018-05-30T22:20:55Z</dcterms:created>
  <dcterms:modified xsi:type="dcterms:W3CDTF">2018-06-15T16:45:13Z</dcterms:modified>
</cp:coreProperties>
</file>