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570" windowHeight="10935" tabRatio="759"/>
  </bookViews>
  <sheets>
    <sheet name="Balancing Acct" sheetId="3" r:id="rId1"/>
    <sheet name="Projected Expense" sheetId="8" r:id="rId2"/>
  </sheets>
  <externalReferences>
    <externalReference r:id="rId3"/>
  </externalReferences>
  <definedNames>
    <definedName name="__123Graph_A" hidden="1">[1]Inputs!#REF!</definedName>
    <definedName name="__123Graph_B" hidden="1">[1]Inputs!#REF!</definedName>
    <definedName name="__123Graph_D" hidden="1">[1]Inputs!#REF!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Sort" hidden="1">#REF!</definedName>
    <definedName name="a" hidden="1">#REF!</definedName>
    <definedName name="DUDE" hidden="1">#REF!</definedName>
    <definedName name="limcount" hidden="1">1</definedName>
    <definedName name="_xlnm.Print_Titles" localSheetId="0">'Balancing Acct'!$5:$5</definedName>
    <definedName name="_xlnm.Print_Titles" localSheetId="1">'Projected Expense'!$A:$A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wrn.All._.Pages." hidden="1">{#N/A,#N/A,FALSE,"Cover";#N/A,#N/A,FALSE,"Lead Sheet";#N/A,#N/A,FALSE,"Interest Expense A ";#N/A,#N/A,FALSE,"Deposits 3 01";#N/A,#N/A,FALSE,"Deposits 3 02";#N/A,#N/A,FALSE,"T-Accounts";#N/A,#N/A,FALSE,"Interest Expense B";#N/A,#N/A,FALSE,"IntRate"}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#REF!</definedName>
    <definedName name="z" hidden="1">#REF!</definedName>
  </definedNames>
  <calcPr calcId="152511"/>
</workbook>
</file>

<file path=xl/calcChain.xml><?xml version="1.0" encoding="utf-8"?>
<calcChain xmlns="http://schemas.openxmlformats.org/spreadsheetml/2006/main">
  <c r="N14" i="8" l="1"/>
  <c r="AA9" i="8" l="1"/>
  <c r="Z9" i="8"/>
  <c r="Y9" i="8"/>
  <c r="X9" i="8"/>
  <c r="W9" i="8"/>
  <c r="V9" i="8"/>
  <c r="U9" i="8"/>
  <c r="T9" i="8"/>
  <c r="S9" i="8"/>
  <c r="R9" i="8"/>
  <c r="Q9" i="8"/>
  <c r="P9" i="8"/>
  <c r="K15" i="8" l="1"/>
  <c r="J15" i="8"/>
  <c r="I15" i="8"/>
  <c r="H15" i="8"/>
  <c r="G15" i="8"/>
  <c r="F15" i="8"/>
  <c r="E15" i="8"/>
  <c r="AD14" i="8"/>
  <c r="AD22" i="8"/>
  <c r="AD21" i="8"/>
  <c r="AD7" i="8" l="1"/>
  <c r="AD16" i="8"/>
  <c r="AD9" i="8"/>
  <c r="AD10" i="8"/>
  <c r="AD23" i="8"/>
  <c r="K19" i="8" l="1"/>
  <c r="J19" i="8"/>
  <c r="I19" i="8"/>
  <c r="H19" i="8"/>
  <c r="G19" i="8"/>
  <c r="F19" i="8"/>
  <c r="E19" i="8"/>
  <c r="K10" i="8" l="1"/>
  <c r="J10" i="8"/>
  <c r="I10" i="8"/>
  <c r="H10" i="8"/>
  <c r="G10" i="8"/>
  <c r="F10" i="8"/>
  <c r="E10" i="8"/>
  <c r="K9" i="8" l="1"/>
  <c r="J9" i="8"/>
  <c r="I9" i="8"/>
  <c r="H9" i="8"/>
  <c r="G9" i="8"/>
  <c r="F9" i="8"/>
  <c r="E9" i="8"/>
  <c r="C21" i="8" l="1"/>
  <c r="C14" i="8"/>
  <c r="C15" i="8"/>
  <c r="C10" i="8"/>
  <c r="B15" i="8" l="1"/>
  <c r="B14" i="8"/>
  <c r="D83" i="3" l="1"/>
  <c r="C83" i="3"/>
  <c r="B83" i="3"/>
  <c r="M20" i="8"/>
  <c r="M16" i="8"/>
  <c r="M11" i="8"/>
  <c r="N17" i="8" l="1"/>
  <c r="C17" i="8"/>
  <c r="G93" i="3" l="1"/>
  <c r="M17" i="8"/>
  <c r="M25" i="8" s="1"/>
  <c r="AA8" i="8"/>
  <c r="Z8" i="8"/>
  <c r="Y8" i="8"/>
  <c r="X8" i="8"/>
  <c r="W8" i="8"/>
  <c r="V8" i="8"/>
  <c r="U8" i="8"/>
  <c r="T8" i="8"/>
  <c r="S8" i="8"/>
  <c r="R8" i="8"/>
  <c r="Q8" i="8"/>
  <c r="P8" i="8"/>
  <c r="AA19" i="8"/>
  <c r="Z19" i="8"/>
  <c r="Y19" i="8"/>
  <c r="X19" i="8"/>
  <c r="W19" i="8"/>
  <c r="V19" i="8"/>
  <c r="U19" i="8"/>
  <c r="T19" i="8"/>
  <c r="S19" i="8"/>
  <c r="R19" i="8"/>
  <c r="Q19" i="8"/>
  <c r="P19" i="8"/>
  <c r="AA16" i="8"/>
  <c r="Z16" i="8"/>
  <c r="Y16" i="8"/>
  <c r="X16" i="8"/>
  <c r="W16" i="8"/>
  <c r="V16" i="8"/>
  <c r="U16" i="8"/>
  <c r="T16" i="8"/>
  <c r="S16" i="8"/>
  <c r="R16" i="8"/>
  <c r="Q16" i="8"/>
  <c r="P16" i="8"/>
  <c r="T10" i="8" l="1"/>
  <c r="AA10" i="8"/>
  <c r="W10" i="8"/>
  <c r="S10" i="8"/>
  <c r="Z10" i="8"/>
  <c r="V10" i="8"/>
  <c r="R10" i="8"/>
  <c r="Y10" i="8"/>
  <c r="U10" i="8"/>
  <c r="Q10" i="8"/>
  <c r="X10" i="8"/>
  <c r="P10" i="8"/>
  <c r="B17" i="8"/>
  <c r="AD17" i="8" l="1"/>
  <c r="X14" i="8" l="1"/>
  <c r="T14" i="8"/>
  <c r="P14" i="8"/>
  <c r="V14" i="8"/>
  <c r="Y14" i="8"/>
  <c r="Y17" i="8" s="1"/>
  <c r="Q14" i="8"/>
  <c r="AA14" i="8"/>
  <c r="W14" i="8"/>
  <c r="S14" i="8"/>
  <c r="Z14" i="8"/>
  <c r="R14" i="8"/>
  <c r="U14" i="8"/>
  <c r="U17" i="8" s="1"/>
  <c r="S17" i="8" l="1"/>
  <c r="X17" i="8"/>
  <c r="W17" i="8"/>
  <c r="V17" i="8"/>
  <c r="R17" i="8"/>
  <c r="AA17" i="8"/>
  <c r="P17" i="8"/>
  <c r="Z17" i="8"/>
  <c r="Q17" i="8"/>
  <c r="T17" i="8"/>
  <c r="D21" i="8"/>
  <c r="L21" i="8" s="1"/>
  <c r="X21" i="8" l="1"/>
  <c r="P21" i="8"/>
  <c r="AA21" i="8"/>
  <c r="W21" i="8"/>
  <c r="S21" i="8"/>
  <c r="Z21" i="8"/>
  <c r="V21" i="8"/>
  <c r="R21" i="8"/>
  <c r="Y21" i="8"/>
  <c r="U21" i="8"/>
  <c r="Q21" i="8"/>
  <c r="T21" i="8"/>
  <c r="AA22" i="8"/>
  <c r="W22" i="8"/>
  <c r="S22" i="8"/>
  <c r="Z22" i="8"/>
  <c r="V22" i="8"/>
  <c r="R22" i="8"/>
  <c r="Y22" i="8"/>
  <c r="U22" i="8"/>
  <c r="Q22" i="8"/>
  <c r="X22" i="8"/>
  <c r="T22" i="8"/>
  <c r="P22" i="8"/>
  <c r="T23" i="8" l="1"/>
  <c r="AA23" i="8"/>
  <c r="W23" i="8"/>
  <c r="S23" i="8"/>
  <c r="Z23" i="8"/>
  <c r="V23" i="8"/>
  <c r="R23" i="8"/>
  <c r="Y23" i="8"/>
  <c r="U23" i="8"/>
  <c r="Q23" i="8"/>
  <c r="X23" i="8"/>
  <c r="P23" i="8"/>
  <c r="AB21" i="8"/>
  <c r="D69" i="3"/>
  <c r="C69" i="3"/>
  <c r="C11" i="3"/>
  <c r="E29" i="3"/>
  <c r="F29" i="3" s="1"/>
  <c r="J29" i="3" l="1"/>
  <c r="E13" i="3" l="1"/>
  <c r="D22" i="8" l="1"/>
  <c r="D19" i="8" l="1"/>
  <c r="B11" i="8"/>
  <c r="AB23" i="8"/>
  <c r="D23" i="8"/>
  <c r="AB22" i="8"/>
  <c r="L22" i="8"/>
  <c r="AB20" i="8"/>
  <c r="D20" i="8"/>
  <c r="L20" i="8" s="1"/>
  <c r="AB19" i="8"/>
  <c r="AB16" i="8"/>
  <c r="D16" i="8"/>
  <c r="L16" i="8" s="1"/>
  <c r="D15" i="8"/>
  <c r="AB14" i="8"/>
  <c r="D14" i="8"/>
  <c r="AD11" i="8"/>
  <c r="AD25" i="8" s="1"/>
  <c r="AA11" i="8"/>
  <c r="AA25" i="8" s="1"/>
  <c r="Z11" i="8"/>
  <c r="Z25" i="8" s="1"/>
  <c r="Y11" i="8"/>
  <c r="Y25" i="8" s="1"/>
  <c r="X11" i="8"/>
  <c r="X25" i="8" s="1"/>
  <c r="W11" i="8"/>
  <c r="W25" i="8" s="1"/>
  <c r="V11" i="8"/>
  <c r="V25" i="8" s="1"/>
  <c r="U11" i="8"/>
  <c r="U25" i="8" s="1"/>
  <c r="T11" i="8"/>
  <c r="T25" i="8" s="1"/>
  <c r="S11" i="8"/>
  <c r="S25" i="8" s="1"/>
  <c r="R11" i="8"/>
  <c r="R25" i="8" s="1"/>
  <c r="Q11" i="8"/>
  <c r="Q25" i="8" s="1"/>
  <c r="P11" i="8"/>
  <c r="P25" i="8" s="1"/>
  <c r="AB10" i="8"/>
  <c r="D10" i="8"/>
  <c r="AB9" i="8"/>
  <c r="C11" i="8"/>
  <c r="C25" i="8" s="1"/>
  <c r="AB8" i="8"/>
  <c r="D8" i="8"/>
  <c r="AB7" i="8"/>
  <c r="N11" i="8"/>
  <c r="N25" i="8" s="1"/>
  <c r="D7" i="8"/>
  <c r="K23" i="8" l="1"/>
  <c r="G23" i="8"/>
  <c r="I23" i="8"/>
  <c r="J23" i="8"/>
  <c r="F23" i="8"/>
  <c r="E23" i="8"/>
  <c r="H23" i="8"/>
  <c r="H8" i="8"/>
  <c r="E8" i="8"/>
  <c r="J8" i="8"/>
  <c r="G8" i="8"/>
  <c r="K8" i="8"/>
  <c r="F8" i="8"/>
  <c r="I8" i="8"/>
  <c r="H17" i="8"/>
  <c r="G17" i="8"/>
  <c r="I17" i="8"/>
  <c r="J17" i="8"/>
  <c r="AB17" i="8"/>
  <c r="D17" i="8"/>
  <c r="K17" i="8"/>
  <c r="F17" i="8"/>
  <c r="E17" i="8"/>
  <c r="L23" i="8"/>
  <c r="AB11" i="8"/>
  <c r="D9" i="8"/>
  <c r="B25" i="8"/>
  <c r="I11" i="8" l="1"/>
  <c r="I25" i="8" s="1"/>
  <c r="G11" i="8"/>
  <c r="G25" i="8" s="1"/>
  <c r="J11" i="8"/>
  <c r="J25" i="8" s="1"/>
  <c r="H11" i="8"/>
  <c r="H25" i="8" s="1"/>
  <c r="AB25" i="8"/>
  <c r="L14" i="8"/>
  <c r="L17" i="8" s="1"/>
  <c r="D11" i="8"/>
  <c r="D25" i="8" s="1"/>
  <c r="E11" i="8"/>
  <c r="K11" i="8"/>
  <c r="L19" i="8"/>
  <c r="L7" i="8"/>
  <c r="L10" i="8"/>
  <c r="L8" i="8"/>
  <c r="L9" i="8" l="1"/>
  <c r="L11" i="8" s="1"/>
  <c r="L25" i="8" s="1"/>
  <c r="K25" i="8"/>
  <c r="E25" i="8"/>
  <c r="F11" i="8"/>
  <c r="F25" i="8" l="1"/>
  <c r="G89" i="3" s="1"/>
  <c r="D55" i="3"/>
  <c r="C55" i="3"/>
  <c r="B69" i="3" l="1"/>
  <c r="L27" i="8" s="1"/>
  <c r="B55" i="3"/>
  <c r="D41" i="3"/>
  <c r="C41" i="3"/>
  <c r="C25" i="3" l="1"/>
  <c r="G29" i="3" l="1"/>
  <c r="C85" i="3"/>
  <c r="B25" i="3"/>
  <c r="B41" i="3" l="1"/>
  <c r="J13" i="3" l="1"/>
  <c r="F13" i="3"/>
  <c r="D25" i="3"/>
  <c r="E14" i="3" l="1"/>
  <c r="F14" i="3" s="1"/>
  <c r="G13" i="3"/>
  <c r="J14" i="3" l="1"/>
  <c r="E15" i="3"/>
  <c r="F15" i="3" s="1"/>
  <c r="G14" i="3"/>
  <c r="E16" i="3" l="1"/>
  <c r="F16" i="3" s="1"/>
  <c r="G15" i="3"/>
  <c r="J15" i="3"/>
  <c r="J16" i="3" l="1"/>
  <c r="E17" i="3"/>
  <c r="G16" i="3"/>
  <c r="J17" i="3" l="1"/>
  <c r="F17" i="3"/>
  <c r="E18" i="3" l="1"/>
  <c r="G17" i="3"/>
  <c r="J18" i="3" l="1"/>
  <c r="F18" i="3"/>
  <c r="G18" i="3" s="1"/>
  <c r="E19" i="3" l="1"/>
  <c r="J19" i="3" l="1"/>
  <c r="F19" i="3"/>
  <c r="E20" i="3" l="1"/>
  <c r="G19" i="3"/>
  <c r="J20" i="3" l="1"/>
  <c r="F20" i="3"/>
  <c r="E21" i="3" l="1"/>
  <c r="G20" i="3"/>
  <c r="J21" i="3" l="1"/>
  <c r="F21" i="3"/>
  <c r="E22" i="3" l="1"/>
  <c r="F22" i="3" s="1"/>
  <c r="G21" i="3"/>
  <c r="E23" i="3" l="1"/>
  <c r="F23" i="3" s="1"/>
  <c r="G22" i="3"/>
  <c r="J22" i="3"/>
  <c r="G23" i="3" l="1"/>
  <c r="J23" i="3"/>
  <c r="J24" i="3" l="1"/>
  <c r="E25" i="3"/>
  <c r="F24" i="3"/>
  <c r="G24" i="3" l="1"/>
  <c r="E30" i="3" l="1"/>
  <c r="F30" i="3" l="1"/>
  <c r="E31" i="3" s="1"/>
  <c r="G30" i="3" l="1"/>
  <c r="F31" i="3"/>
  <c r="E32" i="3" s="1"/>
  <c r="G31" i="3" l="1"/>
  <c r="F32" i="3" l="1"/>
  <c r="E33" i="3" s="1"/>
  <c r="G32" i="3" l="1"/>
  <c r="F33" i="3" l="1"/>
  <c r="E34" i="3" s="1"/>
  <c r="F34" i="3" l="1"/>
  <c r="E35" i="3" s="1"/>
  <c r="G33" i="3"/>
  <c r="F35" i="3" l="1"/>
  <c r="E36" i="3" s="1"/>
  <c r="G34" i="3"/>
  <c r="J30" i="3" l="1"/>
  <c r="J31" i="3" s="1"/>
  <c r="J32" i="3" s="1"/>
  <c r="J33" i="3" s="1"/>
  <c r="J34" i="3" s="1"/>
  <c r="J35" i="3" s="1"/>
  <c r="G35" i="3"/>
  <c r="J36" i="3" l="1"/>
  <c r="F36" i="3"/>
  <c r="G36" i="3" l="1"/>
  <c r="E37" i="3"/>
  <c r="F37" i="3" s="1"/>
  <c r="E38" i="3" s="1"/>
  <c r="J37" i="3" l="1"/>
  <c r="G37" i="3"/>
  <c r="L28" i="8" l="1"/>
  <c r="L29" i="8" s="1"/>
  <c r="J38" i="3"/>
  <c r="F38" i="3"/>
  <c r="G38" i="3" l="1"/>
  <c r="E39" i="3"/>
  <c r="J39" i="3" s="1"/>
  <c r="F39" i="3" l="1"/>
  <c r="E40" i="3" s="1"/>
  <c r="J40" i="3" l="1"/>
  <c r="E41" i="3"/>
  <c r="F40" i="3"/>
  <c r="G39" i="3"/>
  <c r="E43" i="3" l="1"/>
  <c r="J43" i="3" s="1"/>
  <c r="G40" i="3"/>
  <c r="F43" i="3" l="1"/>
  <c r="E44" i="3" l="1"/>
  <c r="J44" i="3" s="1"/>
  <c r="G43" i="3"/>
  <c r="F44" i="3" l="1"/>
  <c r="E45" i="3" s="1"/>
  <c r="J45" i="3" s="1"/>
  <c r="G44" i="3" l="1"/>
  <c r="F45" i="3"/>
  <c r="E46" i="3" s="1"/>
  <c r="J46" i="3" s="1"/>
  <c r="G45" i="3" l="1"/>
  <c r="F46" i="3"/>
  <c r="E47" i="3" s="1"/>
  <c r="J47" i="3" s="1"/>
  <c r="F47" i="3" l="1"/>
  <c r="E48" i="3" s="1"/>
  <c r="G46" i="3"/>
  <c r="J48" i="3" l="1"/>
  <c r="F48" i="3"/>
  <c r="G48" i="3" s="1"/>
  <c r="G47" i="3"/>
  <c r="E49" i="3" l="1"/>
  <c r="J49" i="3" s="1"/>
  <c r="F49" i="3" l="1"/>
  <c r="E50" i="3" s="1"/>
  <c r="J50" i="3" s="1"/>
  <c r="G49" i="3" l="1"/>
  <c r="F50" i="3"/>
  <c r="E51" i="3" s="1"/>
  <c r="F51" i="3" s="1"/>
  <c r="E52" i="3" s="1"/>
  <c r="G50" i="3" l="1"/>
  <c r="J51" i="3"/>
  <c r="F52" i="3"/>
  <c r="G51" i="3"/>
  <c r="E53" i="3" l="1"/>
  <c r="F53" i="3" s="1"/>
  <c r="G52" i="3"/>
  <c r="J52" i="3"/>
  <c r="E54" i="3" l="1"/>
  <c r="G53" i="3"/>
  <c r="J53" i="3"/>
  <c r="F54" i="3" l="1"/>
  <c r="E57" i="3" s="1"/>
  <c r="E55" i="3"/>
  <c r="J54" i="3"/>
  <c r="G54" i="3" l="1"/>
  <c r="F57" i="3" l="1"/>
  <c r="G57" i="3" s="1"/>
  <c r="J57" i="3"/>
  <c r="E58" i="3" l="1"/>
  <c r="J58" i="3" s="1"/>
  <c r="F58" i="3" l="1"/>
  <c r="G58" i="3" s="1"/>
  <c r="E59" i="3" l="1"/>
  <c r="F59" i="3" s="1"/>
  <c r="G59" i="3" s="1"/>
  <c r="E60" i="3" l="1"/>
  <c r="J59" i="3"/>
  <c r="F60" i="3" l="1"/>
  <c r="J60" i="3"/>
  <c r="E61" i="3" l="1"/>
  <c r="F61" i="3" s="1"/>
  <c r="G60" i="3"/>
  <c r="J61" i="3" l="1"/>
  <c r="E62" i="3"/>
  <c r="G61" i="3"/>
  <c r="G87" i="3" s="1"/>
  <c r="J62" i="3" l="1"/>
  <c r="F62" i="3"/>
  <c r="E63" i="3" l="1"/>
  <c r="G62" i="3"/>
  <c r="J63" i="3" l="1"/>
  <c r="F63" i="3"/>
  <c r="E64" i="3" l="1"/>
  <c r="G63" i="3"/>
  <c r="J64" i="3" l="1"/>
  <c r="F64" i="3"/>
  <c r="E65" i="3" l="1"/>
  <c r="G64" i="3"/>
  <c r="J65" i="3" l="1"/>
  <c r="F65" i="3"/>
  <c r="E66" i="3" l="1"/>
  <c r="J66" i="3" s="1"/>
  <c r="G65" i="3"/>
  <c r="F66" i="3" l="1"/>
  <c r="E67" i="3" l="1"/>
  <c r="J67" i="3" s="1"/>
  <c r="G66" i="3"/>
  <c r="F67" i="3" l="1"/>
  <c r="E68" i="3" l="1"/>
  <c r="G67" i="3"/>
  <c r="J68" i="3" l="1"/>
  <c r="E69" i="3"/>
  <c r="F68" i="3"/>
  <c r="G68" i="3" l="1"/>
  <c r="E71" i="3"/>
  <c r="F71" i="3" l="1"/>
  <c r="J71" i="3"/>
  <c r="G71" i="3" l="1"/>
  <c r="E72" i="3"/>
  <c r="J72" i="3" l="1"/>
  <c r="F72" i="3"/>
  <c r="E73" i="3" s="1"/>
  <c r="J73" i="3" l="1"/>
  <c r="G72" i="3"/>
  <c r="F73" i="3"/>
  <c r="G73" i="3" l="1"/>
  <c r="E74" i="3"/>
  <c r="J74" i="3" s="1"/>
  <c r="F74" i="3" l="1"/>
  <c r="G74" i="3" l="1"/>
  <c r="E75" i="3"/>
  <c r="J75" i="3" s="1"/>
  <c r="F75" i="3" l="1"/>
  <c r="G75" i="3" l="1"/>
  <c r="E76" i="3"/>
  <c r="J76" i="3" s="1"/>
  <c r="F76" i="3" l="1"/>
  <c r="G76" i="3" l="1"/>
  <c r="E77" i="3"/>
  <c r="J77" i="3" s="1"/>
  <c r="F77" i="3" l="1"/>
  <c r="G77" i="3" s="1"/>
  <c r="E78" i="3" l="1"/>
  <c r="J78" i="3" s="1"/>
  <c r="F78" i="3" l="1"/>
  <c r="G78" i="3" s="1"/>
  <c r="E79" i="3" l="1"/>
  <c r="J79" i="3" s="1"/>
  <c r="F79" i="3" l="1"/>
  <c r="G79" i="3" s="1"/>
  <c r="E80" i="3" l="1"/>
  <c r="J80" i="3" s="1"/>
  <c r="F80" i="3" l="1"/>
  <c r="G80" i="3" s="1"/>
  <c r="E81" i="3" l="1"/>
  <c r="J81" i="3" s="1"/>
  <c r="F81" i="3" l="1"/>
  <c r="G81" i="3" s="1"/>
  <c r="E82" i="3" l="1"/>
  <c r="F82" i="3" l="1"/>
  <c r="G82" i="3" s="1"/>
  <c r="G90" i="3"/>
  <c r="G91" i="3" s="1"/>
  <c r="G95" i="3" s="1"/>
  <c r="E83" i="3"/>
  <c r="J82" i="3"/>
</calcChain>
</file>

<file path=xl/sharedStrings.xml><?xml version="1.0" encoding="utf-8"?>
<sst xmlns="http://schemas.openxmlformats.org/spreadsheetml/2006/main" count="131" uniqueCount="80">
  <si>
    <t>Residential Programs</t>
  </si>
  <si>
    <t>Low Income (Sch. 118)</t>
  </si>
  <si>
    <t>Total DSM Program Expenditures</t>
  </si>
  <si>
    <t xml:space="preserve"> </t>
  </si>
  <si>
    <t>DSM Program Expenditures &amp; Revenues</t>
  </si>
  <si>
    <t>Jan - Dec</t>
  </si>
  <si>
    <t>YTD Balance</t>
  </si>
  <si>
    <t>Projected</t>
  </si>
  <si>
    <t>Utah Demand-Side Management Balance Account Analysis</t>
  </si>
  <si>
    <t/>
  </si>
  <si>
    <t>Monthly Program Costs - Fixed Assets</t>
  </si>
  <si>
    <t>Accrued Program Costs</t>
  </si>
  <si>
    <t>Rate Recovery</t>
  </si>
  <si>
    <t xml:space="preserve">Carrying Charge </t>
  </si>
  <si>
    <t>Cash Basis Accumulated Balance</t>
  </si>
  <si>
    <t xml:space="preserve">Accrual Based Accumulated Balance </t>
  </si>
  <si>
    <t xml:space="preserve">Accumulated Balance Total Carrying Costs 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</si>
  <si>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</si>
  <si>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</si>
  <si>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</si>
  <si>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</si>
  <si>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</si>
  <si>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</si>
  <si>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</si>
  <si>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</si>
  <si>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</si>
  <si>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</si>
  <si>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</si>
  <si>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</si>
  <si>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2011 totals</t>
  </si>
  <si>
    <t>2012 totals</t>
  </si>
  <si>
    <t>2013 totals</t>
  </si>
  <si>
    <t>2014 totals</t>
  </si>
  <si>
    <t>Accrual</t>
  </si>
  <si>
    <t>Forecast</t>
  </si>
  <si>
    <t>Notes:</t>
  </si>
  <si>
    <t>2015 totals</t>
  </si>
  <si>
    <t>Industrial Irrigation Load Control (Sch. N/A)</t>
  </si>
  <si>
    <t>Outreach and Communications</t>
  </si>
  <si>
    <t>2016 totals</t>
  </si>
  <si>
    <t>Total thru</t>
  </si>
  <si>
    <t>Total Accurals</t>
  </si>
  <si>
    <t>2016 Potential Study</t>
  </si>
  <si>
    <t>2017 totals</t>
  </si>
  <si>
    <t>Notes;</t>
  </si>
  <si>
    <t>Diff is accrual at state level</t>
  </si>
  <si>
    <t>Carrying Charge Rate</t>
  </si>
  <si>
    <t>2018 totals</t>
  </si>
  <si>
    <t>Nov 1, 2017</t>
  </si>
  <si>
    <t>Program Evaluation Cost - C&amp;I</t>
  </si>
  <si>
    <t>Program Evaluation Cost - Res</t>
  </si>
  <si>
    <t>Portfolio (TRL, DSM Central, Training)</t>
  </si>
  <si>
    <t>wattsmart Homes Program (Sch. 111)</t>
  </si>
  <si>
    <t>A/C Load Control Program  (Sch. 114)</t>
  </si>
  <si>
    <t>Home Energy Reports (Sch. N/A)</t>
  </si>
  <si>
    <t>Commercial &amp; Industrial Sector Programs</t>
  </si>
  <si>
    <t>wattsmart Business Commercial (Sch. 140)</t>
  </si>
  <si>
    <t>wattsmart Business Industrial (Sch. 140)</t>
  </si>
  <si>
    <t>DSM balancing account as of May 31, 2018</t>
  </si>
  <si>
    <t>Forecast DSM expenses through December 2019</t>
  </si>
  <si>
    <t>Forecast carrying charges through December 2019</t>
  </si>
  <si>
    <t>Total expenses through December 2019</t>
  </si>
  <si>
    <t>Total DSM surcharge collections through December 2019</t>
  </si>
  <si>
    <t>Forecast DSM balancing account as of December 31, 2019</t>
  </si>
  <si>
    <t xml:space="preserve">   Figures provided through May 2018 are actuals.</t>
  </si>
  <si>
    <t>May 2018</t>
  </si>
  <si>
    <t>for May</t>
  </si>
  <si>
    <t>2018 charges</t>
  </si>
  <si>
    <t>Bill credits are included in WSB program costs</t>
  </si>
  <si>
    <t>Accruals added to capture full cost through May</t>
  </si>
  <si>
    <t>June 2018</t>
  </si>
  <si>
    <t>2019 Totals</t>
  </si>
  <si>
    <t>2019 Budget</t>
  </si>
  <si>
    <t>2019 totals</t>
  </si>
  <si>
    <t>Jan-May 2018 actuals and started with Nov 2017 forecast from filing, updated by Prog Mgrs</t>
  </si>
  <si>
    <t>Split for WSB program cost was based on 2017 kWh savings (76% / 24%)</t>
  </si>
  <si>
    <t>2019 Forecast used from a draft version, not yet finalized.</t>
  </si>
  <si>
    <t xml:space="preserve">Using current rate of 3.66% </t>
  </si>
  <si>
    <t>2018 Deferred Acct Balance expenditure total</t>
  </si>
  <si>
    <t xml:space="preserve">   Rate Recovery estimates for 2019 calc from June 2018 forecast from Regulation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</si>
</sst>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General_)"/>
    <numFmt numFmtId="167" formatCode="0.000000"/>
    <numFmt numFmtId="168" formatCode="&quot;$&quot;#,##0"/>
    <numFmt numFmtId="169" formatCode="_(* #,##0.000_);_(* \(#,##0.000\);_(* &quot;-&quot;??_);_(@_)"/>
  </numFmts>
  <fonts count="3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1"/>
      <color indexed="8"/>
      <name val="TimesNewRomanPS"/>
    </font>
    <font>
      <sz val="10"/>
      <name val="LinePrinter"/>
      <family val="3"/>
    </font>
    <font>
      <sz val="11"/>
      <color theme="1"/>
      <name val="Calibri"/>
      <family val="2"/>
      <scheme val="minor"/>
    </font>
    <font>
      <sz val="12"/>
      <name val="Arial MT"/>
    </font>
    <font>
      <sz val="10"/>
      <name val="LinePrinter"/>
    </font>
    <font>
      <sz val="12"/>
      <name val="Arial"/>
      <family val="2"/>
    </font>
    <font>
      <b/>
      <u/>
      <sz val="10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 val="singleAccounting"/>
      <sz val="10"/>
      <name val="Arial"/>
      <family val="2"/>
    </font>
    <font>
      <b/>
      <u val="singleAccounting"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u/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80">
    <xf numFmtId="0" fontId="0" fillId="0" borderId="0"/>
    <xf numFmtId="0" fontId="4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 applyFont="0" applyFill="0" applyBorder="0" applyAlignment="0" applyProtection="0">
      <alignment horizontal="left"/>
    </xf>
    <xf numFmtId="37" fontId="6" fillId="0" borderId="0" applyNumberFormat="0" applyFill="0" applyBorder="0"/>
    <xf numFmtId="9" fontId="1" fillId="0" borderId="0" applyFont="0" applyFill="0" applyBorder="0" applyAlignment="0" applyProtection="0"/>
    <xf numFmtId="166" fontId="7" fillId="0" borderId="0">
      <alignment horizontal="left"/>
    </xf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8" fillId="0" borderId="0"/>
    <xf numFmtId="0" fontId="9" fillId="0" borderId="0"/>
    <xf numFmtId="9" fontId="3" fillId="0" borderId="0" applyFont="0" applyFill="0" applyBorder="0" applyAlignment="0" applyProtection="0"/>
    <xf numFmtId="166" fontId="10" fillId="0" borderId="0">
      <alignment horizontal="left"/>
    </xf>
    <xf numFmtId="44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7" applyNumberFormat="0" applyAlignment="0" applyProtection="0"/>
    <xf numFmtId="0" fontId="27" fillId="8" borderId="8" applyNumberFormat="0" applyAlignment="0" applyProtection="0"/>
    <xf numFmtId="0" fontId="28" fillId="8" borderId="7" applyNumberFormat="0" applyAlignment="0" applyProtection="0"/>
    <xf numFmtId="0" fontId="29" fillId="0" borderId="9" applyNumberFormat="0" applyFill="0" applyAlignment="0" applyProtection="0"/>
    <xf numFmtId="0" fontId="30" fillId="9" borderId="10" applyNumberFormat="0" applyAlignment="0" applyProtection="0"/>
    <xf numFmtId="0" fontId="31" fillId="0" borderId="0" applyNumberFormat="0" applyFill="0" applyBorder="0" applyAlignment="0" applyProtection="0"/>
    <xf numFmtId="0" fontId="8" fillId="10" borderId="1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12" applyNumberFormat="0" applyFill="0" applyAlignment="0" applyProtection="0"/>
    <xf numFmtId="0" fontId="34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34" fillId="34" borderId="0" applyNumberFormat="0" applyBorder="0" applyAlignment="0" applyProtection="0"/>
    <xf numFmtId="166" fontId="7" fillId="0" borderId="0">
      <alignment horizontal="left"/>
    </xf>
    <xf numFmtId="0" fontId="8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3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21">
    <xf numFmtId="0" fontId="0" fillId="0" borderId="0" xfId="0"/>
    <xf numFmtId="164" fontId="3" fillId="0" borderId="0" xfId="2" applyNumberFormat="1" applyFont="1" applyFill="1"/>
    <xf numFmtId="164" fontId="3" fillId="0" borderId="2" xfId="2" applyNumberFormat="1" applyFont="1" applyFill="1" applyBorder="1"/>
    <xf numFmtId="164" fontId="3" fillId="0" borderId="0" xfId="2" applyNumberFormat="1" applyFont="1" applyFill="1" applyBorder="1"/>
    <xf numFmtId="165" fontId="2" fillId="0" borderId="0" xfId="3" applyNumberFormat="1" applyFont="1" applyFill="1" applyBorder="1"/>
    <xf numFmtId="0" fontId="2" fillId="0" borderId="0" xfId="0" applyFont="1" applyFill="1" applyAlignment="1" applyProtection="1">
      <alignment horizontal="centerContinuous" vertical="center"/>
      <protection locked="0"/>
    </xf>
    <xf numFmtId="0" fontId="12" fillId="0" borderId="0" xfId="0" applyFont="1" applyFill="1" applyAlignment="1" applyProtection="1">
      <alignment horizontal="centerContinuous" vertical="center"/>
      <protection locked="0"/>
    </xf>
    <xf numFmtId="0" fontId="3" fillId="0" borderId="0" xfId="0" applyFont="1" applyFill="1" applyAlignment="1" applyProtection="1">
      <alignment horizontal="centerContinuous" vertical="center"/>
      <protection locked="0"/>
    </xf>
    <xf numFmtId="0" fontId="3" fillId="0" borderId="0" xfId="0" applyFont="1" applyFill="1" applyAlignment="1" applyProtection="1">
      <alignment horizontal="centerContinuous"/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 applyFill="1" applyAlignment="1" applyProtection="1">
      <protection locked="0"/>
    </xf>
    <xf numFmtId="0" fontId="13" fillId="0" borderId="0" xfId="8" applyFont="1" applyAlignment="1" applyProtection="1">
      <alignment horizontal="centerContinuous"/>
      <protection locked="0"/>
    </xf>
    <xf numFmtId="0" fontId="14" fillId="0" borderId="0" xfId="8" applyFont="1" applyAlignment="1" applyProtection="1">
      <alignment horizontal="center"/>
      <protection locked="0"/>
    </xf>
    <xf numFmtId="0" fontId="14" fillId="0" borderId="0" xfId="8" applyFont="1" applyAlignment="1" applyProtection="1">
      <protection locked="0"/>
    </xf>
    <xf numFmtId="0" fontId="3" fillId="0" borderId="0" xfId="8" applyFont="1"/>
    <xf numFmtId="0" fontId="15" fillId="0" borderId="0" xfId="0" applyFont="1"/>
    <xf numFmtId="0" fontId="16" fillId="0" borderId="0" xfId="8" quotePrefix="1" applyFont="1" applyFill="1" applyAlignment="1" applyProtection="1">
      <alignment horizontal="center"/>
      <protection locked="0"/>
    </xf>
    <xf numFmtId="0" fontId="14" fillId="0" borderId="0" xfId="8" quotePrefix="1" applyFont="1" applyAlignment="1" applyProtection="1">
      <alignment horizontal="center"/>
      <protection locked="0"/>
    </xf>
    <xf numFmtId="0" fontId="14" fillId="0" borderId="0" xfId="8" applyFont="1"/>
    <xf numFmtId="0" fontId="14" fillId="0" borderId="0" xfId="8" quotePrefix="1" applyFont="1" applyFill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40" fontId="18" fillId="0" borderId="0" xfId="0" quotePrefix="1" applyNumberFormat="1" applyFont="1" applyFill="1" applyAlignment="1" applyProtection="1">
      <alignment horizontal="center" wrapText="1"/>
      <protection locked="0"/>
    </xf>
    <xf numFmtId="10" fontId="18" fillId="0" borderId="0" xfId="0" quotePrefix="1" applyNumberFormat="1" applyFont="1" applyFill="1" applyAlignment="1" applyProtection="1">
      <alignment horizontal="center" wrapText="1"/>
      <protection locked="0"/>
    </xf>
    <xf numFmtId="0" fontId="2" fillId="0" borderId="0" xfId="0" applyFont="1" applyFill="1" applyAlignment="1" applyProtection="1">
      <protection locked="0"/>
    </xf>
    <xf numFmtId="0" fontId="2" fillId="0" borderId="0" xfId="8" applyFont="1" applyFill="1" applyAlignment="1" applyProtection="1">
      <alignment horizontal="center"/>
      <protection locked="0"/>
    </xf>
    <xf numFmtId="44" fontId="3" fillId="0" borderId="0" xfId="8" applyNumberFormat="1" applyFont="1" applyFill="1" applyBorder="1" applyAlignment="1" applyProtection="1">
      <protection locked="0"/>
    </xf>
    <xf numFmtId="10" fontId="3" fillId="0" borderId="0" xfId="16" applyNumberFormat="1" applyFont="1" applyAlignment="1" applyProtection="1">
      <alignment horizontal="center"/>
      <protection locked="0"/>
    </xf>
    <xf numFmtId="44" fontId="3" fillId="0" borderId="0" xfId="8" applyNumberFormat="1" applyFont="1" applyFill="1" applyAlignment="1" applyProtection="1">
      <protection locked="0"/>
    </xf>
    <xf numFmtId="44" fontId="2" fillId="0" borderId="0" xfId="12" quotePrefix="1" applyFont="1" applyAlignment="1" applyProtection="1">
      <alignment horizontal="center"/>
      <protection locked="0"/>
    </xf>
    <xf numFmtId="10" fontId="3" fillId="0" borderId="0" xfId="8" applyNumberFormat="1" applyFont="1" applyAlignment="1" applyProtection="1">
      <protection locked="0"/>
    </xf>
    <xf numFmtId="44" fontId="3" fillId="0" borderId="0" xfId="12" applyFont="1" applyAlignment="1" applyProtection="1">
      <alignment horizontal="center"/>
      <protection locked="0"/>
    </xf>
    <xf numFmtId="0" fontId="3" fillId="0" borderId="0" xfId="8" applyFont="1" applyAlignment="1" applyProtection="1">
      <protection locked="0"/>
    </xf>
    <xf numFmtId="0" fontId="3" fillId="0" borderId="0" xfId="8" applyFont="1" applyFill="1" applyAlignment="1" applyProtection="1">
      <protection locked="0"/>
    </xf>
    <xf numFmtId="0" fontId="3" fillId="0" borderId="0" xfId="8" applyFont="1" applyBorder="1" applyAlignment="1" applyProtection="1">
      <protection locked="0"/>
    </xf>
    <xf numFmtId="0" fontId="3" fillId="0" borderId="0" xfId="8" applyFont="1" applyFill="1" applyBorder="1" applyAlignment="1" applyProtection="1">
      <protection locked="0"/>
    </xf>
    <xf numFmtId="0" fontId="3" fillId="0" borderId="0" xfId="8" applyFont="1" applyFill="1"/>
    <xf numFmtId="0" fontId="3" fillId="0" borderId="0" xfId="80" applyFont="1" applyFill="1"/>
    <xf numFmtId="0" fontId="3" fillId="0" borderId="0" xfId="80" applyFill="1"/>
    <xf numFmtId="0" fontId="3" fillId="0" borderId="0" xfId="80" applyFont="1" applyFill="1" applyBorder="1" applyAlignment="1" applyProtection="1">
      <protection locked="0"/>
    </xf>
    <xf numFmtId="0" fontId="3" fillId="0" borderId="0" xfId="80" applyFont="1" applyFill="1" applyAlignment="1">
      <alignment horizontal="left" indent="1"/>
    </xf>
    <xf numFmtId="164" fontId="3" fillId="0" borderId="0" xfId="85" applyNumberFormat="1" applyFont="1" applyFill="1"/>
    <xf numFmtId="164" fontId="3" fillId="0" borderId="0" xfId="8" applyNumberFormat="1" applyFont="1" applyFill="1" applyAlignment="1" applyProtection="1">
      <protection locked="0"/>
    </xf>
    <xf numFmtId="164" fontId="3" fillId="0" borderId="0" xfId="8" applyNumberFormat="1" applyFont="1" applyAlignment="1" applyProtection="1">
      <protection locked="0"/>
    </xf>
    <xf numFmtId="164" fontId="3" fillId="0" borderId="0" xfId="12" applyNumberFormat="1" applyFont="1" applyBorder="1" applyAlignment="1" applyProtection="1">
      <protection locked="0"/>
    </xf>
    <xf numFmtId="164" fontId="3" fillId="0" borderId="0" xfId="12" applyNumberFormat="1" applyFont="1" applyAlignment="1" applyProtection="1">
      <protection locked="0"/>
    </xf>
    <xf numFmtId="164" fontId="3" fillId="0" borderId="2" xfId="12" applyNumberFormat="1" applyFont="1" applyBorder="1" applyAlignment="1" applyProtection="1">
      <protection locked="0"/>
    </xf>
    <xf numFmtId="164" fontId="3" fillId="2" borderId="0" xfId="8" applyNumberFormat="1" applyFont="1" applyFill="1" applyAlignment="1" applyProtection="1">
      <protection locked="0"/>
    </xf>
    <xf numFmtId="164" fontId="3" fillId="3" borderId="0" xfId="8" applyNumberFormat="1" applyFont="1" applyFill="1" applyAlignment="1" applyProtection="1">
      <protection locked="0"/>
    </xf>
    <xf numFmtId="164" fontId="15" fillId="0" borderId="0" xfId="0" applyNumberFormat="1" applyFont="1"/>
    <xf numFmtId="164" fontId="15" fillId="0" borderId="2" xfId="0" applyNumberFormat="1" applyFont="1" applyBorder="1"/>
    <xf numFmtId="164" fontId="15" fillId="0" borderId="3" xfId="0" applyNumberFormat="1" applyFont="1" applyBorder="1"/>
    <xf numFmtId="164" fontId="3" fillId="0" borderId="0" xfId="8" applyNumberFormat="1" applyFont="1" applyFill="1" applyBorder="1" applyAlignment="1" applyProtection="1">
      <protection locked="0"/>
    </xf>
    <xf numFmtId="164" fontId="3" fillId="0" borderId="2" xfId="12" applyNumberFormat="1" applyFont="1" applyFill="1" applyBorder="1" applyAlignment="1" applyProtection="1">
      <protection locked="0"/>
    </xf>
    <xf numFmtId="164" fontId="3" fillId="0" borderId="0" xfId="12" applyNumberFormat="1" applyFont="1" applyFill="1" applyAlignment="1" applyProtection="1">
      <protection locked="0"/>
    </xf>
    <xf numFmtId="44" fontId="3" fillId="0" borderId="0" xfId="12" applyFont="1" applyFill="1" applyAlignment="1" applyProtection="1">
      <alignment horizontal="center"/>
      <protection locked="0"/>
    </xf>
    <xf numFmtId="164" fontId="3" fillId="0" borderId="0" xfId="12" applyNumberFormat="1" applyFont="1" applyFill="1" applyBorder="1" applyAlignment="1" applyProtection="1">
      <protection locked="0"/>
    </xf>
    <xf numFmtId="164" fontId="15" fillId="0" borderId="0" xfId="0" applyNumberFormat="1" applyFont="1" applyFill="1"/>
    <xf numFmtId="0" fontId="15" fillId="0" borderId="0" xfId="0" applyFont="1" applyFill="1"/>
    <xf numFmtId="0" fontId="3" fillId="0" borderId="0" xfId="64" applyFont="1" applyFill="1" applyAlignment="1">
      <alignment horizontal="left" indent="1"/>
    </xf>
    <xf numFmtId="37" fontId="3" fillId="0" borderId="2" xfId="2" applyNumberFormat="1" applyFont="1" applyFill="1" applyBorder="1" applyAlignment="1">
      <alignment horizontal="right"/>
    </xf>
    <xf numFmtId="168" fontId="3" fillId="0" borderId="0" xfId="2" applyNumberFormat="1" applyFont="1" applyFill="1" applyBorder="1"/>
    <xf numFmtId="168" fontId="2" fillId="0" borderId="0" xfId="3" applyNumberFormat="1" applyFont="1" applyFill="1" applyBorder="1"/>
    <xf numFmtId="10" fontId="3" fillId="0" borderId="0" xfId="12" applyNumberFormat="1" applyFont="1" applyAlignment="1" applyProtection="1">
      <alignment horizontal="right"/>
      <protection locked="0"/>
    </xf>
    <xf numFmtId="164" fontId="15" fillId="0" borderId="0" xfId="0" applyNumberFormat="1" applyFont="1" applyBorder="1"/>
    <xf numFmtId="0" fontId="2" fillId="0" borderId="0" xfId="64" applyFont="1" applyFill="1" applyAlignment="1" applyProtection="1">
      <protection locked="0"/>
    </xf>
    <xf numFmtId="37" fontId="2" fillId="0" borderId="0" xfId="64" applyNumberFormat="1" applyFont="1" applyFill="1" applyAlignment="1" applyProtection="1">
      <protection locked="0"/>
    </xf>
    <xf numFmtId="0" fontId="3" fillId="0" borderId="0" xfId="64" applyFont="1" applyFill="1"/>
    <xf numFmtId="0" fontId="2" fillId="0" borderId="0" xfId="64" applyFont="1" applyFill="1"/>
    <xf numFmtId="37" fontId="2" fillId="0" borderId="0" xfId="64" applyNumberFormat="1" applyFont="1" applyFill="1"/>
    <xf numFmtId="164" fontId="3" fillId="0" borderId="0" xfId="64" applyNumberFormat="1" applyFont="1" applyFill="1"/>
    <xf numFmtId="37" fontId="2" fillId="0" borderId="0" xfId="64" applyNumberFormat="1" applyFont="1" applyFill="1" applyAlignment="1">
      <alignment horizontal="center"/>
    </xf>
    <xf numFmtId="39" fontId="2" fillId="0" borderId="0" xfId="64" applyNumberFormat="1" applyFont="1" applyFill="1" applyBorder="1" applyAlignment="1">
      <alignment horizontal="center"/>
    </xf>
    <xf numFmtId="39" fontId="2" fillId="0" borderId="0" xfId="64" quotePrefix="1" applyNumberFormat="1" applyFont="1" applyFill="1" applyBorder="1" applyAlignment="1">
      <alignment horizontal="center"/>
    </xf>
    <xf numFmtId="0" fontId="2" fillId="0" borderId="0" xfId="64" applyFont="1" applyFill="1" applyAlignment="1">
      <alignment horizontal="center"/>
    </xf>
    <xf numFmtId="37" fontId="2" fillId="0" borderId="0" xfId="64" quotePrefix="1" applyNumberFormat="1" applyFont="1" applyFill="1" applyAlignment="1">
      <alignment horizontal="center"/>
    </xf>
    <xf numFmtId="0" fontId="2" fillId="0" borderId="1" xfId="64" applyFont="1" applyFill="1" applyBorder="1" applyAlignment="1">
      <alignment horizontal="center"/>
    </xf>
    <xf numFmtId="0" fontId="2" fillId="0" borderId="0" xfId="64" applyFont="1" applyFill="1" applyBorder="1" applyAlignment="1">
      <alignment horizontal="center"/>
    </xf>
    <xf numFmtId="17" fontId="2" fillId="0" borderId="0" xfId="64" applyNumberFormat="1" applyFont="1" applyFill="1" applyBorder="1" applyAlignment="1">
      <alignment horizontal="center"/>
    </xf>
    <xf numFmtId="17" fontId="2" fillId="0" borderId="1" xfId="64" applyNumberFormat="1" applyFont="1" applyFill="1" applyBorder="1" applyAlignment="1">
      <alignment horizontal="center"/>
    </xf>
    <xf numFmtId="0" fontId="3" fillId="0" borderId="0" xfId="64" applyFont="1" applyFill="1" applyBorder="1"/>
    <xf numFmtId="37" fontId="3" fillId="0" borderId="0" xfId="64" applyNumberFormat="1" applyFont="1" applyFill="1"/>
    <xf numFmtId="37" fontId="2" fillId="0" borderId="0" xfId="64" applyNumberFormat="1" applyFont="1" applyFill="1" applyAlignment="1">
      <alignment horizontal="right"/>
    </xf>
    <xf numFmtId="37" fontId="3" fillId="0" borderId="0" xfId="64" applyNumberFormat="1" applyFont="1" applyFill="1" applyAlignment="1">
      <alignment horizontal="right"/>
    </xf>
    <xf numFmtId="5" fontId="0" fillId="0" borderId="0" xfId="279" applyNumberFormat="1" applyFont="1" applyFill="1"/>
    <xf numFmtId="0" fontId="2" fillId="0" borderId="0" xfId="64" quotePrefix="1" applyFont="1" applyFill="1" applyAlignment="1">
      <alignment horizontal="left"/>
    </xf>
    <xf numFmtId="0" fontId="2" fillId="0" borderId="0" xfId="64" applyFont="1" applyFill="1" applyBorder="1"/>
    <xf numFmtId="0" fontId="2" fillId="0" borderId="0" xfId="64" applyFont="1" applyFill="1" applyAlignment="1">
      <alignment horizontal="left"/>
    </xf>
    <xf numFmtId="3" fontId="3" fillId="0" borderId="0" xfId="64" applyNumberFormat="1" applyFont="1" applyFill="1"/>
    <xf numFmtId="5" fontId="0" fillId="0" borderId="2" xfId="279" applyNumberFormat="1" applyFont="1" applyFill="1" applyBorder="1"/>
    <xf numFmtId="3" fontId="3" fillId="0" borderId="2" xfId="2" applyNumberFormat="1" applyFont="1" applyFill="1" applyBorder="1"/>
    <xf numFmtId="3" fontId="3" fillId="0" borderId="0" xfId="2" applyNumberFormat="1" applyFont="1" applyFill="1"/>
    <xf numFmtId="3" fontId="3" fillId="0" borderId="0" xfId="64" applyNumberFormat="1" applyFont="1" applyFill="1" applyBorder="1"/>
    <xf numFmtId="3" fontId="3" fillId="0" borderId="2" xfId="2" applyNumberFormat="1" applyFont="1" applyFill="1" applyBorder="1" applyAlignment="1">
      <alignment horizontal="right"/>
    </xf>
    <xf numFmtId="43" fontId="3" fillId="0" borderId="0" xfId="64" applyNumberFormat="1" applyFont="1" applyFill="1"/>
    <xf numFmtId="169" fontId="3" fillId="0" borderId="0" xfId="64" applyNumberFormat="1" applyFont="1" applyFill="1"/>
    <xf numFmtId="43" fontId="3" fillId="0" borderId="0" xfId="8" applyNumberFormat="1" applyFont="1" applyFill="1" applyAlignment="1" applyProtection="1">
      <protection locked="0"/>
    </xf>
    <xf numFmtId="43" fontId="3" fillId="0" borderId="0" xfId="12" applyNumberFormat="1" applyFont="1" applyFill="1" applyAlignment="1" applyProtection="1">
      <protection locked="0"/>
    </xf>
    <xf numFmtId="10" fontId="3" fillId="0" borderId="0" xfId="8" applyNumberFormat="1" applyFont="1" applyFill="1" applyAlignment="1" applyProtection="1">
      <protection locked="0"/>
    </xf>
    <xf numFmtId="3" fontId="36" fillId="0" borderId="0" xfId="64" applyNumberFormat="1" applyFont="1" applyFill="1"/>
    <xf numFmtId="3" fontId="3" fillId="0" borderId="0" xfId="2" applyNumberFormat="1" applyFont="1" applyFill="1" applyBorder="1"/>
    <xf numFmtId="3" fontId="3" fillId="0" borderId="0" xfId="2" applyNumberFormat="1" applyFont="1" applyFill="1" applyBorder="1" applyAlignment="1">
      <alignment wrapText="1"/>
    </xf>
    <xf numFmtId="164" fontId="3" fillId="0" borderId="0" xfId="2" applyNumberFormat="1" applyFont="1" applyFill="1" applyBorder="1" applyAlignment="1">
      <alignment vertical="center"/>
    </xf>
    <xf numFmtId="17" fontId="2" fillId="35" borderId="1" xfId="64" applyNumberFormat="1" applyFont="1" applyFill="1" applyBorder="1" applyAlignment="1">
      <alignment horizontal="center"/>
    </xf>
    <xf numFmtId="0" fontId="3" fillId="0" borderId="0" xfId="64" applyFont="1" applyFill="1" applyAlignment="1">
      <alignment horizontal="center"/>
    </xf>
    <xf numFmtId="0" fontId="36" fillId="0" borderId="0" xfId="64" applyFont="1" applyFill="1" applyAlignment="1">
      <alignment horizontal="left"/>
    </xf>
    <xf numFmtId="39" fontId="2" fillId="0" borderId="0" xfId="64" applyNumberFormat="1" applyFont="1" applyFill="1" applyAlignment="1">
      <alignment horizontal="right"/>
    </xf>
    <xf numFmtId="164" fontId="3" fillId="0" borderId="0" xfId="85" applyNumberFormat="1" applyFont="1" applyFill="1" applyAlignment="1">
      <alignment horizontal="left" indent="1"/>
    </xf>
    <xf numFmtId="41" fontId="3" fillId="0" borderId="0" xfId="85" applyNumberFormat="1" applyFont="1" applyFill="1" applyAlignment="1">
      <alignment horizontal="left" indent="1"/>
    </xf>
    <xf numFmtId="167" fontId="3" fillId="0" borderId="0" xfId="64" applyNumberFormat="1" applyFont="1" applyFill="1"/>
    <xf numFmtId="0" fontId="3" fillId="0" borderId="0" xfId="64" applyFont="1" applyFill="1" applyAlignment="1">
      <alignment horizontal="left"/>
    </xf>
    <xf numFmtId="0" fontId="36" fillId="0" borderId="0" xfId="80" applyFont="1" applyFill="1" applyAlignment="1">
      <alignment horizontal="left" indent="1"/>
    </xf>
    <xf numFmtId="0" fontId="3" fillId="0" borderId="0" xfId="64" applyFont="1" applyFill="1" applyAlignment="1">
      <alignment wrapText="1"/>
    </xf>
    <xf numFmtId="37" fontId="36" fillId="0" borderId="0" xfId="64" applyNumberFormat="1" applyFont="1" applyFill="1" applyAlignment="1">
      <alignment vertical="center"/>
    </xf>
    <xf numFmtId="164" fontId="3" fillId="0" borderId="0" xfId="2" applyNumberFormat="1" applyFont="1" applyFill="1" applyAlignment="1">
      <alignment horizontal="center"/>
    </xf>
    <xf numFmtId="37" fontId="3" fillId="0" borderId="2" xfId="2" applyNumberFormat="1" applyFont="1" applyFill="1" applyBorder="1" applyAlignment="1">
      <alignment horizontal="center"/>
    </xf>
    <xf numFmtId="164" fontId="3" fillId="0" borderId="0" xfId="2" applyNumberFormat="1" applyFont="1" applyFill="1" applyBorder="1" applyAlignment="1">
      <alignment horizontal="left" vertical="center"/>
    </xf>
    <xf numFmtId="164" fontId="3" fillId="0" borderId="2" xfId="2" applyNumberFormat="1" applyFont="1" applyFill="1" applyBorder="1" applyAlignment="1">
      <alignment horizontal="left" vertical="center"/>
    </xf>
    <xf numFmtId="164" fontId="3" fillId="0" borderId="0" xfId="2" applyNumberFormat="1" applyFont="1" applyFill="1" applyAlignment="1">
      <alignment horizontal="left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164" fontId="3" fillId="0" borderId="0" xfId="2" applyNumberFormat="1" applyFont="1" applyFill="1" applyBorder="1" applyAlignment="1">
      <alignment horizontal="center" vertical="center"/>
    </xf>
    <xf numFmtId="3" fontId="3" fillId="0" borderId="0" xfId="2" applyNumberFormat="1" applyFont="1" applyFill="1" applyAlignment="1">
      <alignment horizontal="right" vertical="center"/>
    </xf>
  </cellXfs>
  <cellStyles count="280">
    <cellStyle name="20% - Accent1" xfId="104" builtinId="30" customBuiltin="1"/>
    <cellStyle name="20% - Accent2" xfId="108" builtinId="34" customBuiltin="1"/>
    <cellStyle name="20% - Accent3" xfId="112" builtinId="38" customBuiltin="1"/>
    <cellStyle name="20% - Accent4" xfId="116" builtinId="42" customBuiltin="1"/>
    <cellStyle name="20% - Accent5" xfId="120" builtinId="46" customBuiltin="1"/>
    <cellStyle name="20% - Accent6" xfId="124" builtinId="50" customBuiltin="1"/>
    <cellStyle name="40% - Accent1" xfId="105" builtinId="31" customBuiltin="1"/>
    <cellStyle name="40% - Accent2" xfId="109" builtinId="35" customBuiltin="1"/>
    <cellStyle name="40% - Accent3" xfId="113" builtinId="39" customBuiltin="1"/>
    <cellStyle name="40% - Accent4" xfId="117" builtinId="43" customBuiltin="1"/>
    <cellStyle name="40% - Accent5" xfId="121" builtinId="47" customBuiltin="1"/>
    <cellStyle name="40% - Accent6" xfId="125" builtinId="51" customBuiltin="1"/>
    <cellStyle name="60% - Accent1" xfId="106" builtinId="32" customBuiltin="1"/>
    <cellStyle name="60% - Accent2" xfId="110" builtinId="36" customBuiltin="1"/>
    <cellStyle name="60% - Accent3" xfId="114" builtinId="40" customBuiltin="1"/>
    <cellStyle name="60% - Accent4" xfId="118" builtinId="44" customBuiltin="1"/>
    <cellStyle name="60% - Accent5" xfId="122" builtinId="48" customBuiltin="1"/>
    <cellStyle name="60% - Accent6" xfId="126" builtinId="52" customBuiltin="1"/>
    <cellStyle name="Accent1" xfId="103" builtinId="29" customBuiltin="1"/>
    <cellStyle name="Accent2" xfId="107" builtinId="33" customBuiltin="1"/>
    <cellStyle name="Accent3" xfId="111" builtinId="37" customBuiltin="1"/>
    <cellStyle name="Accent4" xfId="115" builtinId="41" customBuiltin="1"/>
    <cellStyle name="Accent5" xfId="119" builtinId="45" customBuiltin="1"/>
    <cellStyle name="Accent6" xfId="123" builtinId="49" customBuiltin="1"/>
    <cellStyle name="Bad" xfId="92" builtinId="27" customBuiltin="1"/>
    <cellStyle name="Calculation" xfId="96" builtinId="22" customBuiltin="1"/>
    <cellStyle name="Check Cell" xfId="98" builtinId="23" customBuiltin="1"/>
    <cellStyle name="Comma" xfId="85" builtinId="3"/>
    <cellStyle name="Comma 10" xfId="33"/>
    <cellStyle name="Comma 11" xfId="35"/>
    <cellStyle name="Comma 12" xfId="37"/>
    <cellStyle name="Comma 13" xfId="39"/>
    <cellStyle name="Comma 14" xfId="41"/>
    <cellStyle name="Comma 15" xfId="43"/>
    <cellStyle name="Comma 16" xfId="45"/>
    <cellStyle name="Comma 17" xfId="47"/>
    <cellStyle name="Comma 18" xfId="49"/>
    <cellStyle name="Comma 19" xfId="51"/>
    <cellStyle name="Comma 2" xfId="2"/>
    <cellStyle name="Comma 2 2" xfId="11"/>
    <cellStyle name="Comma 2 3" xfId="83"/>
    <cellStyle name="Comma 2 4" xfId="10"/>
    <cellStyle name="Comma 20" xfId="53"/>
    <cellStyle name="Comma 21" xfId="55"/>
    <cellStyle name="Comma 22" xfId="57"/>
    <cellStyle name="Comma 23" xfId="59"/>
    <cellStyle name="Comma 24" xfId="61"/>
    <cellStyle name="Comma 25" xfId="63"/>
    <cellStyle name="Comma 26" xfId="67"/>
    <cellStyle name="Comma 27" xfId="69"/>
    <cellStyle name="Comma 28" xfId="71"/>
    <cellStyle name="Comma 29" xfId="73"/>
    <cellStyle name="Comma 3" xfId="19"/>
    <cellStyle name="Comma 3 2" xfId="158"/>
    <cellStyle name="Comma 3 2 2" xfId="178"/>
    <cellStyle name="Comma 3 2 3" xfId="232"/>
    <cellStyle name="Comma 3 3" xfId="177"/>
    <cellStyle name="Comma 3 4" xfId="231"/>
    <cellStyle name="Comma 3 5" xfId="136"/>
    <cellStyle name="Comma 30" xfId="75"/>
    <cellStyle name="Comma 31" xfId="77"/>
    <cellStyle name="Comma 32" xfId="79"/>
    <cellStyle name="Comma 33" xfId="9"/>
    <cellStyle name="Comma 4" xfId="21"/>
    <cellStyle name="Comma 4 2" xfId="170"/>
    <cellStyle name="Comma 4 2 2" xfId="179"/>
    <cellStyle name="Comma 4 2 3" xfId="233"/>
    <cellStyle name="Comma 4 3" xfId="176"/>
    <cellStyle name="Comma 4 4" xfId="226"/>
    <cellStyle name="Comma 4 5" xfId="230"/>
    <cellStyle name="Comma 5" xfId="23"/>
    <cellStyle name="Comma 5 2" xfId="173"/>
    <cellStyle name="Comma 5 2 2" xfId="181"/>
    <cellStyle name="Comma 5 2 3" xfId="235"/>
    <cellStyle name="Comma 5 3" xfId="180"/>
    <cellStyle name="Comma 5 4" xfId="234"/>
    <cellStyle name="Comma 6" xfId="25"/>
    <cellStyle name="Comma 7" xfId="27"/>
    <cellStyle name="Comma 8" xfId="29"/>
    <cellStyle name="Comma 9" xfId="31"/>
    <cellStyle name="Currency 2" xfId="3"/>
    <cellStyle name="Currency 2 2" xfId="82"/>
    <cellStyle name="Currency 2 3" xfId="13"/>
    <cellStyle name="Currency 3" xfId="18"/>
    <cellStyle name="Currency 3 2" xfId="159"/>
    <cellStyle name="Currency 3 2 2" xfId="183"/>
    <cellStyle name="Currency 3 2 3" xfId="237"/>
    <cellStyle name="Currency 3 3" xfId="182"/>
    <cellStyle name="Currency 3 4" xfId="236"/>
    <cellStyle name="Currency 3 5" xfId="137"/>
    <cellStyle name="Currency 4" xfId="12"/>
    <cellStyle name="Explanatory Text" xfId="101" builtinId="53" customBuiltin="1"/>
    <cellStyle name="General" xfId="4"/>
    <cellStyle name="Good" xfId="91" builtinId="26" customBuiltin="1"/>
    <cellStyle name="Heading 1" xfId="87" builtinId="16" customBuiltin="1"/>
    <cellStyle name="Heading 2" xfId="88" builtinId="17" customBuiltin="1"/>
    <cellStyle name="Heading 3" xfId="89" builtinId="18" customBuiltin="1"/>
    <cellStyle name="Heading 4" xfId="90" builtinId="19" customBuiltin="1"/>
    <cellStyle name="Hyperlink 2" xfId="129"/>
    <cellStyle name="Input" xfId="94" builtinId="20" customBuiltin="1"/>
    <cellStyle name="Linked Cell" xfId="97" builtinId="24" customBuiltin="1"/>
    <cellStyle name="Neutral" xfId="93" builtinId="28" customBuiltin="1"/>
    <cellStyle name="nONE" xfId="5"/>
    <cellStyle name="Normal" xfId="0" builtinId="0"/>
    <cellStyle name="Normal 10" xfId="32"/>
    <cellStyle name="Normal 11" xfId="34"/>
    <cellStyle name="Normal 12" xfId="36"/>
    <cellStyle name="Normal 13" xfId="38"/>
    <cellStyle name="Normal 14" xfId="40"/>
    <cellStyle name="Normal 15" xfId="42"/>
    <cellStyle name="Normal 16" xfId="44"/>
    <cellStyle name="Normal 17" xfId="46"/>
    <cellStyle name="Normal 18" xfId="48"/>
    <cellStyle name="Normal 19" xfId="50"/>
    <cellStyle name="Normal 2" xfId="1"/>
    <cellStyle name="Normal 2 2" xfId="64"/>
    <cellStyle name="Normal 2 2 2" xfId="134"/>
    <cellStyle name="Normal 2 2 2 2" xfId="144"/>
    <cellStyle name="Normal 2 2 2 2 2" xfId="166"/>
    <cellStyle name="Normal 2 2 2 2 2 2" xfId="188"/>
    <cellStyle name="Normal 2 2 2 2 2 3" xfId="242"/>
    <cellStyle name="Normal 2 2 2 2 3" xfId="187"/>
    <cellStyle name="Normal 2 2 2 2 4" xfId="241"/>
    <cellStyle name="Normal 2 2 2 3" xfId="155"/>
    <cellStyle name="Normal 2 2 2 3 2" xfId="189"/>
    <cellStyle name="Normal 2 2 2 3 3" xfId="243"/>
    <cellStyle name="Normal 2 2 2 4" xfId="186"/>
    <cellStyle name="Normal 2 2 2 5" xfId="240"/>
    <cellStyle name="Normal 2 2 3" xfId="140"/>
    <cellStyle name="Normal 2 2 3 2" xfId="162"/>
    <cellStyle name="Normal 2 2 3 2 2" xfId="191"/>
    <cellStyle name="Normal 2 2 3 2 3" xfId="245"/>
    <cellStyle name="Normal 2 2 3 3" xfId="190"/>
    <cellStyle name="Normal 2 2 3 4" xfId="244"/>
    <cellStyle name="Normal 2 2 4" xfId="151"/>
    <cellStyle name="Normal 2 2 4 2" xfId="192"/>
    <cellStyle name="Normal 2 2 4 3" xfId="246"/>
    <cellStyle name="Normal 2 2 5" xfId="185"/>
    <cellStyle name="Normal 2 2 6" xfId="239"/>
    <cellStyle name="Normal 2 2 7" xfId="130"/>
    <cellStyle name="Normal 2 3" xfId="84"/>
    <cellStyle name="Normal 2 3 2" xfId="142"/>
    <cellStyle name="Normal 2 3 2 2" xfId="164"/>
    <cellStyle name="Normal 2 3 2 2 2" xfId="195"/>
    <cellStyle name="Normal 2 3 2 2 3" xfId="249"/>
    <cellStyle name="Normal 2 3 2 3" xfId="194"/>
    <cellStyle name="Normal 2 3 2 4" xfId="248"/>
    <cellStyle name="Normal 2 3 3" xfId="153"/>
    <cellStyle name="Normal 2 3 3 2" xfId="196"/>
    <cellStyle name="Normal 2 3 3 3" xfId="250"/>
    <cellStyle name="Normal 2 3 4" xfId="193"/>
    <cellStyle name="Normal 2 3 5" xfId="247"/>
    <cellStyle name="Normal 2 3 6" xfId="132"/>
    <cellStyle name="Normal 2 4" xfId="14"/>
    <cellStyle name="Normal 2 4 2" xfId="160"/>
    <cellStyle name="Normal 2 4 2 2" xfId="198"/>
    <cellStyle name="Normal 2 4 2 3" xfId="252"/>
    <cellStyle name="Normal 2 4 3" xfId="197"/>
    <cellStyle name="Normal 2 4 4" xfId="251"/>
    <cellStyle name="Normal 2 5" xfId="147"/>
    <cellStyle name="Normal 2 6" xfId="149"/>
    <cellStyle name="Normal 2 6 2" xfId="199"/>
    <cellStyle name="Normal 2 6 3" xfId="253"/>
    <cellStyle name="Normal 2 7" xfId="184"/>
    <cellStyle name="Normal 2 8" xfId="238"/>
    <cellStyle name="Normal 20" xfId="52"/>
    <cellStyle name="Normal 21" xfId="54"/>
    <cellStyle name="Normal 22" xfId="56"/>
    <cellStyle name="Normal 23" xfId="58"/>
    <cellStyle name="Normal 24" xfId="60"/>
    <cellStyle name="Normal 25" xfId="62"/>
    <cellStyle name="Normal 26" xfId="66"/>
    <cellStyle name="Normal 27" xfId="68"/>
    <cellStyle name="Normal 28" xfId="70"/>
    <cellStyle name="Normal 29" xfId="72"/>
    <cellStyle name="Normal 3" xfId="15"/>
    <cellStyle name="Normal 3 2" xfId="80"/>
    <cellStyle name="Normal 3 2 2" xfId="135"/>
    <cellStyle name="Normal 3 2 2 2" xfId="145"/>
    <cellStyle name="Normal 3 2 2 2 2" xfId="167"/>
    <cellStyle name="Normal 3 2 2 2 2 2" xfId="204"/>
    <cellStyle name="Normal 3 2 2 2 2 3" xfId="258"/>
    <cellStyle name="Normal 3 2 2 2 3" xfId="203"/>
    <cellStyle name="Normal 3 2 2 2 4" xfId="257"/>
    <cellStyle name="Normal 3 2 2 3" xfId="156"/>
    <cellStyle name="Normal 3 2 2 3 2" xfId="205"/>
    <cellStyle name="Normal 3 2 2 3 3" xfId="259"/>
    <cellStyle name="Normal 3 2 2 4" xfId="202"/>
    <cellStyle name="Normal 3 2 2 5" xfId="256"/>
    <cellStyle name="Normal 3 2 3" xfId="141"/>
    <cellStyle name="Normal 3 2 3 2" xfId="163"/>
    <cellStyle name="Normal 3 2 3 2 2" xfId="207"/>
    <cellStyle name="Normal 3 2 3 2 3" xfId="261"/>
    <cellStyle name="Normal 3 2 3 3" xfId="206"/>
    <cellStyle name="Normal 3 2 3 4" xfId="260"/>
    <cellStyle name="Normal 3 2 4" xfId="152"/>
    <cellStyle name="Normal 3 2 4 2" xfId="208"/>
    <cellStyle name="Normal 3 2 4 3" xfId="262"/>
    <cellStyle name="Normal 3 2 5" xfId="201"/>
    <cellStyle name="Normal 3 2 6" xfId="255"/>
    <cellStyle name="Normal 3 2 7" xfId="131"/>
    <cellStyle name="Normal 3 3" xfId="133"/>
    <cellStyle name="Normal 3 3 2" xfId="143"/>
    <cellStyle name="Normal 3 3 2 2" xfId="165"/>
    <cellStyle name="Normal 3 3 2 2 2" xfId="211"/>
    <cellStyle name="Normal 3 3 2 2 3" xfId="265"/>
    <cellStyle name="Normal 3 3 2 3" xfId="210"/>
    <cellStyle name="Normal 3 3 2 4" xfId="264"/>
    <cellStyle name="Normal 3 3 3" xfId="154"/>
    <cellStyle name="Normal 3 3 3 2" xfId="212"/>
    <cellStyle name="Normal 3 3 3 3" xfId="266"/>
    <cellStyle name="Normal 3 3 4" xfId="209"/>
    <cellStyle name="Normal 3 3 5" xfId="263"/>
    <cellStyle name="Normal 3 4" xfId="139"/>
    <cellStyle name="Normal 3 4 2" xfId="161"/>
    <cellStyle name="Normal 3 4 2 2" xfId="214"/>
    <cellStyle name="Normal 3 4 2 3" xfId="268"/>
    <cellStyle name="Normal 3 4 3" xfId="213"/>
    <cellStyle name="Normal 3 4 4" xfId="267"/>
    <cellStyle name="Normal 3 5" xfId="150"/>
    <cellStyle name="Normal 3 5 2" xfId="215"/>
    <cellStyle name="Normal 3 5 3" xfId="269"/>
    <cellStyle name="Normal 3 6" xfId="200"/>
    <cellStyle name="Normal 3 7" xfId="254"/>
    <cellStyle name="Normal 3 8" xfId="128"/>
    <cellStyle name="Normal 30" xfId="74"/>
    <cellStyle name="Normal 31" xfId="76"/>
    <cellStyle name="Normal 32" xfId="78"/>
    <cellStyle name="Normal 33" xfId="8"/>
    <cellStyle name="Normal 4" xfId="20"/>
    <cellStyle name="Normal 4 2" xfId="138"/>
    <cellStyle name="Normal 5" xfId="22"/>
    <cellStyle name="Normal 5 2" xfId="157"/>
    <cellStyle name="Normal 5 2 2" xfId="217"/>
    <cellStyle name="Normal 5 2 3" xfId="271"/>
    <cellStyle name="Normal 5 3" xfId="216"/>
    <cellStyle name="Normal 5 4" xfId="270"/>
    <cellStyle name="Normal 6" xfId="24"/>
    <cellStyle name="Normal 6 2" xfId="168"/>
    <cellStyle name="Normal 6 2 2" xfId="218"/>
    <cellStyle name="Normal 6 2 3" xfId="272"/>
    <cellStyle name="Normal 6 3" xfId="174"/>
    <cellStyle name="Normal 6 4" xfId="224"/>
    <cellStyle name="Normal 6 5" xfId="228"/>
    <cellStyle name="Normal 7" xfId="26"/>
    <cellStyle name="Normal 7 2" xfId="172"/>
    <cellStyle name="Normal 7 2 2" xfId="220"/>
    <cellStyle name="Normal 7 2 3" xfId="274"/>
    <cellStyle name="Normal 7 3" xfId="219"/>
    <cellStyle name="Normal 7 4" xfId="227"/>
    <cellStyle name="Normal 7 5" xfId="273"/>
    <cellStyle name="Normal 8" xfId="28"/>
    <cellStyle name="Normal 9" xfId="30"/>
    <cellStyle name="Note" xfId="100" builtinId="10" customBuiltin="1"/>
    <cellStyle name="Output" xfId="95" builtinId="21" customBuiltin="1"/>
    <cellStyle name="Percent" xfId="279" builtinId="5"/>
    <cellStyle name="Percent 2" xfId="6"/>
    <cellStyle name="Percent 2 2" xfId="81"/>
    <cellStyle name="Percent 2 3" xfId="65"/>
    <cellStyle name="Percent 3" xfId="16"/>
    <cellStyle name="Percent 3 2" xfId="169"/>
    <cellStyle name="Percent 3 2 2" xfId="221"/>
    <cellStyle name="Percent 3 2 3" xfId="275"/>
    <cellStyle name="Percent 3 3" xfId="175"/>
    <cellStyle name="Percent 3 4" xfId="225"/>
    <cellStyle name="Percent 3 5" xfId="229"/>
    <cellStyle name="Percent 3 6" xfId="146"/>
    <cellStyle name="Percent 4" xfId="148"/>
    <cellStyle name="Percent 4 2" xfId="171"/>
    <cellStyle name="Percent 4 2 2" xfId="223"/>
    <cellStyle name="Percent 4 2 3" xfId="277"/>
    <cellStyle name="Percent 4 3" xfId="222"/>
    <cellStyle name="Percent 4 4" xfId="276"/>
    <cellStyle name="Percent 5" xfId="278"/>
    <cellStyle name="Title" xfId="86" builtinId="15" customBuiltin="1"/>
    <cellStyle name="Total" xfId="102" builtinId="25" customBuiltin="1"/>
    <cellStyle name="TRANSMISSION RELIABILITY PORTION OF PROJECT" xfId="7"/>
    <cellStyle name="TRANSMISSION RELIABILITY PORTION OF PROJECT 2" xfId="17"/>
    <cellStyle name="TRANSMISSION RELIABILITY PORTION OF PROJECT 2 2" xfId="127"/>
    <cellStyle name="Warning Text" xfId="99" builtinId="11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sc.state.ut.us/SHR02/ACCTNG/GENERAL/JAN%20LEWIS/DSM/Recovery%20Files/RECOV03-May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Codes"/>
      <sheetName val="SCRInput2"/>
      <sheetName val="Inputs"/>
      <sheetName val="DSM Output"/>
      <sheetName val="DSM Dollars"/>
      <sheetName val="Centralia Credit"/>
      <sheetName val="Y2K"/>
      <sheetName val="Deferred Acct."/>
      <sheetName val="PCA"/>
      <sheetName val="Hermiston"/>
      <sheetName val="Trail Mtn."/>
      <sheetName val="WA SBC"/>
      <sheetName val="0103 Proration (191)"/>
      <sheetName val="WA Centralia"/>
      <sheetName val="WA SBC - Class 48T"/>
      <sheetName val="Module2"/>
    </sheetNames>
    <sheetDataSet>
      <sheetData sheetId="0"/>
      <sheetData sheetId="1"/>
      <sheetData sheetId="2"/>
      <sheetData sheetId="3"/>
      <sheetData sheetId="4"/>
      <sheetData sheetId="5">
        <row r="1">
          <cell r="AL1">
            <v>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00"/>
  <sheetViews>
    <sheetView tabSelected="1" zoomScale="90" zoomScaleNormal="90" workbookViewId="0">
      <pane ySplit="5" topLeftCell="A65" activePane="bottomLeft" state="frozen"/>
      <selection pane="bottomLeft" activeCell="M87" sqref="M87"/>
    </sheetView>
  </sheetViews>
  <sheetFormatPr defaultColWidth="9.140625" defaultRowHeight="14.25"/>
  <cols>
    <col min="1" max="1" width="17.5703125" style="15" customWidth="1"/>
    <col min="2" max="2" width="17.28515625" style="15" customWidth="1"/>
    <col min="3" max="3" width="15.28515625" style="15" customWidth="1"/>
    <col min="4" max="4" width="17" style="15" customWidth="1"/>
    <col min="5" max="5" width="15.7109375" style="15" bestFit="1" customWidth="1"/>
    <col min="6" max="6" width="17" style="15" bestFit="1" customWidth="1"/>
    <col min="7" max="7" width="16.85546875" style="15" customWidth="1"/>
    <col min="8" max="8" width="9.28515625" style="15" customWidth="1"/>
    <col min="9" max="9" width="1.42578125" style="15" customWidth="1"/>
    <col min="10" max="10" width="16.42578125" style="15" customWidth="1"/>
    <col min="11" max="11" width="2.7109375" style="15" customWidth="1"/>
    <col min="12" max="16384" width="9.140625" style="15"/>
  </cols>
  <sheetData>
    <row r="1" spans="1:134" s="9" customFormat="1" ht="12.75" customHeight="1">
      <c r="A1" s="5"/>
      <c r="B1" s="5"/>
      <c r="C1" s="5"/>
      <c r="D1" s="6"/>
      <c r="E1" s="5"/>
      <c r="F1" s="5"/>
      <c r="G1" s="5"/>
      <c r="H1" s="7"/>
      <c r="I1" s="8"/>
      <c r="J1" s="8"/>
    </row>
    <row r="2" spans="1:134" s="10" customFormat="1" ht="12.75" customHeight="1">
      <c r="A2" s="5" t="s">
        <v>8</v>
      </c>
      <c r="B2" s="5"/>
      <c r="C2" s="5"/>
      <c r="D2" s="6"/>
      <c r="E2" s="5"/>
      <c r="F2" s="5"/>
      <c r="G2" s="5"/>
      <c r="H2" s="7"/>
      <c r="I2" s="8"/>
      <c r="J2" s="8"/>
    </row>
    <row r="3" spans="1:134" s="10" customFormat="1" ht="12.75" customHeight="1">
      <c r="A3" s="118" t="s">
        <v>77</v>
      </c>
      <c r="B3" s="118"/>
      <c r="C3" s="118"/>
      <c r="D3" s="118"/>
      <c r="E3" s="118"/>
      <c r="F3" s="118"/>
      <c r="G3" s="118"/>
      <c r="H3" s="118"/>
      <c r="I3" s="118"/>
      <c r="J3" s="118"/>
    </row>
    <row r="4" spans="1:134">
      <c r="A4" s="11"/>
      <c r="B4" s="12"/>
      <c r="C4" s="12"/>
      <c r="D4" s="12"/>
      <c r="E4" s="16"/>
      <c r="F4" s="17" t="s">
        <v>9</v>
      </c>
      <c r="G4" s="17"/>
      <c r="H4" s="18"/>
      <c r="I4" s="14"/>
      <c r="J4" s="19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</row>
    <row r="5" spans="1:134" s="9" customFormat="1" ht="51" customHeight="1">
      <c r="A5" s="20"/>
      <c r="B5" s="21" t="s">
        <v>10</v>
      </c>
      <c r="C5" s="21" t="s">
        <v>11</v>
      </c>
      <c r="D5" s="21" t="s">
        <v>12</v>
      </c>
      <c r="E5" s="21" t="s">
        <v>13</v>
      </c>
      <c r="F5" s="21" t="s">
        <v>14</v>
      </c>
      <c r="G5" s="21" t="s">
        <v>15</v>
      </c>
      <c r="H5" s="22" t="s">
        <v>46</v>
      </c>
      <c r="I5" s="23"/>
      <c r="J5" s="22" t="s">
        <v>16</v>
      </c>
    </row>
    <row r="6" spans="1:134" ht="6.75" customHeight="1">
      <c r="A6" s="24"/>
      <c r="B6" s="25"/>
      <c r="C6" s="25"/>
      <c r="D6" s="25"/>
      <c r="E6" s="25"/>
      <c r="F6" s="25"/>
      <c r="G6" s="25"/>
      <c r="H6" s="26"/>
      <c r="I6" s="14"/>
      <c r="J6" s="27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3"/>
      <c r="EA6" s="13"/>
      <c r="EB6" s="13"/>
      <c r="EC6" s="14"/>
      <c r="ED6" s="14"/>
    </row>
    <row r="7" spans="1:134">
      <c r="A7" s="28" t="s">
        <v>29</v>
      </c>
      <c r="B7" s="45">
        <v>43638929.749999993</v>
      </c>
      <c r="C7" s="45">
        <v>3865060.19</v>
      </c>
      <c r="D7" s="45">
        <v>-54147493.57</v>
      </c>
      <c r="E7" s="45">
        <v>-428385</v>
      </c>
      <c r="F7" s="42">
        <v>-8770676.345999999</v>
      </c>
      <c r="G7" s="42">
        <v>-4905616.1559999995</v>
      </c>
      <c r="H7" s="30"/>
      <c r="I7" s="14"/>
      <c r="J7" s="51"/>
    </row>
    <row r="8" spans="1:134" ht="7.5" customHeight="1">
      <c r="A8" s="28"/>
      <c r="B8" s="43"/>
      <c r="C8" s="43"/>
      <c r="D8" s="43"/>
      <c r="E8" s="43"/>
      <c r="F8" s="44"/>
      <c r="G8" s="44"/>
      <c r="H8" s="30"/>
      <c r="I8" s="14"/>
      <c r="J8" s="51"/>
    </row>
    <row r="9" spans="1:134">
      <c r="A9" s="28" t="s">
        <v>30</v>
      </c>
      <c r="B9" s="45">
        <v>44887095</v>
      </c>
      <c r="C9" s="45">
        <v>781573.44000000018</v>
      </c>
      <c r="D9" s="45">
        <v>-47901079.229999989</v>
      </c>
      <c r="E9" s="45">
        <v>-1154860</v>
      </c>
      <c r="F9" s="44">
        <v>-12939520.576000005</v>
      </c>
      <c r="G9" s="44">
        <v>-8292886.9460000051</v>
      </c>
      <c r="H9" s="62">
        <v>7.8299999999999995E-2</v>
      </c>
      <c r="I9" s="14"/>
      <c r="J9" s="51">
        <v>3416696</v>
      </c>
    </row>
    <row r="10" spans="1:134" ht="6" customHeight="1">
      <c r="A10" s="28"/>
      <c r="B10" s="43"/>
      <c r="C10" s="43"/>
      <c r="D10" s="43"/>
      <c r="E10" s="43"/>
      <c r="F10" s="44"/>
      <c r="G10" s="44"/>
      <c r="H10" s="30"/>
      <c r="I10" s="14"/>
      <c r="J10" s="51"/>
    </row>
    <row r="11" spans="1:134">
      <c r="A11" s="28" t="s">
        <v>31</v>
      </c>
      <c r="B11" s="52">
        <v>51076863.060000002</v>
      </c>
      <c r="C11" s="52">
        <f>-1985771.98-1</f>
        <v>-1985772.98</v>
      </c>
      <c r="D11" s="52">
        <v>-45941420.799999997</v>
      </c>
      <c r="E11" s="52">
        <v>-1128853</v>
      </c>
      <c r="F11" s="53">
        <v>-8932931.3160000034</v>
      </c>
      <c r="G11" s="53">
        <v>-6272069.6660000021</v>
      </c>
      <c r="H11" s="62">
        <v>7.7700000000000005E-2</v>
      </c>
      <c r="I11" s="35"/>
      <c r="J11" s="51">
        <v>2287843</v>
      </c>
    </row>
    <row r="12" spans="1:134" ht="6.75" customHeight="1">
      <c r="A12" s="28"/>
      <c r="B12" s="55"/>
      <c r="C12" s="55"/>
      <c r="D12" s="55"/>
      <c r="E12" s="55"/>
      <c r="F12" s="53"/>
      <c r="G12" s="53"/>
      <c r="H12" s="54"/>
      <c r="I12" s="35"/>
      <c r="J12" s="51"/>
    </row>
    <row r="13" spans="1:134" hidden="1">
      <c r="A13" s="31" t="s">
        <v>17</v>
      </c>
      <c r="B13" s="41">
        <v>4196557.4000000004</v>
      </c>
      <c r="C13" s="41">
        <v>1838939.81</v>
      </c>
      <c r="D13" s="41">
        <v>-4530672.1500000004</v>
      </c>
      <c r="E13" s="41">
        <f>ROUND((((B13+D13)/2)+F11)*(7.77%/12),0)</f>
        <v>-58922</v>
      </c>
      <c r="F13" s="41">
        <f>+F11+B13+D13+E13</f>
        <v>-9325968.0660000034</v>
      </c>
      <c r="G13" s="41">
        <f>SUM(C13)+$C$7+$C$9+$C$11+F13</f>
        <v>-4826167.6060000025</v>
      </c>
      <c r="H13" s="29">
        <v>7.7600000000000002E-2</v>
      </c>
      <c r="I13" s="35"/>
      <c r="J13" s="41">
        <f>+J11+E13</f>
        <v>2228921</v>
      </c>
    </row>
    <row r="14" spans="1:134" hidden="1">
      <c r="A14" s="32" t="s">
        <v>18</v>
      </c>
      <c r="B14" s="41">
        <v>7301899.2400000002</v>
      </c>
      <c r="C14" s="41">
        <v>-719294.72</v>
      </c>
      <c r="D14" s="41">
        <v>-3936377.67</v>
      </c>
      <c r="E14" s="41">
        <f t="shared" ref="E14:E23" si="0">ROUND((((B14+D14)/2)+F13)*(7.77%/12),0)</f>
        <v>-49490</v>
      </c>
      <c r="F14" s="41">
        <f t="shared" ref="F14:F24" si="1">+F13+B14+D14+E14</f>
        <v>-6009936.4960000031</v>
      </c>
      <c r="G14" s="41">
        <f>SUM(C13:C14)+$C$7+$C$9+$C$11+F14</f>
        <v>-2229430.7560000024</v>
      </c>
      <c r="H14" s="29">
        <v>7.7600000000000002E-2</v>
      </c>
      <c r="I14" s="35"/>
      <c r="J14" s="41">
        <f t="shared" ref="J14:J19" si="2">+J13+E14</f>
        <v>2179431</v>
      </c>
    </row>
    <row r="15" spans="1:134" hidden="1">
      <c r="A15" s="33" t="s">
        <v>19</v>
      </c>
      <c r="B15" s="41">
        <v>9513000.9499999993</v>
      </c>
      <c r="C15" s="41">
        <v>107508.32</v>
      </c>
      <c r="D15" s="41">
        <v>-4826683.72</v>
      </c>
      <c r="E15" s="41">
        <f t="shared" si="0"/>
        <v>-23742</v>
      </c>
      <c r="F15" s="41">
        <f t="shared" si="1"/>
        <v>-1347361.2660000036</v>
      </c>
      <c r="G15" s="41">
        <f>SUM(C13:C15)+$C$7+$C$9+$C$11+F15</f>
        <v>2540652.7939999965</v>
      </c>
      <c r="H15" s="29">
        <v>7.7600000000000002E-2</v>
      </c>
      <c r="I15" s="34"/>
      <c r="J15" s="41">
        <f t="shared" si="2"/>
        <v>2155689</v>
      </c>
    </row>
    <row r="16" spans="1:134" hidden="1">
      <c r="A16" s="31" t="s">
        <v>20</v>
      </c>
      <c r="B16" s="41">
        <v>8332524.4299999997</v>
      </c>
      <c r="C16" s="41">
        <v>-364021.59</v>
      </c>
      <c r="D16" s="41">
        <v>-4024107.75</v>
      </c>
      <c r="E16" s="41">
        <f t="shared" si="0"/>
        <v>5224</v>
      </c>
      <c r="F16" s="41">
        <f t="shared" si="1"/>
        <v>2966279.4139999961</v>
      </c>
      <c r="G16" s="41">
        <f>SUM(C13:C16)+$C$7+$C$9+$C$11+F16</f>
        <v>6490271.8839999959</v>
      </c>
      <c r="H16" s="29">
        <v>7.7600000000000002E-2</v>
      </c>
      <c r="I16" s="35"/>
      <c r="J16" s="41">
        <f t="shared" si="2"/>
        <v>2160913</v>
      </c>
    </row>
    <row r="17" spans="1:10" hidden="1">
      <c r="A17" s="32" t="s">
        <v>21</v>
      </c>
      <c r="B17" s="41">
        <v>5867664.04</v>
      </c>
      <c r="C17" s="41">
        <v>86444.05</v>
      </c>
      <c r="D17" s="41">
        <v>-4206797.6900000004</v>
      </c>
      <c r="E17" s="41">
        <f t="shared" si="0"/>
        <v>24584</v>
      </c>
      <c r="F17" s="41">
        <f t="shared" si="1"/>
        <v>4651729.7639999958</v>
      </c>
      <c r="G17" s="41">
        <f>SUM(C13:C17)+$C$7+$C$9+$C$11+F17</f>
        <v>8262166.2839999963</v>
      </c>
      <c r="H17" s="29">
        <v>7.7600000000000002E-2</v>
      </c>
      <c r="I17" s="35"/>
      <c r="J17" s="41">
        <f t="shared" si="2"/>
        <v>2185497</v>
      </c>
    </row>
    <row r="18" spans="1:10" hidden="1">
      <c r="A18" s="32" t="s">
        <v>22</v>
      </c>
      <c r="B18" s="41">
        <v>9395350.6799999997</v>
      </c>
      <c r="C18" s="41">
        <v>-224949.94</v>
      </c>
      <c r="D18" s="41">
        <v>-5230146.9000000004</v>
      </c>
      <c r="E18" s="41">
        <f t="shared" si="0"/>
        <v>43605</v>
      </c>
      <c r="F18" s="41">
        <f t="shared" si="1"/>
        <v>8860538.5439999942</v>
      </c>
      <c r="G18" s="41">
        <f>SUM(C13:C18)+$C$7+$C$9+$C$11+F18</f>
        <v>12246025.123999994</v>
      </c>
      <c r="H18" s="29">
        <v>7.7600000000000002E-2</v>
      </c>
      <c r="I18" s="35"/>
      <c r="J18" s="41">
        <f t="shared" si="2"/>
        <v>2229102</v>
      </c>
    </row>
    <row r="19" spans="1:10" hidden="1">
      <c r="A19" s="31" t="s">
        <v>23</v>
      </c>
      <c r="B19" s="41">
        <v>6005272.6799999997</v>
      </c>
      <c r="C19" s="41">
        <v>707312.72</v>
      </c>
      <c r="D19" s="41">
        <v>-6293445.3200000003</v>
      </c>
      <c r="E19" s="41">
        <f t="shared" si="0"/>
        <v>56439</v>
      </c>
      <c r="F19" s="41">
        <f t="shared" si="1"/>
        <v>8628804.9039999936</v>
      </c>
      <c r="G19" s="41">
        <f>SUM(C13:C19)+$C$7+$C$9+$C$11+F19</f>
        <v>12721604.203999994</v>
      </c>
      <c r="H19" s="29">
        <v>7.7600000000000002E-2</v>
      </c>
      <c r="I19" s="35"/>
      <c r="J19" s="41">
        <f t="shared" si="2"/>
        <v>2285541</v>
      </c>
    </row>
    <row r="20" spans="1:10" hidden="1">
      <c r="A20" s="31" t="s">
        <v>24</v>
      </c>
      <c r="B20" s="41">
        <v>5839647.3200000003</v>
      </c>
      <c r="C20" s="41">
        <v>1966034.46</v>
      </c>
      <c r="D20" s="41">
        <v>-6733047.1699999999</v>
      </c>
      <c r="E20" s="41">
        <f t="shared" si="0"/>
        <v>52979</v>
      </c>
      <c r="F20" s="41">
        <f t="shared" si="1"/>
        <v>7788384.053999994</v>
      </c>
      <c r="G20" s="41">
        <f>SUM(C13:C20)+$C$7+$C$9+$C$11+F20</f>
        <v>13847217.813999996</v>
      </c>
      <c r="H20" s="29">
        <v>7.7600000000000002E-2</v>
      </c>
      <c r="I20" s="35"/>
      <c r="J20" s="41">
        <f>+J19+E20</f>
        <v>2338520</v>
      </c>
    </row>
    <row r="21" spans="1:10" hidden="1">
      <c r="A21" s="31" t="s">
        <v>25</v>
      </c>
      <c r="B21" s="41">
        <v>4767034.04</v>
      </c>
      <c r="C21" s="41">
        <v>334494.95</v>
      </c>
      <c r="D21" s="41">
        <v>-5742216.3899999997</v>
      </c>
      <c r="E21" s="41">
        <f t="shared" si="0"/>
        <v>47273</v>
      </c>
      <c r="F21" s="41">
        <f t="shared" si="1"/>
        <v>6860474.7039999934</v>
      </c>
      <c r="G21" s="41">
        <f>SUM(C13:C21)+$C$7+$C$9+$C$11+F21</f>
        <v>13253803.413999993</v>
      </c>
      <c r="H21" s="29">
        <v>7.7600000000000002E-2</v>
      </c>
      <c r="I21" s="35"/>
      <c r="J21" s="41">
        <f>+J20+E21</f>
        <v>2385793</v>
      </c>
    </row>
    <row r="22" spans="1:10" hidden="1">
      <c r="A22" s="31" t="s">
        <v>26</v>
      </c>
      <c r="B22" s="41">
        <v>5954205.6799999997</v>
      </c>
      <c r="C22" s="41">
        <v>-1449084.99</v>
      </c>
      <c r="D22" s="41">
        <v>-4844019.55</v>
      </c>
      <c r="E22" s="41">
        <f t="shared" si="0"/>
        <v>48016</v>
      </c>
      <c r="F22" s="41">
        <f t="shared" si="1"/>
        <v>8018676.8339999923</v>
      </c>
      <c r="G22" s="41">
        <f>SUM(C13:C22)+$C$7+$C$9+$C$11+F22</f>
        <v>12962920.553999994</v>
      </c>
      <c r="H22" s="29">
        <v>7.7600000000000002E-2</v>
      </c>
      <c r="I22" s="35"/>
      <c r="J22" s="41">
        <f>+J21+E22</f>
        <v>2433809</v>
      </c>
    </row>
    <row r="23" spans="1:10" hidden="1">
      <c r="A23" s="31" t="s">
        <v>27</v>
      </c>
      <c r="B23" s="41">
        <v>8026170.0499999998</v>
      </c>
      <c r="C23" s="41">
        <v>-832510.46</v>
      </c>
      <c r="D23" s="41">
        <v>-4253145.43</v>
      </c>
      <c r="E23" s="41">
        <f t="shared" si="0"/>
        <v>64136</v>
      </c>
      <c r="F23" s="41">
        <f t="shared" si="1"/>
        <v>11855837.453999992</v>
      </c>
      <c r="G23" s="41">
        <f>SUM(C13:C23)+$C$7+$C$9+$C$11+F23</f>
        <v>15967570.713999994</v>
      </c>
      <c r="H23" s="29">
        <v>7.7600000000000002E-2</v>
      </c>
      <c r="I23" s="35"/>
      <c r="J23" s="41">
        <f>+J22+E23</f>
        <v>2497945</v>
      </c>
    </row>
    <row r="24" spans="1:10" hidden="1">
      <c r="A24" s="31" t="s">
        <v>28</v>
      </c>
      <c r="B24" s="41">
        <v>6528307.1600000001</v>
      </c>
      <c r="C24" s="41">
        <v>572303.66</v>
      </c>
      <c r="D24" s="41">
        <v>-4736239.2699999996</v>
      </c>
      <c r="E24" s="41">
        <v>82192</v>
      </c>
      <c r="F24" s="41">
        <f t="shared" si="1"/>
        <v>13730097.343999993</v>
      </c>
      <c r="G24" s="41">
        <f>SUM(C13:C24)+$C$7+$C$9+$C$11+F24</f>
        <v>18414134.263999995</v>
      </c>
      <c r="H24" s="29">
        <v>7.7600000000000002E-2</v>
      </c>
      <c r="I24" s="35"/>
      <c r="J24" s="41">
        <f>+J23+E24</f>
        <v>2580137</v>
      </c>
    </row>
    <row r="25" spans="1:10">
      <c r="A25" s="28" t="s">
        <v>32</v>
      </c>
      <c r="B25" s="45">
        <f>SUM(B13:B24)</f>
        <v>81727633.670000002</v>
      </c>
      <c r="C25" s="45">
        <f>SUM(C13:C24)</f>
        <v>2023176.2700000005</v>
      </c>
      <c r="D25" s="45">
        <f>SUM(D13:D24)</f>
        <v>-59356899.010000005</v>
      </c>
      <c r="E25" s="52">
        <f>SUM(E13:E24)</f>
        <v>292294</v>
      </c>
      <c r="F25" s="53">
        <v>13730097.343999993</v>
      </c>
      <c r="G25" s="53">
        <v>18414135.263999995</v>
      </c>
      <c r="H25" s="62">
        <v>7.7600000000000002E-2</v>
      </c>
      <c r="I25" s="35"/>
      <c r="J25" s="51">
        <v>2580137</v>
      </c>
    </row>
    <row r="26" spans="1:10" ht="5.25" customHeight="1">
      <c r="B26" s="48"/>
      <c r="C26" s="48"/>
      <c r="D26" s="48"/>
      <c r="E26" s="56"/>
      <c r="F26" s="56"/>
      <c r="G26" s="56"/>
      <c r="H26" s="57"/>
      <c r="I26" s="57"/>
      <c r="J26" s="56"/>
    </row>
    <row r="27" spans="1:10">
      <c r="A27" s="28" t="s">
        <v>36</v>
      </c>
      <c r="B27" s="45">
        <v>62241103.639999993</v>
      </c>
      <c r="C27" s="45">
        <v>822220.69999999984</v>
      </c>
      <c r="D27" s="45">
        <v>-68050713.420000002</v>
      </c>
      <c r="E27" s="52">
        <v>843168</v>
      </c>
      <c r="F27" s="53">
        <v>8763655.5639999919</v>
      </c>
      <c r="G27" s="53">
        <v>14269914.183999993</v>
      </c>
      <c r="H27" s="29">
        <v>7.3200000000000001E-2</v>
      </c>
      <c r="I27" s="35"/>
      <c r="J27" s="51">
        <v>3423305</v>
      </c>
    </row>
    <row r="28" spans="1:10" ht="7.5" customHeight="1">
      <c r="B28" s="48"/>
      <c r="C28" s="48"/>
      <c r="D28" s="48"/>
      <c r="E28" s="56"/>
      <c r="F28" s="56"/>
      <c r="G28" s="56"/>
      <c r="H28" s="57"/>
      <c r="I28" s="57"/>
      <c r="J28" s="56"/>
    </row>
    <row r="29" spans="1:10" hidden="1">
      <c r="A29" s="31" t="s">
        <v>17</v>
      </c>
      <c r="B29" s="41">
        <v>3957447.2</v>
      </c>
      <c r="C29" s="41">
        <v>-640324.02</v>
      </c>
      <c r="D29" s="41">
        <v>-6219136.7800000003</v>
      </c>
      <c r="E29" s="41">
        <f>ROUND((((B29+D29)/2)+F27)*(7.74%/12),0)</f>
        <v>49232</v>
      </c>
      <c r="F29" s="41">
        <f>+F27+B29+D29+E29</f>
        <v>6551197.9839999909</v>
      </c>
      <c r="G29" s="41">
        <f>SUM(C29)+$C$7+$C$9+$C$11+F29+C27+C25</f>
        <v>11417131.583999991</v>
      </c>
      <c r="H29" s="29">
        <v>7.7399999999999997E-2</v>
      </c>
      <c r="I29" s="29">
        <v>7.7600000000000002E-2</v>
      </c>
      <c r="J29" s="41">
        <f>+J27+E29</f>
        <v>3472537</v>
      </c>
    </row>
    <row r="30" spans="1:10" hidden="1">
      <c r="A30" s="32" t="s">
        <v>18</v>
      </c>
      <c r="B30" s="41">
        <v>5502164.0700000003</v>
      </c>
      <c r="C30" s="41">
        <v>-97140.5</v>
      </c>
      <c r="D30" s="41">
        <v>-5812722.0199999996</v>
      </c>
      <c r="E30" s="41">
        <f>ROUND((((B30+D30)/2)+F29)*(7.74%/12),0)</f>
        <v>41254</v>
      </c>
      <c r="F30" s="41">
        <f t="shared" ref="F30:F40" si="3">+F29+B30+D30+E30</f>
        <v>6281894.0339999907</v>
      </c>
      <c r="G30" s="41">
        <f>SUM(C29:C30)+$C$7+$C$9+$C$11+F30+C27+C25</f>
        <v>11050687.133999992</v>
      </c>
      <c r="H30" s="29">
        <v>7.7399999999999997E-2</v>
      </c>
      <c r="I30" s="29">
        <v>7.7600000000000002E-2</v>
      </c>
      <c r="J30" s="41">
        <f t="shared" ref="J30:J35" si="4">+J29+E30</f>
        <v>3513791</v>
      </c>
    </row>
    <row r="31" spans="1:10" hidden="1">
      <c r="A31" s="33" t="s">
        <v>19</v>
      </c>
      <c r="B31" s="41">
        <v>4010642.76</v>
      </c>
      <c r="C31" s="41">
        <v>-101375.81</v>
      </c>
      <c r="D31" s="41">
        <v>-5114181.01</v>
      </c>
      <c r="E31" s="41">
        <f>ROUND((((B31+D31)/2)+F30)*(4.45%/12),0)+25</f>
        <v>21274</v>
      </c>
      <c r="F31" s="41">
        <f t="shared" si="3"/>
        <v>5199629.7839999907</v>
      </c>
      <c r="G31" s="41">
        <f>SUM(C29:C31)+$C$7+$C$9+$C$11+F31+C27+C25</f>
        <v>9867047.0739999916</v>
      </c>
      <c r="H31" s="29">
        <v>4.4499999999999998E-2</v>
      </c>
      <c r="I31" s="29">
        <v>7.7600000000000002E-2</v>
      </c>
      <c r="J31" s="41">
        <f t="shared" si="4"/>
        <v>3535065</v>
      </c>
    </row>
    <row r="32" spans="1:10" hidden="1">
      <c r="A32" s="31" t="s">
        <v>20</v>
      </c>
      <c r="B32" s="41">
        <v>3649184.13</v>
      </c>
      <c r="C32" s="41">
        <v>1887278.57</v>
      </c>
      <c r="D32" s="41">
        <v>-5036556.5999999996</v>
      </c>
      <c r="E32" s="41">
        <f t="shared" ref="E32:E40" si="5">ROUND((((B32+D32)/2)+F31)*(4.45%/12),0)</f>
        <v>16710</v>
      </c>
      <c r="F32" s="41">
        <f t="shared" si="3"/>
        <v>3828967.31399999</v>
      </c>
      <c r="G32" s="41">
        <f>SUM(C29:C32)+$C$7+$C$9+$C$11+F32+C27+C25</f>
        <v>10383663.173999991</v>
      </c>
      <c r="H32" s="29">
        <v>4.4499999999999998E-2</v>
      </c>
      <c r="I32" s="29">
        <v>7.7600000000000002E-2</v>
      </c>
      <c r="J32" s="41">
        <f t="shared" si="4"/>
        <v>3551775</v>
      </c>
    </row>
    <row r="33" spans="1:10" hidden="1">
      <c r="A33" s="32" t="s">
        <v>21</v>
      </c>
      <c r="B33" s="41">
        <v>4189551.42</v>
      </c>
      <c r="C33" s="41">
        <v>-1727121.6</v>
      </c>
      <c r="D33" s="41">
        <v>-5313045.41</v>
      </c>
      <c r="E33" s="41">
        <f t="shared" si="5"/>
        <v>12116</v>
      </c>
      <c r="F33" s="41">
        <f t="shared" si="3"/>
        <v>2717589.3239999898</v>
      </c>
      <c r="G33" s="41">
        <f>SUM(C29:C33)+$C$7+$C$9+$C$11+F33+C27+C25</f>
        <v>7545163.5839999914</v>
      </c>
      <c r="H33" s="29">
        <v>4.4499999999999998E-2</v>
      </c>
      <c r="I33" s="29">
        <v>7.7600000000000002E-2</v>
      </c>
      <c r="J33" s="41">
        <f t="shared" si="4"/>
        <v>3563891</v>
      </c>
    </row>
    <row r="34" spans="1:10" hidden="1">
      <c r="A34" s="32" t="s">
        <v>22</v>
      </c>
      <c r="B34" s="41">
        <v>7211523.1900000004</v>
      </c>
      <c r="C34" s="41">
        <v>-962707.25</v>
      </c>
      <c r="D34" s="41">
        <v>-6686874.79</v>
      </c>
      <c r="E34" s="41">
        <f t="shared" si="5"/>
        <v>11051</v>
      </c>
      <c r="F34" s="41">
        <f t="shared" si="3"/>
        <v>3253288.7239999911</v>
      </c>
      <c r="G34" s="41">
        <f>SUM(C29:C34)+$C$7+$C$9+$C$11+F34+C27+C25</f>
        <v>7118155.7339999918</v>
      </c>
      <c r="H34" s="29">
        <v>4.4499999999999998E-2</v>
      </c>
      <c r="I34" s="29">
        <v>7.7600000000000002E-2</v>
      </c>
      <c r="J34" s="41">
        <f t="shared" si="4"/>
        <v>3574942</v>
      </c>
    </row>
    <row r="35" spans="1:10" hidden="1">
      <c r="A35" s="31" t="s">
        <v>23</v>
      </c>
      <c r="B35" s="41">
        <v>3541877.75</v>
      </c>
      <c r="C35" s="41">
        <v>1301932.5900000001</v>
      </c>
      <c r="D35" s="41">
        <v>-8541981.0299999993</v>
      </c>
      <c r="E35" s="41">
        <f t="shared" si="5"/>
        <v>2793</v>
      </c>
      <c r="F35" s="41">
        <f t="shared" si="3"/>
        <v>-1744021.5560000082</v>
      </c>
      <c r="G35" s="41">
        <f>SUM(C29:C35)+$C$7+$C$9+$C$11+F35+C27+C25</f>
        <v>3422778.0439999923</v>
      </c>
      <c r="H35" s="29">
        <v>4.4499999999999998E-2</v>
      </c>
      <c r="I35" s="29">
        <v>7.7600000000000002E-2</v>
      </c>
      <c r="J35" s="41">
        <f t="shared" si="4"/>
        <v>3577735</v>
      </c>
    </row>
    <row r="36" spans="1:10" hidden="1">
      <c r="A36" s="31" t="s">
        <v>24</v>
      </c>
      <c r="B36" s="41">
        <v>5719255.9699999997</v>
      </c>
      <c r="C36" s="41">
        <v>-1630704.05</v>
      </c>
      <c r="D36" s="41">
        <v>-8970590.6500000004</v>
      </c>
      <c r="E36" s="41">
        <f t="shared" si="5"/>
        <v>-12496</v>
      </c>
      <c r="F36" s="41">
        <f t="shared" si="3"/>
        <v>-5007852.2360000089</v>
      </c>
      <c r="G36" s="41">
        <f>SUM(C29:C36)+$C$7+$C$9+$C$11+F36+C27+C25</f>
        <v>-1471756.6860000086</v>
      </c>
      <c r="H36" s="29">
        <v>4.4499999999999998E-2</v>
      </c>
      <c r="I36" s="29">
        <v>7.7600000000000002E-2</v>
      </c>
      <c r="J36" s="41">
        <f>+J35+E36</f>
        <v>3565239</v>
      </c>
    </row>
    <row r="37" spans="1:10" hidden="1">
      <c r="A37" s="31" t="s">
        <v>25</v>
      </c>
      <c r="B37" s="41">
        <v>4877905.8099999996</v>
      </c>
      <c r="C37" s="41">
        <v>1748387.19</v>
      </c>
      <c r="D37" s="41">
        <v>-7603915.2000000002</v>
      </c>
      <c r="E37" s="41">
        <f t="shared" si="5"/>
        <v>-23625</v>
      </c>
      <c r="F37" s="41">
        <f t="shared" si="3"/>
        <v>-7757486.6260000095</v>
      </c>
      <c r="G37" s="41">
        <f>SUM(C29:C37)+$C$7+$C$9+$C$11+F37+C27+C25</f>
        <v>-2473003.8860000093</v>
      </c>
      <c r="H37" s="29">
        <v>4.4499999999999998E-2</v>
      </c>
      <c r="I37" s="29">
        <v>7.7600000000000002E-2</v>
      </c>
      <c r="J37" s="41">
        <f>+J36+E37</f>
        <v>3541614</v>
      </c>
    </row>
    <row r="38" spans="1:10" hidden="1">
      <c r="A38" s="31" t="s">
        <v>26</v>
      </c>
      <c r="B38" s="41">
        <v>5085219.01</v>
      </c>
      <c r="C38" s="41">
        <v>-1078842.01</v>
      </c>
      <c r="D38" s="41">
        <v>-5966674.4800000004</v>
      </c>
      <c r="E38" s="41">
        <f t="shared" si="5"/>
        <v>-30402</v>
      </c>
      <c r="F38" s="41">
        <f t="shared" si="3"/>
        <v>-8669344.0960000101</v>
      </c>
      <c r="G38" s="41">
        <f>SUM(C29:C38)+$C$7+$C$9+$C$11+F38+C27+C25</f>
        <v>-4463703.3660000097</v>
      </c>
      <c r="H38" s="29">
        <v>4.4499999999999998E-2</v>
      </c>
      <c r="I38" s="29">
        <v>7.7600000000000002E-2</v>
      </c>
      <c r="J38" s="41">
        <f>+J37+E38</f>
        <v>3511212</v>
      </c>
    </row>
    <row r="39" spans="1:10" hidden="1">
      <c r="A39" s="31" t="s">
        <v>27</v>
      </c>
      <c r="B39" s="41">
        <v>7231444.2699999996</v>
      </c>
      <c r="C39" s="41">
        <v>-769695.04</v>
      </c>
      <c r="D39" s="41">
        <v>-5240777.22</v>
      </c>
      <c r="E39" s="41">
        <f t="shared" si="5"/>
        <v>-28458</v>
      </c>
      <c r="F39" s="41">
        <f t="shared" si="3"/>
        <v>-6707135.0460000103</v>
      </c>
      <c r="G39" s="41">
        <f>SUM(C29:C39)+$C$7+$C$9+$C$11+F39+C27+C25</f>
        <v>-3271189.3560000099</v>
      </c>
      <c r="H39" s="29">
        <v>4.4499999999999998E-2</v>
      </c>
      <c r="I39" s="29">
        <v>7.7600000000000002E-2</v>
      </c>
      <c r="J39" s="41">
        <f>+J38+E39</f>
        <v>3482754</v>
      </c>
    </row>
    <row r="40" spans="1:10" hidden="1">
      <c r="A40" s="31" t="s">
        <v>28</v>
      </c>
      <c r="B40" s="41">
        <v>5685830.6699999999</v>
      </c>
      <c r="C40" s="41">
        <v>-742557.7</v>
      </c>
      <c r="D40" s="41">
        <v>-6051035.9400000004</v>
      </c>
      <c r="E40" s="41">
        <f t="shared" si="5"/>
        <v>-25549</v>
      </c>
      <c r="F40" s="95">
        <f t="shared" si="3"/>
        <v>-7097889.3160000108</v>
      </c>
      <c r="G40" s="41">
        <f>SUM(C29:C40)+$C$7+$C$9+$C$11+F40+C27+C25</f>
        <v>-4404501.3260000097</v>
      </c>
      <c r="H40" s="29">
        <v>4.4499999999999998E-2</v>
      </c>
      <c r="I40" s="29">
        <v>7.7600000000000002E-2</v>
      </c>
      <c r="J40" s="41">
        <f>+J39+E40</f>
        <v>3457205</v>
      </c>
    </row>
    <row r="41" spans="1:10">
      <c r="A41" s="28" t="s">
        <v>39</v>
      </c>
      <c r="B41" s="45">
        <f>SUM(B29:B40)</f>
        <v>60662046.25</v>
      </c>
      <c r="C41" s="45">
        <f>SUM(C29:C40)</f>
        <v>-2812869.63</v>
      </c>
      <c r="D41" s="45">
        <f>SUM(D29:D40)</f>
        <v>-76557491.13000001</v>
      </c>
      <c r="E41" s="52">
        <f>SUM(E29:E40)</f>
        <v>33900</v>
      </c>
      <c r="F41" s="96">
        <v>-7097889.3160000108</v>
      </c>
      <c r="G41" s="96">
        <v>-4404501.3260000097</v>
      </c>
      <c r="H41" s="29">
        <v>4.4499999999999998E-2</v>
      </c>
      <c r="I41" s="35">
        <v>7.7600000000000002E-2</v>
      </c>
      <c r="J41" s="51">
        <v>3457205</v>
      </c>
    </row>
    <row r="42" spans="1:10" ht="6.75" customHeight="1">
      <c r="A42" s="28"/>
      <c r="B42" s="43"/>
      <c r="C42" s="43"/>
      <c r="D42" s="43"/>
      <c r="E42" s="55"/>
      <c r="F42" s="53"/>
      <c r="G42" s="53"/>
      <c r="H42" s="54"/>
      <c r="I42" s="35"/>
      <c r="J42" s="51"/>
    </row>
    <row r="43" spans="1:10">
      <c r="A43" s="31" t="s">
        <v>17</v>
      </c>
      <c r="B43" s="41">
        <v>2648142.14</v>
      </c>
      <c r="C43" s="41">
        <v>262689.32</v>
      </c>
      <c r="D43" s="41">
        <v>-6073074.8499999996</v>
      </c>
      <c r="E43" s="41">
        <f>ROUND((((B43+D43)/2)+F40)*(10.65%/12),0)</f>
        <v>-78192</v>
      </c>
      <c r="F43" s="41">
        <f>+F40+B43+D43+E43</f>
        <v>-10601014.02600001</v>
      </c>
      <c r="G43" s="41">
        <f>SUM(C43)+$C$7+$C$9+$C$11+F43+$C$41+$C$27+$C$25</f>
        <v>-7644936.7160000084</v>
      </c>
      <c r="H43" s="97">
        <v>0.1065</v>
      </c>
      <c r="I43" s="29">
        <v>7.7600000000000002E-2</v>
      </c>
      <c r="J43" s="41">
        <f>+J40+E43</f>
        <v>3379013</v>
      </c>
    </row>
    <row r="44" spans="1:10">
      <c r="A44" s="32" t="s">
        <v>18</v>
      </c>
      <c r="B44" s="41">
        <v>3754612.25</v>
      </c>
      <c r="C44" s="41">
        <v>348092.95</v>
      </c>
      <c r="D44" s="41">
        <v>-5423643.7199999997</v>
      </c>
      <c r="E44" s="41">
        <f t="shared" ref="E44:E54" si="6">ROUND((((B44+D44)/2)+F43)*(10.65%/12),0)</f>
        <v>-101490</v>
      </c>
      <c r="F44" s="41">
        <f t="shared" ref="F44:F54" si="7">+F43+B44+D44+E44</f>
        <v>-12371535.496000011</v>
      </c>
      <c r="G44" s="41">
        <f>SUM(C43:C44)+$C$7+$C$9+$C$11+F44+$C$41+$C$27+$C$25</f>
        <v>-9067365.2360000126</v>
      </c>
      <c r="H44" s="97">
        <v>0.1065</v>
      </c>
      <c r="I44" s="29">
        <v>7.7600000000000002E-2</v>
      </c>
      <c r="J44" s="41">
        <f t="shared" ref="J44:J49" si="8">+J43+E44</f>
        <v>3277523</v>
      </c>
    </row>
    <row r="45" spans="1:10">
      <c r="A45" s="33" t="s">
        <v>19</v>
      </c>
      <c r="B45" s="41">
        <v>3478015.21</v>
      </c>
      <c r="C45" s="41">
        <v>-117206.13</v>
      </c>
      <c r="D45" s="41">
        <v>-4738882.53</v>
      </c>
      <c r="E45" s="41">
        <f>ROUND((((B45+D45)/2)+F44)*(10.65%/12),0)-66</f>
        <v>-115458</v>
      </c>
      <c r="F45" s="41">
        <f t="shared" si="7"/>
        <v>-13747860.816000011</v>
      </c>
      <c r="G45" s="41">
        <f>SUM(C43:C45)+$C$7+$C$9+$C$11+F45+$C$41+$C$27+$C$25</f>
        <v>-10560896.686000012</v>
      </c>
      <c r="H45" s="97">
        <v>0.1065</v>
      </c>
      <c r="I45" s="29">
        <v>7.7600000000000002E-2</v>
      </c>
      <c r="J45" s="41">
        <f t="shared" si="8"/>
        <v>3162065</v>
      </c>
    </row>
    <row r="46" spans="1:10">
      <c r="A46" s="31" t="s">
        <v>20</v>
      </c>
      <c r="B46" s="41">
        <v>4355254.13</v>
      </c>
      <c r="C46" s="41">
        <v>586847.75</v>
      </c>
      <c r="D46" s="41">
        <v>-4768815.47</v>
      </c>
      <c r="E46" s="41">
        <f t="shared" si="6"/>
        <v>-123847</v>
      </c>
      <c r="F46" s="41">
        <f t="shared" si="7"/>
        <v>-14285269.156000011</v>
      </c>
      <c r="G46" s="41">
        <f>SUM(C43:C46)+$C$7+$C$9+$C$11+F46+$C$41+$C$27+$C$25</f>
        <v>-10511457.276000012</v>
      </c>
      <c r="H46" s="97">
        <v>0.1065</v>
      </c>
      <c r="I46" s="29">
        <v>7.7600000000000002E-2</v>
      </c>
      <c r="J46" s="41">
        <f t="shared" si="8"/>
        <v>3038218</v>
      </c>
    </row>
    <row r="47" spans="1:10">
      <c r="A47" s="32" t="s">
        <v>21</v>
      </c>
      <c r="B47" s="41">
        <v>3686016.71</v>
      </c>
      <c r="C47" s="41">
        <v>-291172.46000000002</v>
      </c>
      <c r="D47" s="41">
        <v>-4697674.28</v>
      </c>
      <c r="E47" s="41">
        <f t="shared" si="6"/>
        <v>-131271</v>
      </c>
      <c r="F47" s="41">
        <f t="shared" si="7"/>
        <v>-15428197.726000011</v>
      </c>
      <c r="G47" s="41">
        <f>SUM(C43:C47)+$C$7+$C$9+$C$11+F47+$C$41+$C$27+$C$25</f>
        <v>-11945558.306000013</v>
      </c>
      <c r="H47" s="97">
        <v>0.1065</v>
      </c>
      <c r="I47" s="29">
        <v>7.7600000000000002E-2</v>
      </c>
      <c r="J47" s="41">
        <f t="shared" si="8"/>
        <v>2906947</v>
      </c>
    </row>
    <row r="48" spans="1:10">
      <c r="A48" s="32" t="s">
        <v>22</v>
      </c>
      <c r="B48" s="41">
        <v>3848077.12</v>
      </c>
      <c r="C48" s="41">
        <v>669594.25</v>
      </c>
      <c r="D48" s="41">
        <v>-6153679.0999999996</v>
      </c>
      <c r="E48" s="41">
        <f t="shared" si="6"/>
        <v>-147156</v>
      </c>
      <c r="F48" s="41">
        <f t="shared" si="7"/>
        <v>-17880955.706000008</v>
      </c>
      <c r="G48" s="41">
        <f>SUM(C43:C48)+$C$7+$C$9+$C$11+F48+$C$41+$C$27+$C$25</f>
        <v>-13728722.03600001</v>
      </c>
      <c r="H48" s="97">
        <v>0.1065</v>
      </c>
      <c r="I48" s="29">
        <v>7.7600000000000002E-2</v>
      </c>
      <c r="J48" s="41">
        <f t="shared" si="8"/>
        <v>2759791</v>
      </c>
    </row>
    <row r="49" spans="1:10">
      <c r="A49" s="31" t="s">
        <v>23</v>
      </c>
      <c r="B49" s="41">
        <v>3924228.51</v>
      </c>
      <c r="C49" s="41">
        <v>1047010.21</v>
      </c>
      <c r="D49" s="41">
        <v>-7926360.2999999998</v>
      </c>
      <c r="E49" s="41">
        <f t="shared" si="6"/>
        <v>-176453</v>
      </c>
      <c r="F49" s="41">
        <f t="shared" si="7"/>
        <v>-22059540.496000007</v>
      </c>
      <c r="G49" s="41">
        <f>SUM(C43:C49)+$C$7+$C$9+$C$11+F49+$C$41+$C$27+$C$25</f>
        <v>-16860296.616000008</v>
      </c>
      <c r="H49" s="97">
        <v>0.1065</v>
      </c>
      <c r="I49" s="29">
        <v>7.7600000000000002E-2</v>
      </c>
      <c r="J49" s="41">
        <f t="shared" si="8"/>
        <v>2583338</v>
      </c>
    </row>
    <row r="50" spans="1:10">
      <c r="A50" s="31" t="s">
        <v>24</v>
      </c>
      <c r="B50" s="41">
        <v>4036552.51</v>
      </c>
      <c r="C50" s="41">
        <v>-195748.57</v>
      </c>
      <c r="D50" s="41">
        <v>-4808276.18</v>
      </c>
      <c r="E50" s="41">
        <f t="shared" si="6"/>
        <v>-199203</v>
      </c>
      <c r="F50" s="41">
        <f t="shared" si="7"/>
        <v>-23030467.166000009</v>
      </c>
      <c r="G50" s="41">
        <f>SUM(C43:C50)+$C$7+$C$9+$C$11+F50+$C$41+$C$27+$C$25</f>
        <v>-18026971.85600001</v>
      </c>
      <c r="H50" s="97">
        <v>0.1065</v>
      </c>
      <c r="I50" s="29">
        <v>7.7600000000000002E-2</v>
      </c>
      <c r="J50" s="41">
        <f>+J49+E50</f>
        <v>2384135</v>
      </c>
    </row>
    <row r="51" spans="1:10">
      <c r="A51" s="31" t="s">
        <v>25</v>
      </c>
      <c r="B51" s="41">
        <v>2972860.29</v>
      </c>
      <c r="C51" s="41">
        <v>924940.05</v>
      </c>
      <c r="D51" s="41">
        <v>9655.39</v>
      </c>
      <c r="E51" s="41">
        <f t="shared" si="6"/>
        <v>-191160</v>
      </c>
      <c r="F51" s="41">
        <f t="shared" si="7"/>
        <v>-20239111.486000009</v>
      </c>
      <c r="G51" s="41">
        <f>SUM(C43:C51)+$C$7+$C$9+$C$11+F51+$C$41+$C$27+$C$25</f>
        <v>-14310676.126000009</v>
      </c>
      <c r="H51" s="97">
        <v>0.1065</v>
      </c>
      <c r="I51" s="29">
        <v>7.7600000000000002E-2</v>
      </c>
      <c r="J51" s="41">
        <f>+J50+E51</f>
        <v>2192975</v>
      </c>
    </row>
    <row r="52" spans="1:10">
      <c r="A52" s="31" t="s">
        <v>26</v>
      </c>
      <c r="B52" s="41">
        <v>4678937.97</v>
      </c>
      <c r="C52" s="41">
        <v>39551.51</v>
      </c>
      <c r="D52" s="41">
        <v>-22877.3</v>
      </c>
      <c r="E52" s="41">
        <f>ROUND((((B52+D52)/2)+F51)*(10.65%/12),0)+64</f>
        <v>-158897</v>
      </c>
      <c r="F52" s="41">
        <f t="shared" si="7"/>
        <v>-15741947.816000011</v>
      </c>
      <c r="G52" s="41">
        <f>SUM(C43:C52)+$C$7+$C$9+$C$11+F52+$C$41+$C$27+$C$25</f>
        <v>-9773960.9460000098</v>
      </c>
      <c r="H52" s="97">
        <v>0.1065</v>
      </c>
      <c r="I52" s="29">
        <v>7.7600000000000002E-2</v>
      </c>
      <c r="J52" s="41">
        <f>+J51+E52</f>
        <v>2034078</v>
      </c>
    </row>
    <row r="53" spans="1:10">
      <c r="A53" s="31" t="s">
        <v>27</v>
      </c>
      <c r="B53" s="41">
        <v>6803166.4800000004</v>
      </c>
      <c r="C53" s="41">
        <v>-694191.4</v>
      </c>
      <c r="D53" s="41">
        <v>15742.04</v>
      </c>
      <c r="E53" s="41">
        <f t="shared" si="6"/>
        <v>-109451</v>
      </c>
      <c r="F53" s="41">
        <f t="shared" si="7"/>
        <v>-9032490.2960000113</v>
      </c>
      <c r="G53" s="41">
        <f>SUM(C43:C53)+$C$7+$C$9+$C$11+F53+$C$41+$C$27+$C$25</f>
        <v>-3758694.8260000097</v>
      </c>
      <c r="H53" s="97">
        <v>0.1065</v>
      </c>
      <c r="I53" s="29">
        <v>7.7600000000000002E-2</v>
      </c>
      <c r="J53" s="41">
        <f>+J52+E53</f>
        <v>1924627</v>
      </c>
    </row>
    <row r="54" spans="1:10">
      <c r="A54" s="31" t="s">
        <v>28</v>
      </c>
      <c r="B54" s="41">
        <v>9380581.2799999993</v>
      </c>
      <c r="C54" s="41">
        <v>-1204039.6399999999</v>
      </c>
      <c r="D54" s="41">
        <v>10140.34</v>
      </c>
      <c r="E54" s="41">
        <f t="shared" si="6"/>
        <v>-38492</v>
      </c>
      <c r="F54" s="41">
        <f t="shared" si="7"/>
        <v>319739.32399998809</v>
      </c>
      <c r="G54" s="41">
        <f>SUM(C43:C54)+$C$7+$C$9+$C$11+F54+$C$41+$C$27+$C$25</f>
        <v>4389495.1539999899</v>
      </c>
      <c r="H54" s="97">
        <v>0.1065</v>
      </c>
      <c r="I54" s="29">
        <v>7.7600000000000002E-2</v>
      </c>
      <c r="J54" s="41">
        <f>+J53+E54</f>
        <v>1886135</v>
      </c>
    </row>
    <row r="55" spans="1:10">
      <c r="A55" s="28" t="s">
        <v>43</v>
      </c>
      <c r="B55" s="45">
        <f>SUM(B43:B54)</f>
        <v>53566444.599999994</v>
      </c>
      <c r="C55" s="45">
        <f>SUM(C43:C54)</f>
        <v>1376367.84</v>
      </c>
      <c r="D55" s="45">
        <f>SUM(D43:D54)</f>
        <v>-44577745.959999993</v>
      </c>
      <c r="E55" s="52">
        <f>SUM(E43:E54)</f>
        <v>-1571070</v>
      </c>
      <c r="F55" s="53">
        <v>319739.32399998809</v>
      </c>
      <c r="G55" s="53">
        <v>4389495.1539999899</v>
      </c>
      <c r="H55" s="29">
        <v>0.1065</v>
      </c>
      <c r="I55" s="35">
        <v>7.7600000000000002E-2</v>
      </c>
      <c r="J55" s="51">
        <v>1886135</v>
      </c>
    </row>
    <row r="56" spans="1:10">
      <c r="A56" s="28"/>
      <c r="B56" s="43"/>
      <c r="C56" s="43"/>
      <c r="D56" s="43"/>
      <c r="E56" s="55"/>
      <c r="F56" s="53"/>
      <c r="G56" s="53"/>
      <c r="H56" s="54"/>
      <c r="I56" s="35"/>
      <c r="J56" s="51"/>
    </row>
    <row r="57" spans="1:10">
      <c r="A57" s="31" t="s">
        <v>17</v>
      </c>
      <c r="B57" s="41">
        <v>3568394.81</v>
      </c>
      <c r="C57" s="41">
        <v>522545.97</v>
      </c>
      <c r="D57" s="41">
        <v>-2527091.69</v>
      </c>
      <c r="E57" s="41">
        <f>ROUND((((B57+D57)/2)+F54)*(9.21%/12),0)</f>
        <v>6450</v>
      </c>
      <c r="F57" s="41">
        <f>+F54+B57+D57+E57</f>
        <v>1367492.443999988</v>
      </c>
      <c r="G57" s="41">
        <f>SUM(C57)+$C$7+$C$9+$C$11+F57+$C$41+$C$27+$C$25+$C$55</f>
        <v>5959794.2439999878</v>
      </c>
      <c r="H57" s="97">
        <v>9.2100000000000001E-2</v>
      </c>
      <c r="I57" s="97">
        <v>7.7600000000000002E-2</v>
      </c>
      <c r="J57" s="41">
        <f>+J54+E57</f>
        <v>1892585</v>
      </c>
    </row>
    <row r="58" spans="1:10">
      <c r="A58" s="32" t="s">
        <v>18</v>
      </c>
      <c r="B58" s="41">
        <v>3374756.23</v>
      </c>
      <c r="C58" s="41">
        <v>-255982.68</v>
      </c>
      <c r="D58" s="41">
        <v>-4648748.13</v>
      </c>
      <c r="E58" s="41">
        <f t="shared" ref="E58:E68" si="9">ROUND((((B58+D58)/2)+F57)*(9.21%/12),0)</f>
        <v>5607</v>
      </c>
      <c r="F58" s="41">
        <f t="shared" ref="F58:F68" si="10">+F57+B58+D58+E58</f>
        <v>99107.543999987654</v>
      </c>
      <c r="G58" s="41">
        <f>SUM(C57:C58)+$C$7+$C$9+$C$11+F58+$C$41+$C$27+$C$25+$C$55</f>
        <v>4435426.6639999878</v>
      </c>
      <c r="H58" s="97">
        <v>9.2100000000000001E-2</v>
      </c>
      <c r="I58" s="97">
        <v>7.7600000000000002E-2</v>
      </c>
      <c r="J58" s="41">
        <f t="shared" ref="J58:J63" si="11">+J57+E58</f>
        <v>1898192</v>
      </c>
    </row>
    <row r="59" spans="1:10">
      <c r="A59" s="33" t="s">
        <v>19</v>
      </c>
      <c r="B59" s="41">
        <v>4020585.46</v>
      </c>
      <c r="C59" s="41">
        <v>-809314.18</v>
      </c>
      <c r="D59" s="41">
        <v>-4833973.84</v>
      </c>
      <c r="E59" s="41">
        <f t="shared" si="9"/>
        <v>-2361</v>
      </c>
      <c r="F59" s="41">
        <f t="shared" si="10"/>
        <v>-716641.83600001223</v>
      </c>
      <c r="G59" s="41">
        <f>SUM(C57:C59)+$C$7+$C$9+$C$11+F59+$C$41+$C$27+$C$25+$C$55</f>
        <v>2810363.1039999882</v>
      </c>
      <c r="H59" s="97">
        <v>9.2100000000000001E-2</v>
      </c>
      <c r="I59" s="97">
        <v>7.7600000000000002E-2</v>
      </c>
      <c r="J59" s="41">
        <f t="shared" si="11"/>
        <v>1895831</v>
      </c>
    </row>
    <row r="60" spans="1:10">
      <c r="A60" s="31" t="s">
        <v>20</v>
      </c>
      <c r="B60" s="41">
        <v>3506710.37</v>
      </c>
      <c r="C60" s="41">
        <v>-239127.86</v>
      </c>
      <c r="D60" s="41">
        <v>-4946238.6399999997</v>
      </c>
      <c r="E60" s="41">
        <f t="shared" si="9"/>
        <v>-11024</v>
      </c>
      <c r="F60" s="41">
        <f t="shared" si="10"/>
        <v>-2167194.1060000118</v>
      </c>
      <c r="G60" s="41">
        <f>SUM(C57:C60)+$C$7+$C$9+$C$11+F60+$C$41+$C$27+$C$25+$C$55</f>
        <v>1120682.9739999885</v>
      </c>
      <c r="H60" s="97">
        <v>9.2100000000000001E-2</v>
      </c>
      <c r="I60" s="97">
        <v>7.7600000000000002E-2</v>
      </c>
      <c r="J60" s="41">
        <f t="shared" si="11"/>
        <v>1884807</v>
      </c>
    </row>
    <row r="61" spans="1:10">
      <c r="A61" s="32" t="s">
        <v>21</v>
      </c>
      <c r="B61" s="41">
        <v>3627311.16</v>
      </c>
      <c r="C61" s="41">
        <v>581877.64</v>
      </c>
      <c r="D61" s="41">
        <v>-4830193.3499999996</v>
      </c>
      <c r="E61" s="41">
        <f t="shared" si="9"/>
        <v>-21249</v>
      </c>
      <c r="F61" s="41">
        <f t="shared" si="10"/>
        <v>-3391325.2960000113</v>
      </c>
      <c r="G61" s="46">
        <f>SUM(C57:C61)+$C$7+$C$9+$C$11+F61+$C$41+$C$27+$C$25+$C$55</f>
        <v>478429.42399998964</v>
      </c>
      <c r="H61" s="97">
        <v>9.2100000000000001E-2</v>
      </c>
      <c r="I61" s="97">
        <v>7.7600000000000002E-2</v>
      </c>
      <c r="J61" s="41">
        <f t="shared" si="11"/>
        <v>1863558</v>
      </c>
    </row>
    <row r="62" spans="1:10">
      <c r="A62" s="32" t="s">
        <v>22</v>
      </c>
      <c r="B62" s="47">
        <v>4878375.021428572</v>
      </c>
      <c r="C62" s="47"/>
      <c r="D62" s="47">
        <v>-6356397.5588371037</v>
      </c>
      <c r="E62" s="41">
        <f t="shared" si="9"/>
        <v>-31700</v>
      </c>
      <c r="F62" s="41">
        <f t="shared" si="10"/>
        <v>-4901047.8334085429</v>
      </c>
      <c r="G62" s="41">
        <f>SUM(C57:C62)+$C$7+$C$9+$C$11+F62+$C$41+$C$27+$C$25+$C$55</f>
        <v>-1031293.1134085411</v>
      </c>
      <c r="H62" s="97">
        <v>9.2100000000000001E-2</v>
      </c>
      <c r="I62" s="97">
        <v>7.7600000000000002E-2</v>
      </c>
      <c r="J62" s="41">
        <f t="shared" si="11"/>
        <v>1831858</v>
      </c>
    </row>
    <row r="63" spans="1:10">
      <c r="A63" s="31" t="s">
        <v>23</v>
      </c>
      <c r="B63" s="47">
        <v>4879489.021428572</v>
      </c>
      <c r="C63" s="47"/>
      <c r="D63" s="47">
        <v>-7707482.4238910135</v>
      </c>
      <c r="E63" s="41">
        <f t="shared" si="9"/>
        <v>-48468</v>
      </c>
      <c r="F63" s="41">
        <f t="shared" si="10"/>
        <v>-7777509.2358709844</v>
      </c>
      <c r="G63" s="41">
        <f>SUM(C57:C63)+$C$7+$C$9+$C$11+F63+$C$41+$C$27+$C$25+$C$55</f>
        <v>-3907754.5158709837</v>
      </c>
      <c r="H63" s="97">
        <v>9.2100000000000001E-2</v>
      </c>
      <c r="I63" s="97">
        <v>7.7600000000000002E-2</v>
      </c>
      <c r="J63" s="41">
        <f t="shared" si="11"/>
        <v>1783390</v>
      </c>
    </row>
    <row r="64" spans="1:10">
      <c r="A64" s="31" t="s">
        <v>24</v>
      </c>
      <c r="B64" s="47">
        <v>4757489.021428572</v>
      </c>
      <c r="C64" s="47"/>
      <c r="D64" s="47">
        <v>-7362382.3466768293</v>
      </c>
      <c r="E64" s="41">
        <f t="shared" si="9"/>
        <v>-69689</v>
      </c>
      <c r="F64" s="41">
        <f t="shared" si="10"/>
        <v>-10452091.561119242</v>
      </c>
      <c r="G64" s="41">
        <f>SUM(C57:C64)+$C$7+$C$9+$C$11+F64+$C$41+$C$27+$C$25+$C$55</f>
        <v>-6582336.84111924</v>
      </c>
      <c r="H64" s="97">
        <v>9.2100000000000001E-2</v>
      </c>
      <c r="I64" s="97">
        <v>7.7600000000000002E-2</v>
      </c>
      <c r="J64" s="41">
        <f>+J63+E64</f>
        <v>1713701</v>
      </c>
    </row>
    <row r="65" spans="1:10">
      <c r="A65" s="31" t="s">
        <v>25</v>
      </c>
      <c r="B65" s="47">
        <v>4617989.021428572</v>
      </c>
      <c r="C65" s="47"/>
      <c r="D65" s="47">
        <v>-6120262.1943367971</v>
      </c>
      <c r="E65" s="41">
        <f t="shared" si="9"/>
        <v>-85985</v>
      </c>
      <c r="F65" s="41">
        <f t="shared" si="10"/>
        <v>-12040349.734027468</v>
      </c>
      <c r="G65" s="41">
        <f>SUM(C57:C65)+$C$7+$C$9+$C$11+F65+$C$41+$C$27+$C$25+$C$55</f>
        <v>-8170595.0140274689</v>
      </c>
      <c r="H65" s="97">
        <v>9.2100000000000001E-2</v>
      </c>
      <c r="I65" s="97">
        <v>7.7600000000000002E-2</v>
      </c>
      <c r="J65" s="41">
        <f>+J64+E65</f>
        <v>1627716</v>
      </c>
    </row>
    <row r="66" spans="1:10">
      <c r="A66" s="31" t="s">
        <v>26</v>
      </c>
      <c r="B66" s="47">
        <v>5290867.021428572</v>
      </c>
      <c r="C66" s="47"/>
      <c r="D66" s="47">
        <v>-4921241.2091231644</v>
      </c>
      <c r="E66" s="41">
        <f t="shared" si="9"/>
        <v>-90991</v>
      </c>
      <c r="F66" s="41">
        <f t="shared" si="10"/>
        <v>-11761714.92172206</v>
      </c>
      <c r="G66" s="41">
        <f>SUM(C57:C66)+$C$7+$C$9+$C$11+F66+$C$41+$C$27+$C$25+$C$55</f>
        <v>-7891960.2017220594</v>
      </c>
      <c r="H66" s="97">
        <v>9.2100000000000001E-2</v>
      </c>
      <c r="I66" s="97">
        <v>7.7600000000000002E-2</v>
      </c>
      <c r="J66" s="41">
        <f>+J65+E66</f>
        <v>1536725</v>
      </c>
    </row>
    <row r="67" spans="1:10">
      <c r="A67" s="31" t="s">
        <v>27</v>
      </c>
      <c r="B67" s="47">
        <v>6960132.021428572</v>
      </c>
      <c r="C67" s="47"/>
      <c r="D67" s="47">
        <v>-4966249.1450784011</v>
      </c>
      <c r="E67" s="41">
        <f t="shared" si="9"/>
        <v>-82620</v>
      </c>
      <c r="F67" s="41">
        <f t="shared" si="10"/>
        <v>-9850452.0453718901</v>
      </c>
      <c r="G67" s="41">
        <f>SUM(C57:C67)+$C$7+$C$9+$C$11+F67+$C$41+$C$27+$C$25+$C$55</f>
        <v>-5980697.3253718903</v>
      </c>
      <c r="H67" s="97">
        <v>9.2100000000000001E-2</v>
      </c>
      <c r="I67" s="97">
        <v>7.7600000000000002E-2</v>
      </c>
      <c r="J67" s="41">
        <f>+J66+E67</f>
        <v>1454105</v>
      </c>
    </row>
    <row r="68" spans="1:10">
      <c r="A68" s="31" t="s">
        <v>28</v>
      </c>
      <c r="B68" s="47">
        <v>4774617.021428572</v>
      </c>
      <c r="C68" s="47"/>
      <c r="D68" s="47">
        <v>-5472882.297055006</v>
      </c>
      <c r="E68" s="41">
        <f t="shared" si="9"/>
        <v>-78282</v>
      </c>
      <c r="F68" s="41">
        <f t="shared" si="10"/>
        <v>-10626999.320998324</v>
      </c>
      <c r="G68" s="41">
        <f>SUM(C57:C68)+$C$7+$C$9+$C$11+F68+$C$41+$C$27+$C$25+$C$55</f>
        <v>-6757244.6009983225</v>
      </c>
      <c r="H68" s="97">
        <v>9.2100000000000001E-2</v>
      </c>
      <c r="I68" s="97">
        <v>7.7600000000000002E-2</v>
      </c>
      <c r="J68" s="41">
        <f>+J67+E68</f>
        <v>1375823</v>
      </c>
    </row>
    <row r="69" spans="1:10">
      <c r="A69" s="28" t="s">
        <v>47</v>
      </c>
      <c r="B69" s="45">
        <f>SUM(B57:B68)</f>
        <v>54256716.179999992</v>
      </c>
      <c r="C69" s="45">
        <f>SUM(C57:C68)</f>
        <v>-200001.1100000001</v>
      </c>
      <c r="D69" s="45">
        <f>SUM(D57:D68)</f>
        <v>-64693142.824998304</v>
      </c>
      <c r="E69" s="52">
        <f>SUM(E57:E68)</f>
        <v>-510312</v>
      </c>
      <c r="F69" s="53"/>
      <c r="G69" s="53"/>
      <c r="H69" s="54"/>
      <c r="I69" s="35"/>
      <c r="J69" s="51"/>
    </row>
    <row r="70" spans="1:10">
      <c r="A70" s="28"/>
      <c r="B70" s="43"/>
      <c r="C70" s="43"/>
      <c r="D70" s="43"/>
      <c r="E70" s="55"/>
      <c r="F70" s="53"/>
      <c r="G70" s="53"/>
      <c r="H70" s="54"/>
      <c r="I70" s="35"/>
      <c r="J70" s="51"/>
    </row>
    <row r="71" spans="1:10">
      <c r="A71" s="31" t="s">
        <v>17</v>
      </c>
      <c r="B71" s="47">
        <v>4986949.916666666</v>
      </c>
      <c r="C71" s="47"/>
      <c r="D71" s="47">
        <v>-5144948.6540091177</v>
      </c>
      <c r="E71" s="41">
        <f>ROUND((((B71+D71)/2)+F68)*(9.21%/12),0)</f>
        <v>-82169</v>
      </c>
      <c r="F71" s="41">
        <f>+F68+B71+D71+E71</f>
        <v>-10867167.058340777</v>
      </c>
      <c r="G71" s="41">
        <f>SUM(C71)+$C$7+$C$9+$C$11+F71+$C$41+$C$27+$C$25+$C$55+$C$69</f>
        <v>-6997412.3383407779</v>
      </c>
      <c r="H71" s="97">
        <v>9.2100000000000001E-2</v>
      </c>
      <c r="I71" s="97">
        <v>7.7600000000000002E-2</v>
      </c>
      <c r="J71" s="41">
        <f>+J68+E71</f>
        <v>1293654</v>
      </c>
    </row>
    <row r="72" spans="1:10">
      <c r="A72" s="32" t="s">
        <v>18</v>
      </c>
      <c r="B72" s="47">
        <v>4932441.916666666</v>
      </c>
      <c r="C72" s="47"/>
      <c r="D72" s="47">
        <v>-4479206.9638480367</v>
      </c>
      <c r="E72" s="41">
        <f t="shared" ref="E72:E82" si="12">ROUND((((B72+D72)/2)+F71)*(9.21%/12),0)</f>
        <v>-81666</v>
      </c>
      <c r="F72" s="41">
        <f t="shared" ref="F72:F82" si="13">+F71+B72+D72+E72</f>
        <v>-10495598.105522148</v>
      </c>
      <c r="G72" s="41">
        <f>SUM(C71:C72)+$C$7+$C$9+$C$11+F72+$C$41+$C$27+$C$25+$C$55+$C$69</f>
        <v>-6625843.3855221495</v>
      </c>
      <c r="H72" s="97">
        <v>9.2100000000000001E-2</v>
      </c>
      <c r="I72" s="97">
        <v>7.7600000000000002E-2</v>
      </c>
      <c r="J72" s="41">
        <f t="shared" ref="J72:J77" si="14">+J71+E72</f>
        <v>1211988</v>
      </c>
    </row>
    <row r="73" spans="1:10">
      <c r="A73" s="33" t="s">
        <v>19</v>
      </c>
      <c r="B73" s="47">
        <v>4932441.916666666</v>
      </c>
      <c r="C73" s="47"/>
      <c r="D73" s="47">
        <v>-4732867.3723819871</v>
      </c>
      <c r="E73" s="41">
        <f t="shared" si="12"/>
        <v>-79788</v>
      </c>
      <c r="F73" s="41">
        <f t="shared" si="13"/>
        <v>-10375811.561237469</v>
      </c>
      <c r="G73" s="41">
        <f>SUM(C71:C73)+$C$7+$C$9+$C$11+F73+$C$41+$C$27+$C$25+$C$55+$C$69</f>
        <v>-6506056.8412374705</v>
      </c>
      <c r="H73" s="97">
        <v>9.2100000000000001E-2</v>
      </c>
      <c r="I73" s="97">
        <v>7.7600000000000002E-2</v>
      </c>
      <c r="J73" s="41">
        <f t="shared" si="14"/>
        <v>1132200</v>
      </c>
    </row>
    <row r="74" spans="1:10">
      <c r="A74" s="31" t="s">
        <v>20</v>
      </c>
      <c r="B74" s="47">
        <v>4932441.916666666</v>
      </c>
      <c r="C74" s="47"/>
      <c r="D74" s="47">
        <v>-4383223.0749065429</v>
      </c>
      <c r="E74" s="41">
        <f t="shared" si="12"/>
        <v>-77527</v>
      </c>
      <c r="F74" s="41">
        <f t="shared" si="13"/>
        <v>-9904119.7194773462</v>
      </c>
      <c r="G74" s="41">
        <f>SUM(C71:C74)+$C$7+$C$9+$C$11+F74+$C$41+$C$27+$C$25+$C$55+$C$69</f>
        <v>-6034364.9994773455</v>
      </c>
      <c r="H74" s="97">
        <v>9.2100000000000001E-2</v>
      </c>
      <c r="I74" s="97">
        <v>7.7600000000000002E-2</v>
      </c>
      <c r="J74" s="41">
        <f t="shared" si="14"/>
        <v>1054673</v>
      </c>
    </row>
    <row r="75" spans="1:10">
      <c r="A75" s="32" t="s">
        <v>21</v>
      </c>
      <c r="B75" s="47">
        <v>4927441.916666666</v>
      </c>
      <c r="C75" s="47"/>
      <c r="D75" s="47">
        <v>-5260705.7510619303</v>
      </c>
      <c r="E75" s="41">
        <f t="shared" si="12"/>
        <v>-77293</v>
      </c>
      <c r="F75" s="41">
        <f t="shared" si="13"/>
        <v>-10314676.553872611</v>
      </c>
      <c r="G75" s="41">
        <f>SUM(C71:C75)+$C$7+$C$9+$C$11+F75+$C$41+$C$27+$C$25+$C$55+$C$69</f>
        <v>-6444921.8338726126</v>
      </c>
      <c r="H75" s="97">
        <v>9.2100000000000001E-2</v>
      </c>
      <c r="I75" s="97">
        <v>7.7600000000000002E-2</v>
      </c>
      <c r="J75" s="41">
        <f t="shared" si="14"/>
        <v>977380</v>
      </c>
    </row>
    <row r="76" spans="1:10">
      <c r="A76" s="32" t="s">
        <v>22</v>
      </c>
      <c r="B76" s="47">
        <v>4927441.916666666</v>
      </c>
      <c r="C76" s="47"/>
      <c r="D76" s="47">
        <v>-6149674.036463079</v>
      </c>
      <c r="E76" s="41">
        <f t="shared" si="12"/>
        <v>-83855</v>
      </c>
      <c r="F76" s="41">
        <f t="shared" si="13"/>
        <v>-11620763.673669025</v>
      </c>
      <c r="G76" s="41">
        <f>SUM(C71:C76)+$C$7+$C$9+$C$11+F76+$C$41+$C$27+$C$25+$C$55+$C$69</f>
        <v>-7751008.9536690274</v>
      </c>
      <c r="H76" s="97">
        <v>9.2100000000000001E-2</v>
      </c>
      <c r="I76" s="97">
        <v>7.7600000000000002E-2</v>
      </c>
      <c r="J76" s="41">
        <f t="shared" si="14"/>
        <v>893525</v>
      </c>
    </row>
    <row r="77" spans="1:10">
      <c r="A77" s="31" t="s">
        <v>23</v>
      </c>
      <c r="B77" s="47">
        <v>4927441.916666666</v>
      </c>
      <c r="C77" s="47"/>
      <c r="D77" s="47">
        <v>-7574591.8595942799</v>
      </c>
      <c r="E77" s="41">
        <f t="shared" si="12"/>
        <v>-99348</v>
      </c>
      <c r="F77" s="41">
        <f t="shared" si="13"/>
        <v>-14367261.616596639</v>
      </c>
      <c r="G77" s="41">
        <f>SUM(C71:C77)+$C$7+$C$9+$C$11+F77+$C$41+$C$27+$C$25+$C$55+$C$69</f>
        <v>-10497506.89659664</v>
      </c>
      <c r="H77" s="97">
        <v>9.2100000000000001E-2</v>
      </c>
      <c r="I77" s="97">
        <v>7.7600000000000002E-2</v>
      </c>
      <c r="J77" s="41">
        <f t="shared" si="14"/>
        <v>794177</v>
      </c>
    </row>
    <row r="78" spans="1:10">
      <c r="A78" s="31" t="s">
        <v>24</v>
      </c>
      <c r="B78" s="47">
        <v>4927441.916666666</v>
      </c>
      <c r="C78" s="47"/>
      <c r="D78" s="47">
        <v>-7200264.771010207</v>
      </c>
      <c r="E78" s="41">
        <f t="shared" si="12"/>
        <v>-118991</v>
      </c>
      <c r="F78" s="41">
        <f t="shared" si="13"/>
        <v>-16759075.47094018</v>
      </c>
      <c r="G78" s="41">
        <f>SUM(C71:C78)+$C$7+$C$9+$C$11+F78+$C$41+$C$27+$C$25+$C$55+$C$69</f>
        <v>-12889320.750940181</v>
      </c>
      <c r="H78" s="97">
        <v>9.2100000000000001E-2</v>
      </c>
      <c r="I78" s="97">
        <v>7.7600000000000002E-2</v>
      </c>
      <c r="J78" s="41">
        <f>+J77+E78</f>
        <v>675186</v>
      </c>
    </row>
    <row r="79" spans="1:10">
      <c r="A79" s="31" t="s">
        <v>25</v>
      </c>
      <c r="B79" s="47">
        <v>4927441.916666666</v>
      </c>
      <c r="C79" s="47"/>
      <c r="D79" s="47">
        <v>-5739214.3475815952</v>
      </c>
      <c r="E79" s="41">
        <f t="shared" si="12"/>
        <v>-131741</v>
      </c>
      <c r="F79" s="41">
        <f t="shared" si="13"/>
        <v>-17702588.901855111</v>
      </c>
      <c r="G79" s="41">
        <f>SUM(C71:C79)+$C$7+$C$9+$C$11+F79+$C$41+$C$27+$C$25+$C$55+$C$69</f>
        <v>-13832834.181855112</v>
      </c>
      <c r="H79" s="97">
        <v>9.2100000000000001E-2</v>
      </c>
      <c r="I79" s="97">
        <v>7.7600000000000002E-2</v>
      </c>
      <c r="J79" s="41">
        <f>+J78+E79</f>
        <v>543445</v>
      </c>
    </row>
    <row r="80" spans="1:10">
      <c r="A80" s="31" t="s">
        <v>26</v>
      </c>
      <c r="B80" s="47">
        <v>4932441.916666666</v>
      </c>
      <c r="C80" s="47"/>
      <c r="D80" s="47">
        <v>-4592833.1471043536</v>
      </c>
      <c r="E80" s="41">
        <f t="shared" si="12"/>
        <v>-134564</v>
      </c>
      <c r="F80" s="41">
        <f t="shared" si="13"/>
        <v>-17497544.1322928</v>
      </c>
      <c r="G80" s="41">
        <f>SUM(C71:C80)+$C$7+$C$9+$C$11+F80+$C$41+$C$27+$C$25+$C$55+$C$69</f>
        <v>-13627789.412292801</v>
      </c>
      <c r="H80" s="97">
        <v>9.2100000000000001E-2</v>
      </c>
      <c r="I80" s="97">
        <v>7.7600000000000002E-2</v>
      </c>
      <c r="J80" s="41">
        <f>+J79+E80</f>
        <v>408881</v>
      </c>
    </row>
    <row r="81" spans="1:10">
      <c r="A81" s="31" t="s">
        <v>27</v>
      </c>
      <c r="B81" s="47">
        <v>7190785.916666666</v>
      </c>
      <c r="C81" s="47"/>
      <c r="D81" s="47">
        <v>-4635995.3468258418</v>
      </c>
      <c r="E81" s="41">
        <f t="shared" si="12"/>
        <v>-124490</v>
      </c>
      <c r="F81" s="41">
        <f t="shared" si="13"/>
        <v>-15067243.562451975</v>
      </c>
      <c r="G81" s="41">
        <f>SUM(C71:C81)+$C$7+$C$9+$C$11+F81+$C$41+$C$27+$C$25+$C$55+$C$69</f>
        <v>-11197488.842451975</v>
      </c>
      <c r="H81" s="97">
        <v>9.2100000000000001E-2</v>
      </c>
      <c r="I81" s="97">
        <v>7.7600000000000002E-2</v>
      </c>
      <c r="J81" s="41">
        <f>+J80+E81</f>
        <v>284391</v>
      </c>
    </row>
    <row r="82" spans="1:10">
      <c r="A82" s="31" t="s">
        <v>28</v>
      </c>
      <c r="B82" s="47">
        <v>5026441.916666666</v>
      </c>
      <c r="C82" s="47"/>
      <c r="D82" s="47">
        <v>-5208638.7127708793</v>
      </c>
      <c r="E82" s="41">
        <f t="shared" si="12"/>
        <v>-116340</v>
      </c>
      <c r="F82" s="41">
        <f t="shared" si="13"/>
        <v>-15365780.358556189</v>
      </c>
      <c r="G82" s="41">
        <f>SUM(C71:C82)+$C$7+$C$9+$C$11+F82+$C$41+$C$27+$C$25+$C$55+$C$69</f>
        <v>-11496025.63855619</v>
      </c>
      <c r="H82" s="97">
        <v>9.2100000000000001E-2</v>
      </c>
      <c r="I82" s="97">
        <v>7.7600000000000002E-2</v>
      </c>
      <c r="J82" s="41">
        <f>+J81+E82</f>
        <v>168051</v>
      </c>
    </row>
    <row r="83" spans="1:10">
      <c r="A83" s="28" t="s">
        <v>73</v>
      </c>
      <c r="B83" s="45">
        <f>SUM(B71:B82)</f>
        <v>61571154.999999978</v>
      </c>
      <c r="C83" s="45">
        <f>SUM(C71:C82)</f>
        <v>0</v>
      </c>
      <c r="D83" s="45">
        <f>SUM(D71:D82)</f>
        <v>-65102164.037557855</v>
      </c>
      <c r="E83" s="52">
        <f>SUM(E71:E82)</f>
        <v>-1207772</v>
      </c>
      <c r="F83" s="53"/>
      <c r="G83" s="53"/>
      <c r="H83" s="54"/>
      <c r="I83" s="35"/>
      <c r="J83" s="51"/>
    </row>
    <row r="84" spans="1:10">
      <c r="A84" s="28"/>
      <c r="B84" s="43"/>
      <c r="C84" s="43"/>
      <c r="D84" s="43"/>
      <c r="E84" s="55"/>
      <c r="F84" s="53"/>
      <c r="G84" s="53"/>
      <c r="H84" s="54"/>
      <c r="I84" s="35"/>
      <c r="J84" s="51"/>
    </row>
    <row r="85" spans="1:10">
      <c r="A85" s="31" t="s">
        <v>41</v>
      </c>
      <c r="B85" s="48"/>
      <c r="C85" s="43">
        <f>+C27+C25+C11+C9+C7+C41+C55+C69+C83</f>
        <v>3869754.7199999997</v>
      </c>
      <c r="D85" s="48"/>
      <c r="E85" s="56"/>
      <c r="F85" s="56"/>
      <c r="G85" s="56"/>
      <c r="H85" s="57"/>
      <c r="I85" s="57"/>
      <c r="J85" s="56"/>
    </row>
    <row r="86" spans="1:10" ht="20.25" customHeight="1">
      <c r="B86" s="48"/>
      <c r="C86" s="63"/>
      <c r="D86" s="48"/>
      <c r="E86" s="56"/>
      <c r="F86" s="56"/>
      <c r="G86" s="56"/>
      <c r="H86" s="57"/>
      <c r="I86" s="57"/>
      <c r="J86" s="56"/>
    </row>
    <row r="87" spans="1:10">
      <c r="A87" s="36" t="s">
        <v>58</v>
      </c>
      <c r="B87" s="48"/>
      <c r="C87" s="48"/>
      <c r="D87" s="48"/>
      <c r="E87" s="48"/>
      <c r="F87" s="48"/>
      <c r="G87" s="48">
        <f>+G61</f>
        <v>478429.42399998964</v>
      </c>
      <c r="J87" s="48"/>
    </row>
    <row r="88" spans="1:10" ht="8.25" customHeight="1">
      <c r="A88" s="37"/>
      <c r="B88" s="48"/>
      <c r="C88" s="48"/>
      <c r="D88" s="48"/>
      <c r="E88" s="48"/>
      <c r="F88" s="48"/>
      <c r="G88" s="48"/>
      <c r="J88" s="48"/>
    </row>
    <row r="89" spans="1:10">
      <c r="A89" s="36" t="s">
        <v>59</v>
      </c>
      <c r="B89" s="48"/>
      <c r="C89" s="48"/>
      <c r="D89" s="48"/>
      <c r="E89" s="48"/>
      <c r="F89" s="48"/>
      <c r="G89" s="48">
        <f>+SUM(B62:B68)+SUM(B71:B82)</f>
        <v>97730113.149999976</v>
      </c>
      <c r="J89" s="48"/>
    </row>
    <row r="90" spans="1:10">
      <c r="A90" s="36" t="s">
        <v>60</v>
      </c>
      <c r="B90" s="48"/>
      <c r="C90" s="48"/>
      <c r="D90" s="48"/>
      <c r="E90" s="48"/>
      <c r="F90" s="48"/>
      <c r="G90" s="48">
        <f>+SUM(E62:E68)+SUM(E71:E82)</f>
        <v>-1695507</v>
      </c>
    </row>
    <row r="91" spans="1:10">
      <c r="A91" s="36" t="s">
        <v>61</v>
      </c>
      <c r="B91" s="48"/>
      <c r="C91" s="48"/>
      <c r="D91" s="48"/>
      <c r="E91" s="48"/>
      <c r="F91" s="48"/>
      <c r="G91" s="49">
        <f>SUM(G89:G90)</f>
        <v>96034606.149999976</v>
      </c>
    </row>
    <row r="92" spans="1:10" ht="9" customHeight="1">
      <c r="A92" s="37"/>
      <c r="B92" s="48"/>
      <c r="C92" s="48"/>
      <c r="D92" s="48"/>
      <c r="E92" s="48"/>
      <c r="F92" s="48"/>
      <c r="G92" s="48"/>
    </row>
    <row r="93" spans="1:10">
      <c r="A93" s="36" t="s">
        <v>62</v>
      </c>
      <c r="B93" s="48"/>
      <c r="C93" s="48"/>
      <c r="D93" s="48"/>
      <c r="E93" s="48"/>
      <c r="F93" s="48"/>
      <c r="G93" s="48">
        <f>SUM(D62:D68)+SUM(D71:D82)</f>
        <v>-108009061.21255617</v>
      </c>
    </row>
    <row r="94" spans="1:10" ht="9" customHeight="1">
      <c r="A94" s="38"/>
      <c r="B94" s="48"/>
      <c r="C94" s="48"/>
      <c r="D94" s="48"/>
      <c r="E94" s="48"/>
      <c r="F94" s="48"/>
      <c r="G94" s="48"/>
    </row>
    <row r="95" spans="1:10" ht="15" thickBot="1">
      <c r="A95" s="36" t="s">
        <v>63</v>
      </c>
      <c r="B95" s="48"/>
      <c r="C95" s="48"/>
      <c r="D95" s="48"/>
      <c r="E95" s="48"/>
      <c r="F95" s="48"/>
      <c r="G95" s="50">
        <f>+G87+G91+G93</f>
        <v>-11496025.638556197</v>
      </c>
    </row>
    <row r="96" spans="1:10" ht="15" thickTop="1">
      <c r="A96" s="37"/>
      <c r="B96" s="48"/>
      <c r="C96" s="48"/>
      <c r="D96" s="48"/>
      <c r="E96" s="48"/>
      <c r="F96" s="48"/>
      <c r="G96" s="48"/>
    </row>
    <row r="97" spans="1:7">
      <c r="A97" s="110" t="s">
        <v>35</v>
      </c>
      <c r="B97" s="48"/>
      <c r="C97" s="48"/>
      <c r="D97" s="48"/>
      <c r="E97" s="48"/>
      <c r="F97" s="48"/>
      <c r="G97" s="48"/>
    </row>
    <row r="98" spans="1:7">
      <c r="A98" s="39" t="s">
        <v>64</v>
      </c>
      <c r="B98" s="48"/>
      <c r="C98" s="56"/>
      <c r="D98" s="56"/>
      <c r="E98" s="48"/>
      <c r="F98" s="48"/>
      <c r="G98" s="48"/>
    </row>
    <row r="99" spans="1:7" ht="14.25" customHeight="1">
      <c r="A99" s="39" t="s">
        <v>79</v>
      </c>
      <c r="B99" s="56"/>
      <c r="C99" s="56"/>
      <c r="D99" s="56"/>
      <c r="E99" s="56"/>
      <c r="F99" s="56"/>
      <c r="G99" s="48"/>
    </row>
    <row r="100" spans="1:7">
      <c r="A100" s="39"/>
    </row>
  </sheetData>
  <mergeCells count="1">
    <mergeCell ref="A3:J3"/>
  </mergeCells>
  <pageMargins left="0.7" right="0.45" top="0.75" bottom="0.75" header="0.3" footer="0.3"/>
  <pageSetup scale="64" orientation="portrait" r:id="rId1"/>
  <ignoredErrors>
    <ignoredError sqref="J14:J24 E19:F23 E14:F16 E17:F17 C25:E25 B25:B26 F24:G24 E18:F18 F40:G40 J30:J40 F29:F30 F31 F32 F33 F34 F35 F36 F37 F38 F39 D28 E29:E36 F50 F43 F44 F45 J43:J54 F54 F53 E55 B55:D55 D41 C42:E42 C41 E41 F46 F47 F48 F49 F51 F52 E37:E40 B41 B42 G13 E43:E44 G29:J29 F68 B69:E69 G43 G54 J57:J68 E53:E54 E46:E51 F57 F58 F59 F60 F61 F62 F63 F64 F65 F66 F67 E57:E68 G57 G61:G68 J71:J83 G71:G82 F71:F82 E71:E82 B70 C83:E83 C85 B83" unlockedFormula="1"/>
    <ignoredError sqref="G14:G18 G19:G23 G30:G36 G37:G39 G44:G50 G51:G53 G58:G60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0"/>
  <sheetViews>
    <sheetView zoomScaleNormal="100" workbookViewId="0">
      <pane xSplit="1" ySplit="4" topLeftCell="B12" activePane="bottomRight" state="frozen"/>
      <selection pane="topRight" activeCell="B1" sqref="B1"/>
      <selection pane="bottomLeft" activeCell="A5" sqref="A5"/>
      <selection pane="bottomRight" activeCell="M45" sqref="M45"/>
    </sheetView>
  </sheetViews>
  <sheetFormatPr defaultColWidth="9.140625" defaultRowHeight="12.75" outlineLevelCol="1"/>
  <cols>
    <col min="1" max="1" width="44.140625" style="66" customWidth="1"/>
    <col min="2" max="2" width="13.5703125" style="80" customWidth="1" outlineLevel="1"/>
    <col min="3" max="3" width="12.5703125" style="80" customWidth="1" outlineLevel="1"/>
    <col min="4" max="4" width="11.42578125" style="80" customWidth="1"/>
    <col min="5" max="5" width="12.5703125" style="66" bestFit="1" customWidth="1"/>
    <col min="6" max="10" width="12.28515625" style="66" bestFit="1" customWidth="1"/>
    <col min="11" max="11" width="14.5703125" style="66" customWidth="1"/>
    <col min="12" max="12" width="14.28515625" style="66" customWidth="1"/>
    <col min="13" max="13" width="14" style="66" customWidth="1"/>
    <col min="14" max="14" width="16.28515625" style="66" customWidth="1"/>
    <col min="15" max="15" width="10.140625" style="66" customWidth="1"/>
    <col min="16" max="27" width="11.5703125" style="66" customWidth="1" outlineLevel="1"/>
    <col min="28" max="28" width="12.140625" style="66" bestFit="1" customWidth="1"/>
    <col min="29" max="29" width="1.7109375" style="66" customWidth="1"/>
    <col min="30" max="30" width="13" style="66" bestFit="1" customWidth="1"/>
    <col min="31" max="16384" width="9.140625" style="66"/>
  </cols>
  <sheetData>
    <row r="1" spans="1:37">
      <c r="A1" s="64"/>
      <c r="B1" s="65"/>
      <c r="C1" s="65"/>
      <c r="D1" s="65"/>
    </row>
    <row r="2" spans="1:37">
      <c r="A2" s="67" t="s">
        <v>4</v>
      </c>
      <c r="B2" s="68"/>
      <c r="C2" s="68"/>
      <c r="D2" s="68"/>
      <c r="K2" s="69"/>
      <c r="Q2" s="67"/>
    </row>
    <row r="3" spans="1:37">
      <c r="B3" s="70" t="s">
        <v>6</v>
      </c>
      <c r="C3" s="70" t="s">
        <v>33</v>
      </c>
      <c r="D3" s="70" t="s">
        <v>40</v>
      </c>
      <c r="L3" s="71" t="s">
        <v>7</v>
      </c>
      <c r="M3" s="72" t="s">
        <v>48</v>
      </c>
      <c r="N3" s="72" t="s">
        <v>70</v>
      </c>
      <c r="AB3" s="73" t="s">
        <v>5</v>
      </c>
      <c r="AD3" s="73" t="s">
        <v>72</v>
      </c>
    </row>
    <row r="4" spans="1:37">
      <c r="B4" s="74" t="s">
        <v>65</v>
      </c>
      <c r="C4" s="74" t="s">
        <v>66</v>
      </c>
      <c r="D4" s="74" t="s">
        <v>65</v>
      </c>
      <c r="E4" s="102">
        <v>43252</v>
      </c>
      <c r="F4" s="102">
        <v>43282</v>
      </c>
      <c r="G4" s="102">
        <v>43313</v>
      </c>
      <c r="H4" s="102">
        <v>43344</v>
      </c>
      <c r="I4" s="102">
        <v>43374</v>
      </c>
      <c r="J4" s="102">
        <v>43405</v>
      </c>
      <c r="K4" s="102">
        <v>43435</v>
      </c>
      <c r="L4" s="75" t="s">
        <v>67</v>
      </c>
      <c r="M4" s="76" t="s">
        <v>34</v>
      </c>
      <c r="N4" s="76" t="s">
        <v>34</v>
      </c>
      <c r="O4" s="77"/>
      <c r="P4" s="78">
        <v>43101</v>
      </c>
      <c r="Q4" s="78">
        <v>43132</v>
      </c>
      <c r="R4" s="78">
        <v>43160</v>
      </c>
      <c r="S4" s="78">
        <v>43191</v>
      </c>
      <c r="T4" s="78">
        <v>43221</v>
      </c>
      <c r="U4" s="78">
        <v>43252</v>
      </c>
      <c r="V4" s="78">
        <v>43282</v>
      </c>
      <c r="W4" s="78">
        <v>43313</v>
      </c>
      <c r="X4" s="78">
        <v>43344</v>
      </c>
      <c r="Y4" s="78">
        <v>43374</v>
      </c>
      <c r="Z4" s="78">
        <v>43405</v>
      </c>
      <c r="AA4" s="78">
        <v>43435</v>
      </c>
      <c r="AB4" s="78" t="s">
        <v>71</v>
      </c>
      <c r="AC4" s="79"/>
      <c r="AD4" s="76" t="s">
        <v>34</v>
      </c>
      <c r="AE4" s="79"/>
      <c r="AF4" s="79"/>
      <c r="AG4" s="79"/>
      <c r="AH4" s="79"/>
      <c r="AI4" s="79"/>
      <c r="AJ4" s="79"/>
      <c r="AK4" s="79"/>
    </row>
    <row r="5" spans="1:37">
      <c r="E5" s="77"/>
      <c r="F5" s="77"/>
      <c r="G5" s="77"/>
      <c r="H5" s="77"/>
      <c r="I5" s="77"/>
      <c r="J5" s="77"/>
      <c r="K5" s="77"/>
      <c r="L5" s="76"/>
      <c r="M5" s="76"/>
      <c r="N5" s="76"/>
      <c r="O5" s="79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9"/>
      <c r="AD5" s="1"/>
      <c r="AE5" s="79"/>
      <c r="AF5" s="79"/>
      <c r="AG5" s="79"/>
      <c r="AH5" s="79"/>
      <c r="AI5" s="79"/>
      <c r="AJ5" s="79"/>
      <c r="AK5" s="79"/>
    </row>
    <row r="6" spans="1:37">
      <c r="A6" s="67" t="s">
        <v>0</v>
      </c>
      <c r="B6" s="81"/>
      <c r="C6" s="81"/>
      <c r="D6" s="81"/>
      <c r="E6" s="79"/>
      <c r="F6" s="79"/>
      <c r="G6" s="79"/>
      <c r="H6" s="79"/>
      <c r="I6" s="79"/>
      <c r="J6" s="79"/>
      <c r="K6" s="79"/>
      <c r="L6" s="79"/>
      <c r="M6" s="79"/>
      <c r="N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D6" s="1"/>
    </row>
    <row r="7" spans="1:37" ht="15">
      <c r="A7" s="58" t="s">
        <v>53</v>
      </c>
      <c r="B7" s="82">
        <v>888298.16</v>
      </c>
      <c r="C7" s="82">
        <v>143059</v>
      </c>
      <c r="D7" s="82">
        <f t="shared" ref="D7:D10" si="0">SUM(B7:C7)</f>
        <v>1031357.16</v>
      </c>
      <c r="E7" s="3">
        <v>500000</v>
      </c>
      <c r="F7" s="3">
        <v>500000</v>
      </c>
      <c r="G7" s="3">
        <v>375000</v>
      </c>
      <c r="H7" s="3">
        <v>175000</v>
      </c>
      <c r="I7" s="3">
        <v>375000</v>
      </c>
      <c r="J7" s="3">
        <v>2518643</v>
      </c>
      <c r="K7" s="3">
        <v>375000</v>
      </c>
      <c r="L7" s="3">
        <f t="shared" ref="L7:L10" si="1">SUM(D7:K7)</f>
        <v>5850000.1600000001</v>
      </c>
      <c r="M7" s="3">
        <v>4500000</v>
      </c>
      <c r="N7" s="115">
        <v>5850000</v>
      </c>
      <c r="P7" s="83">
        <v>350000</v>
      </c>
      <c r="Q7" s="83">
        <v>350000</v>
      </c>
      <c r="R7" s="83">
        <v>350000</v>
      </c>
      <c r="S7" s="83">
        <v>350000</v>
      </c>
      <c r="T7" s="83">
        <v>350000</v>
      </c>
      <c r="U7" s="83">
        <v>350000</v>
      </c>
      <c r="V7" s="83">
        <v>350000</v>
      </c>
      <c r="W7" s="83">
        <v>350000</v>
      </c>
      <c r="X7" s="83">
        <v>350000</v>
      </c>
      <c r="Y7" s="83">
        <v>350000</v>
      </c>
      <c r="Z7" s="83">
        <v>2608344</v>
      </c>
      <c r="AA7" s="83">
        <v>350000</v>
      </c>
      <c r="AB7" s="99">
        <f t="shared" ref="AB7:AB10" si="2">SUM(P7:AA7)</f>
        <v>6458344</v>
      </c>
      <c r="AC7" s="87"/>
      <c r="AD7" s="90">
        <f>6353344+105000</f>
        <v>6458344</v>
      </c>
    </row>
    <row r="8" spans="1:37" ht="15">
      <c r="A8" s="58" t="s">
        <v>1</v>
      </c>
      <c r="B8" s="82">
        <v>14466.98</v>
      </c>
      <c r="C8" s="82"/>
      <c r="D8" s="82">
        <f t="shared" si="0"/>
        <v>14466.98</v>
      </c>
      <c r="E8" s="106">
        <f t="shared" ref="E8:K8" si="3">+(+$N$8-$D$8)/7</f>
        <v>8647.5742857142868</v>
      </c>
      <c r="F8" s="106">
        <f t="shared" si="3"/>
        <v>8647.5742857142868</v>
      </c>
      <c r="G8" s="106">
        <f t="shared" si="3"/>
        <v>8647.5742857142868</v>
      </c>
      <c r="H8" s="106">
        <f t="shared" si="3"/>
        <v>8647.5742857142868</v>
      </c>
      <c r="I8" s="106">
        <f t="shared" si="3"/>
        <v>8647.5742857142868</v>
      </c>
      <c r="J8" s="106">
        <f t="shared" si="3"/>
        <v>8647.5742857142868</v>
      </c>
      <c r="K8" s="106">
        <f t="shared" si="3"/>
        <v>8647.5742857142868</v>
      </c>
      <c r="L8" s="3">
        <f t="shared" si="1"/>
        <v>75000.000000000015</v>
      </c>
      <c r="M8" s="3">
        <v>75000</v>
      </c>
      <c r="N8" s="115">
        <v>75000</v>
      </c>
      <c r="P8" s="83">
        <f>+$AD$8/12</f>
        <v>6250</v>
      </c>
      <c r="Q8" s="83">
        <f t="shared" ref="Q8:AA8" si="4">+$AD$8/12</f>
        <v>6250</v>
      </c>
      <c r="R8" s="83">
        <f t="shared" si="4"/>
        <v>6250</v>
      </c>
      <c r="S8" s="83">
        <f t="shared" si="4"/>
        <v>6250</v>
      </c>
      <c r="T8" s="83">
        <f t="shared" si="4"/>
        <v>6250</v>
      </c>
      <c r="U8" s="83">
        <f t="shared" si="4"/>
        <v>6250</v>
      </c>
      <c r="V8" s="83">
        <f t="shared" si="4"/>
        <v>6250</v>
      </c>
      <c r="W8" s="83">
        <f t="shared" si="4"/>
        <v>6250</v>
      </c>
      <c r="X8" s="83">
        <f t="shared" si="4"/>
        <v>6250</v>
      </c>
      <c r="Y8" s="83">
        <f t="shared" si="4"/>
        <v>6250</v>
      </c>
      <c r="Z8" s="83">
        <f t="shared" si="4"/>
        <v>6250</v>
      </c>
      <c r="AA8" s="83">
        <f t="shared" si="4"/>
        <v>6250</v>
      </c>
      <c r="AB8" s="99">
        <f t="shared" si="2"/>
        <v>75000</v>
      </c>
      <c r="AC8" s="87"/>
      <c r="AD8" s="90">
        <v>75000</v>
      </c>
    </row>
    <row r="9" spans="1:37" ht="15">
      <c r="A9" s="58" t="s">
        <v>54</v>
      </c>
      <c r="B9" s="82">
        <v>758140.31</v>
      </c>
      <c r="C9" s="82"/>
      <c r="D9" s="82">
        <f t="shared" si="0"/>
        <v>758140.31</v>
      </c>
      <c r="E9" s="106">
        <f t="shared" ref="E9:K9" si="5">+(+$N$9-$D$9)/7</f>
        <v>84551.384285714274</v>
      </c>
      <c r="F9" s="106">
        <f t="shared" si="5"/>
        <v>84551.384285714274</v>
      </c>
      <c r="G9" s="106">
        <f t="shared" si="5"/>
        <v>84551.384285714274</v>
      </c>
      <c r="H9" s="106">
        <f t="shared" si="5"/>
        <v>84551.384285714274</v>
      </c>
      <c r="I9" s="106">
        <f t="shared" si="5"/>
        <v>84551.384285714274</v>
      </c>
      <c r="J9" s="106">
        <f t="shared" si="5"/>
        <v>84551.384285714274</v>
      </c>
      <c r="K9" s="106">
        <f t="shared" si="5"/>
        <v>84551.384285714274</v>
      </c>
      <c r="L9" s="3">
        <f t="shared" si="1"/>
        <v>1349999.9999999998</v>
      </c>
      <c r="M9" s="3">
        <v>2700112</v>
      </c>
      <c r="N9" s="115">
        <v>1350000</v>
      </c>
      <c r="P9" s="83">
        <f>+$AD$9/12</f>
        <v>106416.66666666667</v>
      </c>
      <c r="Q9" s="83">
        <f t="shared" ref="Q9:AA9" si="6">+$AD$9/12</f>
        <v>106416.66666666667</v>
      </c>
      <c r="R9" s="83">
        <f t="shared" si="6"/>
        <v>106416.66666666667</v>
      </c>
      <c r="S9" s="83">
        <f t="shared" si="6"/>
        <v>106416.66666666667</v>
      </c>
      <c r="T9" s="83">
        <f t="shared" si="6"/>
        <v>106416.66666666667</v>
      </c>
      <c r="U9" s="83">
        <f t="shared" si="6"/>
        <v>106416.66666666667</v>
      </c>
      <c r="V9" s="83">
        <f t="shared" si="6"/>
        <v>106416.66666666667</v>
      </c>
      <c r="W9" s="83">
        <f t="shared" si="6"/>
        <v>106416.66666666667</v>
      </c>
      <c r="X9" s="83">
        <f t="shared" si="6"/>
        <v>106416.66666666667</v>
      </c>
      <c r="Y9" s="83">
        <f t="shared" si="6"/>
        <v>106416.66666666667</v>
      </c>
      <c r="Z9" s="83">
        <f t="shared" si="6"/>
        <v>106416.66666666667</v>
      </c>
      <c r="AA9" s="83">
        <f t="shared" si="6"/>
        <v>106416.66666666667</v>
      </c>
      <c r="AB9" s="99">
        <f>SUM(P9:AA9)</f>
        <v>1277000</v>
      </c>
      <c r="AC9" s="87"/>
      <c r="AD9" s="90">
        <f>1231000+46000</f>
        <v>1277000</v>
      </c>
    </row>
    <row r="10" spans="1:37" ht="15">
      <c r="A10" s="58" t="s">
        <v>52</v>
      </c>
      <c r="B10" s="82">
        <v>3905691.38</v>
      </c>
      <c r="C10" s="82">
        <f>833140.63+87946.53</f>
        <v>921087.16</v>
      </c>
      <c r="D10" s="82">
        <f t="shared" si="0"/>
        <v>4826778.54</v>
      </c>
      <c r="E10" s="106">
        <f t="shared" ref="E10:K10" si="7">+(+$N$10-$D$10)/7</f>
        <v>1340978.78</v>
      </c>
      <c r="F10" s="106">
        <f t="shared" si="7"/>
        <v>1340978.78</v>
      </c>
      <c r="G10" s="106">
        <f t="shared" si="7"/>
        <v>1340978.78</v>
      </c>
      <c r="H10" s="106">
        <f t="shared" si="7"/>
        <v>1340978.78</v>
      </c>
      <c r="I10" s="106">
        <f t="shared" si="7"/>
        <v>1340978.78</v>
      </c>
      <c r="J10" s="106">
        <f t="shared" si="7"/>
        <v>1340978.78</v>
      </c>
      <c r="K10" s="106">
        <f t="shared" si="7"/>
        <v>1340978.78</v>
      </c>
      <c r="L10" s="3">
        <f t="shared" si="1"/>
        <v>14213629.999999998</v>
      </c>
      <c r="M10" s="101">
        <v>13482751</v>
      </c>
      <c r="N10" s="115">
        <v>14213630</v>
      </c>
      <c r="P10" s="83">
        <f>+$AD$10/12</f>
        <v>1239150</v>
      </c>
      <c r="Q10" s="83">
        <f t="shared" ref="Q10:AA10" si="8">+$AD$10/12</f>
        <v>1239150</v>
      </c>
      <c r="R10" s="83">
        <f t="shared" si="8"/>
        <v>1239150</v>
      </c>
      <c r="S10" s="83">
        <f t="shared" si="8"/>
        <v>1239150</v>
      </c>
      <c r="T10" s="83">
        <f t="shared" si="8"/>
        <v>1239150</v>
      </c>
      <c r="U10" s="83">
        <f t="shared" si="8"/>
        <v>1239150</v>
      </c>
      <c r="V10" s="83">
        <f t="shared" si="8"/>
        <v>1239150</v>
      </c>
      <c r="W10" s="83">
        <f t="shared" si="8"/>
        <v>1239150</v>
      </c>
      <c r="X10" s="83">
        <f t="shared" si="8"/>
        <v>1239150</v>
      </c>
      <c r="Y10" s="83">
        <f t="shared" si="8"/>
        <v>1239150</v>
      </c>
      <c r="Z10" s="83">
        <f t="shared" si="8"/>
        <v>1239150</v>
      </c>
      <c r="AA10" s="83">
        <f t="shared" si="8"/>
        <v>1239150</v>
      </c>
      <c r="AB10" s="99">
        <f t="shared" si="2"/>
        <v>14869800</v>
      </c>
      <c r="AC10" s="87"/>
      <c r="AD10" s="90">
        <f>14624800+245000</f>
        <v>14869800</v>
      </c>
    </row>
    <row r="11" spans="1:37" ht="15">
      <c r="A11" s="73"/>
      <c r="B11" s="59">
        <f t="shared" ref="B11:N11" si="9">SUM(B7:B10)</f>
        <v>5566596.8300000001</v>
      </c>
      <c r="C11" s="59">
        <f t="shared" si="9"/>
        <v>1064146.1600000001</v>
      </c>
      <c r="D11" s="59">
        <f t="shared" si="9"/>
        <v>6630742.9900000002</v>
      </c>
      <c r="E11" s="2">
        <f t="shared" si="9"/>
        <v>1934177.7385714287</v>
      </c>
      <c r="F11" s="2">
        <f t="shared" si="9"/>
        <v>1934177.7385714287</v>
      </c>
      <c r="G11" s="2">
        <f t="shared" ref="G11:J11" si="10">SUM(G7:G10)</f>
        <v>1809177.7385714287</v>
      </c>
      <c r="H11" s="2">
        <f t="shared" si="10"/>
        <v>1609177.7385714287</v>
      </c>
      <c r="I11" s="2">
        <f t="shared" si="10"/>
        <v>1809177.7385714287</v>
      </c>
      <c r="J11" s="2">
        <f t="shared" si="10"/>
        <v>3952820.7385714287</v>
      </c>
      <c r="K11" s="2">
        <f t="shared" si="9"/>
        <v>1809177.7385714287</v>
      </c>
      <c r="L11" s="2">
        <f t="shared" si="9"/>
        <v>21488630.159999996</v>
      </c>
      <c r="M11" s="2">
        <f t="shared" ref="M11" si="11">SUM(M7:M10)</f>
        <v>20757863</v>
      </c>
      <c r="N11" s="116">
        <f t="shared" si="9"/>
        <v>21488630</v>
      </c>
      <c r="P11" s="88">
        <f t="shared" ref="P11:AB11" si="12">SUM(P7:P10)</f>
        <v>1701816.6666666667</v>
      </c>
      <c r="Q11" s="88">
        <f t="shared" si="12"/>
        <v>1701816.6666666667</v>
      </c>
      <c r="R11" s="88">
        <f t="shared" si="12"/>
        <v>1701816.6666666667</v>
      </c>
      <c r="S11" s="88">
        <f t="shared" si="12"/>
        <v>1701816.6666666667</v>
      </c>
      <c r="T11" s="88">
        <f t="shared" si="12"/>
        <v>1701816.6666666667</v>
      </c>
      <c r="U11" s="88">
        <f t="shared" si="12"/>
        <v>1701816.6666666667</v>
      </c>
      <c r="V11" s="88">
        <f t="shared" si="12"/>
        <v>1701816.6666666667</v>
      </c>
      <c r="W11" s="88">
        <f t="shared" si="12"/>
        <v>1701816.6666666667</v>
      </c>
      <c r="X11" s="88">
        <f t="shared" si="12"/>
        <v>1701816.6666666667</v>
      </c>
      <c r="Y11" s="88">
        <f t="shared" si="12"/>
        <v>1701816.6666666667</v>
      </c>
      <c r="Z11" s="88">
        <f t="shared" si="12"/>
        <v>3960160.6666666665</v>
      </c>
      <c r="AA11" s="88">
        <f t="shared" si="12"/>
        <v>1701816.6666666667</v>
      </c>
      <c r="AB11" s="89">
        <f t="shared" si="12"/>
        <v>22680144</v>
      </c>
      <c r="AC11" s="87"/>
      <c r="AD11" s="89">
        <f>SUM(AD7:AD10)</f>
        <v>22680144</v>
      </c>
    </row>
    <row r="12" spans="1:37" ht="15">
      <c r="B12" s="82"/>
      <c r="C12" s="82"/>
      <c r="D12" s="82"/>
      <c r="E12" s="1"/>
      <c r="F12" s="1"/>
      <c r="G12" s="1"/>
      <c r="H12" s="1"/>
      <c r="I12" s="1"/>
      <c r="J12" s="1"/>
      <c r="K12" s="1"/>
      <c r="L12" s="1"/>
      <c r="M12" s="1"/>
      <c r="N12" s="117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90"/>
      <c r="AC12" s="87"/>
      <c r="AD12" s="90"/>
    </row>
    <row r="13" spans="1:37" ht="15">
      <c r="A13" s="67" t="s">
        <v>55</v>
      </c>
      <c r="B13" s="81"/>
      <c r="C13" s="81"/>
      <c r="D13" s="81"/>
      <c r="E13" s="1"/>
      <c r="F13" s="1"/>
      <c r="G13" s="1"/>
      <c r="H13" s="1"/>
      <c r="I13" s="1"/>
      <c r="J13" s="1"/>
      <c r="K13" s="1"/>
      <c r="L13" s="1"/>
      <c r="M13" s="1"/>
      <c r="N13" s="117"/>
      <c r="P13" s="83" t="s">
        <v>3</v>
      </c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90"/>
      <c r="AC13" s="87"/>
      <c r="AD13" s="90"/>
    </row>
    <row r="14" spans="1:37" ht="15">
      <c r="A14" s="58" t="s">
        <v>56</v>
      </c>
      <c r="B14" s="82">
        <f>6287870.99+(3956182.2*0.76)</f>
        <v>9294569.4620000012</v>
      </c>
      <c r="C14" s="82">
        <f>(280047.01+2481764.17)*0.76</f>
        <v>2098976.4967999998</v>
      </c>
      <c r="D14" s="82">
        <f>SUM(B14:C14)</f>
        <v>11393545.958800001</v>
      </c>
      <c r="E14" s="3"/>
      <c r="F14" s="3"/>
      <c r="G14" s="3"/>
      <c r="H14" s="3"/>
      <c r="I14" s="3"/>
      <c r="J14" s="3"/>
      <c r="K14" s="3"/>
      <c r="L14" s="119">
        <f>SUM(D15:K15)+D14</f>
        <v>33943340.000000007</v>
      </c>
      <c r="M14" s="120">
        <v>37978641</v>
      </c>
      <c r="N14" s="115">
        <f>30943340+2000000+1000000</f>
        <v>33943340</v>
      </c>
      <c r="P14" s="83">
        <f>+$AD$14/12</f>
        <v>2986771.5</v>
      </c>
      <c r="Q14" s="83">
        <f t="shared" ref="Q14:AA14" si="13">+$AD$14/12</f>
        <v>2986771.5</v>
      </c>
      <c r="R14" s="83">
        <f t="shared" si="13"/>
        <v>2986771.5</v>
      </c>
      <c r="S14" s="83">
        <f t="shared" si="13"/>
        <v>2986771.5</v>
      </c>
      <c r="T14" s="83">
        <f t="shared" si="13"/>
        <v>2986771.5</v>
      </c>
      <c r="U14" s="83">
        <f t="shared" si="13"/>
        <v>2986771.5</v>
      </c>
      <c r="V14" s="83">
        <f t="shared" si="13"/>
        <v>2986771.5</v>
      </c>
      <c r="W14" s="83">
        <f t="shared" si="13"/>
        <v>2986771.5</v>
      </c>
      <c r="X14" s="83">
        <f t="shared" si="13"/>
        <v>2986771.5</v>
      </c>
      <c r="Y14" s="83">
        <f t="shared" si="13"/>
        <v>2986771.5</v>
      </c>
      <c r="Z14" s="83">
        <f t="shared" si="13"/>
        <v>2986771.5</v>
      </c>
      <c r="AA14" s="83">
        <f t="shared" si="13"/>
        <v>2986771.5</v>
      </c>
      <c r="AB14" s="99">
        <f>SUM(P14:AA14)</f>
        <v>35841258</v>
      </c>
      <c r="AC14" s="87"/>
      <c r="AD14" s="90">
        <f>32961250+815500+64508+2000000</f>
        <v>35841258</v>
      </c>
    </row>
    <row r="15" spans="1:37" ht="15">
      <c r="A15" s="58" t="s">
        <v>57</v>
      </c>
      <c r="B15" s="82">
        <f>72101.18+1519253.52+(3956182.2*0.24)</f>
        <v>2540838.4279999998</v>
      </c>
      <c r="C15" s="82">
        <f>(280047.01+2481764.17)*0.24</f>
        <v>662834.68319999985</v>
      </c>
      <c r="D15" s="82">
        <f>SUM(B15:C15)</f>
        <v>3203673.1111999997</v>
      </c>
      <c r="E15" s="3">
        <f>+($N$14-($D$15+$D$14))/7</f>
        <v>2763731.5614285716</v>
      </c>
      <c r="F15" s="3">
        <f t="shared" ref="F15:K15" si="14">+($N$14-($D$15+$D$14))/7</f>
        <v>2763731.5614285716</v>
      </c>
      <c r="G15" s="3">
        <f t="shared" si="14"/>
        <v>2763731.5614285716</v>
      </c>
      <c r="H15" s="3">
        <f t="shared" si="14"/>
        <v>2763731.5614285716</v>
      </c>
      <c r="I15" s="3">
        <f t="shared" si="14"/>
        <v>2763731.5614285716</v>
      </c>
      <c r="J15" s="3">
        <f t="shared" si="14"/>
        <v>2763731.5614285716</v>
      </c>
      <c r="K15" s="3">
        <f t="shared" si="14"/>
        <v>2763731.5614285716</v>
      </c>
      <c r="L15" s="119"/>
      <c r="M15" s="120"/>
      <c r="N15" s="115">
        <v>0</v>
      </c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100"/>
      <c r="AC15" s="87"/>
      <c r="AD15" s="90"/>
    </row>
    <row r="16" spans="1:37" ht="15">
      <c r="A16" s="58" t="s">
        <v>37</v>
      </c>
      <c r="B16" s="82">
        <v>4122.41</v>
      </c>
      <c r="C16" s="82"/>
      <c r="D16" s="82">
        <f>SUM(B16:C16)</f>
        <v>4122.41</v>
      </c>
      <c r="E16" s="107">
        <v>3000</v>
      </c>
      <c r="F16" s="106">
        <v>3000</v>
      </c>
      <c r="G16" s="106">
        <v>3000</v>
      </c>
      <c r="H16" s="106">
        <v>3000</v>
      </c>
      <c r="I16" s="106">
        <v>477878</v>
      </c>
      <c r="J16" s="106">
        <v>3000</v>
      </c>
      <c r="K16" s="106">
        <v>3000</v>
      </c>
      <c r="L16" s="3">
        <f>SUM(D16:K16)</f>
        <v>500000.41</v>
      </c>
      <c r="M16" s="3">
        <f>600000-100000</f>
        <v>500000</v>
      </c>
      <c r="N16" s="115">
        <v>500000</v>
      </c>
      <c r="P16" s="83">
        <f>+$AD$16/12</f>
        <v>63541.666666666664</v>
      </c>
      <c r="Q16" s="83">
        <f t="shared" ref="Q16:AA16" si="15">+$AD$16/12</f>
        <v>63541.666666666664</v>
      </c>
      <c r="R16" s="83">
        <f t="shared" si="15"/>
        <v>63541.666666666664</v>
      </c>
      <c r="S16" s="83">
        <f t="shared" si="15"/>
        <v>63541.666666666664</v>
      </c>
      <c r="T16" s="83">
        <f t="shared" si="15"/>
        <v>63541.666666666664</v>
      </c>
      <c r="U16" s="83">
        <f t="shared" si="15"/>
        <v>63541.666666666664</v>
      </c>
      <c r="V16" s="83">
        <f t="shared" si="15"/>
        <v>63541.666666666664</v>
      </c>
      <c r="W16" s="83">
        <f t="shared" si="15"/>
        <v>63541.666666666664</v>
      </c>
      <c r="X16" s="83">
        <f t="shared" si="15"/>
        <v>63541.666666666664</v>
      </c>
      <c r="Y16" s="83">
        <f t="shared" si="15"/>
        <v>63541.666666666664</v>
      </c>
      <c r="Z16" s="83">
        <f t="shared" si="15"/>
        <v>63541.666666666664</v>
      </c>
      <c r="AA16" s="83">
        <f t="shared" si="15"/>
        <v>63541.666666666664</v>
      </c>
      <c r="AB16" s="99">
        <f>SUM(P16:AA16)</f>
        <v>762499.99999999988</v>
      </c>
      <c r="AC16" s="87"/>
      <c r="AD16" s="90">
        <f>750000+12500</f>
        <v>762500</v>
      </c>
    </row>
    <row r="17" spans="1:30" ht="15">
      <c r="A17" s="73"/>
      <c r="B17" s="59">
        <f t="shared" ref="B17:N17" si="16">SUM(B14:B16)</f>
        <v>11839530.300000001</v>
      </c>
      <c r="C17" s="59">
        <f t="shared" si="16"/>
        <v>2761811.1799999997</v>
      </c>
      <c r="D17" s="59">
        <f t="shared" si="16"/>
        <v>14601341.48</v>
      </c>
      <c r="E17" s="59">
        <f t="shared" si="16"/>
        <v>2766731.5614285716</v>
      </c>
      <c r="F17" s="59">
        <f t="shared" si="16"/>
        <v>2766731.5614285716</v>
      </c>
      <c r="G17" s="59">
        <f t="shared" ref="G17:J17" si="17">SUM(G14:G16)</f>
        <v>2766731.5614285716</v>
      </c>
      <c r="H17" s="59">
        <f t="shared" si="17"/>
        <v>2766731.5614285716</v>
      </c>
      <c r="I17" s="59">
        <f t="shared" si="17"/>
        <v>3241609.5614285716</v>
      </c>
      <c r="J17" s="59">
        <f t="shared" si="17"/>
        <v>2766731.5614285716</v>
      </c>
      <c r="K17" s="59">
        <f t="shared" si="16"/>
        <v>2766731.5614285716</v>
      </c>
      <c r="L17" s="2">
        <f t="shared" si="16"/>
        <v>34443340.410000004</v>
      </c>
      <c r="M17" s="2">
        <f t="shared" ref="M17" si="18">SUM(M14:M16)</f>
        <v>38478641</v>
      </c>
      <c r="N17" s="116">
        <f t="shared" si="16"/>
        <v>34443340</v>
      </c>
      <c r="P17" s="88">
        <f t="shared" ref="P17:AB17" si="19">SUM(P14:P16)</f>
        <v>3050313.1666666665</v>
      </c>
      <c r="Q17" s="88">
        <f t="shared" si="19"/>
        <v>3050313.1666666665</v>
      </c>
      <c r="R17" s="88">
        <f t="shared" si="19"/>
        <v>3050313.1666666665</v>
      </c>
      <c r="S17" s="88">
        <f t="shared" si="19"/>
        <v>3050313.1666666665</v>
      </c>
      <c r="T17" s="88">
        <f t="shared" si="19"/>
        <v>3050313.1666666665</v>
      </c>
      <c r="U17" s="88">
        <f t="shared" si="19"/>
        <v>3050313.1666666665</v>
      </c>
      <c r="V17" s="88">
        <f t="shared" si="19"/>
        <v>3050313.1666666665</v>
      </c>
      <c r="W17" s="88">
        <f t="shared" si="19"/>
        <v>3050313.1666666665</v>
      </c>
      <c r="X17" s="88">
        <f t="shared" si="19"/>
        <v>3050313.1666666665</v>
      </c>
      <c r="Y17" s="88">
        <f t="shared" si="19"/>
        <v>3050313.1666666665</v>
      </c>
      <c r="Z17" s="88">
        <f t="shared" si="19"/>
        <v>3050313.1666666665</v>
      </c>
      <c r="AA17" s="88">
        <f t="shared" si="19"/>
        <v>3050313.1666666665</v>
      </c>
      <c r="AB17" s="89">
        <f t="shared" si="19"/>
        <v>36603758</v>
      </c>
      <c r="AC17" s="87"/>
      <c r="AD17" s="89">
        <f>SUM(AD14:AD16)</f>
        <v>36603758</v>
      </c>
    </row>
    <row r="18" spans="1:30" ht="15">
      <c r="A18" s="73"/>
      <c r="B18" s="81"/>
      <c r="C18" s="81"/>
      <c r="D18" s="81"/>
      <c r="E18" s="3"/>
      <c r="F18" s="3"/>
      <c r="G18" s="3"/>
      <c r="H18" s="3"/>
      <c r="I18" s="3"/>
      <c r="J18" s="3"/>
      <c r="K18" s="3"/>
      <c r="L18" s="3"/>
      <c r="M18" s="3"/>
      <c r="N18" s="115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99"/>
      <c r="AC18" s="87"/>
      <c r="AD18" s="90"/>
    </row>
    <row r="19" spans="1:30" ht="15">
      <c r="A19" s="58" t="s">
        <v>38</v>
      </c>
      <c r="B19" s="82">
        <v>314557.03999999998</v>
      </c>
      <c r="C19" s="82"/>
      <c r="D19" s="82">
        <f t="shared" ref="D19:D23" si="20">SUM(B19:C19)</f>
        <v>314557.03999999998</v>
      </c>
      <c r="E19" s="106">
        <f>+(+$N$19-$D$19)/7</f>
        <v>144348.99428571429</v>
      </c>
      <c r="F19" s="106">
        <f t="shared" ref="F19:K19" si="21">+(+$N$19-$D$19)/7</f>
        <v>144348.99428571429</v>
      </c>
      <c r="G19" s="106">
        <f t="shared" si="21"/>
        <v>144348.99428571429</v>
      </c>
      <c r="H19" s="106">
        <f t="shared" si="21"/>
        <v>144348.99428571429</v>
      </c>
      <c r="I19" s="106">
        <f t="shared" si="21"/>
        <v>144348.99428571429</v>
      </c>
      <c r="J19" s="106">
        <f t="shared" si="21"/>
        <v>144348.99428571429</v>
      </c>
      <c r="K19" s="106">
        <f t="shared" si="21"/>
        <v>144348.99428571429</v>
      </c>
      <c r="L19" s="3">
        <f>SUM(D19:K19)</f>
        <v>1325000.0000000002</v>
      </c>
      <c r="M19" s="3">
        <v>1325000</v>
      </c>
      <c r="N19" s="115">
        <v>1325000</v>
      </c>
      <c r="P19" s="83">
        <f>+$AD$19/12</f>
        <v>125000</v>
      </c>
      <c r="Q19" s="83">
        <f t="shared" ref="Q19:AA19" si="22">+$AD$19/12</f>
        <v>125000</v>
      </c>
      <c r="R19" s="83">
        <f t="shared" si="22"/>
        <v>125000</v>
      </c>
      <c r="S19" s="83">
        <f t="shared" si="22"/>
        <v>125000</v>
      </c>
      <c r="T19" s="83">
        <f t="shared" si="22"/>
        <v>125000</v>
      </c>
      <c r="U19" s="83">
        <f t="shared" si="22"/>
        <v>125000</v>
      </c>
      <c r="V19" s="83">
        <f t="shared" si="22"/>
        <v>125000</v>
      </c>
      <c r="W19" s="83">
        <f t="shared" si="22"/>
        <v>125000</v>
      </c>
      <c r="X19" s="83">
        <f t="shared" si="22"/>
        <v>125000</v>
      </c>
      <c r="Y19" s="83">
        <f t="shared" si="22"/>
        <v>125000</v>
      </c>
      <c r="Z19" s="83">
        <f t="shared" si="22"/>
        <v>125000</v>
      </c>
      <c r="AA19" s="83">
        <f t="shared" si="22"/>
        <v>125000</v>
      </c>
      <c r="AB19" s="99">
        <f>SUM(P19:AA19)</f>
        <v>1500000</v>
      </c>
      <c r="AC19" s="87"/>
      <c r="AD19" s="90">
        <v>1500000</v>
      </c>
    </row>
    <row r="20" spans="1:30" ht="15">
      <c r="A20" s="58" t="s">
        <v>51</v>
      </c>
      <c r="B20" s="82">
        <v>135114.29999999999</v>
      </c>
      <c r="C20" s="82"/>
      <c r="D20" s="82">
        <f t="shared" si="20"/>
        <v>135114.29999999999</v>
      </c>
      <c r="E20" s="106">
        <v>5886</v>
      </c>
      <c r="F20" s="106">
        <v>7000</v>
      </c>
      <c r="G20" s="106">
        <v>10000</v>
      </c>
      <c r="H20" s="106">
        <v>10500</v>
      </c>
      <c r="I20" s="106">
        <v>9500</v>
      </c>
      <c r="J20" s="106">
        <v>10000</v>
      </c>
      <c r="K20" s="106">
        <v>20000</v>
      </c>
      <c r="L20" s="3">
        <f>SUM(D20:K20)</f>
        <v>208000.3</v>
      </c>
      <c r="M20" s="3">
        <f>171600+50000-17600</f>
        <v>204000</v>
      </c>
      <c r="N20" s="115">
        <v>208000</v>
      </c>
      <c r="P20" s="83">
        <v>66508</v>
      </c>
      <c r="Q20" s="83">
        <v>12000</v>
      </c>
      <c r="R20" s="83">
        <v>12000</v>
      </c>
      <c r="S20" s="83">
        <v>12000</v>
      </c>
      <c r="T20" s="83">
        <v>7000</v>
      </c>
      <c r="U20" s="83">
        <v>7000</v>
      </c>
      <c r="V20" s="83">
        <v>7000</v>
      </c>
      <c r="W20" s="83">
        <v>7000</v>
      </c>
      <c r="X20" s="83">
        <v>7000</v>
      </c>
      <c r="Y20" s="83">
        <v>12000</v>
      </c>
      <c r="Z20" s="83">
        <v>12000</v>
      </c>
      <c r="AA20" s="83">
        <v>106000</v>
      </c>
      <c r="AB20" s="99">
        <f>SUM(P20:AA20)</f>
        <v>267508</v>
      </c>
      <c r="AC20" s="87"/>
      <c r="AD20" s="90">
        <v>267508</v>
      </c>
    </row>
    <row r="21" spans="1:30" ht="15">
      <c r="A21" s="58" t="s">
        <v>49</v>
      </c>
      <c r="B21" s="82">
        <v>101424</v>
      </c>
      <c r="C21" s="82">
        <f>4244+19877.4</f>
        <v>24121.4</v>
      </c>
      <c r="D21" s="82">
        <f t="shared" si="20"/>
        <v>125545.4</v>
      </c>
      <c r="E21" s="106">
        <v>15000</v>
      </c>
      <c r="F21" s="106">
        <v>15000</v>
      </c>
      <c r="G21" s="106">
        <v>15000</v>
      </c>
      <c r="H21" s="106">
        <v>75000</v>
      </c>
      <c r="I21" s="106">
        <v>75000</v>
      </c>
      <c r="J21" s="106">
        <v>75000</v>
      </c>
      <c r="K21" s="106">
        <v>22455</v>
      </c>
      <c r="L21" s="3">
        <f>SUM(D21:K21)</f>
        <v>418000.4</v>
      </c>
      <c r="M21" s="3">
        <v>165460.19</v>
      </c>
      <c r="N21" s="115">
        <v>418000</v>
      </c>
      <c r="P21" s="83">
        <f>+$AD$21/12</f>
        <v>21266.708333333332</v>
      </c>
      <c r="Q21" s="83">
        <f t="shared" ref="Q21:AA21" si="23">+$AD$21/12</f>
        <v>21266.708333333332</v>
      </c>
      <c r="R21" s="83">
        <f t="shared" si="23"/>
        <v>21266.708333333332</v>
      </c>
      <c r="S21" s="83">
        <f t="shared" si="23"/>
        <v>21266.708333333332</v>
      </c>
      <c r="T21" s="83">
        <f t="shared" si="23"/>
        <v>21266.708333333332</v>
      </c>
      <c r="U21" s="83">
        <f t="shared" si="23"/>
        <v>21266.708333333332</v>
      </c>
      <c r="V21" s="83">
        <f t="shared" si="23"/>
        <v>21266.708333333332</v>
      </c>
      <c r="W21" s="83">
        <f t="shared" si="23"/>
        <v>21266.708333333332</v>
      </c>
      <c r="X21" s="83">
        <f t="shared" si="23"/>
        <v>21266.708333333332</v>
      </c>
      <c r="Y21" s="83">
        <f t="shared" si="23"/>
        <v>21266.708333333332</v>
      </c>
      <c r="Z21" s="83">
        <f t="shared" si="23"/>
        <v>21266.708333333332</v>
      </c>
      <c r="AA21" s="83">
        <f t="shared" si="23"/>
        <v>21266.708333333332</v>
      </c>
      <c r="AB21" s="99">
        <f>SUM(P21:AA21)</f>
        <v>255200.50000000003</v>
      </c>
      <c r="AC21" s="87"/>
      <c r="AD21" s="90">
        <f>236954+(36493*0.5)</f>
        <v>255200.5</v>
      </c>
    </row>
    <row r="22" spans="1:30" ht="15">
      <c r="A22" s="58" t="s">
        <v>50</v>
      </c>
      <c r="B22" s="82">
        <v>105650.65</v>
      </c>
      <c r="C22" s="82">
        <v>19676</v>
      </c>
      <c r="D22" s="82">
        <f t="shared" si="20"/>
        <v>125326.65</v>
      </c>
      <c r="E22" s="106">
        <v>8000</v>
      </c>
      <c r="F22" s="106">
        <v>8000</v>
      </c>
      <c r="G22" s="106">
        <v>8000</v>
      </c>
      <c r="H22" s="106">
        <v>8000</v>
      </c>
      <c r="I22" s="106">
        <v>7000</v>
      </c>
      <c r="J22" s="106">
        <v>7000</v>
      </c>
      <c r="K22" s="106">
        <v>7673</v>
      </c>
      <c r="L22" s="3">
        <f>SUM(D22:K22)</f>
        <v>178999.65</v>
      </c>
      <c r="M22" s="3">
        <v>403673.14</v>
      </c>
      <c r="N22" s="115">
        <v>179000</v>
      </c>
      <c r="P22" s="83">
        <f>+$AD$22/12</f>
        <v>20769.375</v>
      </c>
      <c r="Q22" s="83">
        <f t="shared" ref="Q22:AA22" si="24">+$AD$22/12</f>
        <v>20769.375</v>
      </c>
      <c r="R22" s="83">
        <f t="shared" si="24"/>
        <v>20769.375</v>
      </c>
      <c r="S22" s="83">
        <f t="shared" si="24"/>
        <v>20769.375</v>
      </c>
      <c r="T22" s="83">
        <f t="shared" si="24"/>
        <v>20769.375</v>
      </c>
      <c r="U22" s="83">
        <f t="shared" si="24"/>
        <v>20769.375</v>
      </c>
      <c r="V22" s="83">
        <f t="shared" si="24"/>
        <v>20769.375</v>
      </c>
      <c r="W22" s="83">
        <f t="shared" si="24"/>
        <v>20769.375</v>
      </c>
      <c r="X22" s="83">
        <f t="shared" si="24"/>
        <v>20769.375</v>
      </c>
      <c r="Y22" s="83">
        <f t="shared" si="24"/>
        <v>20769.375</v>
      </c>
      <c r="Z22" s="83">
        <f t="shared" si="24"/>
        <v>20769.375</v>
      </c>
      <c r="AA22" s="83">
        <f t="shared" si="24"/>
        <v>20769.375</v>
      </c>
      <c r="AB22" s="99">
        <f>SUM(P22:AA22)</f>
        <v>249232.5</v>
      </c>
      <c r="AC22" s="87"/>
      <c r="AD22" s="90">
        <f>230986+(36493*0.5)</f>
        <v>249232.5</v>
      </c>
    </row>
    <row r="23" spans="1:30" ht="15">
      <c r="A23" s="58" t="s">
        <v>42</v>
      </c>
      <c r="B23" s="82">
        <v>34884.910000000003</v>
      </c>
      <c r="C23" s="82"/>
      <c r="D23" s="82">
        <f t="shared" si="20"/>
        <v>34884.910000000003</v>
      </c>
      <c r="E23" s="106">
        <f>+(+$N$23-$D$23)/7</f>
        <v>4230.7271428571421</v>
      </c>
      <c r="F23" s="106">
        <f t="shared" ref="F23:K23" si="25">+(+$N$23-$D$23)/7</f>
        <v>4230.7271428571421</v>
      </c>
      <c r="G23" s="106">
        <f t="shared" si="25"/>
        <v>4230.7271428571421</v>
      </c>
      <c r="H23" s="106">
        <f t="shared" si="25"/>
        <v>4230.7271428571421</v>
      </c>
      <c r="I23" s="106">
        <f t="shared" si="25"/>
        <v>4230.7271428571421</v>
      </c>
      <c r="J23" s="106">
        <f t="shared" si="25"/>
        <v>4230.7271428571421</v>
      </c>
      <c r="K23" s="106">
        <f t="shared" si="25"/>
        <v>4230.7271428571421</v>
      </c>
      <c r="L23" s="3">
        <f>SUM(D23:K23)</f>
        <v>64499.999999999985</v>
      </c>
      <c r="M23" s="3">
        <v>13935</v>
      </c>
      <c r="N23" s="115">
        <v>64500</v>
      </c>
      <c r="P23" s="83">
        <f>+$AD$23/12</f>
        <v>1276</v>
      </c>
      <c r="Q23" s="83">
        <f t="shared" ref="Q23:AA23" si="26">+$AD$23/12</f>
        <v>1276</v>
      </c>
      <c r="R23" s="83">
        <f t="shared" si="26"/>
        <v>1276</v>
      </c>
      <c r="S23" s="83">
        <f t="shared" si="26"/>
        <v>1276</v>
      </c>
      <c r="T23" s="83">
        <f t="shared" si="26"/>
        <v>1276</v>
      </c>
      <c r="U23" s="83">
        <f t="shared" si="26"/>
        <v>1276</v>
      </c>
      <c r="V23" s="83">
        <f t="shared" si="26"/>
        <v>1276</v>
      </c>
      <c r="W23" s="83">
        <f t="shared" si="26"/>
        <v>1276</v>
      </c>
      <c r="X23" s="83">
        <f t="shared" si="26"/>
        <v>1276</v>
      </c>
      <c r="Y23" s="83">
        <f t="shared" si="26"/>
        <v>1276</v>
      </c>
      <c r="Z23" s="83">
        <f t="shared" si="26"/>
        <v>1276</v>
      </c>
      <c r="AA23" s="83">
        <f t="shared" si="26"/>
        <v>1276</v>
      </c>
      <c r="AB23" s="99">
        <f>SUM(P23:AA23)</f>
        <v>15312</v>
      </c>
      <c r="AC23" s="91"/>
      <c r="AD23" s="90">
        <f>13935+1377</f>
        <v>15312</v>
      </c>
    </row>
    <row r="24" spans="1:30" ht="15">
      <c r="B24" s="82"/>
      <c r="C24" s="82"/>
      <c r="D24" s="82"/>
      <c r="E24" s="40"/>
      <c r="F24" s="40"/>
      <c r="G24" s="40"/>
      <c r="H24" s="40"/>
      <c r="I24" s="40"/>
      <c r="J24" s="40"/>
      <c r="K24" s="40"/>
      <c r="L24" s="1"/>
      <c r="M24" s="1"/>
      <c r="N24" s="113"/>
      <c r="O24" s="79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90"/>
      <c r="AC24" s="91"/>
      <c r="AD24" s="90"/>
    </row>
    <row r="25" spans="1:30">
      <c r="A25" s="84" t="s">
        <v>2</v>
      </c>
      <c r="B25" s="59">
        <f t="shared" ref="B25:N25" si="27">+B11+B17+SUM(B19:B24)</f>
        <v>18097758.030000001</v>
      </c>
      <c r="C25" s="59">
        <f t="shared" si="27"/>
        <v>3869754.7399999998</v>
      </c>
      <c r="D25" s="59">
        <f t="shared" si="27"/>
        <v>21967512.77</v>
      </c>
      <c r="E25" s="59">
        <f t="shared" si="27"/>
        <v>4878375.021428572</v>
      </c>
      <c r="F25" s="59">
        <f t="shared" si="27"/>
        <v>4879489.021428572</v>
      </c>
      <c r="G25" s="59">
        <f t="shared" ref="G25:J25" si="28">+G11+G17+SUM(G19:G24)</f>
        <v>4757489.021428572</v>
      </c>
      <c r="H25" s="59">
        <f t="shared" si="28"/>
        <v>4617989.021428572</v>
      </c>
      <c r="I25" s="59">
        <f t="shared" si="28"/>
        <v>5290867.021428572</v>
      </c>
      <c r="J25" s="59">
        <f t="shared" si="28"/>
        <v>6960132.021428572</v>
      </c>
      <c r="K25" s="59">
        <f t="shared" si="27"/>
        <v>4774617.021428572</v>
      </c>
      <c r="L25" s="59">
        <f t="shared" si="27"/>
        <v>58126470.920000002</v>
      </c>
      <c r="M25" s="59">
        <f t="shared" ref="M25" si="29">+M11+M17+SUM(M19:M24)</f>
        <v>61348572.329999998</v>
      </c>
      <c r="N25" s="114">
        <f t="shared" si="27"/>
        <v>58126470</v>
      </c>
      <c r="O25" s="79"/>
      <c r="P25" s="59">
        <f t="shared" ref="P25:AB25" si="30">+P11+P17+SUM(P19:P24)</f>
        <v>4986949.916666666</v>
      </c>
      <c r="Q25" s="59">
        <f t="shared" si="30"/>
        <v>4932441.916666666</v>
      </c>
      <c r="R25" s="59">
        <f t="shared" si="30"/>
        <v>4932441.916666666</v>
      </c>
      <c r="S25" s="59">
        <f t="shared" si="30"/>
        <v>4932441.916666666</v>
      </c>
      <c r="T25" s="59">
        <f t="shared" si="30"/>
        <v>4927441.916666666</v>
      </c>
      <c r="U25" s="59">
        <f t="shared" si="30"/>
        <v>4927441.916666666</v>
      </c>
      <c r="V25" s="59">
        <f t="shared" si="30"/>
        <v>4927441.916666666</v>
      </c>
      <c r="W25" s="59">
        <f t="shared" si="30"/>
        <v>4927441.916666666</v>
      </c>
      <c r="X25" s="59">
        <f t="shared" si="30"/>
        <v>4927441.916666666</v>
      </c>
      <c r="Y25" s="59">
        <f t="shared" si="30"/>
        <v>4932441.916666666</v>
      </c>
      <c r="Z25" s="59">
        <f t="shared" si="30"/>
        <v>7190785.916666666</v>
      </c>
      <c r="AA25" s="59">
        <f t="shared" si="30"/>
        <v>5026441.916666666</v>
      </c>
      <c r="AB25" s="92">
        <f t="shared" si="30"/>
        <v>61571155</v>
      </c>
      <c r="AC25" s="92"/>
      <c r="AD25" s="92">
        <f>+AD11+AD17+SUM(AD19:AD24)</f>
        <v>61571155</v>
      </c>
    </row>
    <row r="26" spans="1:30" s="67" customFormat="1">
      <c r="B26" s="81"/>
      <c r="C26" s="81"/>
      <c r="D26" s="81"/>
      <c r="E26" s="4"/>
      <c r="F26" s="4"/>
      <c r="G26" s="4"/>
      <c r="H26" s="4"/>
      <c r="I26" s="4"/>
      <c r="J26" s="4"/>
      <c r="K26" s="4"/>
      <c r="L26" s="4"/>
      <c r="M26" s="4"/>
      <c r="N26" s="4"/>
      <c r="O26" s="85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61"/>
      <c r="AC26" s="85"/>
      <c r="AD26" s="1"/>
    </row>
    <row r="27" spans="1:30" ht="36.75" customHeight="1">
      <c r="A27" s="86"/>
      <c r="B27" s="105"/>
      <c r="C27" s="81"/>
      <c r="D27" s="81"/>
      <c r="E27" s="1"/>
      <c r="L27" s="100">
        <f>+'Balancing Acct'!B69</f>
        <v>54256716.179999992</v>
      </c>
      <c r="M27" s="109" t="s">
        <v>78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60"/>
      <c r="AD27" s="1"/>
    </row>
    <row r="28" spans="1:30">
      <c r="E28" s="1"/>
      <c r="L28" s="112">
        <f>+L25-L27</f>
        <v>3869754.7400000095</v>
      </c>
      <c r="M28" s="109" t="s">
        <v>45</v>
      </c>
      <c r="P28" s="1"/>
      <c r="Q28" s="1"/>
      <c r="R28" s="1"/>
      <c r="S28" s="1"/>
      <c r="T28" s="1"/>
      <c r="U28" s="1"/>
      <c r="V28" s="1"/>
      <c r="W28" s="1"/>
      <c r="X28" s="1"/>
    </row>
    <row r="29" spans="1:30">
      <c r="A29" s="67" t="s">
        <v>44</v>
      </c>
      <c r="L29" s="87">
        <f>SUM(L27:L28)</f>
        <v>58126470.920000002</v>
      </c>
    </row>
    <row r="30" spans="1:30" ht="25.5">
      <c r="A30" s="111" t="s">
        <v>74</v>
      </c>
    </row>
    <row r="31" spans="1:30" ht="25.5">
      <c r="A31" s="111" t="s">
        <v>75</v>
      </c>
      <c r="L31" s="104"/>
    </row>
    <row r="32" spans="1:30">
      <c r="A32" s="111" t="s">
        <v>68</v>
      </c>
      <c r="L32" s="103"/>
      <c r="M32" s="87"/>
      <c r="P32" s="108"/>
      <c r="AD32" s="87"/>
    </row>
    <row r="33" spans="1:30">
      <c r="A33" s="111" t="s">
        <v>69</v>
      </c>
      <c r="L33" s="103"/>
      <c r="M33" s="87"/>
      <c r="AD33" s="87"/>
    </row>
    <row r="34" spans="1:30" ht="25.5">
      <c r="A34" s="111" t="s">
        <v>76</v>
      </c>
      <c r="L34" s="103"/>
      <c r="M34" s="87"/>
      <c r="AD34" s="87"/>
    </row>
    <row r="35" spans="1:30">
      <c r="L35" s="103"/>
      <c r="M35" s="87"/>
      <c r="AD35" s="87"/>
    </row>
    <row r="36" spans="1:30">
      <c r="E36" s="80"/>
      <c r="F36" s="80"/>
      <c r="G36" s="80"/>
      <c r="H36" s="80"/>
      <c r="I36" s="80"/>
      <c r="J36" s="80"/>
      <c r="K36" s="80"/>
      <c r="L36" s="103"/>
      <c r="M36" s="87"/>
      <c r="AD36" s="87"/>
    </row>
    <row r="37" spans="1:30">
      <c r="E37" s="40"/>
      <c r="F37" s="40"/>
      <c r="G37" s="40"/>
      <c r="H37" s="40"/>
      <c r="I37" s="40"/>
      <c r="J37" s="40"/>
      <c r="K37" s="80"/>
      <c r="L37" s="103"/>
      <c r="M37" s="87"/>
      <c r="AD37" s="87"/>
    </row>
    <row r="38" spans="1:30">
      <c r="E38" s="94"/>
      <c r="F38" s="94"/>
      <c r="G38" s="94"/>
      <c r="H38" s="94"/>
      <c r="I38" s="94"/>
      <c r="J38" s="94"/>
      <c r="K38" s="94"/>
      <c r="L38" s="103"/>
      <c r="M38" s="98"/>
      <c r="AD38" s="98"/>
    </row>
    <row r="39" spans="1:30">
      <c r="E39" s="93"/>
      <c r="M39" s="87"/>
      <c r="AD39" s="87"/>
    </row>
    <row r="40" spans="1:30">
      <c r="K40" s="93"/>
    </row>
  </sheetData>
  <mergeCells count="2">
    <mergeCell ref="L14:L15"/>
    <mergeCell ref="M14:M15"/>
  </mergeCells>
  <pageMargins left="0.25" right="0" top="0.75" bottom="0.75" header="0.3" footer="0.3"/>
  <pageSetup scale="58" fitToWidth="0" orientation="landscape" r:id="rId1"/>
  <colBreaks count="1" manualBreakCount="1">
    <brk id="15" max="1048575" man="1"/>
  </colBreaks>
  <ignoredErrors>
    <ignoredError sqref="M11 M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Balancing Acct</vt:lpstr>
      <vt:lpstr>Projected Expense</vt:lpstr>
      <vt:lpstr>'Balancing Acct'!Print_Titles</vt:lpstr>
      <vt:lpstr>'Projected Expense'!Print_Titles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2010-11-01T19:40:29Z</dcterms:created>
  <dcterms:modified xsi:type="dcterms:W3CDTF">2018-07-02T18:18:59Z</dcterms:modified>
  <cp:contentStatus/>
</cp:coreProperties>
</file>