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19docs\1903502\"/>
    </mc:Choice>
  </mc:AlternateContent>
  <bookViews>
    <workbookView xWindow="0" yWindow="0" windowWidth="19125" windowHeight="11520" tabRatio="808"/>
  </bookViews>
  <sheets>
    <sheet name="Annual" sheetId="7" r:id="rId1"/>
    <sheet name="Line Losses" sheetId="9" r:id="rId2"/>
    <sheet name="Quarter" sheetId="6" state="hidden" r:id="rId3"/>
    <sheet name="Line Losses_Alt" sheetId="4" state="hidden" r:id="rId4"/>
    <sheet name="Sheet1" sheetId="1" r:id="rId5"/>
  </sheets>
  <calcPr calcId="152511" calcOnSave="0"/>
</workbook>
</file>

<file path=xl/calcChain.xml><?xml version="1.0" encoding="utf-8"?>
<calcChain xmlns="http://schemas.openxmlformats.org/spreadsheetml/2006/main">
  <c r="B1" i="7" l="1"/>
  <c r="W49" i="4" l="1"/>
  <c r="V48" i="4"/>
  <c r="V49" i="4"/>
  <c r="U49" i="4"/>
  <c r="R48" i="4"/>
  <c r="R49" i="4"/>
  <c r="Q48" i="4"/>
  <c r="Q49" i="4"/>
  <c r="P49" i="4"/>
  <c r="W45" i="4"/>
  <c r="V44" i="4"/>
  <c r="V45" i="4"/>
  <c r="U45" i="4"/>
  <c r="R44" i="4"/>
  <c r="R45" i="4"/>
  <c r="Q44" i="4"/>
  <c r="Q45" i="4"/>
  <c r="P45" i="4"/>
  <c r="W41" i="4"/>
  <c r="V40" i="4"/>
  <c r="V41" i="4"/>
  <c r="U41" i="4"/>
  <c r="R40" i="4"/>
  <c r="R41" i="4"/>
  <c r="R42" i="4" s="1"/>
  <c r="Q40" i="4"/>
  <c r="Q41" i="4"/>
  <c r="P41" i="4"/>
  <c r="W37" i="4"/>
  <c r="V36" i="4"/>
  <c r="V37" i="4"/>
  <c r="U37" i="4"/>
  <c r="R36" i="4"/>
  <c r="R37" i="4"/>
  <c r="Q36" i="4"/>
  <c r="Q37" i="4"/>
  <c r="P37" i="4"/>
  <c r="W33" i="4"/>
  <c r="V32" i="4"/>
  <c r="V33" i="4"/>
  <c r="U33" i="4"/>
  <c r="R32" i="4"/>
  <c r="R33" i="4"/>
  <c r="Q32" i="4"/>
  <c r="Q33" i="4"/>
  <c r="P33" i="4"/>
  <c r="W29" i="4"/>
  <c r="V28" i="4"/>
  <c r="V29" i="4"/>
  <c r="U29" i="4"/>
  <c r="R28" i="4"/>
  <c r="R29" i="4"/>
  <c r="Q28" i="4"/>
  <c r="Q29" i="4"/>
  <c r="P29" i="4"/>
  <c r="W25" i="4"/>
  <c r="V24" i="4"/>
  <c r="V25" i="4"/>
  <c r="U25" i="4"/>
  <c r="R24" i="4"/>
  <c r="R25" i="4"/>
  <c r="Q24" i="4"/>
  <c r="Q25" i="4"/>
  <c r="P25" i="4"/>
  <c r="W21" i="4"/>
  <c r="V20" i="4"/>
  <c r="V22" i="4" s="1"/>
  <c r="V21" i="4"/>
  <c r="U21" i="4"/>
  <c r="R20" i="4"/>
  <c r="R21" i="4"/>
  <c r="Q20" i="4"/>
  <c r="Q21" i="4"/>
  <c r="P21" i="4"/>
  <c r="W17" i="4"/>
  <c r="V16" i="4"/>
  <c r="V17" i="4"/>
  <c r="U17" i="4"/>
  <c r="R16" i="4"/>
  <c r="R17" i="4"/>
  <c r="Q16" i="4"/>
  <c r="Q17" i="4"/>
  <c r="P17" i="4"/>
  <c r="W13" i="4"/>
  <c r="V12" i="4"/>
  <c r="V13" i="4"/>
  <c r="U13" i="4"/>
  <c r="R12" i="4"/>
  <c r="R13" i="4"/>
  <c r="Q12" i="4"/>
  <c r="Q13" i="4"/>
  <c r="P13" i="4"/>
  <c r="W9" i="4"/>
  <c r="V8" i="4"/>
  <c r="V9" i="4"/>
  <c r="U9" i="4"/>
  <c r="R8" i="4"/>
  <c r="R9" i="4"/>
  <c r="Q8" i="4"/>
  <c r="Q9" i="4"/>
  <c r="P9" i="4"/>
  <c r="W5" i="4"/>
  <c r="V4" i="4"/>
  <c r="V5" i="4"/>
  <c r="U5" i="4"/>
  <c r="R4" i="4"/>
  <c r="R5" i="4"/>
  <c r="Q4" i="4"/>
  <c r="Q5" i="4"/>
  <c r="P5" i="4"/>
  <c r="G4" i="4"/>
  <c r="L4" i="4"/>
  <c r="L8" i="4"/>
  <c r="G8" i="4"/>
  <c r="G12" i="4"/>
  <c r="L12" i="4"/>
  <c r="L16" i="4"/>
  <c r="G16" i="4"/>
  <c r="G18" i="4" s="1"/>
  <c r="G20" i="4"/>
  <c r="L20" i="4"/>
  <c r="L24" i="4"/>
  <c r="G24" i="4"/>
  <c r="G28" i="4"/>
  <c r="L28" i="4"/>
  <c r="L32" i="4"/>
  <c r="G32" i="4"/>
  <c r="G36" i="4"/>
  <c r="L36" i="4"/>
  <c r="L40" i="4"/>
  <c r="G40" i="4"/>
  <c r="G42" i="4" s="1"/>
  <c r="G44" i="4"/>
  <c r="L44" i="4"/>
  <c r="L48" i="4"/>
  <c r="G48" i="4"/>
  <c r="G5" i="4"/>
  <c r="L5" i="4"/>
  <c r="G9" i="4"/>
  <c r="L9" i="4"/>
  <c r="L10" i="4" s="1"/>
  <c r="G13" i="4"/>
  <c r="L13" i="4"/>
  <c r="G17" i="4"/>
  <c r="L17" i="4"/>
  <c r="L18" i="4" s="1"/>
  <c r="G21" i="4"/>
  <c r="L21" i="4"/>
  <c r="G25" i="4"/>
  <c r="L25" i="4"/>
  <c r="L26" i="4" s="1"/>
  <c r="G29" i="4"/>
  <c r="L29" i="4"/>
  <c r="G33" i="4"/>
  <c r="L33" i="4"/>
  <c r="L34" i="4" s="1"/>
  <c r="G37" i="4"/>
  <c r="L37" i="4"/>
  <c r="G41" i="4"/>
  <c r="L41" i="4"/>
  <c r="N41" i="4" s="1"/>
  <c r="G45" i="4"/>
  <c r="L45" i="4"/>
  <c r="G49" i="4"/>
  <c r="L49" i="4"/>
  <c r="N49" i="4" s="1"/>
  <c r="K52" i="4"/>
  <c r="K53" i="4"/>
  <c r="J52" i="4"/>
  <c r="J53" i="4"/>
  <c r="I52" i="4"/>
  <c r="I53" i="4"/>
  <c r="F52" i="4"/>
  <c r="F53" i="4"/>
  <c r="E52" i="4"/>
  <c r="E53" i="4"/>
  <c r="D52" i="4"/>
  <c r="D53" i="4"/>
  <c r="K50" i="4"/>
  <c r="J50" i="4"/>
  <c r="I50" i="4"/>
  <c r="F50" i="4"/>
  <c r="E50" i="4"/>
  <c r="D50" i="4"/>
  <c r="L46" i="4"/>
  <c r="K46" i="4"/>
  <c r="J46" i="4"/>
  <c r="I46" i="4"/>
  <c r="F46" i="4"/>
  <c r="E46" i="4"/>
  <c r="D46" i="4"/>
  <c r="K42" i="4"/>
  <c r="J42" i="4"/>
  <c r="I42" i="4"/>
  <c r="F42" i="4"/>
  <c r="E42" i="4"/>
  <c r="D42" i="4"/>
  <c r="L38" i="4"/>
  <c r="K38" i="4"/>
  <c r="J38" i="4"/>
  <c r="I38" i="4"/>
  <c r="F38" i="4"/>
  <c r="E38" i="4"/>
  <c r="D38" i="4"/>
  <c r="K34" i="4"/>
  <c r="J34" i="4"/>
  <c r="I34" i="4"/>
  <c r="F34" i="4"/>
  <c r="E34" i="4"/>
  <c r="D34" i="4"/>
  <c r="L30" i="4"/>
  <c r="K30" i="4"/>
  <c r="J30" i="4"/>
  <c r="I30" i="4"/>
  <c r="F30" i="4"/>
  <c r="E30" i="4"/>
  <c r="D30" i="4"/>
  <c r="K26" i="4"/>
  <c r="J26" i="4"/>
  <c r="I26" i="4"/>
  <c r="F26" i="4"/>
  <c r="E26" i="4"/>
  <c r="D26" i="4"/>
  <c r="L22" i="4"/>
  <c r="K22" i="4"/>
  <c r="J22" i="4"/>
  <c r="I22" i="4"/>
  <c r="F22" i="4"/>
  <c r="E22" i="4"/>
  <c r="D22" i="4"/>
  <c r="K18" i="4"/>
  <c r="J18" i="4"/>
  <c r="I18" i="4"/>
  <c r="F18" i="4"/>
  <c r="E18" i="4"/>
  <c r="D18" i="4"/>
  <c r="L14" i="4"/>
  <c r="K14" i="4"/>
  <c r="J14" i="4"/>
  <c r="I14" i="4"/>
  <c r="F14" i="4"/>
  <c r="E14" i="4"/>
  <c r="D14" i="4"/>
  <c r="K10" i="4"/>
  <c r="J10" i="4"/>
  <c r="I10" i="4"/>
  <c r="F10" i="4"/>
  <c r="E10" i="4"/>
  <c r="D10" i="4"/>
  <c r="L6" i="4"/>
  <c r="K6" i="4"/>
  <c r="J6" i="4"/>
  <c r="I6" i="4"/>
  <c r="F6" i="4"/>
  <c r="E6" i="4"/>
  <c r="D6" i="4"/>
  <c r="K383" i="4"/>
  <c r="J382" i="4"/>
  <c r="J383" i="4"/>
  <c r="I383" i="4"/>
  <c r="F382" i="4"/>
  <c r="F383" i="4"/>
  <c r="E382" i="4"/>
  <c r="E383" i="4"/>
  <c r="D383" i="4"/>
  <c r="K328" i="4"/>
  <c r="J327" i="4"/>
  <c r="J329" i="4" s="1"/>
  <c r="J328" i="4"/>
  <c r="I328" i="4"/>
  <c r="F327" i="4"/>
  <c r="F328" i="4"/>
  <c r="E327" i="4"/>
  <c r="E328" i="4"/>
  <c r="D328" i="4"/>
  <c r="K273" i="4"/>
  <c r="J272" i="4"/>
  <c r="J273" i="4"/>
  <c r="I273" i="4"/>
  <c r="F272" i="4"/>
  <c r="F273" i="4"/>
  <c r="E272" i="4"/>
  <c r="E273" i="4"/>
  <c r="D273" i="4"/>
  <c r="K218" i="4"/>
  <c r="J217" i="4"/>
  <c r="J218" i="4"/>
  <c r="I218" i="4"/>
  <c r="F217" i="4"/>
  <c r="F218" i="4"/>
  <c r="E217" i="4"/>
  <c r="E218" i="4"/>
  <c r="D218" i="4"/>
  <c r="K163" i="4"/>
  <c r="J162" i="4"/>
  <c r="J164" i="4" s="1"/>
  <c r="J163" i="4"/>
  <c r="I163" i="4"/>
  <c r="F162" i="4"/>
  <c r="F163" i="4"/>
  <c r="E162" i="4"/>
  <c r="E163" i="4"/>
  <c r="D163" i="4"/>
  <c r="K107" i="4"/>
  <c r="K108" i="4"/>
  <c r="J107" i="4"/>
  <c r="J108" i="4"/>
  <c r="I107" i="4"/>
  <c r="I108" i="4"/>
  <c r="F107" i="4"/>
  <c r="F108" i="4"/>
  <c r="E107" i="4"/>
  <c r="E108" i="4"/>
  <c r="D108" i="4"/>
  <c r="D107" i="4"/>
  <c r="L104" i="4"/>
  <c r="K105" i="4"/>
  <c r="J105" i="4"/>
  <c r="I105" i="4"/>
  <c r="G104" i="4"/>
  <c r="N104" i="4" s="1"/>
  <c r="F105" i="4"/>
  <c r="E105" i="4"/>
  <c r="D105" i="4"/>
  <c r="D146" i="4"/>
  <c r="D148" i="4" s="1"/>
  <c r="D201" i="4"/>
  <c r="D203" i="4" s="1"/>
  <c r="D256" i="4"/>
  <c r="D258" i="4" s="1"/>
  <c r="D311" i="4"/>
  <c r="D313" i="4" s="1"/>
  <c r="D366" i="4"/>
  <c r="D368" i="4" s="1"/>
  <c r="D150" i="4"/>
  <c r="D152" i="4" s="1"/>
  <c r="D205" i="4"/>
  <c r="D207" i="4" s="1"/>
  <c r="D260" i="4"/>
  <c r="D262" i="4" s="1"/>
  <c r="D315" i="4"/>
  <c r="D317" i="4" s="1"/>
  <c r="D370" i="4"/>
  <c r="D372" i="4" s="1"/>
  <c r="D154" i="4"/>
  <c r="D156" i="4" s="1"/>
  <c r="D209" i="4"/>
  <c r="D264" i="4"/>
  <c r="D266" i="4" s="1"/>
  <c r="D319" i="4"/>
  <c r="D321" i="4" s="1"/>
  <c r="D374" i="4"/>
  <c r="D376" i="4" s="1"/>
  <c r="D114" i="4"/>
  <c r="D169" i="4"/>
  <c r="D171" i="4" s="1"/>
  <c r="D224" i="4"/>
  <c r="D226" i="4" s="1"/>
  <c r="D279" i="4"/>
  <c r="D281" i="4" s="1"/>
  <c r="D334" i="4"/>
  <c r="D118" i="4"/>
  <c r="D120" i="4" s="1"/>
  <c r="D173" i="4"/>
  <c r="D175" i="4" s="1"/>
  <c r="D228" i="4"/>
  <c r="D230" i="4" s="1"/>
  <c r="D283" i="4"/>
  <c r="D338" i="4"/>
  <c r="D340" i="4" s="1"/>
  <c r="D158" i="4"/>
  <c r="D160" i="4" s="1"/>
  <c r="D213" i="4"/>
  <c r="D215" i="4" s="1"/>
  <c r="D268" i="4"/>
  <c r="D323" i="4"/>
  <c r="D325" i="4" s="1"/>
  <c r="D378" i="4"/>
  <c r="D380" i="4" s="1"/>
  <c r="E116" i="4"/>
  <c r="E171" i="4"/>
  <c r="E226" i="4"/>
  <c r="E281" i="4"/>
  <c r="E336" i="4"/>
  <c r="E120" i="4"/>
  <c r="E175" i="4"/>
  <c r="E230" i="4"/>
  <c r="E285" i="4"/>
  <c r="E340" i="4"/>
  <c r="E160" i="4"/>
  <c r="E215" i="4"/>
  <c r="E270" i="4"/>
  <c r="E325" i="4"/>
  <c r="E380" i="4"/>
  <c r="F116" i="4"/>
  <c r="F171" i="4"/>
  <c r="F226" i="4"/>
  <c r="F281" i="4"/>
  <c r="F336" i="4"/>
  <c r="F120" i="4"/>
  <c r="F175" i="4"/>
  <c r="F230" i="4"/>
  <c r="F285" i="4"/>
  <c r="F340" i="4"/>
  <c r="F160" i="4"/>
  <c r="F215" i="4"/>
  <c r="F270" i="4"/>
  <c r="F325" i="4"/>
  <c r="F380" i="4"/>
  <c r="K114" i="4"/>
  <c r="K116" i="4" s="1"/>
  <c r="K169" i="4"/>
  <c r="K171" i="4" s="1"/>
  <c r="K224" i="4"/>
  <c r="K226" i="4" s="1"/>
  <c r="K279" i="4"/>
  <c r="K334" i="4"/>
  <c r="K336" i="4" s="1"/>
  <c r="K118" i="4"/>
  <c r="K173" i="4"/>
  <c r="K175" i="4" s="1"/>
  <c r="K228" i="4"/>
  <c r="K230" i="4" s="1"/>
  <c r="K283" i="4"/>
  <c r="K285" i="4" s="1"/>
  <c r="K338" i="4"/>
  <c r="K340" i="4" s="1"/>
  <c r="K158" i="4"/>
  <c r="K160" i="4" s="1"/>
  <c r="K213" i="4"/>
  <c r="K268" i="4"/>
  <c r="K270" i="4" s="1"/>
  <c r="K323" i="4"/>
  <c r="K378" i="4"/>
  <c r="K380" i="4" s="1"/>
  <c r="I114" i="4"/>
  <c r="I169" i="4"/>
  <c r="I171" i="4" s="1"/>
  <c r="I224" i="4"/>
  <c r="I226" i="4" s="1"/>
  <c r="I279" i="4"/>
  <c r="I281" i="4" s="1"/>
  <c r="I334" i="4"/>
  <c r="I118" i="4"/>
  <c r="I120" i="4" s="1"/>
  <c r="I173" i="4"/>
  <c r="I228" i="4"/>
  <c r="I230" i="4" s="1"/>
  <c r="I283" i="4"/>
  <c r="I285" i="4" s="1"/>
  <c r="I338" i="4"/>
  <c r="I340" i="4" s="1"/>
  <c r="I158" i="4"/>
  <c r="I160" i="4" s="1"/>
  <c r="I213" i="4"/>
  <c r="I215" i="4" s="1"/>
  <c r="I268" i="4"/>
  <c r="I323" i="4"/>
  <c r="I325" i="4" s="1"/>
  <c r="I378" i="4"/>
  <c r="J116" i="4"/>
  <c r="J171" i="4"/>
  <c r="J226" i="4"/>
  <c r="J281" i="4"/>
  <c r="J336" i="4"/>
  <c r="J120" i="4"/>
  <c r="J175" i="4"/>
  <c r="J230" i="4"/>
  <c r="J285" i="4"/>
  <c r="J340" i="4"/>
  <c r="J160" i="4"/>
  <c r="J215" i="4"/>
  <c r="J270" i="4"/>
  <c r="J325" i="4"/>
  <c r="J380" i="4"/>
  <c r="L115" i="4"/>
  <c r="L169" i="4"/>
  <c r="L170" i="4"/>
  <c r="L225" i="4"/>
  <c r="L280" i="4"/>
  <c r="L335" i="4"/>
  <c r="L119" i="4"/>
  <c r="L174" i="4"/>
  <c r="L229" i="4"/>
  <c r="L284" i="4"/>
  <c r="L339" i="4"/>
  <c r="L159" i="4"/>
  <c r="L214" i="4"/>
  <c r="L269" i="4"/>
  <c r="L324" i="4"/>
  <c r="L379" i="4"/>
  <c r="I146" i="4"/>
  <c r="I148" i="4" s="1"/>
  <c r="K146" i="4"/>
  <c r="L147" i="4"/>
  <c r="I201" i="4"/>
  <c r="I203" i="4" s="1"/>
  <c r="K201" i="4"/>
  <c r="L202" i="4"/>
  <c r="I256" i="4"/>
  <c r="K256" i="4"/>
  <c r="L257" i="4"/>
  <c r="I311" i="4"/>
  <c r="I313" i="4" s="1"/>
  <c r="K311" i="4"/>
  <c r="L311" i="4"/>
  <c r="L312" i="4"/>
  <c r="I366" i="4"/>
  <c r="K366" i="4"/>
  <c r="L367" i="4"/>
  <c r="I150" i="4"/>
  <c r="K150" i="4"/>
  <c r="L151" i="4"/>
  <c r="I205" i="4"/>
  <c r="K205" i="4"/>
  <c r="L206" i="4"/>
  <c r="I260" i="4"/>
  <c r="I262" i="4" s="1"/>
  <c r="K260" i="4"/>
  <c r="K262" i="4" s="1"/>
  <c r="L261" i="4"/>
  <c r="I315" i="4"/>
  <c r="I317" i="4" s="1"/>
  <c r="K315" i="4"/>
  <c r="L316" i="4"/>
  <c r="I370" i="4"/>
  <c r="I372" i="4" s="1"/>
  <c r="K370" i="4"/>
  <c r="K372" i="4" s="1"/>
  <c r="L371" i="4"/>
  <c r="I154" i="4"/>
  <c r="K154" i="4"/>
  <c r="K156" i="4" s="1"/>
  <c r="L155" i="4"/>
  <c r="I209" i="4"/>
  <c r="I211" i="4" s="1"/>
  <c r="K209" i="4"/>
  <c r="L209" i="4"/>
  <c r="L210" i="4"/>
  <c r="I264" i="4"/>
  <c r="K264" i="4"/>
  <c r="L265" i="4"/>
  <c r="I319" i="4"/>
  <c r="K319" i="4"/>
  <c r="L320" i="4"/>
  <c r="I374" i="4"/>
  <c r="K374" i="4"/>
  <c r="L375" i="4"/>
  <c r="I134" i="4"/>
  <c r="I136" i="4" s="1"/>
  <c r="K134" i="4"/>
  <c r="K136" i="4" s="1"/>
  <c r="L135" i="4"/>
  <c r="I189" i="4"/>
  <c r="I191" i="4" s="1"/>
  <c r="K189" i="4"/>
  <c r="L189" i="4" s="1"/>
  <c r="L190" i="4"/>
  <c r="I244" i="4"/>
  <c r="I246" i="4" s="1"/>
  <c r="K244" i="4"/>
  <c r="K246" i="4" s="1"/>
  <c r="L245" i="4"/>
  <c r="I299" i="4"/>
  <c r="K299" i="4"/>
  <c r="L299" i="4" s="1"/>
  <c r="L300" i="4"/>
  <c r="I354" i="4"/>
  <c r="I356" i="4" s="1"/>
  <c r="K354" i="4"/>
  <c r="L355" i="4"/>
  <c r="I138" i="4"/>
  <c r="K138" i="4"/>
  <c r="L139" i="4"/>
  <c r="I193" i="4"/>
  <c r="K193" i="4"/>
  <c r="L194" i="4"/>
  <c r="I248" i="4"/>
  <c r="I250" i="4" s="1"/>
  <c r="K248" i="4"/>
  <c r="L249" i="4"/>
  <c r="I303" i="4"/>
  <c r="I305" i="4" s="1"/>
  <c r="K303" i="4"/>
  <c r="K305" i="4" s="1"/>
  <c r="L304" i="4"/>
  <c r="I358" i="4"/>
  <c r="I360" i="4" s="1"/>
  <c r="K358" i="4"/>
  <c r="L358" i="4" s="1"/>
  <c r="L360" i="4" s="1"/>
  <c r="L359" i="4"/>
  <c r="I142" i="4"/>
  <c r="I144" i="4" s="1"/>
  <c r="K142" i="4"/>
  <c r="K144" i="4" s="1"/>
  <c r="L142" i="4"/>
  <c r="L143" i="4"/>
  <c r="I197" i="4"/>
  <c r="K197" i="4"/>
  <c r="L197" i="4" s="1"/>
  <c r="L198" i="4"/>
  <c r="I252" i="4"/>
  <c r="I254" i="4" s="1"/>
  <c r="K252" i="4"/>
  <c r="L252" i="4"/>
  <c r="L253" i="4"/>
  <c r="I307" i="4"/>
  <c r="K307" i="4"/>
  <c r="L308" i="4"/>
  <c r="I362" i="4"/>
  <c r="K362" i="4"/>
  <c r="L363" i="4"/>
  <c r="I122" i="4"/>
  <c r="I124" i="4" s="1"/>
  <c r="K122" i="4"/>
  <c r="L123" i="4"/>
  <c r="I177" i="4"/>
  <c r="I179" i="4" s="1"/>
  <c r="K177" i="4"/>
  <c r="K179" i="4" s="1"/>
  <c r="L178" i="4"/>
  <c r="I232" i="4"/>
  <c r="I234" i="4" s="1"/>
  <c r="K232" i="4"/>
  <c r="L233" i="4"/>
  <c r="I287" i="4"/>
  <c r="I289" i="4" s="1"/>
  <c r="K287" i="4"/>
  <c r="L287" i="4"/>
  <c r="L288" i="4"/>
  <c r="I342" i="4"/>
  <c r="K342" i="4"/>
  <c r="L342" i="4" s="1"/>
  <c r="L343" i="4"/>
  <c r="I126" i="4"/>
  <c r="I128" i="4" s="1"/>
  <c r="K126" i="4"/>
  <c r="L126" i="4" s="1"/>
  <c r="L127" i="4"/>
  <c r="I181" i="4"/>
  <c r="K181" i="4"/>
  <c r="L181" i="4" s="1"/>
  <c r="L182" i="4"/>
  <c r="I236" i="4"/>
  <c r="K236" i="4"/>
  <c r="L237" i="4"/>
  <c r="I291" i="4"/>
  <c r="K291" i="4"/>
  <c r="L292" i="4"/>
  <c r="I346" i="4"/>
  <c r="I348" i="4" s="1"/>
  <c r="K346" i="4"/>
  <c r="L347" i="4"/>
  <c r="I130" i="4"/>
  <c r="I132" i="4" s="1"/>
  <c r="K130" i="4"/>
  <c r="K132" i="4" s="1"/>
  <c r="L131" i="4"/>
  <c r="I185" i="4"/>
  <c r="I187" i="4" s="1"/>
  <c r="K185" i="4"/>
  <c r="K187" i="4" s="1"/>
  <c r="L186" i="4"/>
  <c r="I240" i="4"/>
  <c r="K240" i="4"/>
  <c r="L241" i="4"/>
  <c r="I295" i="4"/>
  <c r="I297" i="4" s="1"/>
  <c r="K295" i="4"/>
  <c r="L296" i="4"/>
  <c r="I350" i="4"/>
  <c r="K350" i="4"/>
  <c r="L350" i="4" s="1"/>
  <c r="L351" i="4"/>
  <c r="K148" i="4"/>
  <c r="K313" i="4"/>
  <c r="K368" i="4"/>
  <c r="K152" i="4"/>
  <c r="K207" i="4"/>
  <c r="K211" i="4"/>
  <c r="K266" i="4"/>
  <c r="K321" i="4"/>
  <c r="K376" i="4"/>
  <c r="K191" i="4"/>
  <c r="K356" i="4"/>
  <c r="K140" i="4"/>
  <c r="K195" i="4"/>
  <c r="K250" i="4"/>
  <c r="K254" i="4"/>
  <c r="K364" i="4"/>
  <c r="K124" i="4"/>
  <c r="K289" i="4"/>
  <c r="K344" i="4"/>
  <c r="K128" i="4"/>
  <c r="K238" i="4"/>
  <c r="K293" i="4"/>
  <c r="K348" i="4"/>
  <c r="K297" i="4"/>
  <c r="J148" i="4"/>
  <c r="J203" i="4"/>
  <c r="J258" i="4"/>
  <c r="J313" i="4"/>
  <c r="J368" i="4"/>
  <c r="J152" i="4"/>
  <c r="J207" i="4"/>
  <c r="J262" i="4"/>
  <c r="J317" i="4"/>
  <c r="J372" i="4"/>
  <c r="J156" i="4"/>
  <c r="J211" i="4"/>
  <c r="J266" i="4"/>
  <c r="J321" i="4"/>
  <c r="J376" i="4"/>
  <c r="J136" i="4"/>
  <c r="J191" i="4"/>
  <c r="J246" i="4"/>
  <c r="J301" i="4"/>
  <c r="J356" i="4"/>
  <c r="J140" i="4"/>
  <c r="J195" i="4"/>
  <c r="J250" i="4"/>
  <c r="J305" i="4"/>
  <c r="J360" i="4"/>
  <c r="J144" i="4"/>
  <c r="J199" i="4"/>
  <c r="J254" i="4"/>
  <c r="J309" i="4"/>
  <c r="J364" i="4"/>
  <c r="J124" i="4"/>
  <c r="J179" i="4"/>
  <c r="J234" i="4"/>
  <c r="J289" i="4"/>
  <c r="J344" i="4"/>
  <c r="J128" i="4"/>
  <c r="J183" i="4"/>
  <c r="J238" i="4"/>
  <c r="J293" i="4"/>
  <c r="J348" i="4"/>
  <c r="J132" i="4"/>
  <c r="J187" i="4"/>
  <c r="J242" i="4"/>
  <c r="J297" i="4"/>
  <c r="J352" i="4"/>
  <c r="I258" i="4"/>
  <c r="I368" i="4"/>
  <c r="I207" i="4"/>
  <c r="I156" i="4"/>
  <c r="I266" i="4"/>
  <c r="I376" i="4"/>
  <c r="I301" i="4"/>
  <c r="I140" i="4"/>
  <c r="I199" i="4"/>
  <c r="I309" i="4"/>
  <c r="I344" i="4"/>
  <c r="I183" i="4"/>
  <c r="I293" i="4"/>
  <c r="I242" i="4"/>
  <c r="I352" i="4"/>
  <c r="F148" i="4"/>
  <c r="F203" i="4"/>
  <c r="F258" i="4"/>
  <c r="F313" i="4"/>
  <c r="F368" i="4"/>
  <c r="F152" i="4"/>
  <c r="F207" i="4"/>
  <c r="F262" i="4"/>
  <c r="F317" i="4"/>
  <c r="F372" i="4"/>
  <c r="F156" i="4"/>
  <c r="F211" i="4"/>
  <c r="F266" i="4"/>
  <c r="F321" i="4"/>
  <c r="F376" i="4"/>
  <c r="F136" i="4"/>
  <c r="F191" i="4"/>
  <c r="F246" i="4"/>
  <c r="F301" i="4"/>
  <c r="F356" i="4"/>
  <c r="F140" i="4"/>
  <c r="F195" i="4"/>
  <c r="F250" i="4"/>
  <c r="F305" i="4"/>
  <c r="F360" i="4"/>
  <c r="F144" i="4"/>
  <c r="F199" i="4"/>
  <c r="F254" i="4"/>
  <c r="F309" i="4"/>
  <c r="F364" i="4"/>
  <c r="F124" i="4"/>
  <c r="F179" i="4"/>
  <c r="F234" i="4"/>
  <c r="F289" i="4"/>
  <c r="F344" i="4"/>
  <c r="F128" i="4"/>
  <c r="F183" i="4"/>
  <c r="F238" i="4"/>
  <c r="F293" i="4"/>
  <c r="F348" i="4"/>
  <c r="F132" i="4"/>
  <c r="F187" i="4"/>
  <c r="F242" i="4"/>
  <c r="F297" i="4"/>
  <c r="F352" i="4"/>
  <c r="E148" i="4"/>
  <c r="E203" i="4"/>
  <c r="E258" i="4"/>
  <c r="E313" i="4"/>
  <c r="E368" i="4"/>
  <c r="E152" i="4"/>
  <c r="E207" i="4"/>
  <c r="E262" i="4"/>
  <c r="E317" i="4"/>
  <c r="E372" i="4"/>
  <c r="E156" i="4"/>
  <c r="E211" i="4"/>
  <c r="E266" i="4"/>
  <c r="E321" i="4"/>
  <c r="E376" i="4"/>
  <c r="E136" i="4"/>
  <c r="E191" i="4"/>
  <c r="E246" i="4"/>
  <c r="E301" i="4"/>
  <c r="E356" i="4"/>
  <c r="E140" i="4"/>
  <c r="E195" i="4"/>
  <c r="E250" i="4"/>
  <c r="E305" i="4"/>
  <c r="E360" i="4"/>
  <c r="E144" i="4"/>
  <c r="E199" i="4"/>
  <c r="E254" i="4"/>
  <c r="E309" i="4"/>
  <c r="E364" i="4"/>
  <c r="E124" i="4"/>
  <c r="E179" i="4"/>
  <c r="E234" i="4"/>
  <c r="E289" i="4"/>
  <c r="E344" i="4"/>
  <c r="E128" i="4"/>
  <c r="E183" i="4"/>
  <c r="E238" i="4"/>
  <c r="E293" i="4"/>
  <c r="E348" i="4"/>
  <c r="E132" i="4"/>
  <c r="E187" i="4"/>
  <c r="E242" i="4"/>
  <c r="E297" i="4"/>
  <c r="E352" i="4"/>
  <c r="D134" i="4"/>
  <c r="D136" i="4" s="1"/>
  <c r="D189" i="4"/>
  <c r="G189" i="4" s="1"/>
  <c r="N189" i="4" s="1"/>
  <c r="D191" i="4"/>
  <c r="D244" i="4"/>
  <c r="D246" i="4" s="1"/>
  <c r="D299" i="4"/>
  <c r="D301" i="4" s="1"/>
  <c r="D354" i="4"/>
  <c r="D356" i="4" s="1"/>
  <c r="D138" i="4"/>
  <c r="D140" i="4"/>
  <c r="D193" i="4"/>
  <c r="D195" i="4" s="1"/>
  <c r="D248" i="4"/>
  <c r="D303" i="4"/>
  <c r="D305" i="4" s="1"/>
  <c r="D358" i="4"/>
  <c r="G358" i="4" s="1"/>
  <c r="D360" i="4"/>
  <c r="D142" i="4"/>
  <c r="D144" i="4" s="1"/>
  <c r="D197" i="4"/>
  <c r="D199" i="4"/>
  <c r="D252" i="4"/>
  <c r="D254" i="4" s="1"/>
  <c r="D307" i="4"/>
  <c r="D309" i="4"/>
  <c r="D362" i="4"/>
  <c r="D364" i="4" s="1"/>
  <c r="D122" i="4"/>
  <c r="D177" i="4"/>
  <c r="D179" i="4" s="1"/>
  <c r="D232" i="4"/>
  <c r="G232" i="4" s="1"/>
  <c r="D287" i="4"/>
  <c r="D289" i="4" s="1"/>
  <c r="D342" i="4"/>
  <c r="D344" i="4" s="1"/>
  <c r="D126" i="4"/>
  <c r="D128" i="4" s="1"/>
  <c r="D181" i="4"/>
  <c r="D183" i="4" s="1"/>
  <c r="D236" i="4"/>
  <c r="D238" i="4" s="1"/>
  <c r="D291" i="4"/>
  <c r="D346" i="4"/>
  <c r="D348" i="4" s="1"/>
  <c r="D130" i="4"/>
  <c r="G130" i="4" s="1"/>
  <c r="D185" i="4"/>
  <c r="D187" i="4" s="1"/>
  <c r="D240" i="4"/>
  <c r="D242" i="4"/>
  <c r="D295" i="4"/>
  <c r="D297" i="4" s="1"/>
  <c r="D350" i="4"/>
  <c r="D352" i="4" s="1"/>
  <c r="G158" i="4"/>
  <c r="G159" i="4"/>
  <c r="N159" i="4" s="1"/>
  <c r="G214" i="4"/>
  <c r="G269" i="4"/>
  <c r="N269" i="4" s="1"/>
  <c r="G323" i="4"/>
  <c r="G324" i="4"/>
  <c r="N324" i="4" s="1"/>
  <c r="G378" i="4"/>
  <c r="G379" i="4"/>
  <c r="G155" i="4"/>
  <c r="G210" i="4"/>
  <c r="G264" i="4"/>
  <c r="G265" i="4"/>
  <c r="G319" i="4"/>
  <c r="G320" i="4"/>
  <c r="N320" i="4" s="1"/>
  <c r="G375" i="4"/>
  <c r="G150" i="4"/>
  <c r="G151" i="4"/>
  <c r="N151" i="4" s="1"/>
  <c r="G206" i="4"/>
  <c r="N206" i="4" s="1"/>
  <c r="G261" i="4"/>
  <c r="N261" i="4" s="1"/>
  <c r="G315" i="4"/>
  <c r="G316" i="4"/>
  <c r="G370" i="4"/>
  <c r="G371" i="4"/>
  <c r="G146" i="4"/>
  <c r="G147" i="4"/>
  <c r="N147" i="4" s="1"/>
  <c r="G201" i="4"/>
  <c r="G202" i="4"/>
  <c r="N202" i="4" s="1"/>
  <c r="G257" i="4"/>
  <c r="G312" i="4"/>
  <c r="N312" i="4" s="1"/>
  <c r="G366" i="4"/>
  <c r="G367" i="4"/>
  <c r="G142" i="4"/>
  <c r="G143" i="4"/>
  <c r="N143" i="4" s="1"/>
  <c r="G197" i="4"/>
  <c r="G198" i="4"/>
  <c r="G252" i="4"/>
  <c r="G253" i="4"/>
  <c r="G307" i="4"/>
  <c r="G308" i="4"/>
  <c r="G362" i="4"/>
  <c r="G363" i="4"/>
  <c r="N363" i="4" s="1"/>
  <c r="G138" i="4"/>
  <c r="G139" i="4"/>
  <c r="G193" i="4"/>
  <c r="G194" i="4"/>
  <c r="G249" i="4"/>
  <c r="N249" i="4" s="1"/>
  <c r="G303" i="4"/>
  <c r="G304" i="4"/>
  <c r="N304" i="4" s="1"/>
  <c r="G359" i="4"/>
  <c r="N359" i="4" s="1"/>
  <c r="G134" i="4"/>
  <c r="G135" i="4"/>
  <c r="N135" i="4" s="1"/>
  <c r="G190" i="4"/>
  <c r="N190" i="4" s="1"/>
  <c r="G244" i="4"/>
  <c r="G245" i="4"/>
  <c r="N245" i="4" s="1"/>
  <c r="G299" i="4"/>
  <c r="G300" i="4"/>
  <c r="G355" i="4"/>
  <c r="G131" i="4"/>
  <c r="N131" i="4" s="1"/>
  <c r="G185" i="4"/>
  <c r="G186" i="4"/>
  <c r="G240" i="4"/>
  <c r="G241" i="4"/>
  <c r="G296" i="4"/>
  <c r="G350" i="4"/>
  <c r="G351" i="4"/>
  <c r="G126" i="4"/>
  <c r="G127" i="4"/>
  <c r="G181" i="4"/>
  <c r="G182" i="4"/>
  <c r="G236" i="4"/>
  <c r="G237" i="4"/>
  <c r="G292" i="4"/>
  <c r="N292" i="4" s="1"/>
  <c r="G346" i="4"/>
  <c r="G347" i="4"/>
  <c r="N347" i="4" s="1"/>
  <c r="G123" i="4"/>
  <c r="N123" i="4" s="1"/>
  <c r="G177" i="4"/>
  <c r="G178" i="4"/>
  <c r="G233" i="4"/>
  <c r="N233" i="4" s="1"/>
  <c r="G287" i="4"/>
  <c r="N287" i="4" s="1"/>
  <c r="G288" i="4"/>
  <c r="G342" i="4"/>
  <c r="G343" i="4"/>
  <c r="N343" i="4" s="1"/>
  <c r="G118" i="4"/>
  <c r="G119" i="4"/>
  <c r="G173" i="4"/>
  <c r="G174" i="4"/>
  <c r="N174" i="4" s="1"/>
  <c r="G228" i="4"/>
  <c r="G229" i="4"/>
  <c r="G284" i="4"/>
  <c r="N284" i="4" s="1"/>
  <c r="G338" i="4"/>
  <c r="G339" i="4"/>
  <c r="G115" i="4"/>
  <c r="N115" i="4" s="1"/>
  <c r="G169" i="4"/>
  <c r="G170" i="4"/>
  <c r="N170" i="4" s="1"/>
  <c r="G224" i="4"/>
  <c r="G225" i="4"/>
  <c r="G279" i="4"/>
  <c r="G280" i="4"/>
  <c r="G335" i="4"/>
  <c r="N335" i="4" s="1"/>
  <c r="D93" i="4"/>
  <c r="D89" i="4"/>
  <c r="D85" i="4"/>
  <c r="D81" i="4"/>
  <c r="D77" i="4"/>
  <c r="D73" i="4"/>
  <c r="D69" i="4"/>
  <c r="D65" i="4"/>
  <c r="D61" i="4"/>
  <c r="L103" i="4"/>
  <c r="G103" i="4"/>
  <c r="L99" i="4"/>
  <c r="L100" i="4"/>
  <c r="K101" i="4"/>
  <c r="J101" i="4"/>
  <c r="I101" i="4"/>
  <c r="G99" i="4"/>
  <c r="G100" i="4"/>
  <c r="F101" i="4"/>
  <c r="E101" i="4"/>
  <c r="D101" i="4"/>
  <c r="L95" i="4"/>
  <c r="L96" i="4"/>
  <c r="K97" i="4"/>
  <c r="J97" i="4"/>
  <c r="I97" i="4"/>
  <c r="G95" i="4"/>
  <c r="G96" i="4"/>
  <c r="F97" i="4"/>
  <c r="E97" i="4"/>
  <c r="D97" i="4"/>
  <c r="L91" i="4"/>
  <c r="L92" i="4"/>
  <c r="K93" i="4"/>
  <c r="J93" i="4"/>
  <c r="I93" i="4"/>
  <c r="G91" i="4"/>
  <c r="G92" i="4"/>
  <c r="F93" i="4"/>
  <c r="E93" i="4"/>
  <c r="L87" i="4"/>
  <c r="L88" i="4"/>
  <c r="K89" i="4"/>
  <c r="J89" i="4"/>
  <c r="I89" i="4"/>
  <c r="G87" i="4"/>
  <c r="G88" i="4"/>
  <c r="F89" i="4"/>
  <c r="E89" i="4"/>
  <c r="L83" i="4"/>
  <c r="L84" i="4"/>
  <c r="K85" i="4"/>
  <c r="J85" i="4"/>
  <c r="I85" i="4"/>
  <c r="G83" i="4"/>
  <c r="G84" i="4"/>
  <c r="F85" i="4"/>
  <c r="E85" i="4"/>
  <c r="L79" i="4"/>
  <c r="L80" i="4"/>
  <c r="K81" i="4"/>
  <c r="J81" i="4"/>
  <c r="I81" i="4"/>
  <c r="G79" i="4"/>
  <c r="G80" i="4"/>
  <c r="F81" i="4"/>
  <c r="E81" i="4"/>
  <c r="L75" i="4"/>
  <c r="L76" i="4"/>
  <c r="K77" i="4"/>
  <c r="J77" i="4"/>
  <c r="I77" i="4"/>
  <c r="G75" i="4"/>
  <c r="G76" i="4"/>
  <c r="F77" i="4"/>
  <c r="E77" i="4"/>
  <c r="L71" i="4"/>
  <c r="L72" i="4"/>
  <c r="K73" i="4"/>
  <c r="J73" i="4"/>
  <c r="I73" i="4"/>
  <c r="G71" i="4"/>
  <c r="G72" i="4"/>
  <c r="F73" i="4"/>
  <c r="E73" i="4"/>
  <c r="L67" i="4"/>
  <c r="L68" i="4"/>
  <c r="K69" i="4"/>
  <c r="J69" i="4"/>
  <c r="I69" i="4"/>
  <c r="G67" i="4"/>
  <c r="G68" i="4"/>
  <c r="F69" i="4"/>
  <c r="E69" i="4"/>
  <c r="L63" i="4"/>
  <c r="L64" i="4"/>
  <c r="K65" i="4"/>
  <c r="J65" i="4"/>
  <c r="I65" i="4"/>
  <c r="G63" i="4"/>
  <c r="G64" i="4"/>
  <c r="F65" i="4"/>
  <c r="E65" i="4"/>
  <c r="G59" i="4"/>
  <c r="L59" i="4"/>
  <c r="L60" i="4"/>
  <c r="K61" i="4"/>
  <c r="J61" i="4"/>
  <c r="I61" i="4"/>
  <c r="G60" i="4"/>
  <c r="N60" i="4" s="1"/>
  <c r="F61" i="4"/>
  <c r="E61" i="4"/>
  <c r="M304" i="1"/>
  <c r="H304" i="1"/>
  <c r="M303" i="1"/>
  <c r="H303" i="1"/>
  <c r="M300" i="1"/>
  <c r="H300" i="1"/>
  <c r="M299" i="1"/>
  <c r="H299" i="1"/>
  <c r="M296" i="1"/>
  <c r="H296" i="1"/>
  <c r="M295" i="1"/>
  <c r="H295" i="1"/>
  <c r="M292" i="1"/>
  <c r="H292" i="1"/>
  <c r="M291" i="1"/>
  <c r="H291" i="1"/>
  <c r="M288" i="1"/>
  <c r="H288" i="1"/>
  <c r="M287" i="1"/>
  <c r="H287" i="1"/>
  <c r="M284" i="1"/>
  <c r="H284" i="1"/>
  <c r="M283" i="1"/>
  <c r="H283" i="1"/>
  <c r="M280" i="1"/>
  <c r="H280" i="1"/>
  <c r="M279" i="1"/>
  <c r="H279" i="1"/>
  <c r="M276" i="1"/>
  <c r="H276" i="1"/>
  <c r="M275" i="1"/>
  <c r="H275" i="1"/>
  <c r="M272" i="1"/>
  <c r="H272" i="1"/>
  <c r="M271" i="1"/>
  <c r="H271" i="1"/>
  <c r="M268" i="1"/>
  <c r="H268" i="1"/>
  <c r="M267" i="1"/>
  <c r="H267" i="1"/>
  <c r="M264" i="1"/>
  <c r="H264" i="1"/>
  <c r="M263" i="1"/>
  <c r="H263" i="1"/>
  <c r="M260" i="1"/>
  <c r="H260" i="1"/>
  <c r="M259" i="1"/>
  <c r="H259" i="1"/>
  <c r="M253" i="1"/>
  <c r="H253" i="1"/>
  <c r="M252" i="1"/>
  <c r="H252" i="1"/>
  <c r="M249" i="1"/>
  <c r="H249" i="1"/>
  <c r="M248" i="1"/>
  <c r="H248" i="1"/>
  <c r="M245" i="1"/>
  <c r="H245" i="1"/>
  <c r="M244" i="1"/>
  <c r="H244" i="1"/>
  <c r="M241" i="1"/>
  <c r="H241" i="1"/>
  <c r="M240" i="1"/>
  <c r="H240" i="1"/>
  <c r="M237" i="1"/>
  <c r="H237" i="1"/>
  <c r="M236" i="1"/>
  <c r="H236" i="1"/>
  <c r="M233" i="1"/>
  <c r="H233" i="1"/>
  <c r="M232" i="1"/>
  <c r="H232" i="1"/>
  <c r="M229" i="1"/>
  <c r="H229" i="1"/>
  <c r="M228" i="1"/>
  <c r="H228" i="1"/>
  <c r="M225" i="1"/>
  <c r="H225" i="1"/>
  <c r="M224" i="1"/>
  <c r="H224" i="1"/>
  <c r="M221" i="1"/>
  <c r="H221" i="1"/>
  <c r="M220" i="1"/>
  <c r="H220" i="1"/>
  <c r="M217" i="1"/>
  <c r="H217" i="1"/>
  <c r="M216" i="1"/>
  <c r="H216" i="1"/>
  <c r="M213" i="1"/>
  <c r="H213" i="1"/>
  <c r="M212" i="1"/>
  <c r="H212" i="1"/>
  <c r="M209" i="1"/>
  <c r="H209" i="1"/>
  <c r="M208" i="1"/>
  <c r="H208" i="1"/>
  <c r="M202" i="1"/>
  <c r="M201" i="1"/>
  <c r="M198" i="1"/>
  <c r="M197" i="1"/>
  <c r="M194" i="1"/>
  <c r="M193" i="1"/>
  <c r="M190" i="1"/>
  <c r="M189" i="1"/>
  <c r="M186" i="1"/>
  <c r="M185" i="1"/>
  <c r="M182" i="1"/>
  <c r="M181" i="1"/>
  <c r="M178" i="1"/>
  <c r="M177" i="1"/>
  <c r="M174" i="1"/>
  <c r="M173" i="1"/>
  <c r="M170" i="1"/>
  <c r="M169" i="1"/>
  <c r="M166" i="1"/>
  <c r="M165" i="1"/>
  <c r="M162" i="1"/>
  <c r="M161" i="1"/>
  <c r="M158" i="1"/>
  <c r="M157" i="1"/>
  <c r="M151" i="1"/>
  <c r="M150" i="1"/>
  <c r="M147" i="1"/>
  <c r="M146" i="1"/>
  <c r="M143" i="1"/>
  <c r="M142" i="1"/>
  <c r="M139" i="1"/>
  <c r="M138" i="1"/>
  <c r="M135" i="1"/>
  <c r="M134" i="1"/>
  <c r="M131" i="1"/>
  <c r="M130" i="1"/>
  <c r="M127" i="1"/>
  <c r="M126" i="1"/>
  <c r="M123" i="1"/>
  <c r="M122" i="1"/>
  <c r="M119" i="1"/>
  <c r="M118" i="1"/>
  <c r="M115" i="1"/>
  <c r="M114" i="1"/>
  <c r="M111" i="1"/>
  <c r="M110" i="1"/>
  <c r="M107" i="1"/>
  <c r="M106" i="1"/>
  <c r="M100" i="1"/>
  <c r="M99" i="1"/>
  <c r="M96" i="1"/>
  <c r="M95" i="1"/>
  <c r="M92" i="1"/>
  <c r="M91" i="1"/>
  <c r="M88" i="1"/>
  <c r="M87" i="1"/>
  <c r="M84" i="1"/>
  <c r="M83" i="1"/>
  <c r="M80" i="1"/>
  <c r="M79" i="1"/>
  <c r="M76" i="1"/>
  <c r="M75" i="1"/>
  <c r="M72" i="1"/>
  <c r="M71" i="1"/>
  <c r="M68" i="1"/>
  <c r="M67" i="1"/>
  <c r="M64" i="1"/>
  <c r="M63" i="1"/>
  <c r="M60" i="1"/>
  <c r="M59" i="1"/>
  <c r="H202" i="1"/>
  <c r="H201" i="1"/>
  <c r="H198" i="1"/>
  <c r="H197" i="1"/>
  <c r="H194" i="1"/>
  <c r="H193" i="1"/>
  <c r="H190" i="1"/>
  <c r="H189" i="1"/>
  <c r="H186" i="1"/>
  <c r="H185" i="1"/>
  <c r="H182" i="1"/>
  <c r="H181" i="1"/>
  <c r="H178" i="1"/>
  <c r="H177" i="1"/>
  <c r="H174" i="1"/>
  <c r="H173" i="1"/>
  <c r="H170" i="1"/>
  <c r="H169" i="1"/>
  <c r="H166" i="1"/>
  <c r="H165" i="1"/>
  <c r="H162" i="1"/>
  <c r="H161" i="1"/>
  <c r="H158" i="1"/>
  <c r="H157" i="1"/>
  <c r="H151" i="1"/>
  <c r="H150" i="1"/>
  <c r="H147" i="1"/>
  <c r="H146" i="1"/>
  <c r="H143" i="1"/>
  <c r="H142" i="1"/>
  <c r="H139" i="1"/>
  <c r="H138" i="1"/>
  <c r="H135" i="1"/>
  <c r="H134" i="1"/>
  <c r="H131" i="1"/>
  <c r="H130" i="1"/>
  <c r="H127" i="1"/>
  <c r="H126" i="1"/>
  <c r="H123" i="1"/>
  <c r="H122" i="1"/>
  <c r="H119" i="1"/>
  <c r="H118" i="1"/>
  <c r="H115" i="1"/>
  <c r="H114" i="1"/>
  <c r="H111" i="1"/>
  <c r="H110" i="1"/>
  <c r="H107" i="1"/>
  <c r="H106" i="1"/>
  <c r="H100" i="1"/>
  <c r="H99" i="1"/>
  <c r="H96" i="1"/>
  <c r="H95" i="1"/>
  <c r="H92" i="1"/>
  <c r="H91" i="1"/>
  <c r="H88" i="1"/>
  <c r="H87" i="1"/>
  <c r="H84" i="1"/>
  <c r="H83" i="1"/>
  <c r="H80" i="1"/>
  <c r="H79" i="1"/>
  <c r="H76" i="1"/>
  <c r="H75" i="1"/>
  <c r="H72" i="1"/>
  <c r="H71" i="1"/>
  <c r="H68" i="1"/>
  <c r="H67" i="1"/>
  <c r="H64" i="1"/>
  <c r="H63" i="1"/>
  <c r="H60" i="1"/>
  <c r="H59" i="1"/>
  <c r="M56" i="1"/>
  <c r="M55" i="1"/>
  <c r="H56" i="1"/>
  <c r="H55" i="1"/>
  <c r="N64" i="4" l="1"/>
  <c r="N75" i="4"/>
  <c r="L77" i="4"/>
  <c r="N80" i="4"/>
  <c r="N91" i="4"/>
  <c r="L93" i="4"/>
  <c r="N119" i="4"/>
  <c r="N288" i="4"/>
  <c r="N328" i="4" s="1"/>
  <c r="N181" i="4"/>
  <c r="N350" i="4"/>
  <c r="N186" i="4"/>
  <c r="N300" i="4"/>
  <c r="N252" i="4"/>
  <c r="L289" i="4"/>
  <c r="J274" i="4"/>
  <c r="N339" i="4"/>
  <c r="N371" i="4"/>
  <c r="N375" i="4"/>
  <c r="I54" i="4"/>
  <c r="L105" i="4"/>
  <c r="N178" i="4"/>
  <c r="N182" i="4"/>
  <c r="N351" i="4"/>
  <c r="N352" i="4" s="1"/>
  <c r="N194" i="4"/>
  <c r="N316" i="4"/>
  <c r="R69" i="4"/>
  <c r="V69" i="4"/>
  <c r="Q73" i="4"/>
  <c r="R85" i="4"/>
  <c r="V85" i="4"/>
  <c r="Q89" i="4"/>
  <c r="R97" i="4"/>
  <c r="V97" i="4"/>
  <c r="P93" i="4"/>
  <c r="N225" i="4"/>
  <c r="N379" i="4"/>
  <c r="L52" i="4"/>
  <c r="L107" i="4"/>
  <c r="V73" i="4"/>
  <c r="V89" i="4"/>
  <c r="J384" i="4"/>
  <c r="R53" i="4"/>
  <c r="L101" i="4"/>
  <c r="L240" i="4"/>
  <c r="N240" i="4" s="1"/>
  <c r="L144" i="4"/>
  <c r="L191" i="4"/>
  <c r="N99" i="4"/>
  <c r="N101" i="4" s="1"/>
  <c r="L295" i="4"/>
  <c r="L354" i="4"/>
  <c r="G50" i="4"/>
  <c r="G26" i="4"/>
  <c r="D234" i="4"/>
  <c r="L185" i="4"/>
  <c r="L187" i="4" s="1"/>
  <c r="L232" i="4"/>
  <c r="L234" i="4" s="1"/>
  <c r="L244" i="4"/>
  <c r="L246" i="4" s="1"/>
  <c r="L315" i="4"/>
  <c r="L317" i="4" s="1"/>
  <c r="V52" i="4"/>
  <c r="R50" i="4"/>
  <c r="N126" i="4"/>
  <c r="D132" i="4"/>
  <c r="P77" i="4" s="1"/>
  <c r="L256" i="4"/>
  <c r="G34" i="4"/>
  <c r="G10" i="4"/>
  <c r="L370" i="4"/>
  <c r="L372" i="4" s="1"/>
  <c r="V10" i="4"/>
  <c r="D250" i="4"/>
  <c r="P85" i="4" s="1"/>
  <c r="G248" i="4"/>
  <c r="G250" i="4" s="1"/>
  <c r="I321" i="4"/>
  <c r="U101" i="4" s="1"/>
  <c r="L319" i="4"/>
  <c r="L321" i="4" s="1"/>
  <c r="D270" i="4"/>
  <c r="P105" i="4" s="1"/>
  <c r="G268" i="4"/>
  <c r="G270" i="4" s="1"/>
  <c r="D336" i="4"/>
  <c r="G334" i="4"/>
  <c r="G53" i="4"/>
  <c r="G38" i="4"/>
  <c r="G22" i="4"/>
  <c r="N12" i="4"/>
  <c r="G14" i="4"/>
  <c r="Q61" i="4"/>
  <c r="V61" i="4"/>
  <c r="R73" i="4"/>
  <c r="Q77" i="4"/>
  <c r="W85" i="4"/>
  <c r="R89" i="4"/>
  <c r="Q93" i="4"/>
  <c r="G354" i="4"/>
  <c r="N354" i="4" s="1"/>
  <c r="D124" i="4"/>
  <c r="G122" i="4"/>
  <c r="G124" i="4" s="1"/>
  <c r="K360" i="4"/>
  <c r="G295" i="4"/>
  <c r="G191" i="4"/>
  <c r="N253" i="4"/>
  <c r="N254" i="4" s="1"/>
  <c r="G260" i="4"/>
  <c r="G262" i="4" s="1"/>
  <c r="D293" i="4"/>
  <c r="G291" i="4"/>
  <c r="N358" i="4"/>
  <c r="N360" i="4" s="1"/>
  <c r="I238" i="4"/>
  <c r="L236" i="4"/>
  <c r="L238" i="4" s="1"/>
  <c r="I195" i="4"/>
  <c r="U85" i="4" s="1"/>
  <c r="L193" i="4"/>
  <c r="L195" i="4" s="1"/>
  <c r="I152" i="4"/>
  <c r="L150" i="4"/>
  <c r="L152" i="4" s="1"/>
  <c r="L201" i="4"/>
  <c r="L203" i="4" s="1"/>
  <c r="K203" i="4"/>
  <c r="I364" i="4"/>
  <c r="L362" i="4"/>
  <c r="L364" i="4" s="1"/>
  <c r="I116" i="4"/>
  <c r="U61" i="4" s="1"/>
  <c r="L114" i="4"/>
  <c r="D285" i="4"/>
  <c r="P65" i="4" s="1"/>
  <c r="G283" i="4"/>
  <c r="D116" i="4"/>
  <c r="P61" i="4" s="1"/>
  <c r="G114" i="4"/>
  <c r="G162" i="4" s="1"/>
  <c r="D211" i="4"/>
  <c r="P101" i="4" s="1"/>
  <c r="G209" i="4"/>
  <c r="N209" i="4" s="1"/>
  <c r="G46" i="4"/>
  <c r="G30" i="4"/>
  <c r="G6" i="4"/>
  <c r="N241" i="4"/>
  <c r="N362" i="4"/>
  <c r="N364" i="4" s="1"/>
  <c r="N142" i="4"/>
  <c r="N144" i="4" s="1"/>
  <c r="G311" i="4"/>
  <c r="N311" i="4" s="1"/>
  <c r="N313" i="4" s="1"/>
  <c r="N210" i="4"/>
  <c r="N211" i="4" s="1"/>
  <c r="K317" i="4"/>
  <c r="W97" i="4" s="1"/>
  <c r="L297" i="4"/>
  <c r="L128" i="4"/>
  <c r="L254" i="4"/>
  <c r="L301" i="4"/>
  <c r="L258" i="4"/>
  <c r="J219" i="4"/>
  <c r="R61" i="4"/>
  <c r="Q65" i="4"/>
  <c r="R77" i="4"/>
  <c r="V77" i="4"/>
  <c r="Q81" i="4"/>
  <c r="R93" i="4"/>
  <c r="V93" i="4"/>
  <c r="P97" i="4"/>
  <c r="R101" i="4"/>
  <c r="V101" i="4"/>
  <c r="N342" i="4"/>
  <c r="N344" i="4" s="1"/>
  <c r="N299" i="4"/>
  <c r="N139" i="4"/>
  <c r="N308" i="4"/>
  <c r="N198" i="4"/>
  <c r="N367" i="4"/>
  <c r="N257" i="4"/>
  <c r="N265" i="4"/>
  <c r="N155" i="4"/>
  <c r="N214" i="4"/>
  <c r="K242" i="4"/>
  <c r="W77" i="4" s="1"/>
  <c r="K199" i="4"/>
  <c r="K301" i="4"/>
  <c r="W81" i="4" s="1"/>
  <c r="K258" i="4"/>
  <c r="L352" i="4"/>
  <c r="L183" i="4"/>
  <c r="L307" i="4"/>
  <c r="L309" i="4" s="1"/>
  <c r="L264" i="4"/>
  <c r="L266" i="4" s="1"/>
  <c r="L366" i="4"/>
  <c r="L368" i="4" s="1"/>
  <c r="L224" i="4"/>
  <c r="L226" i="4" s="1"/>
  <c r="E109" i="4"/>
  <c r="K109" i="4"/>
  <c r="L42" i="4"/>
  <c r="L50" i="4"/>
  <c r="N33" i="4"/>
  <c r="Q53" i="4"/>
  <c r="U53" i="4"/>
  <c r="R14" i="4"/>
  <c r="Q22" i="4"/>
  <c r="Q38" i="4"/>
  <c r="N150" i="4"/>
  <c r="N152" i="4" s="1"/>
  <c r="L242" i="4"/>
  <c r="L344" i="4"/>
  <c r="L199" i="4"/>
  <c r="L356" i="4"/>
  <c r="L211" i="4"/>
  <c r="L313" i="4"/>
  <c r="R65" i="4"/>
  <c r="V65" i="4"/>
  <c r="Q69" i="4"/>
  <c r="R81" i="4"/>
  <c r="V81" i="4"/>
  <c r="Q85" i="4"/>
  <c r="W101" i="4"/>
  <c r="N280" i="4"/>
  <c r="N229" i="4"/>
  <c r="N237" i="4"/>
  <c r="N127" i="4"/>
  <c r="N296" i="4"/>
  <c r="N355" i="4"/>
  <c r="N197" i="4"/>
  <c r="G256" i="4"/>
  <c r="N256" i="4" s="1"/>
  <c r="N258" i="4" s="1"/>
  <c r="G148" i="4"/>
  <c r="G205" i="4"/>
  <c r="G374" i="4"/>
  <c r="G382" i="4" s="1"/>
  <c r="G154" i="4"/>
  <c r="G213" i="4"/>
  <c r="G215" i="4" s="1"/>
  <c r="L346" i="4"/>
  <c r="L348" i="4" s="1"/>
  <c r="L291" i="4"/>
  <c r="L293" i="4" s="1"/>
  <c r="L177" i="4"/>
  <c r="L179" i="4" s="1"/>
  <c r="L303" i="4"/>
  <c r="L305" i="4" s="1"/>
  <c r="L248" i="4"/>
  <c r="L250" i="4" s="1"/>
  <c r="L134" i="4"/>
  <c r="L136" i="4" s="1"/>
  <c r="L374" i="4"/>
  <c r="L376" i="4" s="1"/>
  <c r="L260" i="4"/>
  <c r="L262" i="4" s="1"/>
  <c r="L205" i="4"/>
  <c r="L207" i="4" s="1"/>
  <c r="N44" i="4"/>
  <c r="N28" i="4"/>
  <c r="N20" i="4"/>
  <c r="R34" i="4"/>
  <c r="G352" i="4"/>
  <c r="G266" i="4"/>
  <c r="D54" i="4"/>
  <c r="F54" i="4"/>
  <c r="N17" i="4"/>
  <c r="N9" i="4"/>
  <c r="Q10" i="4"/>
  <c r="V46" i="4"/>
  <c r="Q50" i="4"/>
  <c r="G52" i="4"/>
  <c r="G54" i="4" s="1"/>
  <c r="R30" i="4"/>
  <c r="G309" i="4"/>
  <c r="L53" i="4"/>
  <c r="L54" i="4" s="1"/>
  <c r="V38" i="4"/>
  <c r="V50" i="4"/>
  <c r="G61" i="4"/>
  <c r="N67" i="4"/>
  <c r="L69" i="4"/>
  <c r="N72" i="4"/>
  <c r="N83" i="4"/>
  <c r="L85" i="4"/>
  <c r="N88" i="4"/>
  <c r="Z33" i="4" s="1"/>
  <c r="N95" i="4"/>
  <c r="N97" i="4" s="1"/>
  <c r="L97" i="4"/>
  <c r="N103" i="4"/>
  <c r="N105" i="4" s="1"/>
  <c r="G234" i="4"/>
  <c r="K352" i="4"/>
  <c r="K183" i="4"/>
  <c r="W73" i="4" s="1"/>
  <c r="K234" i="4"/>
  <c r="W69" i="4" s="1"/>
  <c r="K309" i="4"/>
  <c r="J109" i="4"/>
  <c r="V109" i="4" s="1"/>
  <c r="V18" i="4"/>
  <c r="Q30" i="4"/>
  <c r="U73" i="4"/>
  <c r="U81" i="4"/>
  <c r="G107" i="4"/>
  <c r="N68" i="4"/>
  <c r="U69" i="4"/>
  <c r="N76" i="4"/>
  <c r="U77" i="4"/>
  <c r="N84" i="4"/>
  <c r="N92" i="4"/>
  <c r="N93" i="4" s="1"/>
  <c r="U93" i="4"/>
  <c r="Q97" i="4"/>
  <c r="N96" i="4"/>
  <c r="U97" i="4"/>
  <c r="Q101" i="4"/>
  <c r="N100" i="4"/>
  <c r="P73" i="4"/>
  <c r="P81" i="4"/>
  <c r="P89" i="4"/>
  <c r="G226" i="4"/>
  <c r="G175" i="4"/>
  <c r="G293" i="4"/>
  <c r="G132" i="4"/>
  <c r="G368" i="4"/>
  <c r="G207" i="4"/>
  <c r="G325" i="4"/>
  <c r="L158" i="4"/>
  <c r="L160" i="4" s="1"/>
  <c r="L338" i="4"/>
  <c r="N338" i="4" s="1"/>
  <c r="L283" i="4"/>
  <c r="L228" i="4"/>
  <c r="L230" i="4" s="1"/>
  <c r="U89" i="4"/>
  <c r="I380" i="4"/>
  <c r="L378" i="4"/>
  <c r="L380" i="4" s="1"/>
  <c r="I270" i="4"/>
  <c r="U105" i="4" s="1"/>
  <c r="L268" i="4"/>
  <c r="I175" i="4"/>
  <c r="U65" i="4" s="1"/>
  <c r="L173" i="4"/>
  <c r="L175" i="4" s="1"/>
  <c r="I336" i="4"/>
  <c r="L334" i="4"/>
  <c r="L336" i="4" s="1"/>
  <c r="K325" i="4"/>
  <c r="L323" i="4"/>
  <c r="N323" i="4" s="1"/>
  <c r="N325" i="4" s="1"/>
  <c r="K215" i="4"/>
  <c r="L213" i="4"/>
  <c r="K120" i="4"/>
  <c r="W65" i="4" s="1"/>
  <c r="L118" i="4"/>
  <c r="N118" i="4" s="1"/>
  <c r="N120" i="4" s="1"/>
  <c r="K281" i="4"/>
  <c r="W61" i="4" s="1"/>
  <c r="L279" i="4"/>
  <c r="D109" i="4"/>
  <c r="E164" i="4"/>
  <c r="F164" i="4"/>
  <c r="E219" i="4"/>
  <c r="F219" i="4"/>
  <c r="E274" i="4"/>
  <c r="Q109" i="4" s="1"/>
  <c r="F274" i="4"/>
  <c r="E329" i="4"/>
  <c r="F329" i="4"/>
  <c r="E384" i="4"/>
  <c r="F384" i="4"/>
  <c r="K54" i="4"/>
  <c r="N25" i="4"/>
  <c r="Z25" i="4" s="1"/>
  <c r="N36" i="4"/>
  <c r="N4" i="4"/>
  <c r="P53" i="4"/>
  <c r="Q52" i="4"/>
  <c r="R52" i="4"/>
  <c r="R54" i="4" s="1"/>
  <c r="V53" i="4"/>
  <c r="W53" i="4"/>
  <c r="Q18" i="4"/>
  <c r="R18" i="4"/>
  <c r="R26" i="4"/>
  <c r="V30" i="4"/>
  <c r="Q34" i="4"/>
  <c r="V34" i="4"/>
  <c r="Q46" i="4"/>
  <c r="R46" i="4"/>
  <c r="G285" i="4"/>
  <c r="G344" i="4"/>
  <c r="G183" i="4"/>
  <c r="N183" i="4"/>
  <c r="G242" i="4"/>
  <c r="G301" i="4"/>
  <c r="G360" i="4"/>
  <c r="G140" i="4"/>
  <c r="G199" i="4"/>
  <c r="N199" i="4"/>
  <c r="G317" i="4"/>
  <c r="G156" i="4"/>
  <c r="P20" i="4"/>
  <c r="P22" i="4" s="1"/>
  <c r="P16" i="4"/>
  <c r="P18" i="4" s="1"/>
  <c r="P12" i="4"/>
  <c r="P14" i="4" s="1"/>
  <c r="P32" i="4"/>
  <c r="P34" i="4" s="1"/>
  <c r="P28" i="4"/>
  <c r="P30" i="4" s="1"/>
  <c r="P24" i="4"/>
  <c r="P26" i="4" s="1"/>
  <c r="U20" i="4"/>
  <c r="U22" i="4" s="1"/>
  <c r="W16" i="4"/>
  <c r="W18" i="4" s="1"/>
  <c r="U12" i="4"/>
  <c r="U14" i="4" s="1"/>
  <c r="W32" i="4"/>
  <c r="W34" i="4" s="1"/>
  <c r="U28" i="4"/>
  <c r="U30" i="4" s="1"/>
  <c r="W24" i="4"/>
  <c r="W26" i="4" s="1"/>
  <c r="U44" i="4"/>
  <c r="U46" i="4" s="1"/>
  <c r="W40" i="4"/>
  <c r="W42" i="4" s="1"/>
  <c r="U36" i="4"/>
  <c r="U38" i="4" s="1"/>
  <c r="L273" i="4"/>
  <c r="L218" i="4"/>
  <c r="R105" i="4"/>
  <c r="E54" i="4"/>
  <c r="J54" i="4"/>
  <c r="X49" i="4"/>
  <c r="X45" i="4"/>
  <c r="S41" i="4"/>
  <c r="S37" i="4"/>
  <c r="X33" i="4"/>
  <c r="X29" i="4"/>
  <c r="S25" i="4"/>
  <c r="S21" i="4"/>
  <c r="X17" i="4"/>
  <c r="X13" i="4"/>
  <c r="S9" i="4"/>
  <c r="S10" i="4" s="1"/>
  <c r="S5" i="4"/>
  <c r="S40" i="4"/>
  <c r="X32" i="4"/>
  <c r="X34" i="4" s="1"/>
  <c r="S24" i="4"/>
  <c r="S20" i="4"/>
  <c r="S22" i="4" s="1"/>
  <c r="X16" i="4"/>
  <c r="S8" i="4"/>
  <c r="Q6" i="4"/>
  <c r="V6" i="4"/>
  <c r="R10" i="4"/>
  <c r="Q14" i="4"/>
  <c r="V14" i="4"/>
  <c r="R22" i="4"/>
  <c r="Q26" i="4"/>
  <c r="V26" i="4"/>
  <c r="R38" i="4"/>
  <c r="Q42" i="4"/>
  <c r="V42" i="4"/>
  <c r="L108" i="4"/>
  <c r="L109" i="4" s="1"/>
  <c r="N63" i="4"/>
  <c r="N65" i="4" s="1"/>
  <c r="L65" i="4"/>
  <c r="G69" i="4"/>
  <c r="N71" i="4"/>
  <c r="L73" i="4"/>
  <c r="X73" i="4" s="1"/>
  <c r="G77" i="4"/>
  <c r="N79" i="4"/>
  <c r="L81" i="4"/>
  <c r="G85" i="4"/>
  <c r="N87" i="4"/>
  <c r="L89" i="4"/>
  <c r="G93" i="4"/>
  <c r="G97" i="4"/>
  <c r="G101" i="4"/>
  <c r="G336" i="4"/>
  <c r="W20" i="4"/>
  <c r="W22" i="4" s="1"/>
  <c r="U16" i="4"/>
  <c r="U18" i="4" s="1"/>
  <c r="W12" i="4"/>
  <c r="W14" i="4" s="1"/>
  <c r="U32" i="4"/>
  <c r="U34" i="4" s="1"/>
  <c r="W28" i="4"/>
  <c r="W30" i="4" s="1"/>
  <c r="U24" i="4"/>
  <c r="U26" i="4" s="1"/>
  <c r="W44" i="4"/>
  <c r="W46" i="4" s="1"/>
  <c r="U40" i="4"/>
  <c r="U42" i="4" s="1"/>
  <c r="W36" i="4"/>
  <c r="W38" i="4" s="1"/>
  <c r="L383" i="4"/>
  <c r="L328" i="4"/>
  <c r="L163" i="4"/>
  <c r="U48" i="4"/>
  <c r="U50" i="4" s="1"/>
  <c r="U8" i="4"/>
  <c r="U10" i="4" s="1"/>
  <c r="I382" i="4"/>
  <c r="I384" i="4" s="1"/>
  <c r="I327" i="4"/>
  <c r="I329" i="4" s="1"/>
  <c r="I272" i="4"/>
  <c r="I274" i="4" s="1"/>
  <c r="I217" i="4"/>
  <c r="I219" i="4" s="1"/>
  <c r="U4" i="4"/>
  <c r="W48" i="4"/>
  <c r="W50" i="4" s="1"/>
  <c r="W8" i="4"/>
  <c r="W10" i="4" s="1"/>
  <c r="K382" i="4"/>
  <c r="K384" i="4" s="1"/>
  <c r="K327" i="4"/>
  <c r="K329" i="4" s="1"/>
  <c r="K272" i="4"/>
  <c r="K274" i="4" s="1"/>
  <c r="K217" i="4"/>
  <c r="K219" i="4" s="1"/>
  <c r="W4" i="4"/>
  <c r="W6" i="4" s="1"/>
  <c r="Q105" i="4"/>
  <c r="P48" i="4"/>
  <c r="P50" i="4" s="1"/>
  <c r="P8" i="4"/>
  <c r="P10" i="4" s="1"/>
  <c r="D382" i="4"/>
  <c r="D384" i="4" s="1"/>
  <c r="D327" i="4"/>
  <c r="D329" i="4" s="1"/>
  <c r="D272" i="4"/>
  <c r="D274" i="4" s="1"/>
  <c r="D217" i="4"/>
  <c r="D219" i="4" s="1"/>
  <c r="P4" i="4"/>
  <c r="P6" i="4" s="1"/>
  <c r="P44" i="4"/>
  <c r="P46" i="4" s="1"/>
  <c r="P40" i="4"/>
  <c r="P42" i="4" s="1"/>
  <c r="P36" i="4"/>
  <c r="P38" i="4" s="1"/>
  <c r="V105" i="4"/>
  <c r="F109" i="4"/>
  <c r="I109" i="4"/>
  <c r="S49" i="4"/>
  <c r="S45" i="4"/>
  <c r="X41" i="4"/>
  <c r="X37" i="4"/>
  <c r="S33" i="4"/>
  <c r="S29" i="4"/>
  <c r="X25" i="4"/>
  <c r="X21" i="4"/>
  <c r="S17" i="4"/>
  <c r="S13" i="4"/>
  <c r="X9" i="4"/>
  <c r="X5" i="4"/>
  <c r="S48" i="4"/>
  <c r="S50" i="4" s="1"/>
  <c r="S44" i="4"/>
  <c r="S46" i="4" s="1"/>
  <c r="S32" i="4"/>
  <c r="S16" i="4"/>
  <c r="S12" i="4"/>
  <c r="S14" i="4" s="1"/>
  <c r="Z41" i="4"/>
  <c r="U6" i="4"/>
  <c r="N77" i="4"/>
  <c r="N191" i="4"/>
  <c r="Z49" i="4"/>
  <c r="L61" i="4"/>
  <c r="G65" i="4"/>
  <c r="G73" i="4"/>
  <c r="G81" i="4"/>
  <c r="G89" i="4"/>
  <c r="G281" i="4"/>
  <c r="G171" i="4"/>
  <c r="G340" i="4"/>
  <c r="G230" i="4"/>
  <c r="G120" i="4"/>
  <c r="G289" i="4"/>
  <c r="G179" i="4"/>
  <c r="G348" i="4"/>
  <c r="G238" i="4"/>
  <c r="G128" i="4"/>
  <c r="G187" i="4"/>
  <c r="G356" i="4"/>
  <c r="G246" i="4"/>
  <c r="G136" i="4"/>
  <c r="G305" i="4"/>
  <c r="G195" i="4"/>
  <c r="G364" i="4"/>
  <c r="G254" i="4"/>
  <c r="G144" i="4"/>
  <c r="G203" i="4"/>
  <c r="G372" i="4"/>
  <c r="G152" i="4"/>
  <c r="G321" i="4"/>
  <c r="G211" i="4"/>
  <c r="G380" i="4"/>
  <c r="G160" i="4"/>
  <c r="L130" i="4"/>
  <c r="L132" i="4" s="1"/>
  <c r="L122" i="4"/>
  <c r="L124" i="4" s="1"/>
  <c r="X69" i="4" s="1"/>
  <c r="L138" i="4"/>
  <c r="L140" i="4" s="1"/>
  <c r="L154" i="4"/>
  <c r="L156" i="4" s="1"/>
  <c r="L146" i="4"/>
  <c r="L148" i="4" s="1"/>
  <c r="L171" i="4"/>
  <c r="G105" i="4"/>
  <c r="G108" i="4"/>
  <c r="D162" i="4"/>
  <c r="D164" i="4" s="1"/>
  <c r="G163" i="4"/>
  <c r="I162" i="4"/>
  <c r="I164" i="4" s="1"/>
  <c r="K162" i="4"/>
  <c r="K164" i="4" s="1"/>
  <c r="G218" i="4"/>
  <c r="G273" i="4"/>
  <c r="G328" i="4"/>
  <c r="N59" i="4"/>
  <c r="N169" i="4"/>
  <c r="G383" i="4"/>
  <c r="N45" i="4"/>
  <c r="N37" i="4"/>
  <c r="N29" i="4"/>
  <c r="N21" i="4"/>
  <c r="N13" i="4"/>
  <c r="N5" i="4"/>
  <c r="N48" i="4"/>
  <c r="N40" i="4"/>
  <c r="N32" i="4"/>
  <c r="N24" i="4"/>
  <c r="N16" i="4"/>
  <c r="N8" i="4"/>
  <c r="R6" i="4"/>
  <c r="V54" i="4"/>
  <c r="AE67" i="4" l="1"/>
  <c r="E4" i="6" s="1"/>
  <c r="P69" i="4"/>
  <c r="N128" i="4"/>
  <c r="S28" i="4"/>
  <c r="S30" i="4" s="1"/>
  <c r="N81" i="4"/>
  <c r="N289" i="4"/>
  <c r="N268" i="4"/>
  <c r="N270" i="4" s="1"/>
  <c r="N315" i="4"/>
  <c r="N317" i="4" s="1"/>
  <c r="Z9" i="4"/>
  <c r="AG65" i="4"/>
  <c r="D7" i="6" s="1"/>
  <c r="Q54" i="4"/>
  <c r="N218" i="4"/>
  <c r="N301" i="4"/>
  <c r="N295" i="4"/>
  <c r="N73" i="4"/>
  <c r="N340" i="4"/>
  <c r="N201" i="4"/>
  <c r="N203" i="4" s="1"/>
  <c r="AE65" i="4"/>
  <c r="D4" i="6" s="1"/>
  <c r="S26" i="4"/>
  <c r="L382" i="4"/>
  <c r="AC65" i="4"/>
  <c r="D2" i="6" s="1"/>
  <c r="X97" i="4"/>
  <c r="N85" i="4"/>
  <c r="AD65" i="4"/>
  <c r="D3" i="6" s="1"/>
  <c r="P109" i="4"/>
  <c r="AE71" i="4"/>
  <c r="B17" i="6" s="1"/>
  <c r="L120" i="4"/>
  <c r="L327" i="4"/>
  <c r="L329" i="4" s="1"/>
  <c r="W89" i="4"/>
  <c r="AG63" i="4"/>
  <c r="C7" i="6" s="1"/>
  <c r="X53" i="4"/>
  <c r="S42" i="4"/>
  <c r="W105" i="4"/>
  <c r="N224" i="4"/>
  <c r="N226" i="4" s="1"/>
  <c r="N303" i="4"/>
  <c r="N305" i="4" s="1"/>
  <c r="N236" i="4"/>
  <c r="N238" i="4" s="1"/>
  <c r="N244" i="4"/>
  <c r="N246" i="4" s="1"/>
  <c r="G109" i="4"/>
  <c r="P52" i="4"/>
  <c r="P54" i="4" s="1"/>
  <c r="X81" i="4"/>
  <c r="N108" i="4"/>
  <c r="N297" i="4"/>
  <c r="AE63" i="4"/>
  <c r="C4" i="6" s="1"/>
  <c r="X24" i="4"/>
  <c r="X26" i="4" s="1"/>
  <c r="R109" i="4"/>
  <c r="N283" i="4"/>
  <c r="N285" i="4" s="1"/>
  <c r="N273" i="4"/>
  <c r="W93" i="4"/>
  <c r="AH67" i="4" s="1"/>
  <c r="E5" i="6" s="1"/>
  <c r="E8" i="6" s="1"/>
  <c r="N370" i="4"/>
  <c r="N372" i="4" s="1"/>
  <c r="N334" i="4"/>
  <c r="L281" i="4"/>
  <c r="U52" i="4"/>
  <c r="U54" i="4" s="1"/>
  <c r="X89" i="4"/>
  <c r="Z17" i="4"/>
  <c r="N374" i="4"/>
  <c r="N376" i="4" s="1"/>
  <c r="N307" i="4"/>
  <c r="N309" i="4" s="1"/>
  <c r="N163" i="4"/>
  <c r="X4" i="4"/>
  <c r="X6" i="4" s="1"/>
  <c r="L272" i="4"/>
  <c r="L274" i="4" s="1"/>
  <c r="S34" i="4"/>
  <c r="S53" i="4"/>
  <c r="N383" i="4"/>
  <c r="AE61" i="4"/>
  <c r="B4" i="6" s="1"/>
  <c r="AC67" i="4"/>
  <c r="E2" i="6" s="1"/>
  <c r="AC63" i="4"/>
  <c r="C2" i="6" s="1"/>
  <c r="N177" i="4"/>
  <c r="N179" i="4" s="1"/>
  <c r="X8" i="4"/>
  <c r="X10" i="4" s="1"/>
  <c r="X18" i="4"/>
  <c r="L325" i="4"/>
  <c r="N213" i="4"/>
  <c r="N215" i="4" s="1"/>
  <c r="N228" i="4"/>
  <c r="N230" i="4" s="1"/>
  <c r="N89" i="4"/>
  <c r="AD71" i="4"/>
  <c r="B16" i="6" s="1"/>
  <c r="AG67" i="4"/>
  <c r="E7" i="6" s="1"/>
  <c r="N242" i="4"/>
  <c r="N114" i="4"/>
  <c r="N116" i="4" s="1"/>
  <c r="N291" i="4"/>
  <c r="N293" i="4" s="1"/>
  <c r="N185" i="4"/>
  <c r="N187" i="4" s="1"/>
  <c r="N134" i="4"/>
  <c r="N136" i="4" s="1"/>
  <c r="AD63" i="4"/>
  <c r="C3" i="6" s="1"/>
  <c r="N232" i="4"/>
  <c r="N234" i="4" s="1"/>
  <c r="AF71" i="4"/>
  <c r="B19" i="6" s="1"/>
  <c r="AC61" i="4"/>
  <c r="B2" i="6" s="1"/>
  <c r="AC71" i="4"/>
  <c r="B15" i="6" s="1"/>
  <c r="X77" i="4"/>
  <c r="G258" i="4"/>
  <c r="N205" i="4"/>
  <c r="N207" i="4" s="1"/>
  <c r="N319" i="4"/>
  <c r="N321" i="4" s="1"/>
  <c r="N346" i="4"/>
  <c r="N348" i="4" s="1"/>
  <c r="G384" i="4"/>
  <c r="U109" i="4"/>
  <c r="X101" i="4"/>
  <c r="N356" i="4"/>
  <c r="N69" i="4"/>
  <c r="W52" i="4"/>
  <c r="W54" i="4" s="1"/>
  <c r="X40" i="4"/>
  <c r="X42" i="4" s="1"/>
  <c r="AD61" i="4"/>
  <c r="B3" i="6" s="1"/>
  <c r="L340" i="4"/>
  <c r="L116" i="4"/>
  <c r="X61" i="4" s="1"/>
  <c r="G116" i="4"/>
  <c r="S61" i="4" s="1"/>
  <c r="G327" i="4"/>
  <c r="G329" i="4" s="1"/>
  <c r="AH65" i="4"/>
  <c r="D5" i="6" s="1"/>
  <c r="D8" i="6" s="1"/>
  <c r="W109" i="4"/>
  <c r="X93" i="4"/>
  <c r="G297" i="4"/>
  <c r="S4" i="4"/>
  <c r="X48" i="4"/>
  <c r="X50" i="4" s="1"/>
  <c r="N366" i="4"/>
  <c r="N368" i="4" s="1"/>
  <c r="G272" i="4"/>
  <c r="G274" i="4" s="1"/>
  <c r="N279" i="4"/>
  <c r="X85" i="4"/>
  <c r="G313" i="4"/>
  <c r="S18" i="4"/>
  <c r="L217" i="4"/>
  <c r="L219" i="4" s="1"/>
  <c r="AG61" i="4"/>
  <c r="B7" i="6" s="1"/>
  <c r="S36" i="4"/>
  <c r="S38" i="4" s="1"/>
  <c r="G376" i="4"/>
  <c r="L285" i="4"/>
  <c r="X65" i="4" s="1"/>
  <c r="G217" i="4"/>
  <c r="G219" i="4" s="1"/>
  <c r="AD67" i="4"/>
  <c r="E3" i="6" s="1"/>
  <c r="N264" i="4"/>
  <c r="N266" i="4" s="1"/>
  <c r="N193" i="4"/>
  <c r="N195" i="4" s="1"/>
  <c r="N260" i="4"/>
  <c r="N262" i="4" s="1"/>
  <c r="N248" i="4"/>
  <c r="N250" i="4" s="1"/>
  <c r="AH63" i="4"/>
  <c r="C5" i="6" s="1"/>
  <c r="C8" i="6" s="1"/>
  <c r="AF63" i="4"/>
  <c r="C6" i="6" s="1"/>
  <c r="L215" i="4"/>
  <c r="G164" i="4"/>
  <c r="N378" i="4"/>
  <c r="N380" i="4" s="1"/>
  <c r="L270" i="4"/>
  <c r="X105" i="4" s="1"/>
  <c r="N173" i="4"/>
  <c r="N175" i="4" s="1"/>
  <c r="AF67" i="4"/>
  <c r="E6" i="6" s="1"/>
  <c r="AF65" i="4"/>
  <c r="D6" i="6" s="1"/>
  <c r="S101" i="4"/>
  <c r="S97" i="4"/>
  <c r="S85" i="4"/>
  <c r="S69" i="4"/>
  <c r="N158" i="4"/>
  <c r="N160" i="4" s="1"/>
  <c r="S77" i="4"/>
  <c r="AG71" i="4"/>
  <c r="B20" i="6" s="1"/>
  <c r="AH61" i="4"/>
  <c r="B5" i="6" s="1"/>
  <c r="B8" i="6" s="1"/>
  <c r="L384" i="4"/>
  <c r="AF61" i="4"/>
  <c r="B6" i="6" s="1"/>
  <c r="N336" i="4"/>
  <c r="Z8" i="4"/>
  <c r="Z10" i="4" s="1"/>
  <c r="N52" i="4"/>
  <c r="N10" i="4"/>
  <c r="N26" i="4"/>
  <c r="N42" i="4"/>
  <c r="Z5" i="4"/>
  <c r="N6" i="4"/>
  <c r="N53" i="4"/>
  <c r="Z21" i="4"/>
  <c r="N22" i="4"/>
  <c r="Z37" i="4"/>
  <c r="N38" i="4"/>
  <c r="N217" i="4"/>
  <c r="N219" i="4" s="1"/>
  <c r="N171" i="4"/>
  <c r="S105" i="4"/>
  <c r="S89" i="4"/>
  <c r="S73" i="4"/>
  <c r="X20" i="4"/>
  <c r="X22" i="4" s="1"/>
  <c r="Z81" i="4"/>
  <c r="X12" i="4"/>
  <c r="X44" i="4"/>
  <c r="X46" i="4" s="1"/>
  <c r="L162" i="4"/>
  <c r="L164" i="4" s="1"/>
  <c r="N122" i="4"/>
  <c r="Z16" i="4"/>
  <c r="Z18" i="4" s="1"/>
  <c r="N18" i="4"/>
  <c r="Z32" i="4"/>
  <c r="Z34" i="4" s="1"/>
  <c r="N34" i="4"/>
  <c r="N50" i="4"/>
  <c r="Z13" i="4"/>
  <c r="N14" i="4"/>
  <c r="Z29" i="4"/>
  <c r="N30" i="4"/>
  <c r="Z45" i="4"/>
  <c r="N46" i="4"/>
  <c r="N107" i="4"/>
  <c r="N109" i="4" s="1"/>
  <c r="N61" i="4"/>
  <c r="S81" i="4"/>
  <c r="S65" i="4"/>
  <c r="X36" i="4"/>
  <c r="X38" i="4" s="1"/>
  <c r="N146" i="4"/>
  <c r="N130" i="4"/>
  <c r="Z89" i="4"/>
  <c r="Z4" i="4"/>
  <c r="X28" i="4"/>
  <c r="X30" i="4" s="1"/>
  <c r="N154" i="4"/>
  <c r="N138" i="4"/>
  <c r="Z24" i="4" l="1"/>
  <c r="Z26" i="4" s="1"/>
  <c r="Z73" i="4"/>
  <c r="Z65" i="4"/>
  <c r="S93" i="4"/>
  <c r="S109" i="4"/>
  <c r="Z48" i="4"/>
  <c r="Z50" i="4" s="1"/>
  <c r="Z40" i="4"/>
  <c r="Z42" i="4" s="1"/>
  <c r="Z97" i="4"/>
  <c r="AH71" i="4"/>
  <c r="B18" i="6" s="1"/>
  <c r="B21" i="6" s="1"/>
  <c r="N327" i="4"/>
  <c r="N329" i="4" s="1"/>
  <c r="S52" i="4"/>
  <c r="S54" i="4" s="1"/>
  <c r="S6" i="4"/>
  <c r="N281" i="4"/>
  <c r="N272" i="4"/>
  <c r="N274" i="4" s="1"/>
  <c r="X109" i="4"/>
  <c r="Z105" i="4"/>
  <c r="Z61" i="4"/>
  <c r="N382" i="4"/>
  <c r="N384" i="4" s="1"/>
  <c r="N148" i="4"/>
  <c r="Z93" i="4" s="1"/>
  <c r="Z36" i="4"/>
  <c r="Z38" i="4" s="1"/>
  <c r="N156" i="4"/>
  <c r="Z101" i="4" s="1"/>
  <c r="Z44" i="4"/>
  <c r="Z46" i="4" s="1"/>
  <c r="Z6" i="4"/>
  <c r="N132" i="4"/>
  <c r="Z77" i="4" s="1"/>
  <c r="Z20" i="4"/>
  <c r="Z22" i="4" s="1"/>
  <c r="N124" i="4"/>
  <c r="Z69" i="4" s="1"/>
  <c r="N162" i="4"/>
  <c r="N164" i="4" s="1"/>
  <c r="Z109" i="4" s="1"/>
  <c r="Z12" i="4"/>
  <c r="Z14" i="4" s="1"/>
  <c r="N140" i="4"/>
  <c r="Z85" i="4" s="1"/>
  <c r="Z28" i="4"/>
  <c r="Z30" i="4" s="1"/>
  <c r="X14" i="4"/>
  <c r="X52" i="4"/>
  <c r="X54" i="4" s="1"/>
  <c r="Z53" i="4"/>
  <c r="N54" i="4"/>
  <c r="Z52" i="4" l="1"/>
  <c r="Z54" i="4" s="1"/>
</calcChain>
</file>

<file path=xl/sharedStrings.xml><?xml version="1.0" encoding="utf-8"?>
<sst xmlns="http://schemas.openxmlformats.org/spreadsheetml/2006/main" count="1265" uniqueCount="60">
  <si>
    <t>Oregon</t>
  </si>
  <si>
    <t>Washington</t>
  </si>
  <si>
    <t>California</t>
  </si>
  <si>
    <t>Utah</t>
  </si>
  <si>
    <t>Idaho</t>
  </si>
  <si>
    <t>Wyoming - PPL</t>
  </si>
  <si>
    <t>Wyoming - UPL</t>
  </si>
  <si>
    <t>Pacific Power</t>
  </si>
  <si>
    <t>Rocky Mountain Power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</si>
  <si>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</si>
  <si>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</si>
  <si>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</si>
  <si>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</si>
  <si>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</si>
  <si>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</si>
  <si>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</si>
  <si>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</si>
  <si>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</si>
  <si>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</si>
  <si>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</si>
  <si>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</si>
  <si>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System Load</t>
  </si>
  <si>
    <t>Sales</t>
  </si>
  <si>
    <t>Line Loss</t>
  </si>
  <si>
    <t>Total</t>
  </si>
  <si>
    <t>Wyoming</t>
  </si>
  <si>
    <t>5 Year Monthly Average</t>
  </si>
  <si>
    <t>5 Year Seasonal Average</t>
  </si>
  <si>
    <t>OREGON SALES</t>
  </si>
  <si>
    <t>WASHINGTON SALES</t>
  </si>
  <si>
    <t>CALIFORNIA SALES</t>
  </si>
  <si>
    <t>WYOMING EAST SALES</t>
  </si>
  <si>
    <t>UTAH SALES</t>
  </si>
  <si>
    <t>IDAHO SALES</t>
  </si>
  <si>
    <t>WYOMING WEST SALES</t>
  </si>
  <si>
    <t>Winter</t>
  </si>
  <si>
    <t>Spring</t>
  </si>
  <si>
    <t>Summer</t>
  </si>
  <si>
    <t>Fall</t>
  </si>
  <si>
    <t>July-Dec</t>
  </si>
  <si>
    <t>Total PP</t>
  </si>
  <si>
    <t>Total RMP</t>
  </si>
  <si>
    <t>Total PacifiCorp</t>
  </si>
  <si>
    <t>5 YR Avg</t>
  </si>
  <si>
    <t>Total 2007</t>
  </si>
  <si>
    <t>Total 2006</t>
  </si>
  <si>
    <t>Total 2005</t>
  </si>
  <si>
    <t>Total 2004</t>
  </si>
  <si>
    <t>Total 2003</t>
  </si>
  <si>
    <t>PacifiCorp</t>
  </si>
  <si>
    <t>Total 2002</t>
  </si>
  <si>
    <t>Total 2012</t>
  </si>
  <si>
    <t>Total 2013</t>
  </si>
  <si>
    <t>Total 2014</t>
  </si>
  <si>
    <t>Wyoming PPL</t>
  </si>
  <si>
    <t>Wyoming UPL</t>
  </si>
  <si>
    <t>Total 2015</t>
  </si>
  <si>
    <t>Total 2016</t>
  </si>
  <si>
    <t>5 Year Monthly Average 2012-2017</t>
  </si>
  <si>
    <t>Total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</si>
</sst>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4" x14ac:knownFonts="1">
    <font>
      <sz val="10"/>
      <name val="Arial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center"/>
    </xf>
    <xf numFmtId="10" fontId="2" fillId="0" borderId="0" xfId="0" applyNumberFormat="1" applyFont="1" applyFill="1" applyAlignment="1">
      <alignment horizontal="center"/>
    </xf>
    <xf numFmtId="0" fontId="3" fillId="0" borderId="0" xfId="0" applyFont="1" applyFill="1"/>
    <xf numFmtId="10" fontId="3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1" fontId="2" fillId="0" borderId="0" xfId="0" applyNumberFormat="1" applyFont="1" applyFill="1"/>
    <xf numFmtId="41" fontId="3" fillId="0" borderId="0" xfId="0" applyNumberFormat="1" applyFont="1" applyFill="1"/>
    <xf numFmtId="41" fontId="3" fillId="0" borderId="0" xfId="0" applyNumberFormat="1" applyFont="1" applyFill="1" applyAlignment="1">
      <alignment horizontal="center"/>
    </xf>
    <xf numFmtId="41" fontId="2" fillId="0" borderId="0" xfId="0" applyNumberFormat="1" applyFont="1" applyFill="1" applyAlignment="1">
      <alignment horizontal="center"/>
    </xf>
    <xf numFmtId="10" fontId="2" fillId="0" borderId="0" xfId="0" applyNumberFormat="1" applyFont="1" applyFill="1"/>
    <xf numFmtId="10" fontId="3" fillId="0" borderId="0" xfId="0" applyNumberFormat="1" applyFont="1" applyFill="1"/>
    <xf numFmtId="0" fontId="2" fillId="0" borderId="0" xfId="0" applyFont="1" applyFill="1" applyAlignment="1">
      <alignment wrapText="1"/>
    </xf>
    <xf numFmtId="10" fontId="2" fillId="0" borderId="0" xfId="0" applyNumberFormat="1" applyFont="1" applyFill="1" applyAlignment="1">
      <alignment wrapText="1"/>
    </xf>
    <xf numFmtId="10" fontId="2" fillId="0" borderId="0" xfId="0" applyNumberFormat="1" applyFont="1" applyFill="1" applyAlignment="1">
      <alignment horizontal="right" wrapText="1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41" fontId="2" fillId="0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21"/>
  <sheetViews>
    <sheetView tabSelected="1" zoomScaleNormal="100" workbookViewId="0"/>
  </sheetViews>
  <sheetFormatPr defaultRowHeight="12.75" x14ac:dyDescent="0.2"/>
  <cols>
    <col min="1" max="1" width="16.28515625" style="1" customWidth="1"/>
    <col min="2" max="2" width="10.5703125" style="6" customWidth="1"/>
    <col min="3" max="3" width="10.5703125" style="1" customWidth="1"/>
    <col min="4" max="16384" width="9.140625" style="1"/>
  </cols>
  <sheetData>
    <row r="1" spans="1:2" x14ac:dyDescent="0.2">
      <c r="B1" s="2">
        <f>'Line Losses'!$A$4</f>
        <v>2017</v>
      </c>
    </row>
    <row r="2" spans="1:2" x14ac:dyDescent="0.2">
      <c r="B2" s="2" t="s">
        <v>43</v>
      </c>
    </row>
    <row r="4" spans="1:2" x14ac:dyDescent="0.2">
      <c r="A4" s="1" t="s">
        <v>0</v>
      </c>
      <c r="B4" s="3">
        <v>0.11391022817917311</v>
      </c>
    </row>
    <row r="5" spans="1:2" x14ac:dyDescent="0.2">
      <c r="A5" s="1" t="s">
        <v>1</v>
      </c>
      <c r="B5" s="3">
        <v>0.1085842432884887</v>
      </c>
    </row>
    <row r="6" spans="1:2" x14ac:dyDescent="0.2">
      <c r="A6" s="1" t="s">
        <v>2</v>
      </c>
      <c r="B6" s="3">
        <v>0.17296192816238806</v>
      </c>
    </row>
    <row r="8" spans="1:2" x14ac:dyDescent="0.2">
      <c r="A8" s="4" t="s">
        <v>40</v>
      </c>
      <c r="B8" s="5">
        <v>0.11516585596393676</v>
      </c>
    </row>
    <row r="9" spans="1:2" x14ac:dyDescent="0.2">
      <c r="B9" s="3"/>
    </row>
    <row r="10" spans="1:2" x14ac:dyDescent="0.2">
      <c r="A10" s="1" t="s">
        <v>3</v>
      </c>
      <c r="B10" s="3">
        <v>5.8205070757285295E-2</v>
      </c>
    </row>
    <row r="11" spans="1:2" x14ac:dyDescent="0.2">
      <c r="A11" s="1" t="s">
        <v>4</v>
      </c>
      <c r="B11" s="3">
        <v>7.6696397719659262E-2</v>
      </c>
    </row>
    <row r="12" spans="1:2" x14ac:dyDescent="0.2">
      <c r="A12" s="1" t="s">
        <v>54</v>
      </c>
      <c r="B12" s="3">
        <v>7.4255928160138526E-2</v>
      </c>
    </row>
    <row r="13" spans="1:2" x14ac:dyDescent="0.2">
      <c r="A13" s="1" t="s">
        <v>55</v>
      </c>
      <c r="B13" s="3">
        <v>2.8951146371958593E-2</v>
      </c>
    </row>
    <row r="15" spans="1:2" x14ac:dyDescent="0.2">
      <c r="A15" s="4" t="s">
        <v>41</v>
      </c>
      <c r="B15" s="5">
        <v>6.1687503724261371E-2</v>
      </c>
    </row>
    <row r="16" spans="1:2" x14ac:dyDescent="0.2">
      <c r="B16" s="3"/>
    </row>
    <row r="17" spans="1:2" x14ac:dyDescent="0.2">
      <c r="A17" s="4" t="s">
        <v>42</v>
      </c>
      <c r="B17" s="5">
        <v>7.905608474299268E-2</v>
      </c>
    </row>
    <row r="19" spans="1:2" x14ac:dyDescent="0.2">
      <c r="B19" s="3"/>
    </row>
    <row r="20" spans="1:2" x14ac:dyDescent="0.2">
      <c r="B20" s="3"/>
    </row>
    <row r="21" spans="1:2" x14ac:dyDescent="0.2">
      <c r="B21" s="3"/>
    </row>
  </sheetData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2:AB331"/>
  <sheetViews>
    <sheetView zoomScaleNormal="100" workbookViewId="0"/>
  </sheetViews>
  <sheetFormatPr defaultRowHeight="12.75" x14ac:dyDescent="0.2"/>
  <cols>
    <col min="1" max="1" width="10.7109375" style="1" customWidth="1"/>
    <col min="2" max="2" width="2.7109375" style="1" customWidth="1"/>
    <col min="3" max="3" width="12.7109375" style="1" customWidth="1"/>
    <col min="4" max="6" width="15.7109375" style="7" customWidth="1"/>
    <col min="7" max="7" width="15.7109375" style="8" customWidth="1"/>
    <col min="8" max="8" width="2.7109375" style="7" customWidth="1"/>
    <col min="9" max="12" width="15.7109375" style="7" customWidth="1"/>
    <col min="13" max="13" width="15.7109375" style="4" customWidth="1"/>
    <col min="14" max="14" width="2.7109375" style="1" customWidth="1"/>
    <col min="15" max="15" width="15.7109375" style="4" customWidth="1"/>
    <col min="16" max="16" width="9.140625" style="1"/>
    <col min="17" max="17" width="12" style="1" bestFit="1" customWidth="1"/>
    <col min="18" max="18" width="12.5703125" style="1" bestFit="1" customWidth="1"/>
    <col min="19" max="19" width="11.42578125" style="1" customWidth="1"/>
    <col min="20" max="20" width="12" style="4" bestFit="1" customWidth="1"/>
    <col min="21" max="21" width="4.7109375" style="1" customWidth="1"/>
    <col min="22" max="22" width="12" style="1" bestFit="1" customWidth="1"/>
    <col min="23" max="23" width="11" style="1" bestFit="1" customWidth="1"/>
    <col min="24" max="25" width="16" style="1" customWidth="1"/>
    <col min="26" max="26" width="12" style="4" bestFit="1" customWidth="1"/>
    <col min="27" max="27" width="4.7109375" style="1" customWidth="1"/>
    <col min="28" max="28" width="12" style="4" bestFit="1" customWidth="1"/>
    <col min="29" max="29" width="9.140625" style="1"/>
    <col min="30" max="30" width="12" style="1" bestFit="1" customWidth="1"/>
    <col min="31" max="31" width="13" style="1" customWidth="1"/>
    <col min="32" max="32" width="12.5703125" style="1" bestFit="1" customWidth="1"/>
    <col min="33" max="33" width="12" style="1" bestFit="1" customWidth="1"/>
    <col min="34" max="34" width="9.140625" style="1"/>
    <col min="35" max="35" width="12" style="1" bestFit="1" customWidth="1"/>
    <col min="36" max="37" width="11" style="1" bestFit="1" customWidth="1"/>
    <col min="38" max="38" width="12" style="1" bestFit="1" customWidth="1"/>
    <col min="39" max="39" width="9.140625" style="1"/>
    <col min="40" max="40" width="12" style="1" bestFit="1" customWidth="1"/>
    <col min="41" max="16384" width="9.140625" style="1"/>
  </cols>
  <sheetData>
    <row r="2" spans="1:28" x14ac:dyDescent="0.2">
      <c r="D2" s="8" t="s">
        <v>7</v>
      </c>
      <c r="E2" s="8"/>
      <c r="F2" s="8"/>
      <c r="H2" s="8"/>
      <c r="I2" s="8" t="s">
        <v>8</v>
      </c>
      <c r="J2" s="8"/>
      <c r="K2" s="8"/>
      <c r="L2" s="8"/>
      <c r="N2" s="4"/>
      <c r="O2" s="4" t="s">
        <v>24</v>
      </c>
      <c r="Q2" s="16" t="s">
        <v>58</v>
      </c>
      <c r="R2" s="17"/>
      <c r="S2" s="17"/>
      <c r="T2" s="17"/>
      <c r="U2" s="17"/>
      <c r="V2" s="17"/>
      <c r="W2" s="17"/>
      <c r="X2" s="17"/>
      <c r="Y2" s="17"/>
      <c r="Z2" s="18"/>
      <c r="AA2" s="4"/>
      <c r="AB2" s="2" t="s">
        <v>24</v>
      </c>
    </row>
    <row r="3" spans="1:28" x14ac:dyDescent="0.2">
      <c r="D3" s="9" t="s">
        <v>0</v>
      </c>
      <c r="E3" s="9" t="s">
        <v>1</v>
      </c>
      <c r="F3" s="9" t="s">
        <v>2</v>
      </c>
      <c r="G3" s="9" t="s">
        <v>24</v>
      </c>
      <c r="H3" s="9"/>
      <c r="I3" s="9" t="s">
        <v>3</v>
      </c>
      <c r="J3" s="9" t="s">
        <v>4</v>
      </c>
      <c r="K3" s="9" t="s">
        <v>54</v>
      </c>
      <c r="L3" s="9" t="s">
        <v>55</v>
      </c>
      <c r="M3" s="9" t="s">
        <v>24</v>
      </c>
      <c r="N3" s="4"/>
      <c r="O3" s="9" t="s">
        <v>49</v>
      </c>
      <c r="Q3" s="9" t="s">
        <v>0</v>
      </c>
      <c r="R3" s="9" t="s">
        <v>1</v>
      </c>
      <c r="S3" s="9" t="s">
        <v>2</v>
      </c>
      <c r="T3" s="9" t="s">
        <v>24</v>
      </c>
      <c r="U3" s="9"/>
      <c r="V3" s="9" t="s">
        <v>3</v>
      </c>
      <c r="W3" s="9" t="s">
        <v>4</v>
      </c>
      <c r="X3" s="9" t="s">
        <v>54</v>
      </c>
      <c r="Y3" s="9" t="s">
        <v>55</v>
      </c>
      <c r="Z3" s="9" t="s">
        <v>24</v>
      </c>
      <c r="AA3" s="4"/>
      <c r="AB3" s="9" t="s">
        <v>49</v>
      </c>
    </row>
    <row r="4" spans="1:28" x14ac:dyDescent="0.2">
      <c r="A4" s="1">
        <v>2017</v>
      </c>
      <c r="D4" s="10"/>
      <c r="E4" s="10"/>
      <c r="F4" s="10"/>
      <c r="G4" s="9"/>
      <c r="H4" s="10"/>
      <c r="I4" s="10"/>
      <c r="J4" s="10"/>
      <c r="K4" s="10"/>
      <c r="L4" s="10"/>
      <c r="M4" s="9"/>
      <c r="O4" s="9"/>
      <c r="Q4" s="10"/>
      <c r="R4" s="10"/>
      <c r="S4" s="10"/>
      <c r="T4" s="9"/>
      <c r="U4" s="10"/>
      <c r="V4" s="10"/>
      <c r="W4" s="10"/>
      <c r="X4" s="10"/>
      <c r="Y4" s="10"/>
      <c r="Z4" s="9"/>
      <c r="AB4" s="9"/>
    </row>
    <row r="5" spans="1:28" x14ac:dyDescent="0.2">
      <c r="A5" s="1" t="s">
        <v>9</v>
      </c>
      <c r="C5" s="1" t="s">
        <v>21</v>
      </c>
      <c r="D5" s="7">
        <v>1543578.3969590014</v>
      </c>
      <c r="E5" s="7">
        <v>506308.43797000026</v>
      </c>
      <c r="F5" s="7">
        <v>86140.582624999995</v>
      </c>
      <c r="G5" s="8">
        <v>2136027.4175540018</v>
      </c>
      <c r="I5" s="7">
        <v>2249479.0689640003</v>
      </c>
      <c r="J5" s="7">
        <v>314435.2836829999</v>
      </c>
      <c r="K5" s="7">
        <v>715111.17145951535</v>
      </c>
      <c r="L5" s="7">
        <v>166360.95524848445</v>
      </c>
      <c r="M5" s="8">
        <v>3445386.479355</v>
      </c>
      <c r="O5" s="8">
        <v>5581413.8969090022</v>
      </c>
      <c r="Q5" s="10"/>
      <c r="R5" s="10"/>
      <c r="S5" s="10"/>
      <c r="T5" s="9"/>
      <c r="U5" s="10"/>
      <c r="V5" s="10"/>
      <c r="W5" s="10"/>
      <c r="X5" s="10"/>
      <c r="Y5" s="10"/>
      <c r="Z5" s="9"/>
      <c r="AB5" s="9"/>
    </row>
    <row r="6" spans="1:28" x14ac:dyDescent="0.2">
      <c r="C6" s="1" t="s">
        <v>22</v>
      </c>
      <c r="D6" s="7">
        <v>1398156.7819999999</v>
      </c>
      <c r="E6" s="7">
        <v>454309.255</v>
      </c>
      <c r="F6" s="7">
        <v>73143.887000000002</v>
      </c>
      <c r="G6" s="8">
        <v>1925609.9240000001</v>
      </c>
      <c r="I6" s="7">
        <v>2085028.6</v>
      </c>
      <c r="J6" s="7">
        <v>287499.01</v>
      </c>
      <c r="K6" s="7">
        <v>673879.68299999996</v>
      </c>
      <c r="L6" s="7">
        <v>172795.25899999999</v>
      </c>
      <c r="M6" s="8">
        <v>3219202.5520000006</v>
      </c>
      <c r="O6" s="8">
        <v>5144812.4760000007</v>
      </c>
      <c r="Q6" s="10"/>
      <c r="R6" s="10"/>
      <c r="S6" s="10"/>
      <c r="T6" s="9"/>
      <c r="U6" s="10"/>
      <c r="V6" s="10"/>
      <c r="W6" s="10"/>
      <c r="X6" s="10"/>
      <c r="Y6" s="10"/>
      <c r="Z6" s="9"/>
      <c r="AB6" s="9"/>
    </row>
    <row r="7" spans="1:28" x14ac:dyDescent="0.2">
      <c r="C7" s="1" t="s">
        <v>23</v>
      </c>
      <c r="D7" s="11">
        <v>0.10400951941239556</v>
      </c>
      <c r="E7" s="11">
        <v>0.11445767920796657</v>
      </c>
      <c r="F7" s="11">
        <v>0.17768669615548305</v>
      </c>
      <c r="G7" s="12">
        <v>0.10927316635183781</v>
      </c>
      <c r="H7" s="11"/>
      <c r="I7" s="11">
        <v>7.8872044711520983E-2</v>
      </c>
      <c r="J7" s="11">
        <v>9.36917093488423E-2</v>
      </c>
      <c r="K7" s="11">
        <v>6.1185237512963342E-2</v>
      </c>
      <c r="L7" s="11">
        <v>-3.7236575753016199E-2</v>
      </c>
      <c r="M7" s="12">
        <v>7.0260856128632643E-2</v>
      </c>
      <c r="O7" s="12">
        <v>8.4862455715480456E-2</v>
      </c>
      <c r="Q7" s="11">
        <v>0.10812042269271585</v>
      </c>
      <c r="R7" s="11">
        <v>0.13496548950895174</v>
      </c>
      <c r="S7" s="11">
        <v>0.10001587880975901</v>
      </c>
      <c r="T7" s="12">
        <v>0.11372616307715711</v>
      </c>
      <c r="V7" s="11">
        <v>6.6012141068437377E-2</v>
      </c>
      <c r="W7" s="11">
        <v>8.7641139303872781E-2</v>
      </c>
      <c r="X7" s="11">
        <v>8.4817073935769288E-2</v>
      </c>
      <c r="Y7" s="11">
        <v>3.1794461039972924E-2</v>
      </c>
      <c r="Z7" s="12">
        <v>6.9357113503041301E-2</v>
      </c>
      <c r="AB7" s="12">
        <v>8.4947093973954058E-2</v>
      </c>
    </row>
    <row r="9" spans="1:28" x14ac:dyDescent="0.2">
      <c r="A9" s="1" t="s">
        <v>10</v>
      </c>
      <c r="C9" s="1" t="s">
        <v>21</v>
      </c>
      <c r="D9" s="7">
        <v>1214942.2394129988</v>
      </c>
      <c r="E9" s="7">
        <v>397396.14839200024</v>
      </c>
      <c r="F9" s="7">
        <v>70207.589052000039</v>
      </c>
      <c r="G9" s="8">
        <v>1682545.9768569991</v>
      </c>
      <c r="I9" s="7">
        <v>1885733.0136329997</v>
      </c>
      <c r="J9" s="7">
        <v>244869.52409700022</v>
      </c>
      <c r="K9" s="7">
        <v>641796.50849088992</v>
      </c>
      <c r="L9" s="7">
        <v>144804.41914711002</v>
      </c>
      <c r="M9" s="8">
        <v>2917203.4653679999</v>
      </c>
      <c r="O9" s="8">
        <v>4599749.442224999</v>
      </c>
    </row>
    <row r="10" spans="1:28" x14ac:dyDescent="0.2">
      <c r="C10" s="1" t="s">
        <v>22</v>
      </c>
      <c r="D10" s="7">
        <v>1102176.0290000001</v>
      </c>
      <c r="E10" s="7">
        <v>340053.66899999999</v>
      </c>
      <c r="F10" s="7">
        <v>51784.197999999997</v>
      </c>
      <c r="G10" s="8">
        <v>1494013.8960000002</v>
      </c>
      <c r="I10" s="7">
        <v>1735773.088</v>
      </c>
      <c r="J10" s="7">
        <v>216791.549</v>
      </c>
      <c r="K10" s="7">
        <v>594958.64500000002</v>
      </c>
      <c r="L10" s="7">
        <v>150771.51800000001</v>
      </c>
      <c r="M10" s="8">
        <v>2698294.8000000003</v>
      </c>
      <c r="O10" s="8">
        <v>4192308.6960000005</v>
      </c>
    </row>
    <row r="11" spans="1:28" x14ac:dyDescent="0.2">
      <c r="C11" s="1" t="s">
        <v>23</v>
      </c>
      <c r="D11" s="11">
        <v>0.10231234162778069</v>
      </c>
      <c r="E11" s="11">
        <v>0.16862773326524594</v>
      </c>
      <c r="F11" s="11">
        <v>0.35577245112495604</v>
      </c>
      <c r="G11" s="12">
        <v>0.12619165147109102</v>
      </c>
      <c r="H11" s="11"/>
      <c r="I11" s="11">
        <v>8.6393738138772047E-2</v>
      </c>
      <c r="J11" s="11">
        <v>0.12951600385954265</v>
      </c>
      <c r="K11" s="11">
        <v>7.8724569992406623E-2</v>
      </c>
      <c r="L11" s="11">
        <v>-3.9577096072548557E-2</v>
      </c>
      <c r="M11" s="12">
        <v>8.1128520637552048E-2</v>
      </c>
      <c r="O11" s="12">
        <v>9.7187677666424888E-2</v>
      </c>
      <c r="Q11" s="11">
        <v>0.12635323852745844</v>
      </c>
      <c r="R11" s="11">
        <v>0.12896155947709204</v>
      </c>
      <c r="S11" s="11">
        <v>0.24890098050267792</v>
      </c>
      <c r="T11" s="12">
        <v>0.13120772051057839</v>
      </c>
      <c r="V11" s="11">
        <v>7.089108778591928E-2</v>
      </c>
      <c r="W11" s="11">
        <v>7.8165854662033449E-2</v>
      </c>
      <c r="X11" s="11">
        <v>9.3475593243091029E-2</v>
      </c>
      <c r="Y11" s="11">
        <v>-3.3306794686453325E-2</v>
      </c>
      <c r="Z11" s="12">
        <v>6.9618791189069856E-2</v>
      </c>
      <c r="AB11" s="12">
        <v>9.026123555800511E-2</v>
      </c>
    </row>
    <row r="13" spans="1:28" x14ac:dyDescent="0.2">
      <c r="A13" s="1" t="s">
        <v>11</v>
      </c>
      <c r="C13" s="1" t="s">
        <v>21</v>
      </c>
      <c r="D13" s="7">
        <v>1216648.416343</v>
      </c>
      <c r="E13" s="7">
        <v>361285.55997400009</v>
      </c>
      <c r="F13" s="7">
        <v>70620.286034000033</v>
      </c>
      <c r="G13" s="8">
        <v>1648554.2623510002</v>
      </c>
      <c r="I13" s="7">
        <v>1975943.2073100004</v>
      </c>
      <c r="J13" s="7">
        <v>268041.93204599962</v>
      </c>
      <c r="K13" s="7">
        <v>678034.86514458188</v>
      </c>
      <c r="L13" s="7">
        <v>160235.23077341865</v>
      </c>
      <c r="M13" s="8">
        <v>3082255.2352740006</v>
      </c>
      <c r="O13" s="8">
        <v>4730809.4976250008</v>
      </c>
    </row>
    <row r="14" spans="1:28" x14ac:dyDescent="0.2">
      <c r="C14" s="1" t="s">
        <v>22</v>
      </c>
      <c r="D14" s="7">
        <v>1095609.8049999999</v>
      </c>
      <c r="E14" s="7">
        <v>318819.02899999998</v>
      </c>
      <c r="F14" s="7">
        <v>51730.266000000003</v>
      </c>
      <c r="G14" s="8">
        <v>1466159.0999999999</v>
      </c>
      <c r="I14" s="7">
        <v>1853399.4720000001</v>
      </c>
      <c r="J14" s="7">
        <v>248028.92800000001</v>
      </c>
      <c r="K14" s="7">
        <v>619972.54500000004</v>
      </c>
      <c r="L14" s="7">
        <v>145273.62100000001</v>
      </c>
      <c r="M14" s="8">
        <v>2866674.5659999996</v>
      </c>
      <c r="O14" s="8">
        <v>4332833.6659999993</v>
      </c>
    </row>
    <row r="15" spans="1:28" x14ac:dyDescent="0.2">
      <c r="C15" s="1" t="s">
        <v>23</v>
      </c>
      <c r="D15" s="11">
        <v>0.11047602056007522</v>
      </c>
      <c r="E15" s="11">
        <v>0.13319948657769776</v>
      </c>
      <c r="F15" s="11">
        <v>0.36516379084538308</v>
      </c>
      <c r="G15" s="12">
        <v>0.12440339002158796</v>
      </c>
      <c r="H15" s="11"/>
      <c r="I15" s="11">
        <v>6.6118360969297019E-2</v>
      </c>
      <c r="J15" s="11">
        <v>8.0688185073313656E-2</v>
      </c>
      <c r="K15" s="11">
        <v>9.3653050627559464E-2</v>
      </c>
      <c r="L15" s="11">
        <v>0.1029891708517312</v>
      </c>
      <c r="M15" s="12">
        <v>7.5202351822868607E-2</v>
      </c>
      <c r="O15" s="12">
        <v>9.1851167689159574E-2</v>
      </c>
      <c r="Q15" s="11">
        <v>0.12362124528898044</v>
      </c>
      <c r="R15" s="11">
        <v>0.12015373045235167</v>
      </c>
      <c r="S15" s="11">
        <v>0.23397048244564916</v>
      </c>
      <c r="T15" s="12">
        <v>0.12678319706845254</v>
      </c>
      <c r="V15" s="11">
        <v>6.8319391067685989E-2</v>
      </c>
      <c r="W15" s="11">
        <v>6.4437426381221921E-2</v>
      </c>
      <c r="X15" s="11">
        <v>8.092818545867235E-2</v>
      </c>
      <c r="Y15" s="11">
        <v>6.6767997846164467E-2</v>
      </c>
      <c r="Z15" s="12">
        <v>7.0251760005889355E-2</v>
      </c>
      <c r="AB15" s="12">
        <v>8.89884540505054E-2</v>
      </c>
    </row>
    <row r="17" spans="1:28" x14ac:dyDescent="0.2">
      <c r="A17" s="1" t="s">
        <v>12</v>
      </c>
      <c r="C17" s="1" t="s">
        <v>21</v>
      </c>
      <c r="D17" s="7">
        <v>1078060.6514070015</v>
      </c>
      <c r="E17" s="7">
        <v>310496.39371000009</v>
      </c>
      <c r="F17" s="7">
        <v>64966.01301599999</v>
      </c>
      <c r="G17" s="8">
        <v>1453523.0581330014</v>
      </c>
      <c r="I17" s="7">
        <v>1885926.6995159995</v>
      </c>
      <c r="J17" s="7">
        <v>270733.23030999996</v>
      </c>
      <c r="K17" s="7">
        <v>617607.8340196081</v>
      </c>
      <c r="L17" s="7">
        <v>150749.21600539258</v>
      </c>
      <c r="M17" s="8">
        <v>2925016.979851</v>
      </c>
      <c r="O17" s="8">
        <v>4378540.0379840015</v>
      </c>
    </row>
    <row r="18" spans="1:28" x14ac:dyDescent="0.2">
      <c r="C18" s="1" t="s">
        <v>22</v>
      </c>
      <c r="D18" s="7">
        <v>973811.61300000001</v>
      </c>
      <c r="E18" s="7">
        <v>286139.56599999999</v>
      </c>
      <c r="F18" s="7">
        <v>57641.021000000001</v>
      </c>
      <c r="G18" s="8">
        <v>1317592.2</v>
      </c>
      <c r="I18" s="7">
        <v>1844367.9380000001</v>
      </c>
      <c r="J18" s="7">
        <v>254341.9</v>
      </c>
      <c r="K18" s="7">
        <v>557978.549</v>
      </c>
      <c r="L18" s="7">
        <v>149710.62</v>
      </c>
      <c r="M18" s="8">
        <v>2806399.0070000002</v>
      </c>
      <c r="O18" s="8">
        <v>4123991.2070000004</v>
      </c>
    </row>
    <row r="19" spans="1:28" x14ac:dyDescent="0.2">
      <c r="C19" s="1" t="s">
        <v>23</v>
      </c>
      <c r="D19" s="11">
        <v>0.10705257260780021</v>
      </c>
      <c r="E19" s="11">
        <v>8.5122194216231239E-2</v>
      </c>
      <c r="F19" s="11">
        <v>0.12707949805399865</v>
      </c>
      <c r="G19" s="12">
        <v>0.10316610718627617</v>
      </c>
      <c r="H19" s="11"/>
      <c r="I19" s="11">
        <v>2.2532793299944842E-2</v>
      </c>
      <c r="J19" s="11">
        <v>6.4446048055786243E-2</v>
      </c>
      <c r="K19" s="11">
        <v>0.10686662619284326</v>
      </c>
      <c r="L19" s="11">
        <v>6.9373569182504813E-3</v>
      </c>
      <c r="M19" s="12">
        <v>4.22669665130051E-2</v>
      </c>
      <c r="O19" s="12">
        <v>6.1723902454480006E-2</v>
      </c>
      <c r="Q19" s="11">
        <v>0.10996332432344165</v>
      </c>
      <c r="R19" s="11">
        <v>0.12015230918779665</v>
      </c>
      <c r="S19" s="11">
        <v>0.22267381592016428</v>
      </c>
      <c r="T19" s="12">
        <v>0.11665584752773324</v>
      </c>
      <c r="V19" s="11">
        <v>4.2345566160504375E-2</v>
      </c>
      <c r="W19" s="11">
        <v>8.5790673018454958E-2</v>
      </c>
      <c r="X19" s="11">
        <v>9.3370616390032038E-2</v>
      </c>
      <c r="Y19" s="11">
        <v>-2.4159555586024849E-2</v>
      </c>
      <c r="Z19" s="12">
        <v>5.2305212446667901E-2</v>
      </c>
      <c r="AB19" s="12">
        <v>7.286854071687747E-2</v>
      </c>
    </row>
    <row r="21" spans="1:28" x14ac:dyDescent="0.2">
      <c r="A21" s="1" t="s">
        <v>13</v>
      </c>
      <c r="C21" s="1" t="s">
        <v>21</v>
      </c>
      <c r="D21" s="7">
        <v>1082833.8654310002</v>
      </c>
      <c r="E21" s="7">
        <v>331278.60673999984</v>
      </c>
      <c r="F21" s="7">
        <v>72561.831018999976</v>
      </c>
      <c r="G21" s="8">
        <v>1486674.3031900001</v>
      </c>
      <c r="I21" s="7">
        <v>1973168.5644819997</v>
      </c>
      <c r="J21" s="7">
        <v>339339.65008499962</v>
      </c>
      <c r="K21" s="7">
        <v>634978.90391007427</v>
      </c>
      <c r="L21" s="7">
        <v>148340.99158692663</v>
      </c>
      <c r="M21" s="8">
        <v>3095828.1100639999</v>
      </c>
      <c r="O21" s="8">
        <v>4582502.4132540002</v>
      </c>
    </row>
    <row r="22" spans="1:28" x14ac:dyDescent="0.2">
      <c r="C22" s="1" t="s">
        <v>22</v>
      </c>
      <c r="D22" s="7">
        <v>992435.397</v>
      </c>
      <c r="E22" s="7">
        <v>303550.87900000002</v>
      </c>
      <c r="F22" s="7">
        <v>61867.122000000003</v>
      </c>
      <c r="G22" s="8">
        <v>1357853.398</v>
      </c>
      <c r="I22" s="7">
        <v>1906150.8149999999</v>
      </c>
      <c r="J22" s="7">
        <v>308169.772</v>
      </c>
      <c r="K22" s="7">
        <v>619657.71200000006</v>
      </c>
      <c r="L22" s="7">
        <v>140330.86499999999</v>
      </c>
      <c r="M22" s="8">
        <v>2974309.1639999999</v>
      </c>
      <c r="O22" s="8">
        <v>4332162.5619999999</v>
      </c>
    </row>
    <row r="23" spans="1:28" x14ac:dyDescent="0.2">
      <c r="C23" s="1" t="s">
        <v>23</v>
      </c>
      <c r="D23" s="11">
        <v>9.1087509276939205E-2</v>
      </c>
      <c r="E23" s="11">
        <v>9.1344580623005989E-2</v>
      </c>
      <c r="F23" s="11">
        <v>0.17286579160737392</v>
      </c>
      <c r="G23" s="12">
        <v>9.487099666263088E-2</v>
      </c>
      <c r="H23" s="11"/>
      <c r="I23" s="11">
        <v>3.5158681545352843E-2</v>
      </c>
      <c r="J23" s="11">
        <v>0.10114515087806741</v>
      </c>
      <c r="K23" s="11">
        <v>2.472525010723059E-2</v>
      </c>
      <c r="L23" s="11">
        <v>5.7080290832146163E-2</v>
      </c>
      <c r="M23" s="12">
        <v>4.0856191930153996E-2</v>
      </c>
      <c r="O23" s="12">
        <v>5.7786347504565461E-2</v>
      </c>
      <c r="Q23" s="11">
        <v>0.10758075862768064</v>
      </c>
      <c r="R23" s="11">
        <v>0.12518145173297829</v>
      </c>
      <c r="S23" s="11">
        <v>0.1741838048682923</v>
      </c>
      <c r="T23" s="12">
        <v>0.11381116760291973</v>
      </c>
      <c r="V23" s="11">
        <v>6.0208798911966045E-2</v>
      </c>
      <c r="W23" s="11">
        <v>0.10767403172455219</v>
      </c>
      <c r="X23" s="11">
        <v>1.9829564013305889E-2</v>
      </c>
      <c r="Y23" s="11">
        <v>8.3233897356888104E-2</v>
      </c>
      <c r="Z23" s="12">
        <v>5.7429154540405133E-2</v>
      </c>
      <c r="AB23" s="12">
        <v>7.5008452738032277E-2</v>
      </c>
    </row>
    <row r="25" spans="1:28" x14ac:dyDescent="0.2">
      <c r="A25" s="1" t="s">
        <v>14</v>
      </c>
      <c r="C25" s="1" t="s">
        <v>21</v>
      </c>
      <c r="D25" s="7">
        <v>1118586.4648740005</v>
      </c>
      <c r="E25" s="7">
        <v>349646.52943199989</v>
      </c>
      <c r="F25" s="7">
        <v>73003.409528000018</v>
      </c>
      <c r="G25" s="8">
        <v>1541236.4038340005</v>
      </c>
      <c r="I25" s="7">
        <v>2284846.0007260009</v>
      </c>
      <c r="J25" s="7">
        <v>432611.80867899972</v>
      </c>
      <c r="K25" s="7">
        <v>657444.7069986579</v>
      </c>
      <c r="L25" s="7">
        <v>147867.49052234137</v>
      </c>
      <c r="M25" s="8">
        <v>3522770.0069259997</v>
      </c>
      <c r="O25" s="8">
        <v>5064006.4107600003</v>
      </c>
    </row>
    <row r="26" spans="1:28" x14ac:dyDescent="0.2">
      <c r="C26" s="1" t="s">
        <v>22</v>
      </c>
      <c r="D26" s="7">
        <v>1027505.681</v>
      </c>
      <c r="E26" s="7">
        <v>314960.66700000002</v>
      </c>
      <c r="F26" s="7">
        <v>69039.695999999996</v>
      </c>
      <c r="G26" s="8">
        <v>1411506.044</v>
      </c>
      <c r="I26" s="7">
        <v>2240493.5389999999</v>
      </c>
      <c r="J26" s="7">
        <v>385466.26500000001</v>
      </c>
      <c r="K26" s="7">
        <v>616945.78099999996</v>
      </c>
      <c r="L26" s="7">
        <v>155145.02499999999</v>
      </c>
      <c r="M26" s="8">
        <v>3398050.61</v>
      </c>
      <c r="O26" s="8">
        <v>4809556.6540000001</v>
      </c>
    </row>
    <row r="27" spans="1:28" x14ac:dyDescent="0.2">
      <c r="C27" s="1" t="s">
        <v>23</v>
      </c>
      <c r="D27" s="11">
        <v>8.8642608559942992E-2</v>
      </c>
      <c r="E27" s="11">
        <v>0.11012760025682788</v>
      </c>
      <c r="F27" s="11">
        <v>5.7412094166811256E-2</v>
      </c>
      <c r="G27" s="12">
        <v>9.1909177708062728E-2</v>
      </c>
      <c r="H27" s="11"/>
      <c r="I27" s="11">
        <v>1.979584451102534E-2</v>
      </c>
      <c r="J27" s="11">
        <v>0.12230783329119532</v>
      </c>
      <c r="K27" s="11">
        <v>6.5644222305911049E-2</v>
      </c>
      <c r="L27" s="11">
        <v>-4.6907946146894641E-2</v>
      </c>
      <c r="M27" s="12">
        <v>3.670321935728893E-2</v>
      </c>
      <c r="O27" s="12">
        <v>5.2905033678807056E-2</v>
      </c>
      <c r="Q27" s="11">
        <v>0.10414369435859117</v>
      </c>
      <c r="R27" s="11">
        <v>9.7264998941179306E-2</v>
      </c>
      <c r="S27" s="11">
        <v>8.1871096948489222E-2</v>
      </c>
      <c r="T27" s="12">
        <v>0.10134129963531802</v>
      </c>
      <c r="V27" s="11">
        <v>3.9866589086661408E-2</v>
      </c>
      <c r="W27" s="11">
        <v>0.12683954267572345</v>
      </c>
      <c r="X27" s="11">
        <v>9.2285254184796675E-2</v>
      </c>
      <c r="Y27" s="11">
        <v>-2.2418372765349505E-2</v>
      </c>
      <c r="Z27" s="12">
        <v>5.5466126015220982E-2</v>
      </c>
      <c r="AB27" s="12">
        <v>6.9133436896074943E-2</v>
      </c>
    </row>
    <row r="29" spans="1:28" x14ac:dyDescent="0.2">
      <c r="A29" s="1" t="s">
        <v>15</v>
      </c>
      <c r="C29" s="1" t="s">
        <v>21</v>
      </c>
      <c r="D29" s="7">
        <v>1263536.4364640019</v>
      </c>
      <c r="E29" s="7">
        <v>414293.29007499997</v>
      </c>
      <c r="F29" s="7">
        <v>87152.975100999989</v>
      </c>
      <c r="G29" s="8">
        <v>1764982.7016400017</v>
      </c>
      <c r="I29" s="7">
        <v>2671817.6930459999</v>
      </c>
      <c r="J29" s="7">
        <v>484041.77162000013</v>
      </c>
      <c r="K29" s="7">
        <v>724545.2242404006</v>
      </c>
      <c r="L29" s="7">
        <v>158035.45570359967</v>
      </c>
      <c r="M29" s="8">
        <v>4038440.1446100003</v>
      </c>
      <c r="O29" s="8">
        <v>5803422.8462500023</v>
      </c>
    </row>
    <row r="30" spans="1:28" x14ac:dyDescent="0.2">
      <c r="C30" s="1" t="s">
        <v>22</v>
      </c>
      <c r="D30" s="7">
        <v>1167493.25</v>
      </c>
      <c r="E30" s="7">
        <v>370683.49599999998</v>
      </c>
      <c r="F30" s="7">
        <v>73437.03</v>
      </c>
      <c r="G30" s="8">
        <v>1611613.7760000001</v>
      </c>
      <c r="I30" s="7">
        <v>2475588.9959999998</v>
      </c>
      <c r="J30" s="7">
        <v>475798.78700000001</v>
      </c>
      <c r="K30" s="7">
        <v>645716.56499999994</v>
      </c>
      <c r="L30" s="7">
        <v>176307.08499999999</v>
      </c>
      <c r="M30" s="8">
        <v>3773411.4329999997</v>
      </c>
      <c r="O30" s="8">
        <v>5385025.2089999998</v>
      </c>
    </row>
    <row r="31" spans="1:28" x14ac:dyDescent="0.2">
      <c r="C31" s="1" t="s">
        <v>23</v>
      </c>
      <c r="D31" s="11">
        <v>8.2264446894234178E-2</v>
      </c>
      <c r="E31" s="11">
        <v>0.11764698063331092</v>
      </c>
      <c r="F31" s="11">
        <v>0.18677151160661043</v>
      </c>
      <c r="G31" s="12">
        <v>9.5164814252618912E-2</v>
      </c>
      <c r="H31" s="11"/>
      <c r="I31" s="11">
        <v>7.9265458589071969E-2</v>
      </c>
      <c r="J31" s="11">
        <v>1.7324517937453487E-2</v>
      </c>
      <c r="K31" s="11">
        <v>0.122079351085566</v>
      </c>
      <c r="L31" s="11">
        <v>-0.10363525264115347</v>
      </c>
      <c r="M31" s="12">
        <v>7.0235837336002582E-2</v>
      </c>
      <c r="O31" s="12">
        <v>7.7696504846576087E-2</v>
      </c>
      <c r="Q31" s="11">
        <v>9.5239760684268537E-2</v>
      </c>
      <c r="R31" s="11">
        <v>9.3604543633811724E-2</v>
      </c>
      <c r="S31" s="11">
        <v>0.18710556299548503</v>
      </c>
      <c r="T31" s="12">
        <v>9.8246457081837144E-2</v>
      </c>
      <c r="V31" s="11">
        <v>7.9788601758206706E-2</v>
      </c>
      <c r="W31" s="11">
        <v>7.2036028527678694E-2</v>
      </c>
      <c r="X31" s="11">
        <v>5.478387943718941E-2</v>
      </c>
      <c r="Y31" s="11">
        <v>5.407039555970674E-2</v>
      </c>
      <c r="Z31" s="12">
        <v>7.158064578631293E-2</v>
      </c>
      <c r="AB31" s="12">
        <v>7.9791803942061229E-2</v>
      </c>
    </row>
    <row r="33" spans="1:28" x14ac:dyDescent="0.2">
      <c r="A33" s="1" t="s">
        <v>16</v>
      </c>
      <c r="C33" s="1" t="s">
        <v>21</v>
      </c>
      <c r="D33" s="7">
        <v>1285250.1207120002</v>
      </c>
      <c r="E33" s="7">
        <v>398657.97619999998</v>
      </c>
      <c r="F33" s="7">
        <v>83452.94922499996</v>
      </c>
      <c r="G33" s="8">
        <v>1767361.046137</v>
      </c>
      <c r="I33" s="7">
        <v>2527694.7742850012</v>
      </c>
      <c r="J33" s="7">
        <v>384839.52016300027</v>
      </c>
      <c r="K33" s="7">
        <v>709928.01890428958</v>
      </c>
      <c r="L33" s="7">
        <v>158840.16979171074</v>
      </c>
      <c r="M33" s="8">
        <v>3781302.4831440016</v>
      </c>
      <c r="O33" s="8">
        <v>5548663.5292810015</v>
      </c>
    </row>
    <row r="34" spans="1:28" x14ac:dyDescent="0.2">
      <c r="C34" s="1" t="s">
        <v>22</v>
      </c>
      <c r="D34" s="7">
        <v>1149408.3149999999</v>
      </c>
      <c r="E34" s="7">
        <v>389174.69400000002</v>
      </c>
      <c r="F34" s="7">
        <v>71561.804999999993</v>
      </c>
      <c r="G34" s="8">
        <v>1610144.814</v>
      </c>
      <c r="I34" s="7">
        <v>2349488.102</v>
      </c>
      <c r="J34" s="7">
        <v>391189.65600000002</v>
      </c>
      <c r="K34" s="7">
        <v>670068.97699999996</v>
      </c>
      <c r="L34" s="7">
        <v>119039.364</v>
      </c>
      <c r="M34" s="8">
        <v>3529786.0989999999</v>
      </c>
      <c r="O34" s="8">
        <v>5139930.9129999997</v>
      </c>
    </row>
    <row r="35" spans="1:28" x14ac:dyDescent="0.2">
      <c r="C35" s="1" t="s">
        <v>23</v>
      </c>
      <c r="D35" s="11">
        <v>0.11818411607018886</v>
      </c>
      <c r="E35" s="11">
        <v>2.4367674327765876E-2</v>
      </c>
      <c r="F35" s="11">
        <v>0.16616607455611221</v>
      </c>
      <c r="G35" s="12">
        <v>9.7641051146471591E-2</v>
      </c>
      <c r="H35" s="11"/>
      <c r="I35" s="11">
        <v>7.5849148643614361E-2</v>
      </c>
      <c r="J35" s="11">
        <v>-1.6232882796368586E-2</v>
      </c>
      <c r="K35" s="11">
        <v>5.9484983296413052E-2</v>
      </c>
      <c r="L35" s="11">
        <v>0.33434995327857031</v>
      </c>
      <c r="M35" s="12">
        <v>7.1255418059257725E-2</v>
      </c>
      <c r="O35" s="12">
        <v>7.9521033103232552E-2</v>
      </c>
      <c r="Q35" s="11">
        <v>0.11530355577702837</v>
      </c>
      <c r="R35" s="11">
        <v>0.10973311967946411</v>
      </c>
      <c r="S35" s="11">
        <v>0.18668347615809433</v>
      </c>
      <c r="T35" s="12">
        <v>0.11534306114991186</v>
      </c>
      <c r="V35" s="11">
        <v>6.5956817834593867E-2</v>
      </c>
      <c r="W35" s="11">
        <v>7.8735303918888694E-2</v>
      </c>
      <c r="X35" s="11">
        <v>0.10698672010734858</v>
      </c>
      <c r="Y35" s="11">
        <v>8.1773129494984803E-2</v>
      </c>
      <c r="Z35" s="12">
        <v>7.3404760708853892E-2</v>
      </c>
      <c r="AB35" s="12">
        <v>8.6535349423128016E-2</v>
      </c>
    </row>
    <row r="37" spans="1:28" x14ac:dyDescent="0.2">
      <c r="A37" s="1" t="s">
        <v>17</v>
      </c>
      <c r="C37" s="1" t="s">
        <v>21</v>
      </c>
      <c r="D37" s="7">
        <v>1094171.9019450007</v>
      </c>
      <c r="E37" s="7">
        <v>354998.59093900019</v>
      </c>
      <c r="F37" s="7">
        <v>66904.920870999995</v>
      </c>
      <c r="G37" s="8">
        <v>1516075.413755001</v>
      </c>
      <c r="I37" s="7">
        <v>2050186.6524400015</v>
      </c>
      <c r="J37" s="7">
        <v>294356.92157800001</v>
      </c>
      <c r="K37" s="7">
        <v>647489.54458885337</v>
      </c>
      <c r="L37" s="7">
        <v>150742.60583514743</v>
      </c>
      <c r="M37" s="8">
        <v>3142775.7244420024</v>
      </c>
      <c r="O37" s="8">
        <v>4658851.1381970029</v>
      </c>
    </row>
    <row r="38" spans="1:28" x14ac:dyDescent="0.2">
      <c r="C38" s="1" t="s">
        <v>22</v>
      </c>
      <c r="D38" s="7">
        <v>964488.18</v>
      </c>
      <c r="E38" s="7">
        <v>334244.636</v>
      </c>
      <c r="F38" s="7">
        <v>55291.468999999997</v>
      </c>
      <c r="G38" s="8">
        <v>1354024.2850000001</v>
      </c>
      <c r="I38" s="7">
        <v>1936379.2379999999</v>
      </c>
      <c r="J38" s="7">
        <v>281747.57199999999</v>
      </c>
      <c r="K38" s="7">
        <v>582026.28899999999</v>
      </c>
      <c r="L38" s="7">
        <v>159139.758</v>
      </c>
      <c r="M38" s="8">
        <v>2959292.8569999998</v>
      </c>
      <c r="O38" s="8">
        <v>4313317.142</v>
      </c>
    </row>
    <row r="39" spans="1:28" x14ac:dyDescent="0.2">
      <c r="C39" s="1" t="s">
        <v>23</v>
      </c>
      <c r="D39" s="11">
        <v>0.13445859123436921</v>
      </c>
      <c r="E39" s="11">
        <v>6.2092110698824143E-2</v>
      </c>
      <c r="F39" s="11">
        <v>0.21004057372756724</v>
      </c>
      <c r="G39" s="12">
        <v>0.11968110952677691</v>
      </c>
      <c r="H39" s="11"/>
      <c r="I39" s="11">
        <v>5.8773308557856785E-2</v>
      </c>
      <c r="J39" s="11">
        <v>4.4754066515966473E-2</v>
      </c>
      <c r="K39" s="11">
        <v>0.11247474010379865</v>
      </c>
      <c r="L39" s="11">
        <v>-5.2765897538015416E-2</v>
      </c>
      <c r="M39" s="12">
        <v>6.2002267537660805E-2</v>
      </c>
      <c r="O39" s="12">
        <v>8.0108646042378773E-2</v>
      </c>
      <c r="Q39" s="11">
        <v>0.12649444032722354</v>
      </c>
      <c r="R39" s="11">
        <v>8.9280284761858383E-2</v>
      </c>
      <c r="S39" s="11">
        <v>0.23634974614218321</v>
      </c>
      <c r="T39" s="12">
        <v>0.12094836166067284</v>
      </c>
      <c r="V39" s="11">
        <v>6.0209852670577081E-2</v>
      </c>
      <c r="W39" s="11">
        <v>3.1515477394985926E-2</v>
      </c>
      <c r="X39" s="11">
        <v>8.0112069159208182E-2</v>
      </c>
      <c r="Y39" s="11">
        <v>3.3333455155809787E-2</v>
      </c>
      <c r="Z39" s="12">
        <v>5.9266789958906683E-2</v>
      </c>
      <c r="AB39" s="12">
        <v>7.8496689342364021E-2</v>
      </c>
    </row>
    <row r="41" spans="1:28" x14ac:dyDescent="0.2">
      <c r="A41" s="1" t="s">
        <v>18</v>
      </c>
      <c r="C41" s="1" t="s">
        <v>21</v>
      </c>
      <c r="D41" s="7">
        <v>1102170.5196549993</v>
      </c>
      <c r="E41" s="7">
        <v>352975.77919599996</v>
      </c>
      <c r="F41" s="7">
        <v>60978.334221999939</v>
      </c>
      <c r="G41" s="8">
        <v>1516124.6330729991</v>
      </c>
      <c r="I41" s="7">
        <v>1891156.6323470029</v>
      </c>
      <c r="J41" s="7">
        <v>270886.02850599977</v>
      </c>
      <c r="K41" s="7">
        <v>653871.1475909038</v>
      </c>
      <c r="L41" s="7">
        <v>154743.93798209768</v>
      </c>
      <c r="M41" s="8">
        <v>2970657.7464260045</v>
      </c>
      <c r="O41" s="8">
        <v>4486782.3794990033</v>
      </c>
    </row>
    <row r="42" spans="1:28" x14ac:dyDescent="0.2">
      <c r="C42" s="1" t="s">
        <v>22</v>
      </c>
      <c r="D42" s="7">
        <v>979879.326</v>
      </c>
      <c r="E42" s="7">
        <v>327543.70699999999</v>
      </c>
      <c r="F42" s="7">
        <v>55249.516000000003</v>
      </c>
      <c r="G42" s="8">
        <v>1362672.5490000001</v>
      </c>
      <c r="I42" s="7">
        <v>1834552.7069999999</v>
      </c>
      <c r="J42" s="7">
        <v>254071.769</v>
      </c>
      <c r="K42" s="7">
        <v>631216.39500000002</v>
      </c>
      <c r="L42" s="7">
        <v>145279.33900000001</v>
      </c>
      <c r="M42" s="8">
        <v>2865120.2100000004</v>
      </c>
      <c r="O42" s="8">
        <v>4227792.7590000005</v>
      </c>
    </row>
    <row r="43" spans="1:28" x14ac:dyDescent="0.2">
      <c r="C43" s="1" t="s">
        <v>23</v>
      </c>
      <c r="D43" s="11">
        <v>0.12480230004872994</v>
      </c>
      <c r="E43" s="11">
        <v>7.7644820072821474E-2</v>
      </c>
      <c r="F43" s="11">
        <v>0.1036899259352777</v>
      </c>
      <c r="G43" s="12">
        <v>0.11261112156813469</v>
      </c>
      <c r="H43" s="11"/>
      <c r="I43" s="11">
        <v>3.0854346746769679E-2</v>
      </c>
      <c r="J43" s="11">
        <v>6.6179172806876352E-2</v>
      </c>
      <c r="K43" s="11">
        <v>3.5890627636349315E-2</v>
      </c>
      <c r="L43" s="11">
        <v>6.5147591166405672E-2</v>
      </c>
      <c r="M43" s="12">
        <v>3.6835290909488227E-2</v>
      </c>
      <c r="O43" s="12">
        <v>6.1258825884422441E-2</v>
      </c>
      <c r="Q43" s="11">
        <v>0.1305165847743846</v>
      </c>
      <c r="R43" s="11">
        <v>9.9792600967319262E-2</v>
      </c>
      <c r="S43" s="11">
        <v>0.16798858591608429</v>
      </c>
      <c r="T43" s="12">
        <v>0.12438535696376918</v>
      </c>
      <c r="V43" s="11">
        <v>5.1141150246749187E-2</v>
      </c>
      <c r="W43" s="11">
        <v>2.5938082169128497E-2</v>
      </c>
      <c r="X43" s="11">
        <v>6.1045540149694322E-2</v>
      </c>
      <c r="Y43" s="11">
        <v>4.4769246238127766E-2</v>
      </c>
      <c r="Z43" s="12">
        <v>5.0582883140227387E-2</v>
      </c>
      <c r="AB43" s="12">
        <v>7.3992016968901494E-2</v>
      </c>
    </row>
    <row r="45" spans="1:28" x14ac:dyDescent="0.2">
      <c r="A45" s="1" t="s">
        <v>19</v>
      </c>
      <c r="C45" s="1" t="s">
        <v>21</v>
      </c>
      <c r="D45" s="7">
        <v>1183082.6521559986</v>
      </c>
      <c r="E45" s="7">
        <v>381409.734696</v>
      </c>
      <c r="F45" s="7">
        <v>67483.648388000001</v>
      </c>
      <c r="G45" s="8">
        <v>1631976.0352399985</v>
      </c>
      <c r="I45" s="7">
        <v>1879109.2968590008</v>
      </c>
      <c r="J45" s="7">
        <v>256856.99987800006</v>
      </c>
      <c r="K45" s="7">
        <v>657324.47718679672</v>
      </c>
      <c r="L45" s="7">
        <v>156687.74101320293</v>
      </c>
      <c r="M45" s="8">
        <v>2949978.5149370003</v>
      </c>
      <c r="O45" s="8">
        <v>4581954.5501769986</v>
      </c>
    </row>
    <row r="46" spans="1:28" x14ac:dyDescent="0.2">
      <c r="C46" s="1" t="s">
        <v>22</v>
      </c>
      <c r="D46" s="7">
        <v>1068792.855</v>
      </c>
      <c r="E46" s="7">
        <v>358324.89899999998</v>
      </c>
      <c r="F46" s="7">
        <v>68876.487999999998</v>
      </c>
      <c r="G46" s="8">
        <v>1495994.2419999999</v>
      </c>
      <c r="I46" s="7">
        <v>1820812.8119999999</v>
      </c>
      <c r="J46" s="7">
        <v>227819.592</v>
      </c>
      <c r="K46" s="7">
        <v>622279.53599999996</v>
      </c>
      <c r="L46" s="7">
        <v>151779.872</v>
      </c>
      <c r="M46" s="8">
        <v>2822691.8119999999</v>
      </c>
      <c r="O46" s="8">
        <v>4318686.0539999995</v>
      </c>
    </row>
    <row r="47" spans="1:28" x14ac:dyDescent="0.2">
      <c r="C47" s="1" t="s">
        <v>23</v>
      </c>
      <c r="D47" s="11">
        <v>0.10693353405323669</v>
      </c>
      <c r="E47" s="11">
        <v>6.4424313689683155E-2</v>
      </c>
      <c r="F47" s="11">
        <v>-2.0222279800328868E-2</v>
      </c>
      <c r="G47" s="12">
        <v>9.0897270472247271E-2</v>
      </c>
      <c r="H47" s="11"/>
      <c r="I47" s="11">
        <v>3.2016736962086512E-2</v>
      </c>
      <c r="J47" s="11">
        <v>0.12745790484077446</v>
      </c>
      <c r="K47" s="11">
        <v>5.6317039464393925E-2</v>
      </c>
      <c r="L47" s="11">
        <v>3.2335440454205555E-2</v>
      </c>
      <c r="M47" s="12">
        <v>4.5094084446580807E-2</v>
      </c>
      <c r="O47" s="12">
        <v>6.0960322858652383E-2</v>
      </c>
      <c r="Q47" s="11">
        <v>0.12127892546486199</v>
      </c>
      <c r="R47" s="11">
        <v>8.7068427559486322E-2</v>
      </c>
      <c r="S47" s="11">
        <v>0.12677867193488795</v>
      </c>
      <c r="T47" s="12">
        <v>0.1131207206494084</v>
      </c>
      <c r="V47" s="11">
        <v>4.7043588096278025E-2</v>
      </c>
      <c r="W47" s="11">
        <v>7.8038150506042306E-2</v>
      </c>
      <c r="X47" s="11">
        <v>5.5753230767505622E-2</v>
      </c>
      <c r="Y47" s="11">
        <v>7.6118149305602232E-3</v>
      </c>
      <c r="Z47" s="12">
        <v>4.8923249980945195E-2</v>
      </c>
      <c r="AB47" s="12">
        <v>7.0633929464561485E-2</v>
      </c>
    </row>
    <row r="49" spans="1:28" x14ac:dyDescent="0.2">
      <c r="A49" s="1" t="s">
        <v>20</v>
      </c>
      <c r="C49" s="1" t="s">
        <v>21</v>
      </c>
      <c r="D49" s="7">
        <v>1408495.736157998</v>
      </c>
      <c r="E49" s="7">
        <v>451107.48501599912</v>
      </c>
      <c r="F49" s="7">
        <v>81755.791146000047</v>
      </c>
      <c r="G49" s="8">
        <v>1941359.0123199972</v>
      </c>
      <c r="I49" s="7">
        <v>2128325.1255100011</v>
      </c>
      <c r="J49" s="7">
        <v>293158.41164100007</v>
      </c>
      <c r="K49" s="7">
        <v>715703.2876428715</v>
      </c>
      <c r="L49" s="7">
        <v>164372.86366512804</v>
      </c>
      <c r="M49" s="8">
        <v>3301559.688459001</v>
      </c>
      <c r="O49" s="8">
        <v>5242918.7007789984</v>
      </c>
    </row>
    <row r="50" spans="1:28" x14ac:dyDescent="0.2">
      <c r="C50" s="1" t="s">
        <v>22</v>
      </c>
      <c r="D50" s="7">
        <v>1280524.29</v>
      </c>
      <c r="E50" s="7">
        <v>423493.45500000002</v>
      </c>
      <c r="F50" s="7">
        <v>72729.290999999997</v>
      </c>
      <c r="G50" s="8">
        <v>1776747.0360000001</v>
      </c>
      <c r="I50" s="7">
        <v>2050810.5989999999</v>
      </c>
      <c r="J50" s="7">
        <v>271741.59000000003</v>
      </c>
      <c r="K50" s="7">
        <v>669458.76800000004</v>
      </c>
      <c r="L50" s="7">
        <v>160646.853</v>
      </c>
      <c r="M50" s="8">
        <v>3152657.81</v>
      </c>
      <c r="O50" s="8">
        <v>4929404.8459999999</v>
      </c>
    </row>
    <row r="51" spans="1:28" x14ac:dyDescent="0.2">
      <c r="C51" s="1" t="s">
        <v>23</v>
      </c>
      <c r="D51" s="11">
        <v>9.993675805868385E-2</v>
      </c>
      <c r="E51" s="11">
        <v>6.5205328889909486E-2</v>
      </c>
      <c r="F51" s="11">
        <v>0.12411093277397756</v>
      </c>
      <c r="G51" s="12">
        <v>9.2647953245268422E-2</v>
      </c>
      <c r="H51" s="11"/>
      <c r="I51" s="11">
        <v>3.7797018675346239E-2</v>
      </c>
      <c r="J51" s="11">
        <v>7.8813190284932277E-2</v>
      </c>
      <c r="K51" s="11">
        <v>6.9077472509660787E-2</v>
      </c>
      <c r="L51" s="11">
        <v>2.3193798045505698E-2</v>
      </c>
      <c r="M51" s="12">
        <v>4.7230586835873778E-2</v>
      </c>
      <c r="O51" s="12">
        <v>6.3600751931219834E-2</v>
      </c>
      <c r="Q51" s="11">
        <v>0.10777283004272728</v>
      </c>
      <c r="R51" s="11">
        <v>0.11342725664060627</v>
      </c>
      <c r="S51" s="11">
        <v>0.21189361129093376</v>
      </c>
      <c r="T51" s="12">
        <v>0.1127841306645803</v>
      </c>
      <c r="V51" s="11">
        <v>4.5341590208047178E-2</v>
      </c>
      <c r="W51" s="11">
        <v>8.5729326835499636E-2</v>
      </c>
      <c r="X51" s="11">
        <v>8.9881716600795775E-2</v>
      </c>
      <c r="Y51" s="11">
        <v>7.4499835181506407E-2</v>
      </c>
      <c r="Z51" s="12">
        <v>5.9053825944653582E-2</v>
      </c>
      <c r="AB51" s="12">
        <v>7.8000206433167157E-2</v>
      </c>
    </row>
    <row r="53" spans="1:28" x14ac:dyDescent="0.2">
      <c r="A53" s="1" t="s">
        <v>59</v>
      </c>
      <c r="C53" s="1" t="s">
        <v>21</v>
      </c>
      <c r="D53" s="7">
        <v>14591357.401517002</v>
      </c>
      <c r="E53" s="7">
        <v>4609854.5323399995</v>
      </c>
      <c r="F53" s="7">
        <v>885228.33022700006</v>
      </c>
      <c r="G53" s="8">
        <v>20086440.264084</v>
      </c>
      <c r="I53" s="7">
        <v>25403386.729118004</v>
      </c>
      <c r="J53" s="7">
        <v>3854171.0822859993</v>
      </c>
      <c r="K53" s="7">
        <v>8053835.6901774425</v>
      </c>
      <c r="L53" s="7">
        <v>1861781.0772745605</v>
      </c>
      <c r="M53" s="8">
        <v>39173174.578856006</v>
      </c>
      <c r="O53" s="8">
        <v>59259614.842940018</v>
      </c>
    </row>
    <row r="54" spans="1:28" x14ac:dyDescent="0.2">
      <c r="C54" s="1" t="s">
        <v>22</v>
      </c>
      <c r="D54" s="7">
        <v>13200281.522999998</v>
      </c>
      <c r="E54" s="7">
        <v>4221297.9519999996</v>
      </c>
      <c r="F54" s="7">
        <v>762351.78899999999</v>
      </c>
      <c r="G54" s="8">
        <v>18183931.264000002</v>
      </c>
      <c r="I54" s="7">
        <v>24132845.905999996</v>
      </c>
      <c r="J54" s="7">
        <v>3602666.39</v>
      </c>
      <c r="K54" s="7">
        <v>7504159.4450000012</v>
      </c>
      <c r="L54" s="7">
        <v>1826219.179</v>
      </c>
      <c r="M54" s="8">
        <v>37065890.920000002</v>
      </c>
      <c r="O54" s="8">
        <v>55249822.184</v>
      </c>
    </row>
    <row r="55" spans="1:28" x14ac:dyDescent="0.2">
      <c r="C55" s="1" t="s">
        <v>23</v>
      </c>
      <c r="D55" s="11">
        <v>0.1053822887105258</v>
      </c>
      <c r="E55" s="11">
        <v>9.2046708087948792E-2</v>
      </c>
      <c r="F55" s="11">
        <v>0.1611808918139761</v>
      </c>
      <c r="G55" s="12">
        <v>0.1046258354402454</v>
      </c>
      <c r="I55" s="11">
        <v>5.2647782531198395E-2</v>
      </c>
      <c r="J55" s="11">
        <v>6.9810708253227771E-2</v>
      </c>
      <c r="K55" s="11">
        <v>7.3249542364626663E-2</v>
      </c>
      <c r="L55" s="11">
        <v>1.9472962875153543E-2</v>
      </c>
      <c r="M55" s="12">
        <v>5.6852367676907933E-2</v>
      </c>
      <c r="O55" s="12">
        <v>7.2575666317732157E-2</v>
      </c>
      <c r="Q55" s="11">
        <v>0.11391022817917311</v>
      </c>
      <c r="R55" s="11">
        <v>0.1085842432884887</v>
      </c>
      <c r="S55" s="11">
        <v>0.17296192816238806</v>
      </c>
      <c r="T55" s="12">
        <v>0.11516585596393676</v>
      </c>
      <c r="V55" s="11">
        <v>5.8205070757285295E-2</v>
      </c>
      <c r="W55" s="11">
        <v>7.6696397719659262E-2</v>
      </c>
      <c r="X55" s="11">
        <v>7.4255928160138526E-2</v>
      </c>
      <c r="Y55" s="11">
        <v>2.8951146371958593E-2</v>
      </c>
      <c r="Z55" s="12">
        <v>6.1687503724261371E-2</v>
      </c>
      <c r="AB55" s="12">
        <v>7.905608474299268E-2</v>
      </c>
    </row>
    <row r="57" spans="1:28" x14ac:dyDescent="0.2">
      <c r="D57" s="7" t="s">
        <v>7</v>
      </c>
      <c r="I57" s="7" t="s">
        <v>8</v>
      </c>
      <c r="O57" s="4" t="s">
        <v>24</v>
      </c>
      <c r="T57" s="1"/>
      <c r="Z57" s="1"/>
      <c r="AB57" s="1"/>
    </row>
    <row r="58" spans="1:28" x14ac:dyDescent="0.2">
      <c r="D58" s="7" t="s">
        <v>0</v>
      </c>
      <c r="E58" s="7" t="s">
        <v>1</v>
      </c>
      <c r="F58" s="7" t="s">
        <v>2</v>
      </c>
      <c r="G58" s="8" t="s">
        <v>24</v>
      </c>
      <c r="I58" s="7" t="s">
        <v>3</v>
      </c>
      <c r="J58" s="7" t="s">
        <v>4</v>
      </c>
      <c r="K58" s="7" t="s">
        <v>54</v>
      </c>
      <c r="L58" s="7" t="s">
        <v>55</v>
      </c>
      <c r="M58" s="4" t="s">
        <v>24</v>
      </c>
      <c r="O58" s="4" t="s">
        <v>49</v>
      </c>
      <c r="T58" s="1"/>
      <c r="Z58" s="1"/>
      <c r="AB58" s="1"/>
    </row>
    <row r="59" spans="1:28" x14ac:dyDescent="0.2">
      <c r="A59" s="1">
        <v>2016</v>
      </c>
      <c r="T59" s="1"/>
      <c r="Z59" s="1"/>
      <c r="AB59" s="1"/>
    </row>
    <row r="60" spans="1:28" x14ac:dyDescent="0.2">
      <c r="A60" s="1" t="s">
        <v>9</v>
      </c>
      <c r="C60" s="1" t="s">
        <v>21</v>
      </c>
      <c r="D60" s="7">
        <v>1354212.1878499996</v>
      </c>
      <c r="E60" s="7">
        <v>436417.73155661073</v>
      </c>
      <c r="F60" s="7">
        <v>79585.970327000003</v>
      </c>
      <c r="G60" s="8">
        <v>1870215.8897336102</v>
      </c>
      <c r="I60" s="7">
        <v>2193305.7019548821</v>
      </c>
      <c r="J60" s="7">
        <v>291364.12240330031</v>
      </c>
      <c r="K60" s="7">
        <v>714043.06191274046</v>
      </c>
      <c r="L60" s="7">
        <v>171693.23661818221</v>
      </c>
      <c r="M60" s="8">
        <v>3370406.1228891052</v>
      </c>
      <c r="O60" s="8">
        <v>5240622.0126227159</v>
      </c>
      <c r="T60" s="1"/>
      <c r="Z60" s="1"/>
      <c r="AB60" s="1"/>
    </row>
    <row r="61" spans="1:28" x14ac:dyDescent="0.2">
      <c r="C61" s="1" t="s">
        <v>22</v>
      </c>
      <c r="D61" s="7">
        <v>1226008.112</v>
      </c>
      <c r="E61" s="7">
        <v>381698.25</v>
      </c>
      <c r="F61" s="7">
        <v>68718.02</v>
      </c>
      <c r="G61" s="8">
        <v>1676424.382</v>
      </c>
      <c r="I61" s="7">
        <v>2071728.7560000001</v>
      </c>
      <c r="J61" s="7">
        <v>274886.30699999997</v>
      </c>
      <c r="K61" s="7">
        <v>642690.66</v>
      </c>
      <c r="L61" s="7">
        <v>176526.25200000001</v>
      </c>
      <c r="M61" s="8">
        <v>3165831.9750000001</v>
      </c>
      <c r="O61" s="8">
        <v>4842256.3569999998</v>
      </c>
      <c r="T61" s="1"/>
      <c r="Z61" s="1"/>
      <c r="AB61" s="1"/>
    </row>
    <row r="62" spans="1:28" x14ac:dyDescent="0.2">
      <c r="C62" s="1" t="s">
        <v>23</v>
      </c>
      <c r="D62" s="11">
        <v>0.1045703324432814</v>
      </c>
      <c r="E62" s="11">
        <v>0.14335795764484316</v>
      </c>
      <c r="F62" s="11">
        <v>0.15815284443585531</v>
      </c>
      <c r="G62" s="12">
        <v>0.1155981205083727</v>
      </c>
      <c r="H62" s="11"/>
      <c r="I62" s="11">
        <v>5.8683814472709983E-2</v>
      </c>
      <c r="J62" s="11">
        <v>5.9944111378746667E-2</v>
      </c>
      <c r="K62" s="11">
        <v>0.11102137677361057</v>
      </c>
      <c r="L62" s="11">
        <v>-2.7378451233518453E-2</v>
      </c>
      <c r="M62" s="12">
        <v>6.46193953136458E-2</v>
      </c>
      <c r="O62" s="12">
        <v>8.2268600886203691E-2</v>
      </c>
      <c r="T62" s="1"/>
      <c r="Z62" s="1"/>
      <c r="AB62" s="1"/>
    </row>
    <row r="63" spans="1:28" x14ac:dyDescent="0.2">
      <c r="T63" s="1"/>
      <c r="Z63" s="1"/>
      <c r="AB63" s="1"/>
    </row>
    <row r="64" spans="1:28" x14ac:dyDescent="0.2">
      <c r="A64" s="1" t="s">
        <v>10</v>
      </c>
      <c r="C64" s="1" t="s">
        <v>21</v>
      </c>
      <c r="D64" s="7">
        <v>1152181.1932160985</v>
      </c>
      <c r="E64" s="7">
        <v>354439.41177889099</v>
      </c>
      <c r="F64" s="7">
        <v>66291.115271100018</v>
      </c>
      <c r="G64" s="8">
        <v>1572911.7202660895</v>
      </c>
      <c r="I64" s="7">
        <v>1969969.3184981814</v>
      </c>
      <c r="J64" s="7">
        <v>255514.96839339999</v>
      </c>
      <c r="K64" s="7">
        <v>630729.00890659913</v>
      </c>
      <c r="L64" s="7">
        <v>153889.30554463403</v>
      </c>
      <c r="M64" s="8">
        <v>3010102.6013428145</v>
      </c>
      <c r="O64" s="8">
        <v>4583014.3216089038</v>
      </c>
      <c r="T64" s="1"/>
      <c r="Z64" s="1"/>
      <c r="AB64" s="1"/>
    </row>
    <row r="65" spans="1:28" x14ac:dyDescent="0.2">
      <c r="C65" s="1" t="s">
        <v>22</v>
      </c>
      <c r="D65" s="7">
        <v>1034269.677</v>
      </c>
      <c r="E65" s="7">
        <v>301698.26500000001</v>
      </c>
      <c r="F65" s="7">
        <v>57416.726999999999</v>
      </c>
      <c r="G65" s="8">
        <v>1393384.669</v>
      </c>
      <c r="I65" s="7">
        <v>1867959.2860000001</v>
      </c>
      <c r="J65" s="7">
        <v>240338.32500000001</v>
      </c>
      <c r="K65" s="7">
        <v>582730.76199999999</v>
      </c>
      <c r="L65" s="7">
        <v>166702.375</v>
      </c>
      <c r="M65" s="8">
        <v>2857730.7480000001</v>
      </c>
      <c r="O65" s="8">
        <v>4251115.4170000004</v>
      </c>
      <c r="T65" s="1"/>
      <c r="Z65" s="1"/>
      <c r="AB65" s="1"/>
    </row>
    <row r="66" spans="1:28" x14ac:dyDescent="0.2">
      <c r="C66" s="1" t="s">
        <v>23</v>
      </c>
      <c r="D66" s="11">
        <v>0.11400461488739788</v>
      </c>
      <c r="E66" s="11">
        <v>0.17481421969361</v>
      </c>
      <c r="F66" s="11">
        <v>0.15456102663427718</v>
      </c>
      <c r="G66" s="12">
        <v>0.12884241893872139</v>
      </c>
      <c r="H66" s="11"/>
      <c r="I66" s="11">
        <v>5.4610415367576381E-2</v>
      </c>
      <c r="J66" s="11">
        <v>6.3146996607386541E-2</v>
      </c>
      <c r="K66" s="11">
        <v>8.2367793218713237E-2</v>
      </c>
      <c r="L66" s="11">
        <v>-7.6861949059609747E-2</v>
      </c>
      <c r="M66" s="12">
        <v>5.3319177620023472E-2</v>
      </c>
      <c r="O66" s="12">
        <v>7.8073369469494169E-2</v>
      </c>
      <c r="T66" s="1"/>
      <c r="Z66" s="1"/>
      <c r="AB66" s="1"/>
    </row>
    <row r="67" spans="1:28" x14ac:dyDescent="0.2">
      <c r="T67" s="1"/>
      <c r="Z67" s="1"/>
      <c r="AB67" s="1"/>
    </row>
    <row r="68" spans="1:28" x14ac:dyDescent="0.2">
      <c r="A68" s="1" t="s">
        <v>11</v>
      </c>
      <c r="C68" s="1" t="s">
        <v>21</v>
      </c>
      <c r="D68" s="7">
        <v>1168087.7049137005</v>
      </c>
      <c r="E68" s="7">
        <v>344465.38607519335</v>
      </c>
      <c r="F68" s="7">
        <v>68639.124990700002</v>
      </c>
      <c r="G68" s="8">
        <v>1581192.2159795938</v>
      </c>
      <c r="I68" s="7">
        <v>1921025.0245508193</v>
      </c>
      <c r="J68" s="7">
        <v>246427.8853920002</v>
      </c>
      <c r="K68" s="7">
        <v>642901.29725343978</v>
      </c>
      <c r="L68" s="7">
        <v>162617.72537780704</v>
      </c>
      <c r="M68" s="8">
        <v>2972971.9325740663</v>
      </c>
      <c r="O68" s="8">
        <v>4554164.1485536601</v>
      </c>
      <c r="T68" s="1"/>
      <c r="Z68" s="1"/>
      <c r="AB68" s="1"/>
    </row>
    <row r="69" spans="1:28" x14ac:dyDescent="0.2">
      <c r="C69" s="1" t="s">
        <v>22</v>
      </c>
      <c r="D69" s="7">
        <v>1055078.4620000001</v>
      </c>
      <c r="E69" s="7">
        <v>302541.73499999999</v>
      </c>
      <c r="F69" s="7">
        <v>56339.98</v>
      </c>
      <c r="G69" s="8">
        <v>1413960.1770000001</v>
      </c>
      <c r="I69" s="7">
        <v>1794839.949</v>
      </c>
      <c r="J69" s="7">
        <v>236694.70199999999</v>
      </c>
      <c r="K69" s="7">
        <v>599014.65599999996</v>
      </c>
      <c r="L69" s="7">
        <v>156323.503</v>
      </c>
      <c r="M69" s="8">
        <v>2786872.81</v>
      </c>
      <c r="O69" s="8">
        <v>4200832.9869999997</v>
      </c>
      <c r="T69" s="1"/>
      <c r="Z69" s="1"/>
      <c r="AB69" s="1"/>
    </row>
    <row r="70" spans="1:28" x14ac:dyDescent="0.2">
      <c r="C70" s="1" t="s">
        <v>23</v>
      </c>
      <c r="D70" s="11">
        <v>0.1071097998716426</v>
      </c>
      <c r="E70" s="11">
        <v>0.13857146378562746</v>
      </c>
      <c r="F70" s="11">
        <v>0.21830226050310975</v>
      </c>
      <c r="G70" s="12">
        <v>0.11827209966719843</v>
      </c>
      <c r="H70" s="11"/>
      <c r="I70" s="11">
        <v>7.0304360910355079E-2</v>
      </c>
      <c r="J70" s="11">
        <v>4.1121255819237534E-2</v>
      </c>
      <c r="K70" s="11">
        <v>7.3264720343403145E-2</v>
      </c>
      <c r="L70" s="11">
        <v>4.0264082220618169E-2</v>
      </c>
      <c r="M70" s="12">
        <v>6.6777041961260553E-2</v>
      </c>
      <c r="O70" s="12">
        <v>8.410978552279702E-2</v>
      </c>
      <c r="T70" s="1"/>
      <c r="Z70" s="1"/>
      <c r="AB70" s="1"/>
    </row>
    <row r="71" spans="1:28" x14ac:dyDescent="0.2">
      <c r="T71" s="1"/>
      <c r="Z71" s="1"/>
      <c r="AB71" s="1"/>
    </row>
    <row r="72" spans="1:28" x14ac:dyDescent="0.2">
      <c r="A72" s="1" t="s">
        <v>12</v>
      </c>
      <c r="C72" s="1" t="s">
        <v>21</v>
      </c>
      <c r="D72" s="7">
        <v>1034765.8963440004</v>
      </c>
      <c r="E72" s="7">
        <v>302897.81986823265</v>
      </c>
      <c r="F72" s="7">
        <v>62106.493203800026</v>
      </c>
      <c r="G72" s="8">
        <v>1399770.209416033</v>
      </c>
      <c r="I72" s="7">
        <v>1843948.6483774805</v>
      </c>
      <c r="J72" s="7">
        <v>238593.96480069991</v>
      </c>
      <c r="K72" s="7">
        <v>597538.5290075019</v>
      </c>
      <c r="L72" s="7">
        <v>151319.99257237813</v>
      </c>
      <c r="M72" s="8">
        <v>2831401.1347580608</v>
      </c>
      <c r="O72" s="8">
        <v>4231171.3441740936</v>
      </c>
      <c r="T72" s="1"/>
      <c r="Z72" s="1"/>
      <c r="AB72" s="1"/>
    </row>
    <row r="73" spans="1:28" x14ac:dyDescent="0.2">
      <c r="C73" s="1" t="s">
        <v>22</v>
      </c>
      <c r="D73" s="7">
        <v>934416.17299999995</v>
      </c>
      <c r="E73" s="7">
        <v>261019.70499999999</v>
      </c>
      <c r="F73" s="7">
        <v>52560.218000000001</v>
      </c>
      <c r="G73" s="8">
        <v>1247996.0960000001</v>
      </c>
      <c r="I73" s="7">
        <v>1756553.317</v>
      </c>
      <c r="J73" s="7">
        <v>220158.45600000001</v>
      </c>
      <c r="K73" s="7">
        <v>573534.76500000001</v>
      </c>
      <c r="L73" s="7">
        <v>157230.26999999999</v>
      </c>
      <c r="M73" s="8">
        <v>2707476.8080000002</v>
      </c>
      <c r="O73" s="8">
        <v>3955472.9040000001</v>
      </c>
      <c r="T73" s="1"/>
      <c r="Z73" s="1"/>
      <c r="AB73" s="1"/>
    </row>
    <row r="74" spans="1:28" x14ac:dyDescent="0.2">
      <c r="C74" s="1" t="s">
        <v>23</v>
      </c>
      <c r="D74" s="11">
        <v>0.1073929649802845</v>
      </c>
      <c r="E74" s="11">
        <v>0.16044043444242129</v>
      </c>
      <c r="F74" s="11">
        <v>0.1816254872420815</v>
      </c>
      <c r="G74" s="12">
        <v>0.12161425336384446</v>
      </c>
      <c r="H74" s="11"/>
      <c r="I74" s="11">
        <v>4.9753873413157734E-2</v>
      </c>
      <c r="J74" s="11">
        <v>8.3737454993324967E-2</v>
      </c>
      <c r="K74" s="11">
        <v>4.1852326087856051E-2</v>
      </c>
      <c r="L74" s="11">
        <v>-3.7589946437297739E-2</v>
      </c>
      <c r="M74" s="12">
        <v>4.577114987352493E-2</v>
      </c>
      <c r="O74" s="12">
        <v>6.970050026010588E-2</v>
      </c>
      <c r="T74" s="1"/>
      <c r="Z74" s="1"/>
      <c r="AB74" s="1"/>
    </row>
    <row r="75" spans="1:28" x14ac:dyDescent="0.2">
      <c r="T75" s="1"/>
      <c r="Z75" s="1"/>
      <c r="AB75" s="1"/>
    </row>
    <row r="76" spans="1:28" x14ac:dyDescent="0.2">
      <c r="A76" s="1" t="s">
        <v>13</v>
      </c>
      <c r="C76" s="1" t="s">
        <v>21</v>
      </c>
      <c r="D76" s="7">
        <v>1071569.443061851</v>
      </c>
      <c r="E76" s="7">
        <v>326684.32867124339</v>
      </c>
      <c r="F76" s="7">
        <v>71221.228319999951</v>
      </c>
      <c r="G76" s="8">
        <v>1469475.0000530945</v>
      </c>
      <c r="I76" s="7">
        <v>1962707.2720150417</v>
      </c>
      <c r="J76" s="7">
        <v>307756.27457739995</v>
      </c>
      <c r="K76" s="7">
        <v>591811.93066697544</v>
      </c>
      <c r="L76" s="7">
        <v>156976.85280725715</v>
      </c>
      <c r="M76" s="8">
        <v>3019252.3300666744</v>
      </c>
      <c r="O76" s="8">
        <v>4488727.3301197691</v>
      </c>
      <c r="T76" s="1"/>
      <c r="Z76" s="1"/>
      <c r="AB76" s="1"/>
    </row>
    <row r="77" spans="1:28" x14ac:dyDescent="0.2">
      <c r="C77" s="1" t="s">
        <v>22</v>
      </c>
      <c r="D77" s="7">
        <v>981762.527</v>
      </c>
      <c r="E77" s="7">
        <v>290096.353</v>
      </c>
      <c r="F77" s="7">
        <v>63020.858</v>
      </c>
      <c r="G77" s="8">
        <v>1334879.7379999999</v>
      </c>
      <c r="I77" s="7">
        <v>1839830.868</v>
      </c>
      <c r="J77" s="7">
        <v>272080.34100000001</v>
      </c>
      <c r="K77" s="7">
        <v>584412.228</v>
      </c>
      <c r="L77" s="7">
        <v>139782.63800000001</v>
      </c>
      <c r="M77" s="8">
        <v>2836106.0749999997</v>
      </c>
      <c r="O77" s="8">
        <v>4170985.8129999996</v>
      </c>
      <c r="T77" s="1"/>
      <c r="Z77" s="1"/>
      <c r="AB77" s="1"/>
    </row>
    <row r="78" spans="1:28" x14ac:dyDescent="0.2">
      <c r="C78" s="1" t="s">
        <v>23</v>
      </c>
      <c r="D78" s="11">
        <v>9.1475192413664974E-2</v>
      </c>
      <c r="E78" s="11">
        <v>0.12612352858928699</v>
      </c>
      <c r="F78" s="11">
        <v>0.1301215277011929</v>
      </c>
      <c r="G78" s="12">
        <v>0.10082950412803005</v>
      </c>
      <c r="H78" s="11"/>
      <c r="I78" s="11">
        <v>6.6786793369009612E-2</v>
      </c>
      <c r="J78" s="11">
        <v>0.1311227905929444</v>
      </c>
      <c r="K78" s="11">
        <v>1.266178617155056E-2</v>
      </c>
      <c r="L78" s="11">
        <v>0.12300679865018105</v>
      </c>
      <c r="M78" s="12">
        <v>6.457665906120047E-2</v>
      </c>
      <c r="O78" s="12">
        <v>7.6178997331864062E-2</v>
      </c>
      <c r="T78" s="1"/>
      <c r="Z78" s="1"/>
      <c r="AB78" s="1"/>
    </row>
    <row r="79" spans="1:28" x14ac:dyDescent="0.2">
      <c r="T79" s="1"/>
      <c r="Z79" s="1"/>
      <c r="AB79" s="1"/>
    </row>
    <row r="80" spans="1:28" x14ac:dyDescent="0.2">
      <c r="A80" s="1" t="s">
        <v>14</v>
      </c>
      <c r="C80" s="1" t="s">
        <v>21</v>
      </c>
      <c r="D80" s="7">
        <v>1151353.5869333604</v>
      </c>
      <c r="E80" s="7">
        <v>346857.9561550793</v>
      </c>
      <c r="F80" s="7">
        <v>77001.090317579525</v>
      </c>
      <c r="G80" s="8">
        <v>1575212.6334060193</v>
      </c>
      <c r="I80" s="7">
        <v>2302456.286377281</v>
      </c>
      <c r="J80" s="7">
        <v>473616.42560530023</v>
      </c>
      <c r="K80" s="7">
        <v>647644.74957081943</v>
      </c>
      <c r="L80" s="7">
        <v>154461.94400843748</v>
      </c>
      <c r="M80" s="8">
        <v>3578179.4055618383</v>
      </c>
      <c r="O80" s="8">
        <v>5153392.0389678571</v>
      </c>
      <c r="T80" s="1"/>
      <c r="Z80" s="1"/>
      <c r="AB80" s="1"/>
    </row>
    <row r="81" spans="1:28" x14ac:dyDescent="0.2">
      <c r="C81" s="1" t="s">
        <v>22</v>
      </c>
      <c r="D81" s="7">
        <v>1046902.735</v>
      </c>
      <c r="E81" s="7">
        <v>315193.34100000001</v>
      </c>
      <c r="F81" s="7">
        <v>69997.482999999993</v>
      </c>
      <c r="G81" s="8">
        <v>1432093.5589999999</v>
      </c>
      <c r="I81" s="7">
        <v>2237491.5440000002</v>
      </c>
      <c r="J81" s="7">
        <v>393203.82400000002</v>
      </c>
      <c r="K81" s="7">
        <v>602064.74300000002</v>
      </c>
      <c r="L81" s="7">
        <v>160846.92000000001</v>
      </c>
      <c r="M81" s="8">
        <v>3393607.0310000004</v>
      </c>
      <c r="O81" s="8">
        <v>4825700.59</v>
      </c>
      <c r="T81" s="1"/>
      <c r="Z81" s="1"/>
      <c r="AB81" s="1"/>
    </row>
    <row r="82" spans="1:28" x14ac:dyDescent="0.2">
      <c r="C82" s="1" t="s">
        <v>23</v>
      </c>
      <c r="D82" s="11">
        <v>9.9771304860867049E-2</v>
      </c>
      <c r="E82" s="11">
        <v>0.10046092679057983</v>
      </c>
      <c r="F82" s="11">
        <v>0.10005513080491091</v>
      </c>
      <c r="G82" s="12">
        <v>9.9936958382772501E-2</v>
      </c>
      <c r="H82" s="11"/>
      <c r="I82" s="11">
        <v>2.9034631461061222E-2</v>
      </c>
      <c r="J82" s="11">
        <v>0.20450615354468216</v>
      </c>
      <c r="K82" s="11">
        <v>7.5706154696421724E-2</v>
      </c>
      <c r="L82" s="11">
        <v>-3.9695979205337184E-2</v>
      </c>
      <c r="M82" s="12">
        <v>5.4388257943775331E-2</v>
      </c>
      <c r="O82" s="12">
        <v>6.7905466337242704E-2</v>
      </c>
      <c r="T82" s="1"/>
      <c r="Z82" s="1"/>
      <c r="AB82" s="1"/>
    </row>
    <row r="83" spans="1:28" x14ac:dyDescent="0.2">
      <c r="T83" s="1"/>
      <c r="Z83" s="1"/>
      <c r="AB83" s="1"/>
    </row>
    <row r="84" spans="1:28" x14ac:dyDescent="0.2">
      <c r="A84" s="1" t="s">
        <v>15</v>
      </c>
      <c r="C84" s="1" t="s">
        <v>21</v>
      </c>
      <c r="D84" s="7">
        <v>1205983.889376421</v>
      </c>
      <c r="E84" s="7">
        <v>384562.9961952942</v>
      </c>
      <c r="F84" s="7">
        <v>84307.848530200019</v>
      </c>
      <c r="G84" s="8">
        <v>1674854.7341019153</v>
      </c>
      <c r="I84" s="7">
        <v>2593465.4352951972</v>
      </c>
      <c r="J84" s="7">
        <v>480552.89610969974</v>
      </c>
      <c r="K84" s="7">
        <v>668490.51003469666</v>
      </c>
      <c r="L84" s="7">
        <v>158605.75349549126</v>
      </c>
      <c r="M84" s="8">
        <v>3901114.5949350847</v>
      </c>
      <c r="O84" s="8">
        <v>5575969.3290369995</v>
      </c>
      <c r="T84" s="1"/>
      <c r="Z84" s="1"/>
      <c r="AB84" s="1"/>
    </row>
    <row r="85" spans="1:28" x14ac:dyDescent="0.2">
      <c r="C85" s="1" t="s">
        <v>22</v>
      </c>
      <c r="D85" s="7">
        <v>1119464.9339999999</v>
      </c>
      <c r="E85" s="7">
        <v>349114.663</v>
      </c>
      <c r="F85" s="7">
        <v>75976.149000000005</v>
      </c>
      <c r="G85" s="8">
        <v>1544555.7459999998</v>
      </c>
      <c r="I85" s="7">
        <v>2450326.909</v>
      </c>
      <c r="J85" s="7">
        <v>442695.20199999999</v>
      </c>
      <c r="K85" s="7">
        <v>641206.97400000005</v>
      </c>
      <c r="L85" s="7">
        <v>144138.16800000001</v>
      </c>
      <c r="M85" s="8">
        <v>3678367.253</v>
      </c>
      <c r="O85" s="8">
        <v>5222922.9989999998</v>
      </c>
      <c r="T85" s="1"/>
      <c r="Z85" s="1"/>
      <c r="AB85" s="1"/>
    </row>
    <row r="86" spans="1:28" x14ac:dyDescent="0.2">
      <c r="C86" s="1" t="s">
        <v>23</v>
      </c>
      <c r="D86" s="11">
        <v>7.7285989715887959E-2</v>
      </c>
      <c r="E86" s="11">
        <v>0.1015377953211154</v>
      </c>
      <c r="F86" s="11">
        <v>0.10966204052011119</v>
      </c>
      <c r="G86" s="12">
        <v>8.4360171809503282E-2</v>
      </c>
      <c r="H86" s="11"/>
      <c r="I86" s="11">
        <v>5.8416093693234306E-2</v>
      </c>
      <c r="J86" s="11">
        <v>8.5516386756998797E-2</v>
      </c>
      <c r="K86" s="11">
        <v>4.2550279614857356E-2</v>
      </c>
      <c r="L86" s="11">
        <v>0.10037303579084789</v>
      </c>
      <c r="M86" s="12">
        <v>6.0556036582104955E-2</v>
      </c>
      <c r="O86" s="12">
        <v>6.759554565606174E-2</v>
      </c>
      <c r="T86" s="1"/>
      <c r="Z86" s="1"/>
      <c r="AB86" s="1"/>
    </row>
    <row r="87" spans="1:28" x14ac:dyDescent="0.2">
      <c r="T87" s="1"/>
      <c r="Z87" s="1"/>
      <c r="AB87" s="1"/>
    </row>
    <row r="88" spans="1:28" x14ac:dyDescent="0.2">
      <c r="A88" s="1" t="s">
        <v>16</v>
      </c>
      <c r="C88" s="1" t="s">
        <v>21</v>
      </c>
      <c r="D88" s="7">
        <v>1299057.0390782885</v>
      </c>
      <c r="E88" s="7">
        <v>410498.78369662608</v>
      </c>
      <c r="F88" s="7">
        <v>85032.887004199947</v>
      </c>
      <c r="G88" s="8">
        <v>1794588.7097791145</v>
      </c>
      <c r="I88" s="7">
        <v>2489049.2395153604</v>
      </c>
      <c r="J88" s="7">
        <v>397225.33728500002</v>
      </c>
      <c r="K88" s="7">
        <v>653417.30384082743</v>
      </c>
      <c r="L88" s="7">
        <v>159445.27376538346</v>
      </c>
      <c r="M88" s="8">
        <v>3699137.1544065708</v>
      </c>
      <c r="O88" s="8">
        <v>5493725.8641856853</v>
      </c>
      <c r="T88" s="1"/>
      <c r="Z88" s="1"/>
      <c r="AB88" s="1"/>
    </row>
    <row r="89" spans="1:28" x14ac:dyDescent="0.2">
      <c r="C89" s="1" t="s">
        <v>22</v>
      </c>
      <c r="D89" s="7">
        <v>1165821.4350000001</v>
      </c>
      <c r="E89" s="7">
        <v>384407.41600000003</v>
      </c>
      <c r="F89" s="7">
        <v>67343.104999999996</v>
      </c>
      <c r="G89" s="8">
        <v>1617571.956</v>
      </c>
      <c r="I89" s="7">
        <v>2305349.9169999999</v>
      </c>
      <c r="J89" s="7">
        <v>386976.66499999998</v>
      </c>
      <c r="K89" s="7">
        <v>619870.36600000004</v>
      </c>
      <c r="L89" s="7">
        <v>156096.73000000001</v>
      </c>
      <c r="M89" s="8">
        <v>3468293.6779999998</v>
      </c>
      <c r="O89" s="8">
        <v>5085865.6339999996</v>
      </c>
      <c r="T89" s="1"/>
      <c r="Z89" s="1"/>
      <c r="AB89" s="1"/>
    </row>
    <row r="90" spans="1:28" x14ac:dyDescent="0.2">
      <c r="C90" s="1" t="s">
        <v>23</v>
      </c>
      <c r="D90" s="11">
        <v>0.11428474385383769</v>
      </c>
      <c r="E90" s="11">
        <v>6.7874256870804173E-2</v>
      </c>
      <c r="F90" s="11">
        <v>0.26268141340082174</v>
      </c>
      <c r="G90" s="12">
        <v>0.10943361939635055</v>
      </c>
      <c r="H90" s="11"/>
      <c r="I90" s="11">
        <v>7.9683921803251678E-2</v>
      </c>
      <c r="J90" s="11">
        <v>2.6483954232744411E-2</v>
      </c>
      <c r="K90" s="11">
        <v>5.4119279902513417E-2</v>
      </c>
      <c r="L90" s="11">
        <v>2.1451722693892838E-2</v>
      </c>
      <c r="M90" s="12">
        <v>6.6558226562776879E-2</v>
      </c>
      <c r="O90" s="12">
        <v>8.0194849714286809E-2</v>
      </c>
      <c r="T90" s="1"/>
      <c r="Z90" s="1"/>
      <c r="AB90" s="1"/>
    </row>
    <row r="91" spans="1:28" x14ac:dyDescent="0.2">
      <c r="T91" s="1"/>
      <c r="Z91" s="1"/>
      <c r="AB91" s="1"/>
    </row>
    <row r="92" spans="1:28" x14ac:dyDescent="0.2">
      <c r="A92" s="1" t="s">
        <v>17</v>
      </c>
      <c r="C92" s="1" t="s">
        <v>21</v>
      </c>
      <c r="D92" s="7">
        <v>1059853.46116678</v>
      </c>
      <c r="E92" s="7">
        <v>344166.10941954097</v>
      </c>
      <c r="F92" s="7">
        <v>63126.986495500001</v>
      </c>
      <c r="G92" s="8">
        <v>1467146.5570818209</v>
      </c>
      <c r="I92" s="7">
        <v>2017327.2845535213</v>
      </c>
      <c r="J92" s="7">
        <v>275898.70683480008</v>
      </c>
      <c r="K92" s="7">
        <v>649087.33593965333</v>
      </c>
      <c r="L92" s="7">
        <v>155699.41269431746</v>
      </c>
      <c r="M92" s="8">
        <v>3098012.7400222919</v>
      </c>
      <c r="O92" s="8">
        <v>4565159.2971041128</v>
      </c>
      <c r="T92" s="1"/>
      <c r="Z92" s="1"/>
      <c r="AB92" s="1"/>
    </row>
    <row r="93" spans="1:28" x14ac:dyDescent="0.2">
      <c r="C93" s="1" t="s">
        <v>22</v>
      </c>
      <c r="D93" s="7">
        <v>940033.20700000005</v>
      </c>
      <c r="E93" s="7">
        <v>307977.90000000002</v>
      </c>
      <c r="F93" s="7">
        <v>55119.786</v>
      </c>
      <c r="G93" s="8">
        <v>1303130.8930000002</v>
      </c>
      <c r="I93" s="7">
        <v>1889386.3319999999</v>
      </c>
      <c r="J93" s="7">
        <v>292189.73200000002</v>
      </c>
      <c r="K93" s="7">
        <v>594332.43400000001</v>
      </c>
      <c r="L93" s="7">
        <v>141774.90100000001</v>
      </c>
      <c r="M93" s="8">
        <v>2917683.3989999997</v>
      </c>
      <c r="O93" s="8">
        <v>4220814.2919999994</v>
      </c>
      <c r="T93" s="1"/>
      <c r="Z93" s="1"/>
      <c r="AB93" s="1"/>
    </row>
    <row r="94" spans="1:28" x14ac:dyDescent="0.2">
      <c r="C94" s="1" t="s">
        <v>23</v>
      </c>
      <c r="D94" s="11">
        <v>0.12746385263258042</v>
      </c>
      <c r="E94" s="11">
        <v>0.11750261762139735</v>
      </c>
      <c r="F94" s="11">
        <v>0.1452690780675383</v>
      </c>
      <c r="G94" s="12">
        <v>0.12586277016595959</v>
      </c>
      <c r="H94" s="11"/>
      <c r="I94" s="11">
        <v>6.7715612411618498E-2</v>
      </c>
      <c r="J94" s="11">
        <v>-5.5754954336314388E-2</v>
      </c>
      <c r="K94" s="11">
        <v>9.2128409636236253E-2</v>
      </c>
      <c r="L94" s="11">
        <v>9.8215633346253828E-2</v>
      </c>
      <c r="M94" s="12">
        <v>6.1805657558355209E-2</v>
      </c>
      <c r="O94" s="12">
        <v>8.1582600247723347E-2</v>
      </c>
      <c r="T94" s="1"/>
      <c r="Z94" s="1"/>
      <c r="AB94" s="1"/>
    </row>
    <row r="95" spans="1:28" x14ac:dyDescent="0.2">
      <c r="T95" s="1"/>
      <c r="Z95" s="1"/>
      <c r="AB95" s="1"/>
    </row>
    <row r="96" spans="1:28" x14ac:dyDescent="0.2">
      <c r="A96" s="1" t="s">
        <v>18</v>
      </c>
      <c r="C96" s="1" t="s">
        <v>21</v>
      </c>
      <c r="D96" s="7">
        <v>1104718.754310111</v>
      </c>
      <c r="E96" s="7">
        <v>352150.60299627611</v>
      </c>
      <c r="F96" s="7">
        <v>60813.509431499995</v>
      </c>
      <c r="G96" s="8">
        <v>1517682.8667378873</v>
      </c>
      <c r="I96" s="7">
        <v>1926162.220560337</v>
      </c>
      <c r="J96" s="7">
        <v>252514.47071140009</v>
      </c>
      <c r="K96" s="7">
        <v>647883.6790222713</v>
      </c>
      <c r="L96" s="7">
        <v>165480.98063126628</v>
      </c>
      <c r="M96" s="8">
        <v>2992041.3509252747</v>
      </c>
      <c r="O96" s="8">
        <v>4509724.2176631615</v>
      </c>
      <c r="T96" s="1"/>
      <c r="Z96" s="1"/>
      <c r="AB96" s="1"/>
    </row>
    <row r="97" spans="1:28" x14ac:dyDescent="0.2">
      <c r="C97" s="1" t="s">
        <v>22</v>
      </c>
      <c r="D97" s="7">
        <v>989523.32799999998</v>
      </c>
      <c r="E97" s="7">
        <v>330124.29800000001</v>
      </c>
      <c r="F97" s="7">
        <v>53333.61</v>
      </c>
      <c r="G97" s="8">
        <v>1372981.236</v>
      </c>
      <c r="I97" s="7">
        <v>1839501.4950000001</v>
      </c>
      <c r="J97" s="7">
        <v>256618.62599999999</v>
      </c>
      <c r="K97" s="7">
        <v>614986.55500000005</v>
      </c>
      <c r="L97" s="7">
        <v>157065.44399999999</v>
      </c>
      <c r="M97" s="8">
        <v>2868172.12</v>
      </c>
      <c r="O97" s="8">
        <v>4241153.3560000006</v>
      </c>
      <c r="T97" s="1"/>
      <c r="Z97" s="1"/>
      <c r="AB97" s="1"/>
    </row>
    <row r="98" spans="1:28" x14ac:dyDescent="0.2">
      <c r="C98" s="1" t="s">
        <v>23</v>
      </c>
      <c r="D98" s="11">
        <v>0.11641506880180508</v>
      </c>
      <c r="E98" s="11">
        <v>6.672124751106967E-2</v>
      </c>
      <c r="F98" s="11">
        <v>0.14024738680730575</v>
      </c>
      <c r="G98" s="12">
        <v>0.10539228573833714</v>
      </c>
      <c r="H98" s="11"/>
      <c r="I98" s="11">
        <v>4.7110984033387204E-2</v>
      </c>
      <c r="J98" s="11">
        <v>-1.5993208881883381E-2</v>
      </c>
      <c r="K98" s="11">
        <v>5.3492428012952731E-2</v>
      </c>
      <c r="L98" s="11">
        <v>5.3579809899281905E-2</v>
      </c>
      <c r="M98" s="12">
        <v>4.3187516558551131E-2</v>
      </c>
      <c r="O98" s="12">
        <v>6.3324958830647038E-2</v>
      </c>
      <c r="T98" s="1"/>
      <c r="Z98" s="1"/>
      <c r="AB98" s="1"/>
    </row>
    <row r="99" spans="1:28" x14ac:dyDescent="0.2">
      <c r="T99" s="1"/>
      <c r="Z99" s="1"/>
      <c r="AB99" s="1"/>
    </row>
    <row r="100" spans="1:28" x14ac:dyDescent="0.2">
      <c r="A100" s="1" t="s">
        <v>19</v>
      </c>
      <c r="C100" s="1" t="s">
        <v>21</v>
      </c>
      <c r="D100" s="7">
        <v>1133541.0062117206</v>
      </c>
      <c r="E100" s="7">
        <v>354260.40082300117</v>
      </c>
      <c r="F100" s="7">
        <v>65771.369485600037</v>
      </c>
      <c r="G100" s="8">
        <v>1553572.7765203216</v>
      </c>
      <c r="I100" s="7">
        <v>1940762.4030315971</v>
      </c>
      <c r="J100" s="7">
        <v>231092.34204740022</v>
      </c>
      <c r="K100" s="7">
        <v>640342.9465125011</v>
      </c>
      <c r="L100" s="7">
        <v>155363.36427554575</v>
      </c>
      <c r="M100" s="8">
        <v>2967561.0558670443</v>
      </c>
      <c r="O100" s="8">
        <v>4521133.8323873654</v>
      </c>
      <c r="T100" s="1"/>
      <c r="Z100" s="1"/>
      <c r="AB100" s="1"/>
    </row>
    <row r="101" spans="1:28" x14ac:dyDescent="0.2">
      <c r="C101" s="1" t="s">
        <v>22</v>
      </c>
      <c r="D101" s="7">
        <v>1019959.231</v>
      </c>
      <c r="E101" s="7">
        <v>323648.40500000003</v>
      </c>
      <c r="F101" s="7">
        <v>57251.466</v>
      </c>
      <c r="G101" s="8">
        <v>1400859.102</v>
      </c>
      <c r="I101" s="7">
        <v>1822866.6059999999</v>
      </c>
      <c r="J101" s="7">
        <v>227673.981</v>
      </c>
      <c r="K101" s="7">
        <v>584917.06299999997</v>
      </c>
      <c r="L101" s="7">
        <v>164751</v>
      </c>
      <c r="M101" s="8">
        <v>2800208.65</v>
      </c>
      <c r="O101" s="8">
        <v>4201067.7520000003</v>
      </c>
      <c r="T101" s="1"/>
      <c r="Z101" s="1"/>
      <c r="AB101" s="1"/>
    </row>
    <row r="102" spans="1:28" x14ac:dyDescent="0.2">
      <c r="C102" s="1" t="s">
        <v>23</v>
      </c>
      <c r="D102" s="11">
        <v>0.1113591325609764</v>
      </c>
      <c r="E102" s="11">
        <v>9.458410840307141E-2</v>
      </c>
      <c r="F102" s="11">
        <v>0.14881546414200186</v>
      </c>
      <c r="G102" s="12">
        <v>0.10901430008363655</v>
      </c>
      <c r="H102" s="11"/>
      <c r="I102" s="11">
        <v>6.4676041924044858E-2</v>
      </c>
      <c r="J102" s="11">
        <v>1.5014280649839451E-2</v>
      </c>
      <c r="K102" s="11">
        <v>9.4758534189831156E-2</v>
      </c>
      <c r="L102" s="11">
        <v>-5.6980751099867333E-2</v>
      </c>
      <c r="M102" s="12">
        <v>5.9764262876284002E-2</v>
      </c>
      <c r="O102" s="12">
        <v>7.6186840889436169E-2</v>
      </c>
      <c r="T102" s="1"/>
      <c r="Z102" s="1"/>
      <c r="AB102" s="1"/>
    </row>
    <row r="103" spans="1:28" x14ac:dyDescent="0.2">
      <c r="T103" s="1"/>
      <c r="Z103" s="1"/>
      <c r="AB103" s="1"/>
    </row>
    <row r="104" spans="1:28" x14ac:dyDescent="0.2">
      <c r="A104" s="1" t="s">
        <v>20</v>
      </c>
      <c r="C104" s="1" t="s">
        <v>21</v>
      </c>
      <c r="D104" s="7">
        <v>1474580.9343765995</v>
      </c>
      <c r="E104" s="7">
        <v>474670.71549557656</v>
      </c>
      <c r="F104" s="7">
        <v>84254.542258100017</v>
      </c>
      <c r="G104" s="8">
        <v>2033506.1921302762</v>
      </c>
      <c r="I104" s="7">
        <v>2214796.3470465015</v>
      </c>
      <c r="J104" s="7">
        <v>293268.51526609965</v>
      </c>
      <c r="K104" s="7">
        <v>725848.32621545868</v>
      </c>
      <c r="L104" s="7">
        <v>164045.54520969157</v>
      </c>
      <c r="M104" s="8">
        <v>3397958.7337377509</v>
      </c>
      <c r="O104" s="8">
        <v>5431464.9258680269</v>
      </c>
      <c r="T104" s="1"/>
      <c r="Z104" s="1"/>
      <c r="AB104" s="1"/>
    </row>
    <row r="105" spans="1:28" x14ac:dyDescent="0.2">
      <c r="C105" s="1" t="s">
        <v>22</v>
      </c>
      <c r="D105" s="7">
        <v>1355734.199</v>
      </c>
      <c r="E105" s="7">
        <v>434133.59700000001</v>
      </c>
      <c r="F105" s="7">
        <v>70623.19</v>
      </c>
      <c r="G105" s="8">
        <v>1860490.986</v>
      </c>
      <c r="I105" s="7">
        <v>2143922.7829999998</v>
      </c>
      <c r="J105" s="7">
        <v>266962.23599999998</v>
      </c>
      <c r="K105" s="7">
        <v>674457.51800000004</v>
      </c>
      <c r="L105" s="7">
        <v>153915.56099999999</v>
      </c>
      <c r="M105" s="8">
        <v>3239258.0980000002</v>
      </c>
      <c r="O105" s="8">
        <v>5099749.0840000007</v>
      </c>
      <c r="T105" s="1"/>
      <c r="Z105" s="1"/>
      <c r="AB105" s="1"/>
    </row>
    <row r="106" spans="1:28" x14ac:dyDescent="0.2">
      <c r="C106" s="1" t="s">
        <v>23</v>
      </c>
      <c r="D106" s="11">
        <v>8.7662268506807361E-2</v>
      </c>
      <c r="E106" s="11">
        <v>9.337475554921526E-2</v>
      </c>
      <c r="F106" s="11">
        <v>0.19301524411599091</v>
      </c>
      <c r="G106" s="12">
        <v>9.2994380210491556E-2</v>
      </c>
      <c r="H106" s="11"/>
      <c r="I106" s="11">
        <v>3.3057890241423804E-2</v>
      </c>
      <c r="J106" s="11">
        <v>9.85393277351021E-2</v>
      </c>
      <c r="K106" s="11">
        <v>7.6195767478210108E-2</v>
      </c>
      <c r="L106" s="11">
        <v>6.581520506358407E-2</v>
      </c>
      <c r="M106" s="12">
        <v>4.8992896193031488E-2</v>
      </c>
      <c r="O106" s="12">
        <v>6.5045522123579502E-2</v>
      </c>
      <c r="T106" s="1"/>
      <c r="Z106" s="1"/>
      <c r="AB106" s="1"/>
    </row>
    <row r="107" spans="1:28" x14ac:dyDescent="0.2">
      <c r="T107" s="1"/>
      <c r="Z107" s="1"/>
      <c r="AB107" s="1"/>
    </row>
    <row r="108" spans="1:28" x14ac:dyDescent="0.2">
      <c r="A108" s="1" t="s">
        <v>57</v>
      </c>
      <c r="C108" s="1" t="s">
        <v>21</v>
      </c>
      <c r="D108" s="7">
        <v>14209905.096838929</v>
      </c>
      <c r="E108" s="7">
        <v>4432072.2427315656</v>
      </c>
      <c r="F108" s="7">
        <v>868152.1656352795</v>
      </c>
      <c r="G108" s="8">
        <v>19510129.505205773</v>
      </c>
      <c r="I108" s="7">
        <v>25374975.181776203</v>
      </c>
      <c r="J108" s="7">
        <v>3743825.9094265006</v>
      </c>
      <c r="K108" s="7">
        <v>7809738.6788834846</v>
      </c>
      <c r="L108" s="7">
        <v>1909599.3870003922</v>
      </c>
      <c r="M108" s="8">
        <v>38838139.157086574</v>
      </c>
      <c r="O108" s="8">
        <v>58348268.662292354</v>
      </c>
      <c r="T108" s="1"/>
      <c r="Z108" s="1"/>
      <c r="AB108" s="1"/>
    </row>
    <row r="109" spans="1:28" x14ac:dyDescent="0.2">
      <c r="C109" s="1" t="s">
        <v>22</v>
      </c>
      <c r="D109" s="7">
        <v>12868974.020000003</v>
      </c>
      <c r="E109" s="7">
        <v>3981653.9280000003</v>
      </c>
      <c r="F109" s="7">
        <v>747700.59199999995</v>
      </c>
      <c r="G109" s="8">
        <v>17598328.539999999</v>
      </c>
      <c r="I109" s="7">
        <v>24019757.761999998</v>
      </c>
      <c r="J109" s="7">
        <v>3510478.3970000003</v>
      </c>
      <c r="K109" s="7">
        <v>7314218.7240000013</v>
      </c>
      <c r="L109" s="7">
        <v>1875153.7620000001</v>
      </c>
      <c r="M109" s="8">
        <v>36719608.644999996</v>
      </c>
      <c r="O109" s="8">
        <v>54317937.184999995</v>
      </c>
      <c r="T109" s="1"/>
      <c r="Z109" s="1"/>
      <c r="AB109" s="1"/>
    </row>
    <row r="110" spans="1:28" x14ac:dyDescent="0.2">
      <c r="C110" s="1" t="s">
        <v>23</v>
      </c>
      <c r="D110" s="11">
        <v>0.10419875545283963</v>
      </c>
      <c r="E110" s="11">
        <v>0.11312342129086339</v>
      </c>
      <c r="F110" s="11">
        <v>0.16109599875143554</v>
      </c>
      <c r="G110" s="12">
        <v>0.10863537186843386</v>
      </c>
      <c r="I110" s="11">
        <v>5.6420944507616921E-2</v>
      </c>
      <c r="J110" s="11">
        <v>6.6471712979608411E-2</v>
      </c>
      <c r="K110" s="11">
        <v>6.7747489319336829E-2</v>
      </c>
      <c r="L110" s="11">
        <v>1.8369493584170504E-2</v>
      </c>
      <c r="M110" s="12">
        <v>5.7694800959569914E-2</v>
      </c>
      <c r="O110" s="12">
        <v>7.4198905300206119E-2</v>
      </c>
      <c r="T110" s="1"/>
      <c r="Z110" s="1"/>
      <c r="AB110" s="1"/>
    </row>
    <row r="111" spans="1:28" x14ac:dyDescent="0.2">
      <c r="T111" s="1"/>
      <c r="Z111" s="1"/>
      <c r="AB111" s="1"/>
    </row>
    <row r="112" spans="1:28" x14ac:dyDescent="0.2">
      <c r="D112" s="8" t="s">
        <v>7</v>
      </c>
      <c r="E112" s="8"/>
      <c r="F112" s="8"/>
      <c r="H112" s="8"/>
      <c r="I112" s="8" t="s">
        <v>8</v>
      </c>
      <c r="J112" s="8"/>
      <c r="K112" s="8"/>
      <c r="L112" s="8"/>
      <c r="N112" s="4"/>
      <c r="O112" s="4" t="s">
        <v>24</v>
      </c>
      <c r="T112" s="1"/>
      <c r="Z112" s="1"/>
      <c r="AB112" s="1"/>
    </row>
    <row r="113" spans="1:28" x14ac:dyDescent="0.2">
      <c r="D113" s="9" t="s">
        <v>0</v>
      </c>
      <c r="E113" s="9" t="s">
        <v>1</v>
      </c>
      <c r="F113" s="9" t="s">
        <v>2</v>
      </c>
      <c r="G113" s="9" t="s">
        <v>24</v>
      </c>
      <c r="H113" s="9"/>
      <c r="I113" s="9" t="s">
        <v>3</v>
      </c>
      <c r="J113" s="9" t="s">
        <v>4</v>
      </c>
      <c r="K113" s="9" t="s">
        <v>5</v>
      </c>
      <c r="L113" s="9" t="s">
        <v>6</v>
      </c>
      <c r="M113" s="9" t="s">
        <v>24</v>
      </c>
      <c r="N113" s="4"/>
      <c r="O113" s="9" t="s">
        <v>49</v>
      </c>
      <c r="T113" s="1"/>
      <c r="Z113" s="1"/>
      <c r="AB113" s="1"/>
    </row>
    <row r="114" spans="1:28" x14ac:dyDescent="0.2">
      <c r="A114" s="1">
        <v>2015</v>
      </c>
      <c r="T114" s="1"/>
      <c r="Z114" s="1"/>
      <c r="AB114" s="1"/>
    </row>
    <row r="115" spans="1:28" x14ac:dyDescent="0.2">
      <c r="A115" s="1" t="s">
        <v>9</v>
      </c>
      <c r="C115" s="1" t="s">
        <v>21</v>
      </c>
      <c r="D115" s="7">
        <v>1329208.2067629986</v>
      </c>
      <c r="E115" s="7">
        <v>435798.3196034003</v>
      </c>
      <c r="F115" s="7">
        <v>78850.134521600077</v>
      </c>
      <c r="G115" s="8">
        <v>1843856.660887999</v>
      </c>
      <c r="I115" s="7">
        <v>2192122.7005520007</v>
      </c>
      <c r="J115" s="7">
        <v>287449.73925960017</v>
      </c>
      <c r="K115" s="7">
        <v>716314.95271284645</v>
      </c>
      <c r="L115" s="7">
        <v>175639.14421285241</v>
      </c>
      <c r="M115" s="8">
        <v>3371526.5367372995</v>
      </c>
      <c r="O115" s="8">
        <v>5215383.1976252981</v>
      </c>
      <c r="T115" s="1"/>
      <c r="Z115" s="1"/>
      <c r="AB115" s="1"/>
    </row>
    <row r="116" spans="1:28" x14ac:dyDescent="0.2">
      <c r="C116" s="1" t="s">
        <v>22</v>
      </c>
      <c r="D116" s="7">
        <v>1178134.8149999999</v>
      </c>
      <c r="E116" s="7">
        <v>377634.57500000001</v>
      </c>
      <c r="F116" s="7">
        <v>72705.502999999997</v>
      </c>
      <c r="G116" s="8">
        <v>1628474.8929999999</v>
      </c>
      <c r="I116" s="7">
        <v>2062868.3910000001</v>
      </c>
      <c r="J116" s="7">
        <v>249367.454</v>
      </c>
      <c r="K116" s="7">
        <v>675876.58900000004</v>
      </c>
      <c r="L116" s="7">
        <v>175559.74900000001</v>
      </c>
      <c r="M116" s="8">
        <v>3163672.1830000002</v>
      </c>
      <c r="O116" s="8">
        <v>4792147.0760000004</v>
      </c>
      <c r="T116" s="1"/>
      <c r="Z116" s="1"/>
      <c r="AB116" s="1"/>
    </row>
    <row r="117" spans="1:28" x14ac:dyDescent="0.2">
      <c r="C117" s="1" t="s">
        <v>23</v>
      </c>
      <c r="D117" s="11">
        <v>0.12823098837207247</v>
      </c>
      <c r="E117" s="11">
        <v>0.15402123760357567</v>
      </c>
      <c r="F117" s="11">
        <v>8.4513981308953712E-2</v>
      </c>
      <c r="G117" s="12">
        <v>0.13225980260046843</v>
      </c>
      <c r="H117" s="11"/>
      <c r="I117" s="11">
        <v>6.2657564639566177E-2</v>
      </c>
      <c r="J117" s="11">
        <v>0.15271553945287564</v>
      </c>
      <c r="K117" s="11">
        <v>5.9830987447985651E-2</v>
      </c>
      <c r="L117" s="11">
        <v>4.5224040991542758E-4</v>
      </c>
      <c r="M117" s="12">
        <v>6.5700344951732159E-2</v>
      </c>
      <c r="O117" s="12">
        <v>8.8318683653293206E-2</v>
      </c>
      <c r="T117" s="1"/>
      <c r="Z117" s="1"/>
      <c r="AB117" s="1"/>
    </row>
    <row r="118" spans="1:28" x14ac:dyDescent="0.2">
      <c r="T118" s="1"/>
      <c r="Z118" s="1"/>
      <c r="AB118" s="1"/>
    </row>
    <row r="119" spans="1:28" x14ac:dyDescent="0.2">
      <c r="A119" s="1" t="s">
        <v>10</v>
      </c>
      <c r="C119" s="1" t="s">
        <v>21</v>
      </c>
      <c r="D119" s="7">
        <v>1112973.3885510007</v>
      </c>
      <c r="E119" s="7">
        <v>336788.00555799989</v>
      </c>
      <c r="F119" s="7">
        <v>66108.829311900045</v>
      </c>
      <c r="G119" s="8">
        <v>1515870.2234209008</v>
      </c>
      <c r="I119" s="7">
        <v>1880872.5174230007</v>
      </c>
      <c r="J119" s="7">
        <v>256268.66734770025</v>
      </c>
      <c r="K119" s="7">
        <v>617672.68815427006</v>
      </c>
      <c r="L119" s="7">
        <v>153052.11982572972</v>
      </c>
      <c r="M119" s="8">
        <v>2907865.9927507006</v>
      </c>
      <c r="O119" s="8">
        <v>4423736.2161716018</v>
      </c>
      <c r="T119" s="1"/>
      <c r="Z119" s="1"/>
      <c r="AB119" s="1"/>
    </row>
    <row r="120" spans="1:28" x14ac:dyDescent="0.2">
      <c r="C120" s="1" t="s">
        <v>22</v>
      </c>
      <c r="D120" s="7">
        <v>961703.99899999995</v>
      </c>
      <c r="E120" s="7">
        <v>304523.24400000001</v>
      </c>
      <c r="F120" s="7">
        <v>49574.925000000003</v>
      </c>
      <c r="G120" s="8">
        <v>1315802.1680000001</v>
      </c>
      <c r="I120" s="7">
        <v>1768977.2779999999</v>
      </c>
      <c r="J120" s="7">
        <v>238188.56599999999</v>
      </c>
      <c r="K120" s="7">
        <v>576542.63600000006</v>
      </c>
      <c r="L120" s="7">
        <v>157455.90400000001</v>
      </c>
      <c r="M120" s="8">
        <v>2741164.3840000001</v>
      </c>
      <c r="O120" s="8">
        <v>4056966.5520000001</v>
      </c>
      <c r="T120" s="1"/>
      <c r="Z120" s="1"/>
      <c r="AB120" s="1"/>
    </row>
    <row r="121" spans="1:28" x14ac:dyDescent="0.2">
      <c r="C121" s="1" t="s">
        <v>23</v>
      </c>
      <c r="D121" s="11">
        <v>0.15729308571898826</v>
      </c>
      <c r="E121" s="11">
        <v>0.10595172025029354</v>
      </c>
      <c r="F121" s="11">
        <v>0.33351345084031969</v>
      </c>
      <c r="G121" s="12">
        <v>0.15205025518767856</v>
      </c>
      <c r="H121" s="11"/>
      <c r="I121" s="11">
        <v>6.3254198239057757E-2</v>
      </c>
      <c r="J121" s="11">
        <v>7.590667197559875E-2</v>
      </c>
      <c r="K121" s="11">
        <v>7.1339133632208895E-2</v>
      </c>
      <c r="L121" s="11">
        <v>-2.7968364871667761E-2</v>
      </c>
      <c r="M121" s="12">
        <v>6.0814159750406382E-2</v>
      </c>
      <c r="O121" s="12">
        <v>9.0404902153011779E-2</v>
      </c>
      <c r="T121" s="1"/>
      <c r="Z121" s="1"/>
      <c r="AB121" s="1"/>
    </row>
    <row r="122" spans="1:28" x14ac:dyDescent="0.2">
      <c r="T122" s="1"/>
      <c r="Z122" s="1"/>
      <c r="AB122" s="1"/>
    </row>
    <row r="123" spans="1:28" x14ac:dyDescent="0.2">
      <c r="A123" s="1" t="s">
        <v>11</v>
      </c>
      <c r="C123" s="1" t="s">
        <v>21</v>
      </c>
      <c r="D123" s="7">
        <v>1179698.2663199999</v>
      </c>
      <c r="E123" s="7">
        <v>345175.11430549994</v>
      </c>
      <c r="F123" s="7">
        <v>66805.406898700036</v>
      </c>
      <c r="G123" s="8">
        <v>1591678.7875241998</v>
      </c>
      <c r="I123" s="7">
        <v>1979653.0020939992</v>
      </c>
      <c r="J123" s="7">
        <v>274101.37322150031</v>
      </c>
      <c r="K123" s="7">
        <v>657136.08572376613</v>
      </c>
      <c r="L123" s="7">
        <v>166386.97736323369</v>
      </c>
      <c r="M123" s="8">
        <v>3077277.4384024991</v>
      </c>
      <c r="O123" s="8">
        <v>4668956.2259266991</v>
      </c>
      <c r="T123" s="1"/>
      <c r="Z123" s="1"/>
      <c r="AB123" s="1"/>
    </row>
    <row r="124" spans="1:28" x14ac:dyDescent="0.2">
      <c r="C124" s="1" t="s">
        <v>22</v>
      </c>
      <c r="D124" s="7">
        <v>1041696.476</v>
      </c>
      <c r="E124" s="7">
        <v>314967.45600000001</v>
      </c>
      <c r="F124" s="7">
        <v>58562.428</v>
      </c>
      <c r="G124" s="8">
        <v>1415226.36</v>
      </c>
      <c r="I124" s="7">
        <v>1862919.2930000001</v>
      </c>
      <c r="J124" s="7">
        <v>262452.49400000001</v>
      </c>
      <c r="K124" s="7">
        <v>623185.12199999997</v>
      </c>
      <c r="L124" s="7">
        <v>151568.83600000001</v>
      </c>
      <c r="M124" s="8">
        <v>2900125.7450000001</v>
      </c>
      <c r="O124" s="8">
        <v>4315352.1050000004</v>
      </c>
      <c r="T124" s="1"/>
      <c r="Z124" s="1"/>
      <c r="AB124" s="1"/>
    </row>
    <row r="125" spans="1:28" x14ac:dyDescent="0.2">
      <c r="C125" s="1" t="s">
        <v>23</v>
      </c>
      <c r="D125" s="11">
        <v>0.13247792759164523</v>
      </c>
      <c r="E125" s="11">
        <v>9.5907236541606267E-2</v>
      </c>
      <c r="F125" s="11">
        <v>0.14075541571978589</v>
      </c>
      <c r="G125" s="12">
        <v>0.12468141670580501</v>
      </c>
      <c r="H125" s="11"/>
      <c r="I125" s="11">
        <v>6.2661710323485886E-2</v>
      </c>
      <c r="J125" s="11">
        <v>4.4384715282988818E-2</v>
      </c>
      <c r="K125" s="11">
        <v>5.4479740489963291E-2</v>
      </c>
      <c r="L125" s="11">
        <v>9.7765093104189793E-2</v>
      </c>
      <c r="M125" s="12">
        <v>6.108414219897873E-2</v>
      </c>
      <c r="O125" s="12">
        <v>8.1940966188365882E-2</v>
      </c>
      <c r="T125" s="1"/>
      <c r="Z125" s="1"/>
      <c r="AB125" s="1"/>
    </row>
    <row r="126" spans="1:28" x14ac:dyDescent="0.2">
      <c r="T126" s="1"/>
      <c r="Z126" s="1"/>
      <c r="AB126" s="1"/>
    </row>
    <row r="127" spans="1:28" x14ac:dyDescent="0.2">
      <c r="A127" s="1" t="s">
        <v>12</v>
      </c>
      <c r="C127" s="1" t="s">
        <v>21</v>
      </c>
      <c r="D127" s="7">
        <v>1129522.5792550009</v>
      </c>
      <c r="E127" s="7">
        <v>336789.05395980016</v>
      </c>
      <c r="F127" s="7">
        <v>67502.33585630008</v>
      </c>
      <c r="G127" s="8">
        <v>1533813.9690711012</v>
      </c>
      <c r="I127" s="7">
        <v>1897207.7473500001</v>
      </c>
      <c r="J127" s="7">
        <v>301278.90901030018</v>
      </c>
      <c r="K127" s="7">
        <v>617581.76590668084</v>
      </c>
      <c r="L127" s="7">
        <v>158552.82273851911</v>
      </c>
      <c r="M127" s="8">
        <v>2974621.2450055</v>
      </c>
      <c r="O127" s="8">
        <v>4508435.214076601</v>
      </c>
      <c r="T127" s="1"/>
      <c r="Z127" s="1"/>
      <c r="AB127" s="1"/>
    </row>
    <row r="128" spans="1:28" x14ac:dyDescent="0.2">
      <c r="C128" s="1" t="s">
        <v>22</v>
      </c>
      <c r="D128" s="7">
        <v>1007767.2439999999</v>
      </c>
      <c r="E128" s="7">
        <v>307647.25199999998</v>
      </c>
      <c r="F128" s="7">
        <v>54248.656999999999</v>
      </c>
      <c r="G128" s="8">
        <v>1369663.1529999997</v>
      </c>
      <c r="I128" s="7">
        <v>1794971.311</v>
      </c>
      <c r="J128" s="7">
        <v>270153.484</v>
      </c>
      <c r="K128" s="7">
        <v>580474.70700000005</v>
      </c>
      <c r="L128" s="7">
        <v>164539.40599999999</v>
      </c>
      <c r="M128" s="8">
        <v>2810138.9079999998</v>
      </c>
      <c r="O128" s="8">
        <v>4179802.0609999998</v>
      </c>
      <c r="T128" s="1"/>
      <c r="Z128" s="1"/>
      <c r="AB128" s="1"/>
    </row>
    <row r="129" spans="1:28" x14ac:dyDescent="0.2">
      <c r="C129" s="1" t="s">
        <v>23</v>
      </c>
      <c r="D129" s="11">
        <v>0.12081692075219008</v>
      </c>
      <c r="E129" s="11">
        <v>9.4724727005850884E-2</v>
      </c>
      <c r="F129" s="11">
        <v>0.2443134925220376</v>
      </c>
      <c r="G129" s="12">
        <v>0.11984758129147211</v>
      </c>
      <c r="H129" s="11"/>
      <c r="I129" s="11">
        <v>5.6957142280476214E-2</v>
      </c>
      <c r="J129" s="11">
        <v>0.11521385750590651</v>
      </c>
      <c r="K129" s="11">
        <v>6.3925367391900467E-2</v>
      </c>
      <c r="L129" s="11">
        <v>-3.6383887647442159E-2</v>
      </c>
      <c r="M129" s="12">
        <v>5.8531746077479019E-2</v>
      </c>
      <c r="O129" s="12">
        <v>7.8624094701263747E-2</v>
      </c>
      <c r="T129" s="1"/>
      <c r="Z129" s="1"/>
      <c r="AB129" s="1"/>
    </row>
    <row r="130" spans="1:28" x14ac:dyDescent="0.2">
      <c r="T130" s="1"/>
      <c r="Z130" s="1"/>
      <c r="AB130" s="1"/>
    </row>
    <row r="131" spans="1:28" x14ac:dyDescent="0.2">
      <c r="A131" s="1" t="s">
        <v>13</v>
      </c>
      <c r="C131" s="1" t="s">
        <v>21</v>
      </c>
      <c r="D131" s="7">
        <v>1099790.1596929999</v>
      </c>
      <c r="E131" s="7">
        <v>335676.92662540014</v>
      </c>
      <c r="F131" s="7">
        <v>75809.057855299936</v>
      </c>
      <c r="G131" s="8">
        <v>1511276.1441736999</v>
      </c>
      <c r="I131" s="7">
        <v>1991181.5215320014</v>
      </c>
      <c r="J131" s="7">
        <v>304253.30023279955</v>
      </c>
      <c r="K131" s="7">
        <v>642898.82144472864</v>
      </c>
      <c r="L131" s="7">
        <v>160022.27477527136</v>
      </c>
      <c r="M131" s="8">
        <v>3098355.9179848013</v>
      </c>
      <c r="O131" s="8">
        <v>4609632.0621585008</v>
      </c>
      <c r="T131" s="1"/>
      <c r="Z131" s="1"/>
      <c r="AB131" s="1"/>
    </row>
    <row r="132" spans="1:28" x14ac:dyDescent="0.2">
      <c r="C132" s="1" t="s">
        <v>22</v>
      </c>
      <c r="D132" s="7">
        <v>987576.18400000001</v>
      </c>
      <c r="E132" s="7">
        <v>282765.93699999998</v>
      </c>
      <c r="F132" s="7">
        <v>63229.739000000001</v>
      </c>
      <c r="G132" s="8">
        <v>1333571.8600000001</v>
      </c>
      <c r="I132" s="7">
        <v>1837620.2749999999</v>
      </c>
      <c r="J132" s="7">
        <v>299127.43900000001</v>
      </c>
      <c r="K132" s="7">
        <v>624423.147</v>
      </c>
      <c r="L132" s="7">
        <v>152769.63699999999</v>
      </c>
      <c r="M132" s="8">
        <v>2913940.4979999997</v>
      </c>
      <c r="O132" s="8">
        <v>4247512.358</v>
      </c>
      <c r="T132" s="1"/>
      <c r="Z132" s="1"/>
      <c r="AB132" s="1"/>
    </row>
    <row r="133" spans="1:28" x14ac:dyDescent="0.2">
      <c r="C133" s="1" t="s">
        <v>23</v>
      </c>
      <c r="D133" s="11">
        <v>0.11362563973393658</v>
      </c>
      <c r="E133" s="11">
        <v>0.18711938993344934</v>
      </c>
      <c r="F133" s="11">
        <v>0.19894624039646813</v>
      </c>
      <c r="G133" s="12">
        <v>0.13325437458893274</v>
      </c>
      <c r="H133" s="11"/>
      <c r="I133" s="11">
        <v>8.3565276581420767E-2</v>
      </c>
      <c r="J133" s="11">
        <v>1.7136044924315863E-2</v>
      </c>
      <c r="K133" s="11">
        <v>2.9588388152319123E-2</v>
      </c>
      <c r="L133" s="11">
        <v>4.7474340567238427E-2</v>
      </c>
      <c r="M133" s="12">
        <v>6.3287297771308815E-2</v>
      </c>
      <c r="O133" s="12">
        <v>8.5254538100746124E-2</v>
      </c>
      <c r="T133" s="1"/>
      <c r="Z133" s="1"/>
      <c r="AB133" s="1"/>
    </row>
    <row r="134" spans="1:28" x14ac:dyDescent="0.2">
      <c r="T134" s="1"/>
      <c r="Z134" s="1"/>
      <c r="AB134" s="1"/>
    </row>
    <row r="135" spans="1:28" x14ac:dyDescent="0.2">
      <c r="A135" s="1" t="s">
        <v>14</v>
      </c>
      <c r="C135" s="1" t="s">
        <v>21</v>
      </c>
      <c r="D135" s="7">
        <v>1222178.3586240001</v>
      </c>
      <c r="E135" s="7">
        <v>404709.06247420027</v>
      </c>
      <c r="F135" s="7">
        <v>79830.718646299953</v>
      </c>
      <c r="G135" s="8">
        <v>1706718.1397445004</v>
      </c>
      <c r="I135" s="7">
        <v>2351070.2393000019</v>
      </c>
      <c r="J135" s="7">
        <v>444730.48424959998</v>
      </c>
      <c r="K135" s="7">
        <v>640642.7732863531</v>
      </c>
      <c r="L135" s="7">
        <v>162305.75794944644</v>
      </c>
      <c r="M135" s="8">
        <v>3598749.2547854008</v>
      </c>
      <c r="O135" s="8">
        <v>5305467.3945299014</v>
      </c>
      <c r="T135" s="1"/>
      <c r="Z135" s="1"/>
      <c r="AB135" s="1"/>
    </row>
    <row r="136" spans="1:28" x14ac:dyDescent="0.2">
      <c r="C136" s="1" t="s">
        <v>22</v>
      </c>
      <c r="D136" s="7">
        <v>1114565.2409999999</v>
      </c>
      <c r="E136" s="7">
        <v>362115.01699999999</v>
      </c>
      <c r="F136" s="7">
        <v>75280.131999999998</v>
      </c>
      <c r="G136" s="8">
        <v>1551960.39</v>
      </c>
      <c r="I136" s="7">
        <v>2230015.145</v>
      </c>
      <c r="J136" s="7">
        <v>383099.51299999998</v>
      </c>
      <c r="K136" s="7">
        <v>638240.30099999998</v>
      </c>
      <c r="L136" s="7">
        <v>154555.73800000001</v>
      </c>
      <c r="M136" s="8">
        <v>3405910.6969999997</v>
      </c>
      <c r="O136" s="8">
        <v>4957871.0869999994</v>
      </c>
      <c r="T136" s="1"/>
      <c r="Z136" s="1"/>
      <c r="AB136" s="1"/>
    </row>
    <row r="137" spans="1:28" x14ac:dyDescent="0.2">
      <c r="C137" s="1" t="s">
        <v>23</v>
      </c>
      <c r="D137" s="11">
        <v>9.6551654102768003E-2</v>
      </c>
      <c r="E137" s="11">
        <v>0.11762573622899564</v>
      </c>
      <c r="F137" s="11">
        <v>6.0448707054604478E-2</v>
      </c>
      <c r="G137" s="12">
        <v>9.9717589921544558E-2</v>
      </c>
      <c r="H137" s="11"/>
      <c r="I137" s="11">
        <v>5.428442697863467E-2</v>
      </c>
      <c r="J137" s="11">
        <v>0.16087457477295208</v>
      </c>
      <c r="K137" s="11">
        <v>3.7642127621664301E-3</v>
      </c>
      <c r="L137" s="11">
        <v>5.0143851336314826E-2</v>
      </c>
      <c r="M137" s="12">
        <v>5.6618794484323276E-2</v>
      </c>
      <c r="O137" s="12">
        <v>7.0109993065639031E-2</v>
      </c>
      <c r="T137" s="1"/>
      <c r="Z137" s="1"/>
      <c r="AB137" s="1"/>
    </row>
    <row r="138" spans="1:28" x14ac:dyDescent="0.2">
      <c r="T138" s="1"/>
      <c r="Z138" s="1"/>
      <c r="AB138" s="1"/>
    </row>
    <row r="139" spans="1:28" x14ac:dyDescent="0.2">
      <c r="A139" s="1" t="s">
        <v>15</v>
      </c>
      <c r="C139" s="1" t="s">
        <v>21</v>
      </c>
      <c r="D139" s="7">
        <v>1313667.4152689988</v>
      </c>
      <c r="E139" s="7">
        <v>431029.18078189995</v>
      </c>
      <c r="F139" s="7">
        <v>81888.108395650153</v>
      </c>
      <c r="G139" s="8">
        <v>1826584.7044465488</v>
      </c>
      <c r="I139" s="7">
        <v>2464827.9253709987</v>
      </c>
      <c r="J139" s="7">
        <v>425115.48396029987</v>
      </c>
      <c r="K139" s="7">
        <v>655640.4435542603</v>
      </c>
      <c r="L139" s="7">
        <v>171756.63395113993</v>
      </c>
      <c r="M139" s="8">
        <v>3717340.4868366988</v>
      </c>
      <c r="O139" s="8">
        <v>5543925.1912832474</v>
      </c>
      <c r="T139" s="1"/>
      <c r="Z139" s="1"/>
      <c r="AB139" s="1"/>
    </row>
    <row r="140" spans="1:28" x14ac:dyDescent="0.2">
      <c r="C140" s="1" t="s">
        <v>22</v>
      </c>
      <c r="D140" s="7">
        <v>1134034.0390000001</v>
      </c>
      <c r="E140" s="7">
        <v>417964.95899999997</v>
      </c>
      <c r="F140" s="7">
        <v>66796.903999999995</v>
      </c>
      <c r="G140" s="8">
        <v>1618795.9020000002</v>
      </c>
      <c r="I140" s="7">
        <v>2301403.1830000002</v>
      </c>
      <c r="J140" s="7">
        <v>411098.60800000001</v>
      </c>
      <c r="K140" s="7">
        <v>571364.54</v>
      </c>
      <c r="L140" s="7">
        <v>157052.503</v>
      </c>
      <c r="M140" s="8">
        <v>3440918.8340000003</v>
      </c>
      <c r="O140" s="8">
        <v>5059714.7360000005</v>
      </c>
      <c r="T140" s="1"/>
      <c r="Z140" s="1"/>
      <c r="AB140" s="1"/>
    </row>
    <row r="141" spans="1:28" x14ac:dyDescent="0.2">
      <c r="C141" s="1" t="s">
        <v>23</v>
      </c>
      <c r="D141" s="11">
        <v>0.15840210266298604</v>
      </c>
      <c r="E141" s="11">
        <v>3.1256739352401031E-2</v>
      </c>
      <c r="F141" s="11">
        <v>0.22592670456178876</v>
      </c>
      <c r="G141" s="12">
        <v>0.12836009912665847</v>
      </c>
      <c r="H141" s="11"/>
      <c r="I141" s="11">
        <v>7.1010913506240003E-2</v>
      </c>
      <c r="J141" s="11">
        <v>3.4096140652219997E-2</v>
      </c>
      <c r="K141" s="11">
        <v>0.14749935926065749</v>
      </c>
      <c r="L141" s="11">
        <v>9.3625575334765232E-2</v>
      </c>
      <c r="M141" s="12">
        <v>8.0333674280646639E-2</v>
      </c>
      <c r="O141" s="12">
        <v>9.5699161029391133E-2</v>
      </c>
      <c r="T141" s="1"/>
      <c r="Z141" s="1"/>
      <c r="AB141" s="1"/>
    </row>
    <row r="142" spans="1:28" x14ac:dyDescent="0.2">
      <c r="T142" s="1"/>
      <c r="Z142" s="1"/>
      <c r="AB142" s="1"/>
    </row>
    <row r="143" spans="1:28" x14ac:dyDescent="0.2">
      <c r="A143" s="1" t="s">
        <v>16</v>
      </c>
      <c r="C143" s="1" t="s">
        <v>21</v>
      </c>
      <c r="D143" s="7">
        <v>1250009.566131999</v>
      </c>
      <c r="E143" s="7">
        <v>407656.77096859989</v>
      </c>
      <c r="F143" s="7">
        <v>80008.710567100105</v>
      </c>
      <c r="G143" s="8">
        <v>1737675.0476676992</v>
      </c>
      <c r="I143" s="7">
        <v>2433056.4900940009</v>
      </c>
      <c r="J143" s="7">
        <v>348444.7011518004</v>
      </c>
      <c r="K143" s="7">
        <v>665126.20607792202</v>
      </c>
      <c r="L143" s="7">
        <v>170815.09466797824</v>
      </c>
      <c r="M143" s="8">
        <v>3617442.4919917015</v>
      </c>
      <c r="O143" s="8">
        <v>5355117.5396594005</v>
      </c>
      <c r="T143" s="1"/>
      <c r="Z143" s="1"/>
      <c r="AB143" s="1"/>
    </row>
    <row r="144" spans="1:28" x14ac:dyDescent="0.2">
      <c r="C144" s="1" t="s">
        <v>22</v>
      </c>
      <c r="D144" s="7">
        <v>1164054.311</v>
      </c>
      <c r="E144" s="7">
        <v>323055.45199999999</v>
      </c>
      <c r="F144" s="7">
        <v>65156.156000000003</v>
      </c>
      <c r="G144" s="8">
        <v>1552265.919</v>
      </c>
      <c r="I144" s="7">
        <v>2356799.3089999999</v>
      </c>
      <c r="J144" s="7">
        <v>293485.96500000003</v>
      </c>
      <c r="K144" s="7">
        <v>614399.09299999999</v>
      </c>
      <c r="L144" s="7">
        <v>164948.87100000001</v>
      </c>
      <c r="M144" s="8">
        <v>3429633.2379999994</v>
      </c>
      <c r="O144" s="8">
        <v>4981899.1569999997</v>
      </c>
      <c r="T144" s="1"/>
      <c r="Z144" s="1"/>
      <c r="AB144" s="1"/>
    </row>
    <row r="145" spans="1:28" x14ac:dyDescent="0.2">
      <c r="C145" s="1" t="s">
        <v>23</v>
      </c>
      <c r="D145" s="11">
        <v>7.384127554852471E-2</v>
      </c>
      <c r="E145" s="11">
        <v>0.26187862933388883</v>
      </c>
      <c r="F145" s="11">
        <v>0.22795320471484071</v>
      </c>
      <c r="G145" s="12">
        <v>0.11944417924677708</v>
      </c>
      <c r="H145" s="11"/>
      <c r="I145" s="11">
        <v>3.2356247221727807E-2</v>
      </c>
      <c r="J145" s="11">
        <v>0.18726188883274331</v>
      </c>
      <c r="K145" s="11">
        <v>8.2563782492306004E-2</v>
      </c>
      <c r="L145" s="11">
        <v>3.5563890994914527E-2</v>
      </c>
      <c r="M145" s="12">
        <v>5.4760739985487028E-2</v>
      </c>
      <c r="O145" s="12">
        <v>7.49148810318645E-2</v>
      </c>
      <c r="T145" s="1"/>
      <c r="Z145" s="1"/>
      <c r="AB145" s="1"/>
    </row>
    <row r="146" spans="1:28" x14ac:dyDescent="0.2">
      <c r="T146" s="1"/>
      <c r="Z146" s="1"/>
      <c r="AB146" s="1"/>
    </row>
    <row r="147" spans="1:28" x14ac:dyDescent="0.2">
      <c r="A147" s="1" t="s">
        <v>17</v>
      </c>
      <c r="C147" s="1" t="s">
        <v>21</v>
      </c>
      <c r="D147" s="7">
        <v>1074763.9132729999</v>
      </c>
      <c r="E147" s="7">
        <v>353972.20337839978</v>
      </c>
      <c r="F147" s="7">
        <v>66214.561052200021</v>
      </c>
      <c r="G147" s="8">
        <v>1494950.6777035997</v>
      </c>
      <c r="I147" s="7">
        <v>2106493.170494</v>
      </c>
      <c r="J147" s="7">
        <v>303053.3248378</v>
      </c>
      <c r="K147" s="7">
        <v>620353.40897926723</v>
      </c>
      <c r="L147" s="7">
        <v>164666.50238313142</v>
      </c>
      <c r="M147" s="8">
        <v>3194566.406694199</v>
      </c>
      <c r="O147" s="8">
        <v>4689517.0843977984</v>
      </c>
      <c r="T147" s="1"/>
      <c r="Z147" s="1"/>
      <c r="AB147" s="1"/>
    </row>
    <row r="148" spans="1:28" x14ac:dyDescent="0.2">
      <c r="C148" s="1" t="s">
        <v>22</v>
      </c>
      <c r="D148" s="7">
        <v>935244.68200000003</v>
      </c>
      <c r="E148" s="7">
        <v>345943.902</v>
      </c>
      <c r="F148" s="7">
        <v>51691.106</v>
      </c>
      <c r="G148" s="8">
        <v>1332879.69</v>
      </c>
      <c r="I148" s="7">
        <v>1954684.868</v>
      </c>
      <c r="J148" s="7">
        <v>311006.92599999998</v>
      </c>
      <c r="K148" s="7">
        <v>576025.93099999998</v>
      </c>
      <c r="L148" s="7">
        <v>170755.99100000001</v>
      </c>
      <c r="M148" s="8">
        <v>3012473.7159999995</v>
      </c>
      <c r="O148" s="8">
        <v>4345353.4059999995</v>
      </c>
      <c r="T148" s="1"/>
      <c r="Z148" s="1"/>
      <c r="AB148" s="1"/>
    </row>
    <row r="149" spans="1:28" x14ac:dyDescent="0.2">
      <c r="C149" s="1" t="s">
        <v>23</v>
      </c>
      <c r="D149" s="11">
        <v>0.14917939011921577</v>
      </c>
      <c r="E149" s="11">
        <v>2.3206945785099409E-2</v>
      </c>
      <c r="F149" s="11">
        <v>0.28096622757888023</v>
      </c>
      <c r="G149" s="12">
        <v>0.12159461121626047</v>
      </c>
      <c r="H149" s="11"/>
      <c r="I149" s="11">
        <v>7.7663824475874499E-2</v>
      </c>
      <c r="J149" s="11">
        <v>-2.5573710735303568E-2</v>
      </c>
      <c r="K149" s="11">
        <v>7.6953962649412899E-2</v>
      </c>
      <c r="L149" s="11">
        <v>-3.5661932452306089E-2</v>
      </c>
      <c r="M149" s="12">
        <v>6.0446233846642272E-2</v>
      </c>
      <c r="O149" s="12">
        <v>7.9202689917598601E-2</v>
      </c>
      <c r="T149" s="1"/>
      <c r="Z149" s="1"/>
      <c r="AB149" s="1"/>
    </row>
    <row r="150" spans="1:28" x14ac:dyDescent="0.2">
      <c r="T150" s="1"/>
      <c r="Z150" s="1"/>
      <c r="AB150" s="1"/>
    </row>
    <row r="151" spans="1:28" x14ac:dyDescent="0.2">
      <c r="A151" s="1" t="s">
        <v>18</v>
      </c>
      <c r="C151" s="1" t="s">
        <v>21</v>
      </c>
      <c r="D151" s="7">
        <v>1084500.0384980009</v>
      </c>
      <c r="E151" s="7">
        <v>342013.99080119969</v>
      </c>
      <c r="F151" s="7">
        <v>64213.956701999952</v>
      </c>
      <c r="G151" s="8">
        <v>1490727.9860012005</v>
      </c>
      <c r="I151" s="7">
        <v>1982602.221891003</v>
      </c>
      <c r="J151" s="7">
        <v>258347.85971660019</v>
      </c>
      <c r="K151" s="7">
        <v>653451.84936743975</v>
      </c>
      <c r="L151" s="7">
        <v>166548.80343725992</v>
      </c>
      <c r="M151" s="8">
        <v>3060950.7344123027</v>
      </c>
      <c r="O151" s="8">
        <v>4551678.7204135032</v>
      </c>
      <c r="T151" s="1"/>
      <c r="Z151" s="1"/>
      <c r="AB151" s="1"/>
    </row>
    <row r="152" spans="1:28" x14ac:dyDescent="0.2">
      <c r="C152" s="1" t="s">
        <v>22</v>
      </c>
      <c r="D152" s="7">
        <v>988478.70900000003</v>
      </c>
      <c r="E152" s="7">
        <v>307948.23</v>
      </c>
      <c r="F152" s="7">
        <v>52237.315999999999</v>
      </c>
      <c r="G152" s="8">
        <v>1348664.2550000001</v>
      </c>
      <c r="I152" s="7">
        <v>1903130.686</v>
      </c>
      <c r="J152" s="7">
        <v>251249.83900000001</v>
      </c>
      <c r="K152" s="7">
        <v>626946.56599999999</v>
      </c>
      <c r="L152" s="7">
        <v>162581.68100000001</v>
      </c>
      <c r="M152" s="8">
        <v>2943908.7719999999</v>
      </c>
      <c r="O152" s="8">
        <v>4292573.0269999998</v>
      </c>
      <c r="T152" s="1"/>
      <c r="Z152" s="1"/>
      <c r="AB152" s="1"/>
    </row>
    <row r="153" spans="1:28" x14ac:dyDescent="0.2">
      <c r="C153" s="1" t="s">
        <v>23</v>
      </c>
      <c r="D153" s="11">
        <v>9.7140513623344971E-2</v>
      </c>
      <c r="E153" s="11">
        <v>0.11062171327044057</v>
      </c>
      <c r="F153" s="11">
        <v>0.22927366141859107</v>
      </c>
      <c r="G153" s="12">
        <v>0.10533661767524216</v>
      </c>
      <c r="H153" s="11"/>
      <c r="I153" s="11">
        <v>4.1758317742244033E-2</v>
      </c>
      <c r="J153" s="11">
        <v>2.8250846825816911E-2</v>
      </c>
      <c r="K153" s="11">
        <v>4.2276782113261913E-2</v>
      </c>
      <c r="L153" s="11">
        <v>2.4400796035931593E-2</v>
      </c>
      <c r="M153" s="12">
        <v>3.9757333354045521E-2</v>
      </c>
      <c r="O153" s="12">
        <v>6.0361394386011735E-2</v>
      </c>
      <c r="T153" s="1"/>
      <c r="Z153" s="1"/>
      <c r="AB153" s="1"/>
    </row>
    <row r="154" spans="1:28" x14ac:dyDescent="0.2">
      <c r="T154" s="1"/>
      <c r="Z154" s="1"/>
      <c r="AB154" s="1"/>
    </row>
    <row r="155" spans="1:28" x14ac:dyDescent="0.2">
      <c r="A155" s="1" t="s">
        <v>19</v>
      </c>
      <c r="C155" s="1" t="s">
        <v>21</v>
      </c>
      <c r="D155" s="7">
        <v>1245958.7902329997</v>
      </c>
      <c r="E155" s="7">
        <v>383778.94981700066</v>
      </c>
      <c r="F155" s="7">
        <v>72009.530101800017</v>
      </c>
      <c r="G155" s="8">
        <v>1701747.2701518005</v>
      </c>
      <c r="I155" s="7">
        <v>2015496.5467780009</v>
      </c>
      <c r="J155" s="7">
        <v>268155.91433380003</v>
      </c>
      <c r="K155" s="7">
        <v>665987.58769713959</v>
      </c>
      <c r="L155" s="7">
        <v>167878.68443876083</v>
      </c>
      <c r="M155" s="8">
        <v>3117518.7332477011</v>
      </c>
      <c r="O155" s="8">
        <v>4819266.0033995016</v>
      </c>
      <c r="T155" s="1"/>
      <c r="Z155" s="1"/>
      <c r="AB155" s="1"/>
    </row>
    <row r="156" spans="1:28" x14ac:dyDescent="0.2">
      <c r="C156" s="1" t="s">
        <v>22</v>
      </c>
      <c r="D156" s="7">
        <v>1115800.1569999999</v>
      </c>
      <c r="E156" s="7">
        <v>361660.27600000001</v>
      </c>
      <c r="F156" s="7">
        <v>63796.684000000001</v>
      </c>
      <c r="G156" s="8">
        <v>1541257.1169999999</v>
      </c>
      <c r="I156" s="7">
        <v>1967030.226</v>
      </c>
      <c r="J156" s="7">
        <v>243986.432</v>
      </c>
      <c r="K156" s="7">
        <v>637536.59400000004</v>
      </c>
      <c r="L156" s="7">
        <v>157574.611</v>
      </c>
      <c r="M156" s="8">
        <v>3006127.8629999999</v>
      </c>
      <c r="O156" s="8">
        <v>4547384.9799999995</v>
      </c>
      <c r="T156" s="1"/>
      <c r="Z156" s="1"/>
      <c r="AB156" s="1"/>
    </row>
    <row r="157" spans="1:28" x14ac:dyDescent="0.2">
      <c r="C157" s="1" t="s">
        <v>23</v>
      </c>
      <c r="D157" s="11">
        <v>0.11665048836608105</v>
      </c>
      <c r="E157" s="11">
        <v>6.1158704134265163E-2</v>
      </c>
      <c r="F157" s="11">
        <v>0.12873468630125062</v>
      </c>
      <c r="G157" s="12">
        <v>0.10412938333364452</v>
      </c>
      <c r="H157" s="11"/>
      <c r="I157" s="11">
        <v>2.4639337076460821E-2</v>
      </c>
      <c r="J157" s="11">
        <v>9.9060763894444959E-2</v>
      </c>
      <c r="K157" s="11">
        <v>4.4626448057881296E-2</v>
      </c>
      <c r="L157" s="11">
        <v>6.5391711097169125E-2</v>
      </c>
      <c r="M157" s="12">
        <v>3.7054601575242874E-2</v>
      </c>
      <c r="O157" s="12">
        <v>5.9788433263352703E-2</v>
      </c>
      <c r="T157" s="1"/>
      <c r="Z157" s="1"/>
      <c r="AB157" s="1"/>
    </row>
    <row r="158" spans="1:28" x14ac:dyDescent="0.2">
      <c r="T158" s="1"/>
      <c r="Z158" s="1"/>
      <c r="AB158" s="1"/>
    </row>
    <row r="159" spans="1:28" x14ac:dyDescent="0.2">
      <c r="A159" s="1" t="s">
        <v>20</v>
      </c>
      <c r="C159" s="1" t="s">
        <v>21</v>
      </c>
      <c r="D159" s="7">
        <v>1376730.3012939983</v>
      </c>
      <c r="E159" s="7">
        <v>442423.84290589968</v>
      </c>
      <c r="F159" s="7">
        <v>80489.680460499949</v>
      </c>
      <c r="G159" s="8">
        <v>1899643.8246603981</v>
      </c>
      <c r="I159" s="7">
        <v>2216647.9748340021</v>
      </c>
      <c r="J159" s="7">
        <v>257936.0233924003</v>
      </c>
      <c r="K159" s="7">
        <v>714697.47027477494</v>
      </c>
      <c r="L159" s="7">
        <v>179202.59797232458</v>
      </c>
      <c r="M159" s="8">
        <v>3368484.0664735017</v>
      </c>
      <c r="O159" s="8">
        <v>5268127.8911338998</v>
      </c>
      <c r="T159" s="1"/>
      <c r="Z159" s="1"/>
      <c r="AB159" s="1"/>
    </row>
    <row r="160" spans="1:28" x14ac:dyDescent="0.2">
      <c r="C160" s="1" t="s">
        <v>22</v>
      </c>
      <c r="D160" s="7">
        <v>1233405.628</v>
      </c>
      <c r="E160" s="7">
        <v>402043.68099999998</v>
      </c>
      <c r="F160" s="7">
        <v>65521.902000000002</v>
      </c>
      <c r="G160" s="8">
        <v>1700971.2109999999</v>
      </c>
      <c r="I160" s="7">
        <v>2117917.9339999999</v>
      </c>
      <c r="J160" s="7">
        <v>230181.788</v>
      </c>
      <c r="K160" s="7">
        <v>645422.89800000004</v>
      </c>
      <c r="L160" s="7">
        <v>170140.88399999999</v>
      </c>
      <c r="M160" s="8">
        <v>3163663.5040000002</v>
      </c>
      <c r="O160" s="8">
        <v>4864634.7149999999</v>
      </c>
      <c r="T160" s="1"/>
      <c r="Z160" s="1"/>
      <c r="AB160" s="1"/>
    </row>
    <row r="161" spans="1:28" x14ac:dyDescent="0.2">
      <c r="C161" s="1" t="s">
        <v>23</v>
      </c>
      <c r="D161" s="11">
        <v>0.11620238309306474</v>
      </c>
      <c r="E161" s="11">
        <v>0.10043725051333352</v>
      </c>
      <c r="F161" s="11">
        <v>0.228439315764978</v>
      </c>
      <c r="G161" s="12">
        <v>0.11679951569762226</v>
      </c>
      <c r="H161" s="11"/>
      <c r="I161" s="11">
        <v>4.6616556406194665E-2</v>
      </c>
      <c r="J161" s="11">
        <v>0.12057528805189532</v>
      </c>
      <c r="K161" s="11">
        <v>0.10733206474303758</v>
      </c>
      <c r="L161" s="11">
        <v>5.3260061657635305E-2</v>
      </c>
      <c r="M161" s="12">
        <v>6.4741576408026802E-2</v>
      </c>
      <c r="O161" s="12">
        <v>8.2944187955107385E-2</v>
      </c>
      <c r="T161" s="1"/>
      <c r="Z161" s="1"/>
      <c r="AB161" s="1"/>
    </row>
    <row r="162" spans="1:28" x14ac:dyDescent="0.2">
      <c r="T162" s="1"/>
      <c r="Z162" s="1"/>
      <c r="AB162" s="1"/>
    </row>
    <row r="163" spans="1:28" x14ac:dyDescent="0.2">
      <c r="A163" s="1" t="s">
        <v>56</v>
      </c>
      <c r="C163" s="1" t="s">
        <v>21</v>
      </c>
      <c r="D163" s="7">
        <v>14419000.983904997</v>
      </c>
      <c r="E163" s="7">
        <v>4555811.4211793002</v>
      </c>
      <c r="F163" s="7">
        <v>879731.03036935045</v>
      </c>
      <c r="G163" s="8">
        <v>19854543.43545365</v>
      </c>
      <c r="I163" s="7">
        <v>25511232.057713013</v>
      </c>
      <c r="J163" s="7">
        <v>3729135.7807142008</v>
      </c>
      <c r="K163" s="7">
        <v>7867504.0531794485</v>
      </c>
      <c r="L163" s="7">
        <v>1996827.413715648</v>
      </c>
      <c r="M163" s="8">
        <v>39104699.305322304</v>
      </c>
      <c r="O163" s="8">
        <v>58959242.740775958</v>
      </c>
      <c r="T163" s="1"/>
      <c r="Z163" s="1"/>
      <c r="AB163" s="1"/>
    </row>
    <row r="164" spans="1:28" x14ac:dyDescent="0.2">
      <c r="C164" s="1" t="s">
        <v>22</v>
      </c>
      <c r="D164" s="7">
        <v>12862461.485000001</v>
      </c>
      <c r="E164" s="7">
        <v>4108269.9809999997</v>
      </c>
      <c r="F164" s="7">
        <v>738801.45199999993</v>
      </c>
      <c r="G164" s="8">
        <v>17709532.918000001</v>
      </c>
      <c r="I164" s="7">
        <v>24158337.899</v>
      </c>
      <c r="J164" s="7">
        <v>3443398.5080000004</v>
      </c>
      <c r="K164" s="7">
        <v>7390438.1239999998</v>
      </c>
      <c r="L164" s="7">
        <v>1939503.8110000002</v>
      </c>
      <c r="M164" s="8">
        <v>36931678.341999993</v>
      </c>
      <c r="O164" s="8">
        <v>54641211.260000005</v>
      </c>
      <c r="T164" s="1"/>
      <c r="Z164" s="1"/>
      <c r="AB164" s="1"/>
    </row>
    <row r="165" spans="1:28" x14ac:dyDescent="0.2">
      <c r="C165" s="1" t="s">
        <v>23</v>
      </c>
      <c r="D165" s="11">
        <v>0.12101412320808169</v>
      </c>
      <c r="E165" s="11">
        <v>0.10893671600189325</v>
      </c>
      <c r="F165" s="11">
        <v>0.19075433323505497</v>
      </c>
      <c r="G165" s="12">
        <v>0.12112180074910128</v>
      </c>
      <c r="I165" s="11">
        <v>5.6001127410715279E-2</v>
      </c>
      <c r="J165" s="11">
        <v>8.2981180380473196E-2</v>
      </c>
      <c r="K165" s="11">
        <v>6.4551779092799189E-2</v>
      </c>
      <c r="L165" s="11">
        <v>2.955580823844417E-2</v>
      </c>
      <c r="M165" s="12">
        <v>5.8838944258081005E-2</v>
      </c>
      <c r="O165" s="12">
        <v>7.9025178637226912E-2</v>
      </c>
      <c r="T165" s="1"/>
      <c r="Z165" s="1"/>
      <c r="AB165" s="1"/>
    </row>
    <row r="166" spans="1:28" x14ac:dyDescent="0.2">
      <c r="T166" s="1"/>
      <c r="Z166" s="1"/>
      <c r="AB166" s="1"/>
    </row>
    <row r="167" spans="1:28" x14ac:dyDescent="0.2">
      <c r="D167" s="8" t="s">
        <v>7</v>
      </c>
      <c r="E167" s="8"/>
      <c r="F167" s="8"/>
      <c r="H167" s="8"/>
      <c r="I167" s="8" t="s">
        <v>8</v>
      </c>
      <c r="J167" s="8"/>
      <c r="K167" s="8"/>
      <c r="L167" s="8"/>
      <c r="N167" s="4"/>
      <c r="O167" s="4" t="s">
        <v>24</v>
      </c>
      <c r="T167" s="1"/>
      <c r="Z167" s="1"/>
      <c r="AB167" s="1"/>
    </row>
    <row r="168" spans="1:28" x14ac:dyDescent="0.2">
      <c r="D168" s="9" t="s">
        <v>0</v>
      </c>
      <c r="E168" s="9" t="s">
        <v>1</v>
      </c>
      <c r="F168" s="9" t="s">
        <v>2</v>
      </c>
      <c r="G168" s="9" t="s">
        <v>24</v>
      </c>
      <c r="H168" s="9"/>
      <c r="I168" s="9" t="s">
        <v>3</v>
      </c>
      <c r="J168" s="9" t="s">
        <v>4</v>
      </c>
      <c r="K168" s="9" t="s">
        <v>5</v>
      </c>
      <c r="L168" s="9" t="s">
        <v>6</v>
      </c>
      <c r="M168" s="9" t="s">
        <v>24</v>
      </c>
      <c r="N168" s="4"/>
      <c r="O168" s="9" t="s">
        <v>49</v>
      </c>
      <c r="T168" s="1"/>
      <c r="Z168" s="1"/>
      <c r="AB168" s="1"/>
    </row>
    <row r="169" spans="1:28" x14ac:dyDescent="0.2">
      <c r="A169" s="1">
        <v>2014</v>
      </c>
      <c r="D169" s="10"/>
      <c r="E169" s="10"/>
      <c r="F169" s="10"/>
      <c r="G169" s="9"/>
      <c r="H169" s="10"/>
      <c r="I169" s="10"/>
      <c r="J169" s="10"/>
      <c r="K169" s="10"/>
      <c r="L169" s="10"/>
      <c r="M169" s="9"/>
      <c r="O169" s="9"/>
      <c r="T169" s="1"/>
      <c r="Z169" s="1"/>
      <c r="AB169" s="1"/>
    </row>
    <row r="170" spans="1:28" x14ac:dyDescent="0.2">
      <c r="A170" s="1" t="s">
        <v>9</v>
      </c>
      <c r="C170" s="1" t="s">
        <v>21</v>
      </c>
      <c r="D170" s="7">
        <v>1391902.2094614005</v>
      </c>
      <c r="E170" s="7">
        <v>435202.78539155511</v>
      </c>
      <c r="F170" s="7">
        <v>75332.524311699977</v>
      </c>
      <c r="G170" s="8">
        <v>1902437.5191646556</v>
      </c>
      <c r="I170" s="7">
        <v>2241940.0097225211</v>
      </c>
      <c r="J170" s="7">
        <v>293761.72558329994</v>
      </c>
      <c r="K170" s="7">
        <v>723354.48433042492</v>
      </c>
      <c r="L170" s="7">
        <v>186343.6438354</v>
      </c>
      <c r="M170" s="8">
        <v>3445399.8634716459</v>
      </c>
      <c r="O170" s="8">
        <v>5347837.3826363012</v>
      </c>
      <c r="T170" s="1"/>
      <c r="Z170" s="1"/>
      <c r="AB170" s="1"/>
    </row>
    <row r="171" spans="1:28" x14ac:dyDescent="0.2">
      <c r="C171" s="1" t="s">
        <v>22</v>
      </c>
      <c r="D171" s="7">
        <v>1274574.9040000001</v>
      </c>
      <c r="E171" s="7">
        <v>392439.75300000003</v>
      </c>
      <c r="F171" s="7">
        <v>72676.323999999993</v>
      </c>
      <c r="G171" s="8">
        <v>1739690.9810000001</v>
      </c>
      <c r="I171" s="7">
        <v>2083016.0249999999</v>
      </c>
      <c r="J171" s="7">
        <v>268986.05599999998</v>
      </c>
      <c r="K171" s="7">
        <v>655714.76699999999</v>
      </c>
      <c r="L171" s="7">
        <v>181132.53700000001</v>
      </c>
      <c r="M171" s="8">
        <v>3188849.3849999998</v>
      </c>
      <c r="O171" s="8">
        <v>4928540.3660000004</v>
      </c>
      <c r="T171" s="1"/>
      <c r="Z171" s="1"/>
      <c r="AB171" s="1"/>
    </row>
    <row r="172" spans="1:28" x14ac:dyDescent="0.2">
      <c r="C172" s="1" t="s">
        <v>23</v>
      </c>
      <c r="D172" s="11">
        <v>9.2052107014811035E-2</v>
      </c>
      <c r="E172" s="11">
        <v>0.10896712696574107</v>
      </c>
      <c r="F172" s="11">
        <v>3.6548358055368713E-2</v>
      </c>
      <c r="G172" s="12">
        <v>9.3549107250706198E-2</v>
      </c>
      <c r="H172" s="11"/>
      <c r="I172" s="11">
        <v>7.6295133025931161E-2</v>
      </c>
      <c r="J172" s="11">
        <v>9.2107635435570545E-2</v>
      </c>
      <c r="K172" s="11">
        <v>0.10315417729554488</v>
      </c>
      <c r="L172" s="11">
        <v>2.8769579014950697E-2</v>
      </c>
      <c r="M172" s="12">
        <v>8.0452366197798941E-2</v>
      </c>
      <c r="O172" s="12">
        <v>8.5075293190020496E-2</v>
      </c>
      <c r="T172" s="1"/>
      <c r="Z172" s="1"/>
      <c r="AB172" s="1"/>
    </row>
    <row r="173" spans="1:28" x14ac:dyDescent="0.2">
      <c r="T173" s="1"/>
      <c r="Z173" s="1"/>
      <c r="AB173" s="1"/>
    </row>
    <row r="174" spans="1:28" x14ac:dyDescent="0.2">
      <c r="A174" s="1" t="s">
        <v>10</v>
      </c>
      <c r="C174" s="1" t="s">
        <v>21</v>
      </c>
      <c r="D174" s="7">
        <v>1233293.7574666012</v>
      </c>
      <c r="E174" s="7">
        <v>394604.21332581877</v>
      </c>
      <c r="F174" s="7">
        <v>63874.102508999873</v>
      </c>
      <c r="G174" s="8">
        <v>1691772.0733014198</v>
      </c>
      <c r="I174" s="7">
        <v>1946213.984713739</v>
      </c>
      <c r="J174" s="7">
        <v>261547.2503339001</v>
      </c>
      <c r="K174" s="7">
        <v>663978.29072972096</v>
      </c>
      <c r="L174" s="7">
        <v>167434.62730699999</v>
      </c>
      <c r="M174" s="8">
        <v>3039174.1530843605</v>
      </c>
      <c r="O174" s="8">
        <v>4730946.2263857806</v>
      </c>
      <c r="T174" s="1"/>
      <c r="Z174" s="1"/>
      <c r="AB174" s="1"/>
    </row>
    <row r="175" spans="1:28" x14ac:dyDescent="0.2">
      <c r="C175" s="1" t="s">
        <v>22</v>
      </c>
      <c r="D175" s="7">
        <v>1105685.3019999999</v>
      </c>
      <c r="E175" s="7">
        <v>362195.42099999997</v>
      </c>
      <c r="F175" s="7">
        <v>53323.476000000002</v>
      </c>
      <c r="G175" s="8">
        <v>1521204.1989999998</v>
      </c>
      <c r="I175" s="7">
        <v>1778181.71</v>
      </c>
      <c r="J175" s="7">
        <v>244209.22500000001</v>
      </c>
      <c r="K175" s="7">
        <v>618160.46200000006</v>
      </c>
      <c r="L175" s="7">
        <v>185353.60000000001</v>
      </c>
      <c r="M175" s="8">
        <v>2825904.997</v>
      </c>
      <c r="O175" s="8">
        <v>4347109.1959999995</v>
      </c>
      <c r="T175" s="1"/>
      <c r="Z175" s="1"/>
      <c r="AB175" s="1"/>
    </row>
    <row r="176" spans="1:28" x14ac:dyDescent="0.2">
      <c r="C176" s="1" t="s">
        <v>23</v>
      </c>
      <c r="D176" s="11">
        <v>0.11541118909311621</v>
      </c>
      <c r="E176" s="11">
        <v>8.9478746684152011E-2</v>
      </c>
      <c r="F176" s="11">
        <v>0.19786081666918842</v>
      </c>
      <c r="G176" s="12">
        <v>0.11212687580901171</v>
      </c>
      <c r="H176" s="11"/>
      <c r="I176" s="11">
        <v>9.4496683757780309E-2</v>
      </c>
      <c r="J176" s="11">
        <v>7.0996602744634707E-2</v>
      </c>
      <c r="K176" s="11">
        <v>7.4119636479954787E-2</v>
      </c>
      <c r="L176" s="11">
        <v>-9.6674532855040352E-2</v>
      </c>
      <c r="M176" s="12">
        <v>7.5469329758349524E-2</v>
      </c>
      <c r="O176" s="12">
        <v>8.8297075845016559E-2</v>
      </c>
      <c r="T176" s="1"/>
      <c r="Z176" s="1"/>
      <c r="AB176" s="1"/>
    </row>
    <row r="177" spans="1:28" x14ac:dyDescent="0.2">
      <c r="T177" s="1"/>
      <c r="Z177" s="1"/>
      <c r="AB177" s="1"/>
    </row>
    <row r="178" spans="1:28" x14ac:dyDescent="0.2">
      <c r="A178" s="1" t="s">
        <v>11</v>
      </c>
      <c r="C178" s="1" t="s">
        <v>21</v>
      </c>
      <c r="D178" s="7">
        <v>1195290.4249494995</v>
      </c>
      <c r="E178" s="7">
        <v>357801.56769229478</v>
      </c>
      <c r="F178" s="7">
        <v>69874.204424200041</v>
      </c>
      <c r="G178" s="8">
        <v>1622966.1970659944</v>
      </c>
      <c r="I178" s="7">
        <v>2012115.0995251401</v>
      </c>
      <c r="J178" s="7">
        <v>276643.54020180006</v>
      </c>
      <c r="K178" s="7">
        <v>686533.38635413698</v>
      </c>
      <c r="L178" s="7">
        <v>170618.14996799998</v>
      </c>
      <c r="M178" s="8">
        <v>3145910.176049077</v>
      </c>
      <c r="O178" s="8">
        <v>4768876.3731150711</v>
      </c>
      <c r="T178" s="1"/>
      <c r="Z178" s="1"/>
      <c r="AB178" s="1"/>
    </row>
    <row r="179" spans="1:28" x14ac:dyDescent="0.2">
      <c r="C179" s="1" t="s">
        <v>22</v>
      </c>
      <c r="D179" s="7">
        <v>1048888.862</v>
      </c>
      <c r="E179" s="7">
        <v>331692.79800000001</v>
      </c>
      <c r="F179" s="7">
        <v>55248.428</v>
      </c>
      <c r="G179" s="8">
        <v>1435830.088</v>
      </c>
      <c r="I179" s="7">
        <v>1895016.52</v>
      </c>
      <c r="J179" s="7">
        <v>248354.296</v>
      </c>
      <c r="K179" s="7">
        <v>599570.29799999995</v>
      </c>
      <c r="L179" s="7">
        <v>172129.372</v>
      </c>
      <c r="M179" s="8">
        <v>2915070.486</v>
      </c>
      <c r="O179" s="8">
        <v>4350900.574</v>
      </c>
      <c r="T179" s="1"/>
      <c r="Z179" s="1"/>
      <c r="AB179" s="1"/>
    </row>
    <row r="180" spans="1:28" x14ac:dyDescent="0.2">
      <c r="C180" s="1" t="s">
        <v>23</v>
      </c>
      <c r="D180" s="11">
        <v>0.13957776486475804</v>
      </c>
      <c r="E180" s="11">
        <v>7.871370692918922E-2</v>
      </c>
      <c r="F180" s="11">
        <v>0.26472746743491138</v>
      </c>
      <c r="G180" s="12">
        <v>0.13033304611039354</v>
      </c>
      <c r="H180" s="11"/>
      <c r="I180" s="11">
        <v>6.1792906969032613E-2</v>
      </c>
      <c r="J180" s="11">
        <v>0.11390680434132716</v>
      </c>
      <c r="K180" s="11">
        <v>0.1450423555740199</v>
      </c>
      <c r="L180" s="11">
        <v>-8.7795709380733555E-3</v>
      </c>
      <c r="M180" s="12">
        <v>7.9188373371317899E-2</v>
      </c>
      <c r="O180" s="12">
        <v>9.6066502096784356E-2</v>
      </c>
      <c r="T180" s="1"/>
      <c r="Z180" s="1"/>
      <c r="AB180" s="1"/>
    </row>
    <row r="181" spans="1:28" x14ac:dyDescent="0.2">
      <c r="T181" s="1"/>
      <c r="Z181" s="1"/>
      <c r="AB181" s="1"/>
    </row>
    <row r="182" spans="1:28" x14ac:dyDescent="0.2">
      <c r="A182" s="1" t="s">
        <v>12</v>
      </c>
      <c r="C182" s="1" t="s">
        <v>21</v>
      </c>
      <c r="D182" s="7">
        <v>1083920.9818606996</v>
      </c>
      <c r="E182" s="7">
        <v>313189.2354251041</v>
      </c>
      <c r="F182" s="7">
        <v>71026.461615700056</v>
      </c>
      <c r="G182" s="8">
        <v>1468136.6789015038</v>
      </c>
      <c r="I182" s="7">
        <v>1922587.2997041815</v>
      </c>
      <c r="J182" s="7">
        <v>274027.22557980014</v>
      </c>
      <c r="K182" s="7">
        <v>648876.36001856008</v>
      </c>
      <c r="L182" s="7">
        <v>162845.21827450002</v>
      </c>
      <c r="M182" s="8">
        <v>3008336.103577042</v>
      </c>
      <c r="O182" s="8">
        <v>4476472.7824785458</v>
      </c>
      <c r="T182" s="1"/>
      <c r="Z182" s="1"/>
      <c r="AB182" s="1"/>
    </row>
    <row r="183" spans="1:28" x14ac:dyDescent="0.2">
      <c r="C183" s="1" t="s">
        <v>22</v>
      </c>
      <c r="D183" s="7">
        <v>975825.93099999998</v>
      </c>
      <c r="E183" s="7">
        <v>279708.91700000002</v>
      </c>
      <c r="F183" s="7">
        <v>53609.728999999999</v>
      </c>
      <c r="G183" s="8">
        <v>1309144.577</v>
      </c>
      <c r="I183" s="7">
        <v>1848369.277</v>
      </c>
      <c r="J183" s="7">
        <v>267410.70199999999</v>
      </c>
      <c r="K183" s="7">
        <v>558050.44900000002</v>
      </c>
      <c r="L183" s="7">
        <v>154792.81200000001</v>
      </c>
      <c r="M183" s="8">
        <v>2828623.2399999998</v>
      </c>
      <c r="O183" s="8">
        <v>4137767.8169999998</v>
      </c>
      <c r="T183" s="1"/>
      <c r="Z183" s="1"/>
      <c r="AB183" s="1"/>
    </row>
    <row r="184" spans="1:28" x14ac:dyDescent="0.2">
      <c r="C184" s="1" t="s">
        <v>23</v>
      </c>
      <c r="D184" s="11">
        <v>0.11077288215729908</v>
      </c>
      <c r="E184" s="11">
        <v>0.11969700066839151</v>
      </c>
      <c r="F184" s="11">
        <v>0.32488007196790814</v>
      </c>
      <c r="G184" s="12">
        <v>0.1214473211704743</v>
      </c>
      <c r="H184" s="11"/>
      <c r="I184" s="11">
        <v>4.0153244066381211E-2</v>
      </c>
      <c r="J184" s="11">
        <v>2.4742927378426982E-2</v>
      </c>
      <c r="K184" s="11">
        <v>0.16275573504387597</v>
      </c>
      <c r="L184" s="11">
        <v>5.202054391582478E-2</v>
      </c>
      <c r="M184" s="12">
        <v>6.353368700210571E-2</v>
      </c>
      <c r="O184" s="12">
        <v>8.1856928773764936E-2</v>
      </c>
      <c r="T184" s="1"/>
      <c r="Z184" s="1"/>
      <c r="AB184" s="1"/>
    </row>
    <row r="185" spans="1:28" x14ac:dyDescent="0.2">
      <c r="T185" s="1"/>
      <c r="Z185" s="1"/>
      <c r="AB185" s="1"/>
    </row>
    <row r="186" spans="1:28" x14ac:dyDescent="0.2">
      <c r="A186" s="1" t="s">
        <v>13</v>
      </c>
      <c r="C186" s="1" t="s">
        <v>21</v>
      </c>
      <c r="D186" s="7">
        <v>1109843.7985761999</v>
      </c>
      <c r="E186" s="7">
        <v>330248.23223149817</v>
      </c>
      <c r="F186" s="7">
        <v>78323.53330489996</v>
      </c>
      <c r="G186" s="8">
        <v>1518415.5641125981</v>
      </c>
      <c r="I186" s="7">
        <v>2083814.2029145586</v>
      </c>
      <c r="J186" s="7">
        <v>353080.43344169995</v>
      </c>
      <c r="K186" s="7">
        <v>650824.31244654802</v>
      </c>
      <c r="L186" s="7">
        <v>180211.30664240001</v>
      </c>
      <c r="M186" s="8">
        <v>3267930.255445207</v>
      </c>
      <c r="O186" s="8">
        <v>4786345.8195578046</v>
      </c>
      <c r="T186" s="1"/>
      <c r="Z186" s="1"/>
      <c r="AB186" s="1"/>
    </row>
    <row r="187" spans="1:28" x14ac:dyDescent="0.2">
      <c r="C187" s="1" t="s">
        <v>22</v>
      </c>
      <c r="D187" s="7">
        <v>979242.51599999995</v>
      </c>
      <c r="E187" s="7">
        <v>286846.86300000001</v>
      </c>
      <c r="F187" s="7">
        <v>78053.27</v>
      </c>
      <c r="G187" s="8">
        <v>1344142.649</v>
      </c>
      <c r="I187" s="7">
        <v>1934205.9620000001</v>
      </c>
      <c r="J187" s="7">
        <v>304923.00699999998</v>
      </c>
      <c r="K187" s="7">
        <v>676223.99600000004</v>
      </c>
      <c r="L187" s="7">
        <v>160501.29199999999</v>
      </c>
      <c r="M187" s="8">
        <v>3075854.2569999998</v>
      </c>
      <c r="O187" s="8">
        <v>4419996.9059999995</v>
      </c>
      <c r="T187" s="1"/>
      <c r="Z187" s="1"/>
      <c r="AB187" s="1"/>
    </row>
    <row r="188" spans="1:28" x14ac:dyDescent="0.2">
      <c r="C188" s="1" t="s">
        <v>23</v>
      </c>
      <c r="D188" s="11">
        <v>0.13336970203221843</v>
      </c>
      <c r="E188" s="11">
        <v>0.15130501612457281</v>
      </c>
      <c r="F188" s="11">
        <v>3.4625494216957708E-3</v>
      </c>
      <c r="G188" s="12">
        <v>0.12965358642719327</v>
      </c>
      <c r="H188" s="11"/>
      <c r="I188" s="11">
        <v>7.734866082196401E-2</v>
      </c>
      <c r="J188" s="11">
        <v>0.15793306945087271</v>
      </c>
      <c r="K188" s="11">
        <v>-3.7561050337900248E-2</v>
      </c>
      <c r="L188" s="11">
        <v>0.12280284100392191</v>
      </c>
      <c r="M188" s="12">
        <v>6.2446391277506841E-2</v>
      </c>
      <c r="O188" s="12">
        <v>8.2884427602313071E-2</v>
      </c>
      <c r="T188" s="1"/>
      <c r="Z188" s="1"/>
      <c r="AB188" s="1"/>
    </row>
    <row r="189" spans="1:28" x14ac:dyDescent="0.2">
      <c r="T189" s="1"/>
      <c r="Z189" s="1"/>
      <c r="AB189" s="1"/>
    </row>
    <row r="190" spans="1:28" x14ac:dyDescent="0.2">
      <c r="A190" s="1" t="s">
        <v>14</v>
      </c>
      <c r="C190" s="1" t="s">
        <v>21</v>
      </c>
      <c r="D190" s="7">
        <v>1104416.4772266995</v>
      </c>
      <c r="E190" s="7">
        <v>335279.35857748782</v>
      </c>
      <c r="F190" s="7">
        <v>78590.605865200036</v>
      </c>
      <c r="G190" s="8">
        <v>1518286.4416693873</v>
      </c>
      <c r="I190" s="7">
        <v>2186216.76620042</v>
      </c>
      <c r="J190" s="7">
        <v>440943.00624079991</v>
      </c>
      <c r="K190" s="7">
        <v>652034.70154404396</v>
      </c>
      <c r="L190" s="7">
        <v>171533.69062400001</v>
      </c>
      <c r="M190" s="8">
        <v>3450728.1646092641</v>
      </c>
      <c r="O190" s="8">
        <v>4969014.6062786514</v>
      </c>
      <c r="T190" s="1"/>
      <c r="Z190" s="1"/>
      <c r="AB190" s="1"/>
    </row>
    <row r="191" spans="1:28" x14ac:dyDescent="0.2">
      <c r="C191" s="1" t="s">
        <v>22</v>
      </c>
      <c r="D191" s="7">
        <v>991328.60699999996</v>
      </c>
      <c r="E191" s="7">
        <v>316394.21899999998</v>
      </c>
      <c r="F191" s="7">
        <v>68310.642000000007</v>
      </c>
      <c r="G191" s="8">
        <v>1376033.4679999999</v>
      </c>
      <c r="I191" s="7">
        <v>2094384.578</v>
      </c>
      <c r="J191" s="7">
        <v>441406.14199999999</v>
      </c>
      <c r="K191" s="7">
        <v>533021.18700000003</v>
      </c>
      <c r="L191" s="7">
        <v>179048.58900000001</v>
      </c>
      <c r="M191" s="8">
        <v>3247860.4959999998</v>
      </c>
      <c r="O191" s="8">
        <v>4623893.9639999997</v>
      </c>
      <c r="T191" s="1"/>
      <c r="Z191" s="1"/>
      <c r="AB191" s="1"/>
    </row>
    <row r="192" spans="1:28" x14ac:dyDescent="0.2">
      <c r="C192" s="1" t="s">
        <v>23</v>
      </c>
      <c r="D192" s="11">
        <v>0.11407707739710116</v>
      </c>
      <c r="E192" s="11">
        <v>5.9688636654539717E-2</v>
      </c>
      <c r="F192" s="11">
        <v>0.15048846803694249</v>
      </c>
      <c r="G192" s="12">
        <v>0.10337900710812309</v>
      </c>
      <c r="H192" s="11"/>
      <c r="I192" s="11">
        <v>4.3846860392809939E-2</v>
      </c>
      <c r="J192" s="11">
        <v>-1.049228171365324E-3</v>
      </c>
      <c r="K192" s="11">
        <v>0.22328102042976372</v>
      </c>
      <c r="L192" s="11">
        <v>-4.1971279516757276E-2</v>
      </c>
      <c r="M192" s="12">
        <v>6.2461940363236712E-2</v>
      </c>
      <c r="O192" s="12">
        <v>7.4638528687214434E-2</v>
      </c>
      <c r="T192" s="1"/>
      <c r="Z192" s="1"/>
      <c r="AB192" s="1"/>
    </row>
    <row r="193" spans="1:28" x14ac:dyDescent="0.2">
      <c r="T193" s="1"/>
      <c r="Z193" s="1"/>
      <c r="AB193" s="1"/>
    </row>
    <row r="194" spans="1:28" x14ac:dyDescent="0.2">
      <c r="A194" s="1" t="s">
        <v>15</v>
      </c>
      <c r="C194" s="1" t="s">
        <v>21</v>
      </c>
      <c r="D194" s="7">
        <v>1310173.4905823993</v>
      </c>
      <c r="E194" s="7">
        <v>422078.42602856411</v>
      </c>
      <c r="F194" s="7">
        <v>94821.935268500121</v>
      </c>
      <c r="G194" s="8">
        <v>1827073.8518794635</v>
      </c>
      <c r="I194" s="7">
        <v>2677285.0088045779</v>
      </c>
      <c r="J194" s="7">
        <v>495689.58387940016</v>
      </c>
      <c r="K194" s="7">
        <v>700756.52279431501</v>
      </c>
      <c r="L194" s="7">
        <v>178606.87871300001</v>
      </c>
      <c r="M194" s="8">
        <v>4052337.9941912931</v>
      </c>
      <c r="O194" s="8">
        <v>5879411.8460707571</v>
      </c>
      <c r="T194" s="1"/>
      <c r="Z194" s="1"/>
      <c r="AB194" s="1"/>
    </row>
    <row r="195" spans="1:28" x14ac:dyDescent="0.2">
      <c r="C195" s="1" t="s">
        <v>22</v>
      </c>
      <c r="D195" s="7">
        <v>1218195.5090000001</v>
      </c>
      <c r="E195" s="7">
        <v>391412.72899999999</v>
      </c>
      <c r="F195" s="7">
        <v>82327.535000000003</v>
      </c>
      <c r="G195" s="8">
        <v>1691935.773</v>
      </c>
      <c r="I195" s="7">
        <v>2491098.6430000002</v>
      </c>
      <c r="J195" s="7">
        <v>409584.212</v>
      </c>
      <c r="K195" s="7">
        <v>750399.50399999996</v>
      </c>
      <c r="L195" s="7">
        <v>159733.09099999999</v>
      </c>
      <c r="M195" s="8">
        <v>3810815.45</v>
      </c>
      <c r="O195" s="8">
        <v>5502751.2230000002</v>
      </c>
      <c r="T195" s="1"/>
      <c r="Z195" s="1"/>
      <c r="AB195" s="1"/>
    </row>
    <row r="196" spans="1:28" x14ac:dyDescent="0.2">
      <c r="C196" s="1" t="s">
        <v>23</v>
      </c>
      <c r="D196" s="11">
        <v>7.5503464676127896E-2</v>
      </c>
      <c r="E196" s="11">
        <v>7.834619253929298E-2</v>
      </c>
      <c r="F196" s="11">
        <v>0.15176453744789176</v>
      </c>
      <c r="G196" s="12">
        <v>7.9871872819290202E-2</v>
      </c>
      <c r="H196" s="11"/>
      <c r="I196" s="11">
        <v>7.474066365367027E-2</v>
      </c>
      <c r="J196" s="11">
        <v>0.21022629622110567</v>
      </c>
      <c r="K196" s="11">
        <v>-6.6155402477031666E-2</v>
      </c>
      <c r="L196" s="11">
        <v>0.11815828263787886</v>
      </c>
      <c r="M196" s="12">
        <v>6.337817912208088E-2</v>
      </c>
      <c r="O196" s="12">
        <v>6.8449509673709885E-2</v>
      </c>
      <c r="T196" s="1"/>
      <c r="Z196" s="1"/>
      <c r="AB196" s="1"/>
    </row>
    <row r="197" spans="1:28" x14ac:dyDescent="0.2">
      <c r="T197" s="1"/>
      <c r="Z197" s="1"/>
      <c r="AB197" s="1"/>
    </row>
    <row r="198" spans="1:28" x14ac:dyDescent="0.2">
      <c r="A198" s="1" t="s">
        <v>16</v>
      </c>
      <c r="C198" s="1" t="s">
        <v>21</v>
      </c>
      <c r="D198" s="7">
        <v>1275842.9655593478</v>
      </c>
      <c r="E198" s="7">
        <v>408411.66205092933</v>
      </c>
      <c r="F198" s="7">
        <v>91482.466656499964</v>
      </c>
      <c r="G198" s="8">
        <v>1775737.0942667772</v>
      </c>
      <c r="I198" s="7">
        <v>2381506.6391080394</v>
      </c>
      <c r="J198" s="7">
        <v>310924.93007180042</v>
      </c>
      <c r="K198" s="7">
        <v>686249.16172382992</v>
      </c>
      <c r="L198" s="7">
        <v>162885.5922782</v>
      </c>
      <c r="M198" s="8">
        <v>3541566.3231818699</v>
      </c>
      <c r="O198" s="8">
        <v>5317303.4174486473</v>
      </c>
      <c r="T198" s="1"/>
      <c r="Z198" s="1"/>
      <c r="AB198" s="1"/>
    </row>
    <row r="199" spans="1:28" x14ac:dyDescent="0.2">
      <c r="C199" s="1" t="s">
        <v>22</v>
      </c>
      <c r="D199" s="7">
        <v>1121790.307</v>
      </c>
      <c r="E199" s="7">
        <v>386117.26299999998</v>
      </c>
      <c r="F199" s="7">
        <v>69706.11</v>
      </c>
      <c r="G199" s="8">
        <v>1577613.6800000002</v>
      </c>
      <c r="I199" s="7">
        <v>2164575.5380000002</v>
      </c>
      <c r="J199" s="7">
        <v>303971.59600000002</v>
      </c>
      <c r="K199" s="7">
        <v>598590.83200000005</v>
      </c>
      <c r="L199" s="7">
        <v>168451.81299999999</v>
      </c>
      <c r="M199" s="8">
        <v>3235589.7790000001</v>
      </c>
      <c r="O199" s="8">
        <v>4813203.4590000007</v>
      </c>
      <c r="T199" s="1"/>
      <c r="Z199" s="1"/>
      <c r="AB199" s="1"/>
    </row>
    <row r="200" spans="1:28" x14ac:dyDescent="0.2">
      <c r="C200" s="1" t="s">
        <v>23</v>
      </c>
      <c r="D200" s="11">
        <v>0.13732750015582695</v>
      </c>
      <c r="E200" s="11">
        <v>5.773996966027739E-2</v>
      </c>
      <c r="F200" s="11">
        <v>0.31240240857652157</v>
      </c>
      <c r="G200" s="12">
        <v>0.12558423952483544</v>
      </c>
      <c r="H200" s="11"/>
      <c r="I200" s="11">
        <v>0.10021877144027824</v>
      </c>
      <c r="J200" s="11">
        <v>2.2874946749302127E-2</v>
      </c>
      <c r="K200" s="11">
        <v>0.14644114984345413</v>
      </c>
      <c r="L200" s="11">
        <v>-3.3043400499346398E-2</v>
      </c>
      <c r="M200" s="12">
        <v>9.4565926177587301E-2</v>
      </c>
      <c r="O200" s="12">
        <v>0.10473273418476658</v>
      </c>
      <c r="T200" s="1"/>
      <c r="Z200" s="1"/>
      <c r="AB200" s="1"/>
    </row>
    <row r="201" spans="1:28" x14ac:dyDescent="0.2">
      <c r="T201" s="1"/>
      <c r="Z201" s="1"/>
      <c r="AB201" s="1"/>
    </row>
    <row r="202" spans="1:28" x14ac:dyDescent="0.2">
      <c r="A202" s="1" t="s">
        <v>17</v>
      </c>
      <c r="C202" s="1" t="s">
        <v>21</v>
      </c>
      <c r="D202" s="7">
        <v>1143263.5007560023</v>
      </c>
      <c r="E202" s="7">
        <v>365735.72921382048</v>
      </c>
      <c r="F202" s="7">
        <v>71726.961198300021</v>
      </c>
      <c r="G202" s="8">
        <v>1580726.1911681229</v>
      </c>
      <c r="I202" s="7">
        <v>2124907.094237159</v>
      </c>
      <c r="J202" s="7">
        <v>287267.38322430011</v>
      </c>
      <c r="K202" s="7">
        <v>652865.73911292106</v>
      </c>
      <c r="L202" s="7">
        <v>163787.6589176</v>
      </c>
      <c r="M202" s="8">
        <v>3228827.87549198</v>
      </c>
      <c r="O202" s="8">
        <v>4809554.0666601025</v>
      </c>
      <c r="T202" s="1"/>
      <c r="Z202" s="1"/>
      <c r="AB202" s="1"/>
    </row>
    <row r="203" spans="1:28" x14ac:dyDescent="0.2">
      <c r="C203" s="1" t="s">
        <v>22</v>
      </c>
      <c r="D203" s="7">
        <v>1034517.941</v>
      </c>
      <c r="E203" s="7">
        <v>309833.39600000001</v>
      </c>
      <c r="F203" s="7">
        <v>59247.438999999998</v>
      </c>
      <c r="G203" s="8">
        <v>1403598.7760000001</v>
      </c>
      <c r="I203" s="7">
        <v>2033953.923</v>
      </c>
      <c r="J203" s="7">
        <v>263520.59600000002</v>
      </c>
      <c r="K203" s="7">
        <v>592877.84199999995</v>
      </c>
      <c r="L203" s="7">
        <v>157850.19899999999</v>
      </c>
      <c r="M203" s="8">
        <v>3048202.5599999996</v>
      </c>
      <c r="O203" s="8">
        <v>4451801.3359999992</v>
      </c>
      <c r="T203" s="1"/>
      <c r="Z203" s="1"/>
      <c r="AB203" s="1"/>
    </row>
    <row r="204" spans="1:28" x14ac:dyDescent="0.2">
      <c r="C204" s="1" t="s">
        <v>23</v>
      </c>
      <c r="D204" s="11">
        <v>0.10511713276899304</v>
      </c>
      <c r="E204" s="11">
        <v>0.1804270744714056</v>
      </c>
      <c r="F204" s="11">
        <v>0.21063395159240583</v>
      </c>
      <c r="G204" s="12">
        <v>0.1261951906747194</v>
      </c>
      <c r="H204" s="11"/>
      <c r="I204" s="11">
        <v>4.4717419705853967E-2</v>
      </c>
      <c r="J204" s="11">
        <v>9.0113591061778298E-2</v>
      </c>
      <c r="K204" s="11">
        <v>0.10118087211787063</v>
      </c>
      <c r="L204" s="11">
        <v>3.7614522852771337E-2</v>
      </c>
      <c r="M204" s="12">
        <v>5.9256336131408682E-2</v>
      </c>
      <c r="O204" s="12">
        <v>8.0361342220528709E-2</v>
      </c>
      <c r="T204" s="1"/>
      <c r="Z204" s="1"/>
      <c r="AB204" s="1"/>
    </row>
    <row r="205" spans="1:28" x14ac:dyDescent="0.2">
      <c r="T205" s="1"/>
      <c r="Z205" s="1"/>
      <c r="AB205" s="1"/>
    </row>
    <row r="206" spans="1:28" x14ac:dyDescent="0.2">
      <c r="A206" s="1" t="s">
        <v>18</v>
      </c>
      <c r="C206" s="1" t="s">
        <v>21</v>
      </c>
      <c r="D206" s="7">
        <v>1128012.7445282917</v>
      </c>
      <c r="E206" s="7">
        <v>367361.53416467813</v>
      </c>
      <c r="F206" s="7">
        <v>65696.997689699987</v>
      </c>
      <c r="G206" s="8">
        <v>1561071.2763826698</v>
      </c>
      <c r="I206" s="7">
        <v>1937899.4597027197</v>
      </c>
      <c r="J206" s="7">
        <v>264065.69102570001</v>
      </c>
      <c r="K206" s="7">
        <v>681583.11133404693</v>
      </c>
      <c r="L206" s="7">
        <v>167873.61381929999</v>
      </c>
      <c r="M206" s="8">
        <v>3051421.8758817669</v>
      </c>
      <c r="O206" s="8">
        <v>4612493.1522644367</v>
      </c>
      <c r="T206" s="1"/>
      <c r="Z206" s="1"/>
      <c r="AB206" s="1"/>
    </row>
    <row r="207" spans="1:28" x14ac:dyDescent="0.2">
      <c r="C207" s="1" t="s">
        <v>22</v>
      </c>
      <c r="D207" s="7">
        <v>928238.40599999996</v>
      </c>
      <c r="E207" s="7">
        <v>323566.52600000001</v>
      </c>
      <c r="F207" s="7">
        <v>51139.413999999997</v>
      </c>
      <c r="G207" s="8">
        <v>1302944.3460000001</v>
      </c>
      <c r="I207" s="7">
        <v>1829115.085</v>
      </c>
      <c r="J207" s="7">
        <v>250703.66500000001</v>
      </c>
      <c r="K207" s="7">
        <v>642252.23300000001</v>
      </c>
      <c r="L207" s="7">
        <v>164665.57800000001</v>
      </c>
      <c r="M207" s="8">
        <v>2886736.5610000002</v>
      </c>
      <c r="O207" s="8">
        <v>4189680.9070000006</v>
      </c>
      <c r="T207" s="1"/>
      <c r="Z207" s="1"/>
      <c r="AB207" s="1"/>
    </row>
    <row r="208" spans="1:28" x14ac:dyDescent="0.2">
      <c r="C208" s="1" t="s">
        <v>23</v>
      </c>
      <c r="D208" s="11">
        <v>0.2152187813356774</v>
      </c>
      <c r="E208" s="11">
        <v>0.13535086186473477</v>
      </c>
      <c r="F208" s="11">
        <v>0.28466465590904089</v>
      </c>
      <c r="G208" s="12">
        <v>0.19811048044769652</v>
      </c>
      <c r="H208" s="11"/>
      <c r="I208" s="11">
        <v>5.9473772642752998E-2</v>
      </c>
      <c r="J208" s="11">
        <v>5.3298088106131125E-2</v>
      </c>
      <c r="K208" s="11">
        <v>6.123899040464198E-2</v>
      </c>
      <c r="L208" s="11">
        <v>1.9482127705524377E-2</v>
      </c>
      <c r="M208" s="12">
        <v>5.7048958712296871E-2</v>
      </c>
      <c r="O208" s="12">
        <v>0.10091752919846786</v>
      </c>
      <c r="T208" s="1"/>
      <c r="Z208" s="1"/>
      <c r="AB208" s="1"/>
    </row>
    <row r="209" spans="1:28" x14ac:dyDescent="0.2">
      <c r="T209" s="1"/>
      <c r="Z209" s="1"/>
      <c r="AB209" s="1"/>
    </row>
    <row r="210" spans="1:28" x14ac:dyDescent="0.2">
      <c r="A210" s="1" t="s">
        <v>19</v>
      </c>
      <c r="C210" s="1" t="s">
        <v>21</v>
      </c>
      <c r="D210" s="7">
        <v>1230976.6221809003</v>
      </c>
      <c r="E210" s="7">
        <v>408853.67834058648</v>
      </c>
      <c r="F210" s="7">
        <v>69948.06723349994</v>
      </c>
      <c r="G210" s="8">
        <v>1709778.3677549867</v>
      </c>
      <c r="I210" s="7">
        <v>1994374.4919448602</v>
      </c>
      <c r="J210" s="7">
        <v>236264.24484379994</v>
      </c>
      <c r="K210" s="7">
        <v>685711.94137296104</v>
      </c>
      <c r="L210" s="7">
        <v>164190.7487882</v>
      </c>
      <c r="M210" s="8">
        <v>3080541.4269498209</v>
      </c>
      <c r="O210" s="8">
        <v>4790319.7947048079</v>
      </c>
      <c r="T210" s="1"/>
      <c r="Z210" s="1"/>
      <c r="AB210" s="1"/>
    </row>
    <row r="211" spans="1:28" x14ac:dyDescent="0.2">
      <c r="C211" s="1" t="s">
        <v>22</v>
      </c>
      <c r="D211" s="7">
        <v>1078896.1610000001</v>
      </c>
      <c r="E211" s="7">
        <v>366920.38699999999</v>
      </c>
      <c r="F211" s="7">
        <v>54154.34</v>
      </c>
      <c r="G211" s="8">
        <v>1499970.888</v>
      </c>
      <c r="I211" s="7">
        <v>1899050.0819999999</v>
      </c>
      <c r="J211" s="7">
        <v>222077.6</v>
      </c>
      <c r="K211" s="7">
        <v>656984.18999999994</v>
      </c>
      <c r="L211" s="7">
        <v>155741.258</v>
      </c>
      <c r="M211" s="8">
        <v>2933853.13</v>
      </c>
      <c r="O211" s="8">
        <v>4433824.0180000002</v>
      </c>
      <c r="T211" s="1"/>
      <c r="Z211" s="1"/>
      <c r="AB211" s="1"/>
    </row>
    <row r="212" spans="1:28" x14ac:dyDescent="0.2">
      <c r="C212" s="1" t="s">
        <v>23</v>
      </c>
      <c r="D212" s="11">
        <v>0.14095931256251837</v>
      </c>
      <c r="E212" s="11">
        <v>0.11428444105665481</v>
      </c>
      <c r="F212" s="11">
        <v>0.29164287171628245</v>
      </c>
      <c r="G212" s="12">
        <v>0.13987436785172247</v>
      </c>
      <c r="H212" s="11"/>
      <c r="I212" s="11">
        <v>5.0195837828809875E-2</v>
      </c>
      <c r="J212" s="11">
        <v>6.3881475861590431E-2</v>
      </c>
      <c r="K212" s="11">
        <v>4.3726701205642593E-2</v>
      </c>
      <c r="L212" s="11">
        <v>5.4253387295741584E-2</v>
      </c>
      <c r="M212" s="12">
        <v>4.9998514053026577E-2</v>
      </c>
      <c r="O212" s="12">
        <v>8.0403682071625182E-2</v>
      </c>
      <c r="T212" s="1"/>
      <c r="Z212" s="1"/>
      <c r="AB212" s="1"/>
    </row>
    <row r="213" spans="1:28" x14ac:dyDescent="0.2">
      <c r="T213" s="1"/>
      <c r="Z213" s="1"/>
      <c r="AB213" s="1"/>
    </row>
    <row r="214" spans="1:28" x14ac:dyDescent="0.2">
      <c r="A214" s="1" t="s">
        <v>20</v>
      </c>
      <c r="C214" s="1" t="s">
        <v>21</v>
      </c>
      <c r="D214" s="7">
        <v>1329128.9222191009</v>
      </c>
      <c r="E214" s="7">
        <v>438407.66628479568</v>
      </c>
      <c r="F214" s="7">
        <v>76575.939211899997</v>
      </c>
      <c r="G214" s="8">
        <v>1844112.5277157966</v>
      </c>
      <c r="I214" s="7">
        <v>2196513.6459806585</v>
      </c>
      <c r="J214" s="7">
        <v>289765.43312870013</v>
      </c>
      <c r="K214" s="7">
        <v>731628.8510488451</v>
      </c>
      <c r="L214" s="7">
        <v>176076.97740870001</v>
      </c>
      <c r="M214" s="8">
        <v>3393984.9075669036</v>
      </c>
      <c r="O214" s="8">
        <v>5238097.4352826998</v>
      </c>
      <c r="T214" s="1"/>
      <c r="Z214" s="1"/>
      <c r="AB214" s="1"/>
    </row>
    <row r="215" spans="1:28" x14ac:dyDescent="0.2">
      <c r="C215" s="1" t="s">
        <v>22</v>
      </c>
      <c r="D215" s="7">
        <v>1201551.2009999999</v>
      </c>
      <c r="E215" s="7">
        <v>370517.85100000002</v>
      </c>
      <c r="F215" s="7">
        <v>56350.728999999999</v>
      </c>
      <c r="G215" s="8">
        <v>1628419.781</v>
      </c>
      <c r="I215" s="7">
        <v>2054334.5379999999</v>
      </c>
      <c r="J215" s="7">
        <v>270026.98599999998</v>
      </c>
      <c r="K215" s="7">
        <v>680911.65700000001</v>
      </c>
      <c r="L215" s="7">
        <v>166113.818</v>
      </c>
      <c r="M215" s="8">
        <v>3171386.9989999998</v>
      </c>
      <c r="O215" s="8">
        <v>4799806.7799999993</v>
      </c>
      <c r="T215" s="1"/>
      <c r="Z215" s="1"/>
      <c r="AB215" s="1"/>
    </row>
    <row r="216" spans="1:28" x14ac:dyDescent="0.2">
      <c r="C216" s="1" t="s">
        <v>23</v>
      </c>
      <c r="D216" s="11">
        <v>0.10617751545911935</v>
      </c>
      <c r="E216" s="11">
        <v>0.18322953968767264</v>
      </c>
      <c r="F216" s="11">
        <v>0.3589165672000445</v>
      </c>
      <c r="G216" s="12">
        <v>0.13245524847612788</v>
      </c>
      <c r="H216" s="11"/>
      <c r="I216" s="11">
        <v>6.920932562379889E-2</v>
      </c>
      <c r="J216" s="11">
        <v>7.3098053720823897E-2</v>
      </c>
      <c r="K216" s="11">
        <v>7.4484249942639913E-2</v>
      </c>
      <c r="L216" s="11">
        <v>5.9977908693303439E-2</v>
      </c>
      <c r="M216" s="12">
        <v>7.0189449801330905E-2</v>
      </c>
      <c r="O216" s="12">
        <v>9.1314228962087629E-2</v>
      </c>
      <c r="T216" s="1"/>
      <c r="Z216" s="1"/>
      <c r="AB216" s="1"/>
    </row>
    <row r="217" spans="1:28" x14ac:dyDescent="0.2">
      <c r="T217" s="1"/>
      <c r="Z217" s="1"/>
      <c r="AB217" s="1"/>
    </row>
    <row r="218" spans="1:28" x14ac:dyDescent="0.2">
      <c r="A218" s="1" t="s">
        <v>53</v>
      </c>
      <c r="C218" s="1" t="s">
        <v>21</v>
      </c>
      <c r="D218" s="7">
        <v>14536065.895367146</v>
      </c>
      <c r="E218" s="7">
        <v>4577174.0887271333</v>
      </c>
      <c r="F218" s="7">
        <v>907273.79928909999</v>
      </c>
      <c r="G218" s="8">
        <v>20020513.783383377</v>
      </c>
      <c r="I218" s="7">
        <v>25705373.702558577</v>
      </c>
      <c r="J218" s="7">
        <v>3783980.4475550009</v>
      </c>
      <c r="K218" s="7">
        <v>8164396.8628103537</v>
      </c>
      <c r="L218" s="7">
        <v>2052408.1065763</v>
      </c>
      <c r="M218" s="8">
        <v>39706159.119500235</v>
      </c>
      <c r="O218" s="8">
        <v>59726672.902883604</v>
      </c>
      <c r="T218" s="1"/>
      <c r="Z218" s="1"/>
      <c r="AB218" s="1"/>
    </row>
    <row r="219" spans="1:28" x14ac:dyDescent="0.2">
      <c r="C219" s="1" t="s">
        <v>22</v>
      </c>
      <c r="D219" s="7">
        <v>12958735.646999998</v>
      </c>
      <c r="E219" s="7">
        <v>4117646.1229999997</v>
      </c>
      <c r="F219" s="7">
        <v>754147.43599999999</v>
      </c>
      <c r="G219" s="8">
        <v>17830529.206</v>
      </c>
      <c r="I219" s="7">
        <v>24105301.880999997</v>
      </c>
      <c r="J219" s="7">
        <v>3495174.0829999996</v>
      </c>
      <c r="K219" s="7">
        <v>7562757.4169999994</v>
      </c>
      <c r="L219" s="7">
        <v>2005513.959</v>
      </c>
      <c r="M219" s="8">
        <v>37168747.339999996</v>
      </c>
      <c r="O219" s="8">
        <v>54999276.546000004</v>
      </c>
      <c r="T219" s="1"/>
      <c r="Z219" s="1"/>
      <c r="AB219" s="1"/>
    </row>
    <row r="220" spans="1:28" x14ac:dyDescent="0.2">
      <c r="C220" s="1" t="s">
        <v>23</v>
      </c>
      <c r="D220" s="11">
        <v>0.12171945561157482</v>
      </c>
      <c r="E220" s="11">
        <v>0.11159967418286421</v>
      </c>
      <c r="F220" s="11">
        <v>0.20304565921656192</v>
      </c>
      <c r="G220" s="12">
        <v>0.12282218615510554</v>
      </c>
      <c r="I220" s="11">
        <v>6.6378418717077725E-2</v>
      </c>
      <c r="J220" s="11">
        <v>8.2630037216089525E-2</v>
      </c>
      <c r="K220" s="11">
        <v>7.9552921327075143E-2</v>
      </c>
      <c r="L220" s="11">
        <v>2.3382608416090189E-2</v>
      </c>
      <c r="M220" s="12">
        <v>6.8267347196001582E-2</v>
      </c>
      <c r="O220" s="12">
        <v>8.5953791645417832E-2</v>
      </c>
      <c r="T220" s="1"/>
      <c r="Z220" s="1"/>
      <c r="AB220" s="1"/>
    </row>
    <row r="221" spans="1:28" x14ac:dyDescent="0.2">
      <c r="T221" s="1"/>
      <c r="Z221" s="1"/>
      <c r="AB221" s="1"/>
    </row>
    <row r="222" spans="1:28" x14ac:dyDescent="0.2">
      <c r="D222" s="8" t="s">
        <v>7</v>
      </c>
      <c r="E222" s="8"/>
      <c r="F222" s="8"/>
      <c r="H222" s="8"/>
      <c r="I222" s="8" t="s">
        <v>8</v>
      </c>
      <c r="J222" s="8"/>
      <c r="K222" s="8"/>
      <c r="L222" s="8"/>
      <c r="N222" s="4"/>
      <c r="O222" s="4" t="s">
        <v>24</v>
      </c>
      <c r="T222" s="1"/>
      <c r="Z222" s="1"/>
      <c r="AB222" s="1"/>
    </row>
    <row r="223" spans="1:28" x14ac:dyDescent="0.2">
      <c r="D223" s="9" t="s">
        <v>0</v>
      </c>
      <c r="E223" s="9" t="s">
        <v>1</v>
      </c>
      <c r="F223" s="9" t="s">
        <v>2</v>
      </c>
      <c r="G223" s="9" t="s">
        <v>24</v>
      </c>
      <c r="H223" s="9"/>
      <c r="I223" s="9" t="s">
        <v>3</v>
      </c>
      <c r="J223" s="9" t="s">
        <v>4</v>
      </c>
      <c r="K223" s="9" t="s">
        <v>5</v>
      </c>
      <c r="L223" s="9" t="s">
        <v>6</v>
      </c>
      <c r="M223" s="9" t="s">
        <v>24</v>
      </c>
      <c r="N223" s="4"/>
      <c r="O223" s="9" t="s">
        <v>49</v>
      </c>
      <c r="T223" s="1"/>
      <c r="Z223" s="1"/>
      <c r="AB223" s="1"/>
    </row>
    <row r="224" spans="1:28" x14ac:dyDescent="0.2">
      <c r="A224" s="1">
        <v>2013</v>
      </c>
      <c r="D224" s="10"/>
      <c r="E224" s="10"/>
      <c r="F224" s="10"/>
      <c r="G224" s="9"/>
      <c r="H224" s="10"/>
      <c r="I224" s="10"/>
      <c r="J224" s="10"/>
      <c r="K224" s="10"/>
      <c r="L224" s="10"/>
      <c r="M224" s="9"/>
      <c r="O224" s="9"/>
      <c r="T224" s="1"/>
      <c r="Z224" s="1"/>
      <c r="AB224" s="1"/>
    </row>
    <row r="225" spans="1:28" x14ac:dyDescent="0.2">
      <c r="A225" s="1" t="s">
        <v>9</v>
      </c>
      <c r="C225" s="1" t="s">
        <v>21</v>
      </c>
      <c r="D225" s="7">
        <v>1462136.5018388005</v>
      </c>
      <c r="E225" s="7">
        <v>465313.32286954048</v>
      </c>
      <c r="F225" s="7">
        <v>88949.414081800045</v>
      </c>
      <c r="G225" s="8">
        <v>2016399.238790141</v>
      </c>
      <c r="I225" s="7">
        <v>2301609.9115005322</v>
      </c>
      <c r="J225" s="7">
        <v>313221.43323780003</v>
      </c>
      <c r="K225" s="7">
        <v>720990.99805105699</v>
      </c>
      <c r="L225" s="7">
        <v>177977.78328450001</v>
      </c>
      <c r="M225" s="8">
        <v>3513800.1260738894</v>
      </c>
      <c r="O225" s="8">
        <v>5530199.3648640309</v>
      </c>
      <c r="T225" s="1"/>
      <c r="Z225" s="1"/>
      <c r="AB225" s="1"/>
    </row>
    <row r="226" spans="1:28" x14ac:dyDescent="0.2">
      <c r="C226" s="1" t="s">
        <v>22</v>
      </c>
      <c r="D226" s="7">
        <v>1315179.4469999999</v>
      </c>
      <c r="E226" s="7">
        <v>403209.592</v>
      </c>
      <c r="F226" s="7">
        <v>85267.763999999996</v>
      </c>
      <c r="G226" s="8">
        <v>1803656.8029999998</v>
      </c>
      <c r="I226" s="7">
        <v>2184618.8769999999</v>
      </c>
      <c r="J226" s="7">
        <v>301247.826</v>
      </c>
      <c r="K226" s="7">
        <v>662131.73100000003</v>
      </c>
      <c r="L226" s="7">
        <v>149014.503</v>
      </c>
      <c r="M226" s="8">
        <v>3297012.9369999999</v>
      </c>
      <c r="O226" s="8">
        <v>5100669.74</v>
      </c>
      <c r="T226" s="1"/>
      <c r="Z226" s="1"/>
      <c r="AB226" s="1"/>
    </row>
    <row r="227" spans="1:28" x14ac:dyDescent="0.2">
      <c r="C227" s="1" t="s">
        <v>23</v>
      </c>
      <c r="D227" s="11">
        <v>0.11173916622101876</v>
      </c>
      <c r="E227" s="11">
        <v>0.15402344612263219</v>
      </c>
      <c r="F227" s="11">
        <v>4.3177514093134306E-2</v>
      </c>
      <c r="G227" s="12">
        <v>0.11795061867440038</v>
      </c>
      <c r="H227" s="11"/>
      <c r="I227" s="11">
        <v>5.3552148492458596E-2</v>
      </c>
      <c r="J227" s="11">
        <v>3.9746700903328769E-2</v>
      </c>
      <c r="K227" s="11">
        <v>8.8893590648742027E-2</v>
      </c>
      <c r="L227" s="11">
        <v>0.19436551276153313</v>
      </c>
      <c r="M227" s="12">
        <v>6.5752604923396962E-2</v>
      </c>
      <c r="O227" s="12">
        <v>8.4210436424772439E-2</v>
      </c>
      <c r="T227" s="1"/>
      <c r="Z227" s="1"/>
      <c r="AB227" s="1"/>
    </row>
    <row r="228" spans="1:28" x14ac:dyDescent="0.2">
      <c r="T228" s="1"/>
      <c r="Z228" s="1"/>
      <c r="AB228" s="1"/>
    </row>
    <row r="229" spans="1:28" x14ac:dyDescent="0.2">
      <c r="A229" s="1" t="s">
        <v>10</v>
      </c>
      <c r="C229" s="1" t="s">
        <v>21</v>
      </c>
      <c r="D229" s="7">
        <v>1195740.5553839989</v>
      </c>
      <c r="E229" s="7">
        <v>362258.70255637803</v>
      </c>
      <c r="F229" s="7">
        <v>71598.484197499987</v>
      </c>
      <c r="G229" s="8">
        <v>1629597.7421378768</v>
      </c>
      <c r="I229" s="7">
        <v>1958995.1554636715</v>
      </c>
      <c r="J229" s="7">
        <v>265786.99511560012</v>
      </c>
      <c r="K229" s="7">
        <v>657041.56096512603</v>
      </c>
      <c r="L229" s="7">
        <v>170059.2865591</v>
      </c>
      <c r="M229" s="8">
        <v>3051882.9981034975</v>
      </c>
      <c r="O229" s="8">
        <v>4681480.7402413748</v>
      </c>
      <c r="T229" s="1"/>
      <c r="Z229" s="1"/>
      <c r="AB229" s="1"/>
    </row>
    <row r="230" spans="1:28" x14ac:dyDescent="0.2">
      <c r="C230" s="1" t="s">
        <v>22</v>
      </c>
      <c r="D230" s="7">
        <v>1046375.697</v>
      </c>
      <c r="E230" s="7">
        <v>327558.65299999999</v>
      </c>
      <c r="F230" s="7">
        <v>59526.648999999998</v>
      </c>
      <c r="G230" s="8">
        <v>1433460.9990000001</v>
      </c>
      <c r="I230" s="7">
        <v>1855635.5090000001</v>
      </c>
      <c r="J230" s="7">
        <v>252826.35800000001</v>
      </c>
      <c r="K230" s="7">
        <v>566011.69299999997</v>
      </c>
      <c r="L230" s="7">
        <v>158261.23300000001</v>
      </c>
      <c r="M230" s="8">
        <v>2832734.7930000001</v>
      </c>
      <c r="O230" s="8">
        <v>4266195.7920000004</v>
      </c>
      <c r="T230" s="1"/>
      <c r="Z230" s="1"/>
      <c r="AB230" s="1"/>
    </row>
    <row r="231" spans="1:28" x14ac:dyDescent="0.2">
      <c r="C231" s="1" t="s">
        <v>23</v>
      </c>
      <c r="D231" s="11">
        <v>0.14274496131000913</v>
      </c>
      <c r="E231" s="11">
        <v>0.10593537749215876</v>
      </c>
      <c r="F231" s="11">
        <v>0.20279715724464831</v>
      </c>
      <c r="G231" s="12">
        <v>0.13682740114638925</v>
      </c>
      <c r="H231" s="11"/>
      <c r="I231" s="11">
        <v>5.5700403426409917E-2</v>
      </c>
      <c r="J231" s="11">
        <v>5.1262998123004611E-2</v>
      </c>
      <c r="K231" s="11">
        <v>0.16082683289217159</v>
      </c>
      <c r="L231" s="11">
        <v>7.4547969426599803E-2</v>
      </c>
      <c r="M231" s="12">
        <v>7.7362768179017882E-2</v>
      </c>
      <c r="O231" s="12">
        <v>9.734315265607818E-2</v>
      </c>
      <c r="T231" s="1"/>
      <c r="Z231" s="1"/>
      <c r="AB231" s="1"/>
    </row>
    <row r="232" spans="1:28" x14ac:dyDescent="0.2">
      <c r="T232" s="1"/>
      <c r="Z232" s="1"/>
      <c r="AB232" s="1"/>
    </row>
    <row r="233" spans="1:28" x14ac:dyDescent="0.2">
      <c r="A233" s="1" t="s">
        <v>11</v>
      </c>
      <c r="C233" s="1" t="s">
        <v>21</v>
      </c>
      <c r="D233" s="7">
        <v>1195820.5492334997</v>
      </c>
      <c r="E233" s="7">
        <v>355169.62765928573</v>
      </c>
      <c r="F233" s="7">
        <v>69782.583631800007</v>
      </c>
      <c r="G233" s="8">
        <v>1620772.7605245854</v>
      </c>
      <c r="I233" s="7">
        <v>2002423.945246537</v>
      </c>
      <c r="J233" s="7">
        <v>262853.74524599995</v>
      </c>
      <c r="K233" s="7">
        <v>689010.82130696997</v>
      </c>
      <c r="L233" s="7">
        <v>186997.80192269999</v>
      </c>
      <c r="M233" s="8">
        <v>3141286.3137222067</v>
      </c>
      <c r="O233" s="8">
        <v>4762059.0742467921</v>
      </c>
      <c r="T233" s="1"/>
      <c r="Z233" s="1"/>
      <c r="AB233" s="1"/>
    </row>
    <row r="234" spans="1:28" x14ac:dyDescent="0.2">
      <c r="C234" s="1" t="s">
        <v>22</v>
      </c>
      <c r="D234" s="7">
        <v>1059688.03</v>
      </c>
      <c r="E234" s="7">
        <v>307672.19199999998</v>
      </c>
      <c r="F234" s="7">
        <v>59092.538</v>
      </c>
      <c r="G234" s="8">
        <v>1426452.76</v>
      </c>
      <c r="I234" s="7">
        <v>1852861.6629999999</v>
      </c>
      <c r="J234" s="7">
        <v>252238.01300000001</v>
      </c>
      <c r="K234" s="7">
        <v>663658.36800000002</v>
      </c>
      <c r="L234" s="7">
        <v>169750.90400000001</v>
      </c>
      <c r="M234" s="8">
        <v>2938508.9479999999</v>
      </c>
      <c r="O234" s="8">
        <v>4364961.7079999996</v>
      </c>
      <c r="T234" s="1"/>
      <c r="Z234" s="1"/>
      <c r="AB234" s="1"/>
    </row>
    <row r="235" spans="1:28" x14ac:dyDescent="0.2">
      <c r="C235" s="1" t="s">
        <v>23</v>
      </c>
      <c r="D235" s="11">
        <v>0.12846471355678113</v>
      </c>
      <c r="E235" s="11">
        <v>0.15437675842763765</v>
      </c>
      <c r="F235" s="11">
        <v>0.18090347772505577</v>
      </c>
      <c r="G235" s="12">
        <v>0.13622603283727774</v>
      </c>
      <c r="H235" s="11"/>
      <c r="I235" s="11">
        <v>8.0719616166259334E-2</v>
      </c>
      <c r="J235" s="11">
        <v>4.2086171389242422E-2</v>
      </c>
      <c r="K235" s="11">
        <v>3.8201060258415964E-2</v>
      </c>
      <c r="L235" s="11">
        <v>0.10160121399235655</v>
      </c>
      <c r="M235" s="12">
        <v>6.9006890675020971E-2</v>
      </c>
      <c r="O235" s="12">
        <v>9.0973848755420139E-2</v>
      </c>
      <c r="T235" s="1"/>
      <c r="Z235" s="1"/>
      <c r="AB235" s="1"/>
    </row>
    <row r="236" spans="1:28" x14ac:dyDescent="0.2">
      <c r="T236" s="1"/>
      <c r="Z236" s="1"/>
      <c r="AB236" s="1"/>
    </row>
    <row r="237" spans="1:28" x14ac:dyDescent="0.2">
      <c r="A237" s="1" t="s">
        <v>12</v>
      </c>
      <c r="C237" s="1" t="s">
        <v>21</v>
      </c>
      <c r="D237" s="7">
        <v>1084803.2940392005</v>
      </c>
      <c r="E237" s="7">
        <v>321570.220860067</v>
      </c>
      <c r="F237" s="7">
        <v>68392.414068700018</v>
      </c>
      <c r="G237" s="8">
        <v>1474765.9289679676</v>
      </c>
      <c r="I237" s="7">
        <v>1863136.3669988008</v>
      </c>
      <c r="J237" s="7">
        <v>271528.63041870005</v>
      </c>
      <c r="K237" s="7">
        <v>656441.98284809501</v>
      </c>
      <c r="L237" s="7">
        <v>165532.8262985</v>
      </c>
      <c r="M237" s="8">
        <v>2956639.8065640959</v>
      </c>
      <c r="O237" s="8">
        <v>4431405.735532064</v>
      </c>
      <c r="T237" s="1"/>
      <c r="Z237" s="1"/>
      <c r="AB237" s="1"/>
    </row>
    <row r="238" spans="1:28" x14ac:dyDescent="0.2">
      <c r="C238" s="1" t="s">
        <v>22</v>
      </c>
      <c r="D238" s="7">
        <v>982806.38800000004</v>
      </c>
      <c r="E238" s="7">
        <v>281886.96600000001</v>
      </c>
      <c r="F238" s="7">
        <v>55357.381999999998</v>
      </c>
      <c r="G238" s="8">
        <v>1320050.736</v>
      </c>
      <c r="I238" s="7">
        <v>1787471.3160000001</v>
      </c>
      <c r="J238" s="7">
        <v>238013.25200000001</v>
      </c>
      <c r="K238" s="7">
        <v>601438.60199999996</v>
      </c>
      <c r="L238" s="7">
        <v>185114.58900000001</v>
      </c>
      <c r="M238" s="8">
        <v>2812037.7590000001</v>
      </c>
      <c r="O238" s="8">
        <v>4132088.4950000001</v>
      </c>
      <c r="T238" s="1"/>
      <c r="Z238" s="1"/>
      <c r="AB238" s="1"/>
    </row>
    <row r="239" spans="1:28" x14ac:dyDescent="0.2">
      <c r="C239" s="1" t="s">
        <v>23</v>
      </c>
      <c r="D239" s="11">
        <v>0.10378128111963436</v>
      </c>
      <c r="E239" s="11">
        <v>0.14077718960608832</v>
      </c>
      <c r="F239" s="11">
        <v>0.23547052981479544</v>
      </c>
      <c r="G239" s="12">
        <v>0.11720397462659915</v>
      </c>
      <c r="H239" s="11"/>
      <c r="I239" s="11">
        <v>4.2330777742561887E-2</v>
      </c>
      <c r="J239" s="11">
        <v>0.14081307715883007</v>
      </c>
      <c r="K239" s="11">
        <v>9.1453027233684425E-2</v>
      </c>
      <c r="L239" s="11">
        <v>-0.10578184467945961</v>
      </c>
      <c r="M239" s="12">
        <v>5.142251276722476E-2</v>
      </c>
      <c r="O239" s="12">
        <v>7.2437277394772792E-2</v>
      </c>
      <c r="T239" s="1"/>
      <c r="Z239" s="1"/>
      <c r="AB239" s="1"/>
    </row>
    <row r="240" spans="1:28" x14ac:dyDescent="0.2">
      <c r="T240" s="1"/>
      <c r="Z240" s="1"/>
      <c r="AB240" s="1"/>
    </row>
    <row r="241" spans="1:28" x14ac:dyDescent="0.2">
      <c r="A241" s="1" t="s">
        <v>13</v>
      </c>
      <c r="C241" s="1" t="s">
        <v>21</v>
      </c>
      <c r="D241" s="7">
        <v>1101742.3143727006</v>
      </c>
      <c r="E241" s="7">
        <v>334791.77377991646</v>
      </c>
      <c r="F241" s="7">
        <v>78908.548242500037</v>
      </c>
      <c r="G241" s="8">
        <v>1515442.6363951173</v>
      </c>
      <c r="I241" s="7">
        <v>1989009.0236021804</v>
      </c>
      <c r="J241" s="7">
        <v>360691.58344850002</v>
      </c>
      <c r="K241" s="7">
        <v>668826.13801929005</v>
      </c>
      <c r="L241" s="7">
        <v>168929.25699630001</v>
      </c>
      <c r="M241" s="8">
        <v>3187456.0020662704</v>
      </c>
      <c r="O241" s="8">
        <v>4702898.6384613877</v>
      </c>
      <c r="T241" s="1"/>
      <c r="Z241" s="1"/>
      <c r="AB241" s="1"/>
    </row>
    <row r="242" spans="1:28" x14ac:dyDescent="0.2">
      <c r="C242" s="1" t="s">
        <v>22</v>
      </c>
      <c r="D242" s="7">
        <v>994042.08</v>
      </c>
      <c r="E242" s="7">
        <v>312885.19699999999</v>
      </c>
      <c r="F242" s="7">
        <v>57786.322999999997</v>
      </c>
      <c r="G242" s="8">
        <v>1364713.6</v>
      </c>
      <c r="I242" s="7">
        <v>1915852.9779999999</v>
      </c>
      <c r="J242" s="7">
        <v>318904.533</v>
      </c>
      <c r="K242" s="7">
        <v>625226.91099999996</v>
      </c>
      <c r="L242" s="7">
        <v>158499.18400000001</v>
      </c>
      <c r="M242" s="8">
        <v>3018483.6059999997</v>
      </c>
      <c r="O242" s="8">
        <v>4383197.2060000002</v>
      </c>
      <c r="T242" s="1"/>
      <c r="Z242" s="1"/>
      <c r="AB242" s="1"/>
    </row>
    <row r="243" spans="1:28" x14ac:dyDescent="0.2">
      <c r="C243" s="1" t="s">
        <v>23</v>
      </c>
      <c r="D243" s="11">
        <v>0.10834574968164401</v>
      </c>
      <c r="E243" s="11">
        <v>7.0014743394576362E-2</v>
      </c>
      <c r="F243" s="11">
        <v>0.36552291521473079</v>
      </c>
      <c r="G243" s="12">
        <v>0.11044737620781175</v>
      </c>
      <c r="H243" s="11"/>
      <c r="I243" s="11">
        <v>3.8184582242082987E-2</v>
      </c>
      <c r="J243" s="11">
        <v>0.13103310277656055</v>
      </c>
      <c r="K243" s="11">
        <v>6.9733445973329422E-2</v>
      </c>
      <c r="L243" s="11">
        <v>6.5805215730952993E-2</v>
      </c>
      <c r="M243" s="12">
        <v>5.597923266185556E-2</v>
      </c>
      <c r="O243" s="12">
        <v>7.2937953150672641E-2</v>
      </c>
      <c r="T243" s="1"/>
      <c r="Z243" s="1"/>
      <c r="AB243" s="1"/>
    </row>
    <row r="244" spans="1:28" x14ac:dyDescent="0.2">
      <c r="T244" s="1"/>
      <c r="Z244" s="1"/>
      <c r="AB244" s="1"/>
    </row>
    <row r="245" spans="1:28" x14ac:dyDescent="0.2">
      <c r="A245" s="1" t="s">
        <v>14</v>
      </c>
      <c r="C245" s="1" t="s">
        <v>21</v>
      </c>
      <c r="D245" s="7">
        <v>1102616.6993218991</v>
      </c>
      <c r="E245" s="7">
        <v>340453.59632538958</v>
      </c>
      <c r="F245" s="7">
        <v>82444.102456099979</v>
      </c>
      <c r="G245" s="8">
        <v>1525514.3981033887</v>
      </c>
      <c r="I245" s="7">
        <v>2263290.2196953562</v>
      </c>
      <c r="J245" s="7">
        <v>465724.04289939994</v>
      </c>
      <c r="K245" s="7">
        <v>686748.00746393506</v>
      </c>
      <c r="L245" s="7">
        <v>163735.22282290002</v>
      </c>
      <c r="M245" s="8">
        <v>3579497.4928815914</v>
      </c>
      <c r="O245" s="8">
        <v>5105011.8909849804</v>
      </c>
      <c r="T245" s="1"/>
      <c r="Z245" s="1"/>
      <c r="AB245" s="1"/>
    </row>
    <row r="246" spans="1:28" x14ac:dyDescent="0.2">
      <c r="C246" s="1" t="s">
        <v>22</v>
      </c>
      <c r="D246" s="7">
        <v>983008.34600000002</v>
      </c>
      <c r="E246" s="7">
        <v>309947.87699999998</v>
      </c>
      <c r="F246" s="7">
        <v>79200.745999999999</v>
      </c>
      <c r="G246" s="8">
        <v>1372156.969</v>
      </c>
      <c r="I246" s="7">
        <v>2150657.7319999998</v>
      </c>
      <c r="J246" s="7">
        <v>405839.08500000002</v>
      </c>
      <c r="K246" s="7">
        <v>628297.11199999996</v>
      </c>
      <c r="L246" s="7">
        <v>169438.61300000001</v>
      </c>
      <c r="M246" s="8">
        <v>3354232.5419999994</v>
      </c>
      <c r="O246" s="8">
        <v>4726389.5109999999</v>
      </c>
      <c r="T246" s="1"/>
      <c r="Z246" s="1"/>
      <c r="AB246" s="1"/>
    </row>
    <row r="247" spans="1:28" x14ac:dyDescent="0.2">
      <c r="C247" s="1" t="s">
        <v>23</v>
      </c>
      <c r="D247" s="11">
        <v>0.12167582687227663</v>
      </c>
      <c r="E247" s="11">
        <v>9.842209477495345E-2</v>
      </c>
      <c r="F247" s="11">
        <v>4.0951084679176963E-2</v>
      </c>
      <c r="G247" s="12">
        <v>0.11176376505608721</v>
      </c>
      <c r="H247" s="11"/>
      <c r="I247" s="11">
        <v>5.237118208977587E-2</v>
      </c>
      <c r="J247" s="11">
        <v>0.14755837994115306</v>
      </c>
      <c r="K247" s="11">
        <v>9.3030660729720438E-2</v>
      </c>
      <c r="L247" s="11">
        <v>-3.3660510294073243E-2</v>
      </c>
      <c r="M247" s="12">
        <v>6.7158417927480674E-2</v>
      </c>
      <c r="O247" s="12">
        <v>8.0108162711471476E-2</v>
      </c>
      <c r="T247" s="1"/>
      <c r="Z247" s="1"/>
      <c r="AB247" s="1"/>
    </row>
    <row r="248" spans="1:28" x14ac:dyDescent="0.2">
      <c r="T248" s="1"/>
      <c r="Z248" s="1"/>
      <c r="AB248" s="1"/>
    </row>
    <row r="249" spans="1:28" x14ac:dyDescent="0.2">
      <c r="A249" s="1" t="s">
        <v>15</v>
      </c>
      <c r="C249" s="1" t="s">
        <v>21</v>
      </c>
      <c r="D249" s="7">
        <v>1268821.2500146178</v>
      </c>
      <c r="E249" s="7">
        <v>416455.01596128946</v>
      </c>
      <c r="F249" s="7">
        <v>89643.707173500021</v>
      </c>
      <c r="G249" s="8">
        <v>1774919.9731494072</v>
      </c>
      <c r="I249" s="7">
        <v>2616230.6688832785</v>
      </c>
      <c r="J249" s="7">
        <v>483825.6739061001</v>
      </c>
      <c r="K249" s="7">
        <v>711264.58998205001</v>
      </c>
      <c r="L249" s="7">
        <v>163629.5318878</v>
      </c>
      <c r="M249" s="8">
        <v>3974950.4646592285</v>
      </c>
      <c r="O249" s="8">
        <v>5749870.4378086366</v>
      </c>
      <c r="T249" s="1"/>
      <c r="Z249" s="1"/>
      <c r="AB249" s="1"/>
    </row>
    <row r="250" spans="1:28" x14ac:dyDescent="0.2">
      <c r="C250" s="1" t="s">
        <v>22</v>
      </c>
      <c r="D250" s="7">
        <v>1171858.405</v>
      </c>
      <c r="E250" s="7">
        <v>365556.72200000001</v>
      </c>
      <c r="F250" s="7">
        <v>71066.665999999997</v>
      </c>
      <c r="G250" s="8">
        <v>1608481.7930000001</v>
      </c>
      <c r="I250" s="7">
        <v>2345322.7239999999</v>
      </c>
      <c r="J250" s="7">
        <v>477608.73599999998</v>
      </c>
      <c r="K250" s="7">
        <v>691928.09900000005</v>
      </c>
      <c r="L250" s="7">
        <v>154101.391</v>
      </c>
      <c r="M250" s="8">
        <v>3668960.9499999997</v>
      </c>
      <c r="O250" s="8">
        <v>5277442.7430000007</v>
      </c>
      <c r="T250" s="1"/>
      <c r="Z250" s="1"/>
      <c r="AB250" s="1"/>
    </row>
    <row r="251" spans="1:28" x14ac:dyDescent="0.2">
      <c r="C251" s="1" t="s">
        <v>23</v>
      </c>
      <c r="D251" s="11">
        <v>8.274279947210661E-2</v>
      </c>
      <c r="E251" s="11">
        <v>0.13923501032293828</v>
      </c>
      <c r="F251" s="11">
        <v>0.26140302084102296</v>
      </c>
      <c r="G251" s="12">
        <v>0.10347532740111487</v>
      </c>
      <c r="H251" s="11"/>
      <c r="I251" s="11">
        <v>0.11550987934881696</v>
      </c>
      <c r="J251" s="11">
        <v>1.3016801070615536E-2</v>
      </c>
      <c r="K251" s="11">
        <v>2.7945809701897861E-2</v>
      </c>
      <c r="L251" s="11">
        <v>6.1830336676195197E-2</v>
      </c>
      <c r="M251" s="12">
        <v>8.3399501610729621E-2</v>
      </c>
      <c r="O251" s="12">
        <v>8.9518298504567273E-2</v>
      </c>
      <c r="T251" s="1"/>
      <c r="Z251" s="1"/>
      <c r="AB251" s="1"/>
    </row>
    <row r="252" spans="1:28" x14ac:dyDescent="0.2">
      <c r="T252" s="1"/>
      <c r="Z252" s="1"/>
      <c r="AB252" s="1"/>
    </row>
    <row r="253" spans="1:28" x14ac:dyDescent="0.2">
      <c r="A253" s="1" t="s">
        <v>16</v>
      </c>
      <c r="C253" s="1" t="s">
        <v>21</v>
      </c>
      <c r="D253" s="7">
        <v>1217353.8847252517</v>
      </c>
      <c r="E253" s="7">
        <v>400200.37875261321</v>
      </c>
      <c r="F253" s="7">
        <v>79210.831732099978</v>
      </c>
      <c r="G253" s="8">
        <v>1696765.0952099648</v>
      </c>
      <c r="I253" s="7">
        <v>2545807.2041348186</v>
      </c>
      <c r="J253" s="7">
        <v>377392.76185100042</v>
      </c>
      <c r="K253" s="7">
        <v>717823.169349342</v>
      </c>
      <c r="L253" s="7">
        <v>156126.4290831</v>
      </c>
      <c r="M253" s="8">
        <v>3797149.5644182614</v>
      </c>
      <c r="O253" s="8">
        <v>5493914.6596282255</v>
      </c>
      <c r="T253" s="1"/>
      <c r="Z253" s="1"/>
      <c r="AB253" s="1"/>
    </row>
    <row r="254" spans="1:28" x14ac:dyDescent="0.2">
      <c r="C254" s="1" t="s">
        <v>22</v>
      </c>
      <c r="D254" s="7">
        <v>1074565.4709999999</v>
      </c>
      <c r="E254" s="7">
        <v>352039.58</v>
      </c>
      <c r="F254" s="7">
        <v>82150.652000000002</v>
      </c>
      <c r="G254" s="8">
        <v>1508755.703</v>
      </c>
      <c r="I254" s="7">
        <v>2443953.0180000002</v>
      </c>
      <c r="J254" s="7">
        <v>321653.81800000003</v>
      </c>
      <c r="K254" s="7">
        <v>602036.80000000005</v>
      </c>
      <c r="L254" s="7">
        <v>148614.91399999999</v>
      </c>
      <c r="M254" s="8">
        <v>3516258.55</v>
      </c>
      <c r="O254" s="8">
        <v>5025014.2530000005</v>
      </c>
      <c r="T254" s="1"/>
      <c r="Z254" s="1"/>
      <c r="AB254" s="1"/>
    </row>
    <row r="255" spans="1:28" x14ac:dyDescent="0.2">
      <c r="C255" s="1" t="s">
        <v>23</v>
      </c>
      <c r="D255" s="11">
        <v>0.13288014325676367</v>
      </c>
      <c r="E255" s="11">
        <v>0.13680506820458427</v>
      </c>
      <c r="F255" s="11">
        <v>-3.5785720457824577E-2</v>
      </c>
      <c r="G255" s="12">
        <v>0.12461221643512466</v>
      </c>
      <c r="H255" s="11"/>
      <c r="I255" s="11">
        <v>4.1676000064097218E-2</v>
      </c>
      <c r="J255" s="11">
        <v>0.17328861257602224</v>
      </c>
      <c r="K255" s="11">
        <v>0.19232440500205628</v>
      </c>
      <c r="L255" s="11">
        <v>5.0543481006892765E-2</v>
      </c>
      <c r="M255" s="12">
        <v>7.9883492759160513E-2</v>
      </c>
      <c r="O255" s="12">
        <v>9.3313249081489635E-2</v>
      </c>
      <c r="T255" s="1"/>
      <c r="Z255" s="1"/>
      <c r="AB255" s="1"/>
    </row>
    <row r="256" spans="1:28" x14ac:dyDescent="0.2">
      <c r="T256" s="1"/>
      <c r="Z256" s="1"/>
      <c r="AB256" s="1"/>
    </row>
    <row r="257" spans="1:28" x14ac:dyDescent="0.2">
      <c r="A257" s="1" t="s">
        <v>17</v>
      </c>
      <c r="C257" s="1" t="s">
        <v>21</v>
      </c>
      <c r="D257" s="7">
        <v>1099911.8389514</v>
      </c>
      <c r="E257" s="7">
        <v>359288.28255878016</v>
      </c>
      <c r="F257" s="7">
        <v>68862.567506600055</v>
      </c>
      <c r="G257" s="8">
        <v>1528062.6890167804</v>
      </c>
      <c r="I257" s="7">
        <v>2083380.4534942207</v>
      </c>
      <c r="J257" s="7">
        <v>290290.34518600022</v>
      </c>
      <c r="K257" s="7">
        <v>628003.77307379397</v>
      </c>
      <c r="L257" s="7">
        <v>158445.43515799998</v>
      </c>
      <c r="M257" s="8">
        <v>3160120.0069120144</v>
      </c>
      <c r="O257" s="8">
        <v>4688182.6959287953</v>
      </c>
      <c r="T257" s="1"/>
      <c r="Z257" s="1"/>
      <c r="AB257" s="1"/>
    </row>
    <row r="258" spans="1:28" x14ac:dyDescent="0.2">
      <c r="C258" s="1" t="s">
        <v>22</v>
      </c>
      <c r="D258" s="7">
        <v>985360.49399999995</v>
      </c>
      <c r="E258" s="7">
        <v>337939.72600000002</v>
      </c>
      <c r="F258" s="7">
        <v>51588.673000000003</v>
      </c>
      <c r="G258" s="8">
        <v>1374888.8929999999</v>
      </c>
      <c r="I258" s="7">
        <v>1980062.574</v>
      </c>
      <c r="J258" s="7">
        <v>262935.00900000002</v>
      </c>
      <c r="K258" s="7">
        <v>617007.24699999997</v>
      </c>
      <c r="L258" s="7">
        <v>141562.04500000001</v>
      </c>
      <c r="M258" s="8">
        <v>3001566.875</v>
      </c>
      <c r="O258" s="8">
        <v>4376455.7680000002</v>
      </c>
      <c r="T258" s="1"/>
      <c r="Z258" s="1"/>
      <c r="AB258" s="1"/>
    </row>
    <row r="259" spans="1:28" x14ac:dyDescent="0.2">
      <c r="C259" s="1" t="s">
        <v>23</v>
      </c>
      <c r="D259" s="11">
        <v>0.11625323488095929</v>
      </c>
      <c r="E259" s="11">
        <v>6.3172675232565423E-2</v>
      </c>
      <c r="F259" s="11">
        <v>0.33483889974452441</v>
      </c>
      <c r="G259" s="12">
        <v>0.11140812671964784</v>
      </c>
      <c r="H259" s="11"/>
      <c r="I259" s="11">
        <v>5.2179098201681651E-2</v>
      </c>
      <c r="J259" s="11">
        <v>0.10403839446880281</v>
      </c>
      <c r="K259" s="11">
        <v>1.7822361288722499E-2</v>
      </c>
      <c r="L259" s="11">
        <v>0.11926494957034528</v>
      </c>
      <c r="M259" s="12">
        <v>5.2823454720466456E-2</v>
      </c>
      <c r="O259" s="12">
        <v>7.1228168283590687E-2</v>
      </c>
      <c r="T259" s="1"/>
      <c r="Z259" s="1"/>
      <c r="AB259" s="1"/>
    </row>
    <row r="260" spans="1:28" x14ac:dyDescent="0.2">
      <c r="T260" s="1"/>
      <c r="Z260" s="1"/>
      <c r="AB260" s="1"/>
    </row>
    <row r="261" spans="1:28" x14ac:dyDescent="0.2">
      <c r="A261" s="1" t="s">
        <v>18</v>
      </c>
      <c r="C261" s="1" t="s">
        <v>21</v>
      </c>
      <c r="D261" s="7">
        <v>1152497.4927903998</v>
      </c>
      <c r="E261" s="7">
        <v>357447.56695361453</v>
      </c>
      <c r="F261" s="7">
        <v>63809.194852599991</v>
      </c>
      <c r="G261" s="8">
        <v>1573754.2545966143</v>
      </c>
      <c r="I261" s="7">
        <v>1998853.9649304985</v>
      </c>
      <c r="J261" s="7">
        <v>271608.17171979975</v>
      </c>
      <c r="K261" s="7">
        <v>702682.92927220894</v>
      </c>
      <c r="L261" s="7">
        <v>172744.91280809999</v>
      </c>
      <c r="M261" s="8">
        <v>3145889.9787306068</v>
      </c>
      <c r="O261" s="8">
        <v>4719644.2333272211</v>
      </c>
      <c r="T261" s="1"/>
      <c r="Z261" s="1"/>
      <c r="AB261" s="1"/>
    </row>
    <row r="262" spans="1:28" x14ac:dyDescent="0.2">
      <c r="C262" s="1" t="s">
        <v>22</v>
      </c>
      <c r="D262" s="7">
        <v>1048672.3640000001</v>
      </c>
      <c r="E262" s="7">
        <v>322424.42</v>
      </c>
      <c r="F262" s="7">
        <v>58969.71</v>
      </c>
      <c r="G262" s="8">
        <v>1430066.4939999999</v>
      </c>
      <c r="I262" s="7">
        <v>1856793.774</v>
      </c>
      <c r="J262" s="7">
        <v>272164.609</v>
      </c>
      <c r="K262" s="7">
        <v>631722.27800000005</v>
      </c>
      <c r="L262" s="7">
        <v>162777.109</v>
      </c>
      <c r="M262" s="8">
        <v>2923457.77</v>
      </c>
      <c r="O262" s="8">
        <v>4353524.2640000004</v>
      </c>
      <c r="T262" s="1"/>
      <c r="Z262" s="1"/>
      <c r="AB262" s="1"/>
    </row>
    <row r="263" spans="1:28" x14ac:dyDescent="0.2">
      <c r="C263" s="1" t="s">
        <v>23</v>
      </c>
      <c r="D263" s="11">
        <v>9.900626006236557E-2</v>
      </c>
      <c r="E263" s="11">
        <v>0.10862436211752979</v>
      </c>
      <c r="F263" s="11">
        <v>8.2067299510206082E-2</v>
      </c>
      <c r="G263" s="12">
        <v>0.10047627938943537</v>
      </c>
      <c r="H263" s="11"/>
      <c r="I263" s="11">
        <v>7.6508330068592034E-2</v>
      </c>
      <c r="J263" s="11">
        <v>-2.0444880112985286E-3</v>
      </c>
      <c r="K263" s="11">
        <v>0.11232887258126567</v>
      </c>
      <c r="L263" s="11">
        <v>6.1235906383495298E-2</v>
      </c>
      <c r="M263" s="12">
        <v>7.6085316166755179E-2</v>
      </c>
      <c r="O263" s="12">
        <v>8.4097376544958413E-2</v>
      </c>
      <c r="T263" s="1"/>
      <c r="Z263" s="1"/>
      <c r="AB263" s="1"/>
    </row>
    <row r="264" spans="1:28" x14ac:dyDescent="0.2">
      <c r="T264" s="1"/>
      <c r="Z264" s="1"/>
      <c r="AB264" s="1"/>
    </row>
    <row r="265" spans="1:28" x14ac:dyDescent="0.2">
      <c r="A265" s="1" t="s">
        <v>19</v>
      </c>
      <c r="C265" s="1" t="s">
        <v>21</v>
      </c>
      <c r="D265" s="7">
        <v>1229917.5004652999</v>
      </c>
      <c r="E265" s="7">
        <v>388309.114252183</v>
      </c>
      <c r="F265" s="7">
        <v>66169.581234299912</v>
      </c>
      <c r="G265" s="8">
        <v>1684396.1959517829</v>
      </c>
      <c r="I265" s="7">
        <v>2029354.787659921</v>
      </c>
      <c r="J265" s="7">
        <v>244955.22129650001</v>
      </c>
      <c r="K265" s="7">
        <v>694722.64041975699</v>
      </c>
      <c r="L265" s="7">
        <v>165698.48640299999</v>
      </c>
      <c r="M265" s="8">
        <v>3134731.1357791782</v>
      </c>
      <c r="O265" s="8">
        <v>4819127.3317309618</v>
      </c>
      <c r="T265" s="1"/>
      <c r="Z265" s="1"/>
      <c r="AB265" s="1"/>
    </row>
    <row r="266" spans="1:28" x14ac:dyDescent="0.2">
      <c r="C266" s="1" t="s">
        <v>22</v>
      </c>
      <c r="D266" s="7">
        <v>1087948.7220000001</v>
      </c>
      <c r="E266" s="7">
        <v>352722.71799999999</v>
      </c>
      <c r="F266" s="7">
        <v>60990.139000000003</v>
      </c>
      <c r="G266" s="8">
        <v>1501661.5789999999</v>
      </c>
      <c r="I266" s="7">
        <v>1907844.2150000001</v>
      </c>
      <c r="J266" s="7">
        <v>225811.73199999999</v>
      </c>
      <c r="K266" s="7">
        <v>668428.38500000001</v>
      </c>
      <c r="L266" s="7">
        <v>175703.149</v>
      </c>
      <c r="M266" s="8">
        <v>2977787.4810000006</v>
      </c>
      <c r="O266" s="8">
        <v>4479449.0600000005</v>
      </c>
      <c r="T266" s="1"/>
      <c r="Z266" s="1"/>
      <c r="AB266" s="1"/>
    </row>
    <row r="267" spans="1:28" x14ac:dyDescent="0.2">
      <c r="C267" s="1" t="s">
        <v>23</v>
      </c>
      <c r="D267" s="11">
        <v>0.13049215978149742</v>
      </c>
      <c r="E267" s="11">
        <v>0.10089057051375705</v>
      </c>
      <c r="F267" s="11">
        <v>8.4922617315233762E-2</v>
      </c>
      <c r="G267" s="12">
        <v>0.12168828150579114</v>
      </c>
      <c r="H267" s="11"/>
      <c r="I267" s="11">
        <v>6.3689986689988043E-2</v>
      </c>
      <c r="J267" s="11">
        <v>8.4776327283562214E-2</v>
      </c>
      <c r="K267" s="11">
        <v>3.9337430919779148E-2</v>
      </c>
      <c r="L267" s="11">
        <v>-5.6940713094447815E-2</v>
      </c>
      <c r="M267" s="12">
        <v>5.2704786953591709E-2</v>
      </c>
      <c r="O267" s="12">
        <v>7.5830368239740986E-2</v>
      </c>
      <c r="T267" s="1"/>
      <c r="Z267" s="1"/>
      <c r="AB267" s="1"/>
    </row>
    <row r="268" spans="1:28" x14ac:dyDescent="0.2">
      <c r="T268" s="1"/>
      <c r="Z268" s="1"/>
      <c r="AB268" s="1"/>
    </row>
    <row r="269" spans="1:28" x14ac:dyDescent="0.2">
      <c r="A269" s="1" t="s">
        <v>20</v>
      </c>
      <c r="C269" s="1" t="s">
        <v>21</v>
      </c>
      <c r="D269" s="7">
        <v>1513229.5866854989</v>
      </c>
      <c r="E269" s="7">
        <v>471153.54952873487</v>
      </c>
      <c r="F269" s="7">
        <v>85280.810754600083</v>
      </c>
      <c r="G269" s="8">
        <v>2069663.9469688339</v>
      </c>
      <c r="I269" s="7">
        <v>2318177.1363948775</v>
      </c>
      <c r="J269" s="7">
        <v>309251.59305449988</v>
      </c>
      <c r="K269" s="7">
        <v>743638.63432428101</v>
      </c>
      <c r="L269" s="7">
        <v>187692.70986970002</v>
      </c>
      <c r="M269" s="8">
        <v>3558760.0736433584</v>
      </c>
      <c r="O269" s="8">
        <v>5628424.0206121923</v>
      </c>
      <c r="T269" s="1"/>
      <c r="Z269" s="1"/>
      <c r="AB269" s="1"/>
    </row>
    <row r="270" spans="1:28" x14ac:dyDescent="0.2">
      <c r="C270" s="1" t="s">
        <v>22</v>
      </c>
      <c r="D270" s="7">
        <v>1340463.6299999999</v>
      </c>
      <c r="E270" s="7">
        <v>418844.32900000003</v>
      </c>
      <c r="F270" s="7">
        <v>73837.095000000001</v>
      </c>
      <c r="G270" s="8">
        <v>1833145.0539999998</v>
      </c>
      <c r="I270" s="7">
        <v>2228958.267</v>
      </c>
      <c r="J270" s="7">
        <v>292403.09999999998</v>
      </c>
      <c r="K270" s="7">
        <v>662591.13100000005</v>
      </c>
      <c r="L270" s="7">
        <v>160386.54699999999</v>
      </c>
      <c r="M270" s="8">
        <v>3344339.0449999999</v>
      </c>
      <c r="O270" s="8">
        <v>5177484.0989999995</v>
      </c>
      <c r="T270" s="1"/>
      <c r="Z270" s="1"/>
      <c r="AB270" s="1"/>
    </row>
    <row r="271" spans="1:28" x14ac:dyDescent="0.2">
      <c r="C271" s="1" t="s">
        <v>23</v>
      </c>
      <c r="D271" s="11">
        <v>0.12888522509596112</v>
      </c>
      <c r="E271" s="11">
        <v>0.12488940856290043</v>
      </c>
      <c r="F271" s="11">
        <v>0.15498599659967782</v>
      </c>
      <c r="G271" s="12">
        <v>0.12902355569339141</v>
      </c>
      <c r="H271" s="11"/>
      <c r="I271" s="11">
        <v>4.0027160093472292E-2</v>
      </c>
      <c r="J271" s="11">
        <v>5.7620774384744555E-2</v>
      </c>
      <c r="K271" s="11">
        <v>0.12231902833043051</v>
      </c>
      <c r="L271" s="11">
        <v>0.1702522024475035</v>
      </c>
      <c r="M271" s="12">
        <v>6.4114620485004936E-2</v>
      </c>
      <c r="O271" s="12">
        <v>8.7096341193841464E-2</v>
      </c>
      <c r="T271" s="1"/>
      <c r="Z271" s="1"/>
      <c r="AB271" s="1"/>
    </row>
    <row r="272" spans="1:28" x14ac:dyDescent="0.2">
      <c r="T272" s="1"/>
      <c r="Z272" s="1"/>
      <c r="AB272" s="1"/>
    </row>
    <row r="273" spans="1:28" x14ac:dyDescent="0.2">
      <c r="A273" s="1" t="s">
        <v>52</v>
      </c>
      <c r="C273" s="1" t="s">
        <v>21</v>
      </c>
      <c r="D273" s="7">
        <v>14624591.467822567</v>
      </c>
      <c r="E273" s="7">
        <v>4572411.152057793</v>
      </c>
      <c r="F273" s="7">
        <v>913052.23993210017</v>
      </c>
      <c r="G273" s="8">
        <v>20110054.859812461</v>
      </c>
      <c r="I273" s="7">
        <v>25970268.838004693</v>
      </c>
      <c r="J273" s="7">
        <v>3917130.1973799006</v>
      </c>
      <c r="K273" s="7">
        <v>8277195.2450759057</v>
      </c>
      <c r="L273" s="7">
        <v>2037569.6830937003</v>
      </c>
      <c r="M273" s="8">
        <v>40202163.963554196</v>
      </c>
      <c r="O273" s="8">
        <v>60312218.823366672</v>
      </c>
      <c r="T273" s="1"/>
      <c r="Z273" s="1"/>
      <c r="AB273" s="1"/>
    </row>
    <row r="274" spans="1:28" x14ac:dyDescent="0.2">
      <c r="C274" s="1" t="s">
        <v>22</v>
      </c>
      <c r="D274" s="7">
        <v>13089969.073999997</v>
      </c>
      <c r="E274" s="7">
        <v>4092687.9719999996</v>
      </c>
      <c r="F274" s="7">
        <v>794834.33699999982</v>
      </c>
      <c r="G274" s="8">
        <v>17977491.383000001</v>
      </c>
      <c r="I274" s="7">
        <v>24510032.647</v>
      </c>
      <c r="J274" s="7">
        <v>3621646.071</v>
      </c>
      <c r="K274" s="7">
        <v>7620478.3570000008</v>
      </c>
      <c r="L274" s="7">
        <v>1933224.1810000001</v>
      </c>
      <c r="M274" s="8">
        <v>37685381.255999997</v>
      </c>
      <c r="O274" s="8">
        <v>55662872.639000006</v>
      </c>
      <c r="T274" s="1"/>
      <c r="Z274" s="1"/>
      <c r="AB274" s="1"/>
    </row>
    <row r="275" spans="1:28" x14ac:dyDescent="0.2">
      <c r="C275" s="1" t="s">
        <v>23</v>
      </c>
      <c r="D275" s="11">
        <v>0.11723651791284362</v>
      </c>
      <c r="E275" s="11">
        <v>0.11721469687887387</v>
      </c>
      <c r="F275" s="11">
        <v>0.1487327577949118</v>
      </c>
      <c r="G275" s="12">
        <v>0.11862408560679771</v>
      </c>
      <c r="I275" s="11">
        <v>5.9577080619818146E-2</v>
      </c>
      <c r="J275" s="11">
        <v>8.1588349768897395E-2</v>
      </c>
      <c r="K275" s="11">
        <v>8.6177908696854821E-2</v>
      </c>
      <c r="L275" s="11">
        <v>5.3974858745934551E-2</v>
      </c>
      <c r="M275" s="12">
        <v>6.6784058530746426E-2</v>
      </c>
      <c r="O275" s="12">
        <v>8.3526881814380394E-2</v>
      </c>
      <c r="T275" s="1"/>
      <c r="Z275" s="1"/>
      <c r="AB275" s="1"/>
    </row>
    <row r="276" spans="1:28" x14ac:dyDescent="0.2">
      <c r="T276" s="1"/>
      <c r="Z276" s="1"/>
      <c r="AB276" s="1"/>
    </row>
    <row r="277" spans="1:28" x14ac:dyDescent="0.2">
      <c r="D277" s="8" t="s">
        <v>7</v>
      </c>
      <c r="E277" s="8"/>
      <c r="F277" s="8"/>
      <c r="H277" s="8"/>
      <c r="I277" s="8" t="s">
        <v>8</v>
      </c>
      <c r="J277" s="8"/>
      <c r="K277" s="8"/>
      <c r="L277" s="8"/>
      <c r="N277" s="4"/>
      <c r="O277" s="4" t="s">
        <v>24</v>
      </c>
      <c r="T277" s="1"/>
      <c r="Z277" s="1"/>
      <c r="AB277" s="1"/>
    </row>
    <row r="278" spans="1:28" x14ac:dyDescent="0.2">
      <c r="D278" s="9" t="s">
        <v>0</v>
      </c>
      <c r="E278" s="9" t="s">
        <v>1</v>
      </c>
      <c r="F278" s="9" t="s">
        <v>2</v>
      </c>
      <c r="G278" s="9" t="s">
        <v>24</v>
      </c>
      <c r="H278" s="9"/>
      <c r="I278" s="9" t="s">
        <v>3</v>
      </c>
      <c r="J278" s="9" t="s">
        <v>4</v>
      </c>
      <c r="K278" s="9" t="s">
        <v>5</v>
      </c>
      <c r="L278" s="9" t="s">
        <v>6</v>
      </c>
      <c r="M278" s="9" t="s">
        <v>24</v>
      </c>
      <c r="N278" s="4"/>
      <c r="O278" s="9" t="s">
        <v>49</v>
      </c>
      <c r="T278" s="1"/>
      <c r="Z278" s="1"/>
      <c r="AB278" s="1"/>
    </row>
    <row r="279" spans="1:28" x14ac:dyDescent="0.2">
      <c r="A279" s="1">
        <v>2012</v>
      </c>
      <c r="D279" s="10"/>
      <c r="E279" s="10"/>
      <c r="F279" s="10"/>
      <c r="G279" s="9"/>
      <c r="H279" s="10"/>
      <c r="I279" s="10"/>
      <c r="J279" s="10"/>
      <c r="K279" s="10"/>
      <c r="L279" s="10"/>
      <c r="M279" s="9"/>
      <c r="O279" s="9"/>
      <c r="T279" s="1"/>
      <c r="Z279" s="1"/>
      <c r="AB279" s="1"/>
    </row>
    <row r="280" spans="1:28" x14ac:dyDescent="0.2">
      <c r="A280" s="1" t="s">
        <v>9</v>
      </c>
      <c r="C280" s="1" t="s">
        <v>21</v>
      </c>
      <c r="D280" s="7">
        <v>1383031.8508993003</v>
      </c>
      <c r="E280" s="7">
        <v>448251.22214057046</v>
      </c>
      <c r="F280" s="7">
        <v>79854.451707600048</v>
      </c>
      <c r="G280" s="8">
        <v>1911137.5247474709</v>
      </c>
      <c r="I280" s="7">
        <v>2150328.0562673048</v>
      </c>
      <c r="J280" s="7">
        <v>276248.42314789991</v>
      </c>
      <c r="K280" s="7">
        <v>709935.56467237603</v>
      </c>
      <c r="L280" s="7">
        <v>194566.63055989999</v>
      </c>
      <c r="M280" s="8">
        <v>3331078.6746474807</v>
      </c>
      <c r="O280" s="8">
        <v>5242216.1993949516</v>
      </c>
      <c r="T280" s="1"/>
      <c r="Z280" s="1"/>
      <c r="AB280" s="1"/>
    </row>
    <row r="281" spans="1:28" x14ac:dyDescent="0.2">
      <c r="C281" s="1" t="s">
        <v>22</v>
      </c>
      <c r="D281" s="7">
        <v>1206073.872</v>
      </c>
      <c r="E281" s="7">
        <v>399841.95400000003</v>
      </c>
      <c r="F281" s="7">
        <v>67609.433999999994</v>
      </c>
      <c r="G281" s="8">
        <v>1673525.2599999998</v>
      </c>
      <c r="I281" s="7">
        <v>1957615.0360000001</v>
      </c>
      <c r="J281" s="7">
        <v>284262.82699999999</v>
      </c>
      <c r="K281" s="7">
        <v>671592.03200000001</v>
      </c>
      <c r="L281" s="7">
        <v>177354.34299999999</v>
      </c>
      <c r="M281" s="8">
        <v>3090824.2379999999</v>
      </c>
      <c r="O281" s="8">
        <v>4764349.4979999997</v>
      </c>
      <c r="T281" s="1"/>
      <c r="Z281" s="1"/>
      <c r="AB281" s="1"/>
    </row>
    <row r="282" spans="1:28" x14ac:dyDescent="0.2">
      <c r="C282" s="1" t="s">
        <v>23</v>
      </c>
      <c r="D282" s="11">
        <v>0.14672233849644356</v>
      </c>
      <c r="E282" s="11">
        <v>0.12107100732248433</v>
      </c>
      <c r="F282" s="11">
        <v>0.1811140396116917</v>
      </c>
      <c r="G282" s="12">
        <v>0.14198307633998364</v>
      </c>
      <c r="H282" s="11"/>
      <c r="I282" s="11">
        <v>9.8442756478350102E-2</v>
      </c>
      <c r="J282" s="11">
        <v>-2.8193640148734933E-2</v>
      </c>
      <c r="K282" s="11">
        <v>5.7093489567154432E-2</v>
      </c>
      <c r="L282" s="11">
        <v>9.7050273868399151E-2</v>
      </c>
      <c r="M282" s="12">
        <v>7.773151047985305E-2</v>
      </c>
      <c r="O282" s="12">
        <v>0.1003005135529107</v>
      </c>
      <c r="T282" s="1"/>
      <c r="Z282" s="1"/>
      <c r="AB282" s="1"/>
    </row>
    <row r="283" spans="1:28" x14ac:dyDescent="0.2">
      <c r="T283" s="1"/>
      <c r="Z283" s="1"/>
      <c r="AB283" s="1"/>
    </row>
    <row r="284" spans="1:28" x14ac:dyDescent="0.2">
      <c r="A284" s="1" t="s">
        <v>10</v>
      </c>
      <c r="C284" s="1" t="s">
        <v>21</v>
      </c>
      <c r="D284" s="7">
        <v>1243153.4967103989</v>
      </c>
      <c r="E284" s="7">
        <v>383074.55307529343</v>
      </c>
      <c r="F284" s="7">
        <v>71141.789368499987</v>
      </c>
      <c r="G284" s="8">
        <v>1697369.8391541922</v>
      </c>
      <c r="I284" s="7">
        <v>1993695.958135565</v>
      </c>
      <c r="J284" s="7">
        <v>267001.4192415002</v>
      </c>
      <c r="K284" s="7">
        <v>660392.94516811194</v>
      </c>
      <c r="L284" s="7">
        <v>170190.6801842</v>
      </c>
      <c r="M284" s="8">
        <v>3091281.0027293772</v>
      </c>
      <c r="O284" s="8">
        <v>4788650.84188357</v>
      </c>
      <c r="T284" s="1"/>
      <c r="Z284" s="1"/>
      <c r="AB284" s="1"/>
    </row>
    <row r="285" spans="1:28" x14ac:dyDescent="0.2">
      <c r="C285" s="1" t="s">
        <v>22</v>
      </c>
      <c r="D285" s="7">
        <v>1078748.669</v>
      </c>
      <c r="E285" s="7">
        <v>341144.4</v>
      </c>
      <c r="F285" s="7">
        <v>65555.721999999994</v>
      </c>
      <c r="G285" s="8">
        <v>1485448.7910000002</v>
      </c>
      <c r="I285" s="7">
        <v>1874420.7660000001</v>
      </c>
      <c r="J285" s="7">
        <v>238731.128</v>
      </c>
      <c r="K285" s="7">
        <v>589458.92200000002</v>
      </c>
      <c r="L285" s="7">
        <v>183816.122</v>
      </c>
      <c r="M285" s="8">
        <v>2886426.9379999996</v>
      </c>
      <c r="O285" s="8">
        <v>4371875.7290000003</v>
      </c>
      <c r="T285" s="1"/>
      <c r="Z285" s="1"/>
      <c r="AB285" s="1"/>
    </row>
    <row r="286" spans="1:28" x14ac:dyDescent="0.2">
      <c r="C286" s="1" t="s">
        <v>23</v>
      </c>
      <c r="D286" s="11">
        <v>0.15240327282424571</v>
      </c>
      <c r="E286" s="11">
        <v>0.12291027809717359</v>
      </c>
      <c r="F286" s="11">
        <v>8.5210980797373992E-2</v>
      </c>
      <c r="G286" s="12">
        <v>0.14266466096857333</v>
      </c>
      <c r="H286" s="11"/>
      <c r="I286" s="11">
        <v>6.3633093646362715E-2</v>
      </c>
      <c r="J286" s="11">
        <v>0.11841895725261353</v>
      </c>
      <c r="K286" s="11">
        <v>0.12033751720550234</v>
      </c>
      <c r="L286" s="11">
        <v>-7.4125390458406049E-2</v>
      </c>
      <c r="M286" s="12">
        <v>7.0971505300363003E-2</v>
      </c>
      <c r="O286" s="12">
        <v>9.5330960603242199E-2</v>
      </c>
      <c r="T286" s="1"/>
      <c r="Z286" s="1"/>
      <c r="AB286" s="1"/>
    </row>
    <row r="287" spans="1:28" x14ac:dyDescent="0.2">
      <c r="T287" s="1"/>
      <c r="Z287" s="1"/>
      <c r="AB287" s="1"/>
    </row>
    <row r="288" spans="1:28" x14ac:dyDescent="0.2">
      <c r="A288" s="1" t="s">
        <v>11</v>
      </c>
      <c r="C288" s="1" t="s">
        <v>21</v>
      </c>
      <c r="D288" s="7">
        <v>1262700.1728413005</v>
      </c>
      <c r="E288" s="7">
        <v>367213.90713160031</v>
      </c>
      <c r="F288" s="7">
        <v>74686.687366399987</v>
      </c>
      <c r="G288" s="8">
        <v>1704600.7673393008</v>
      </c>
      <c r="I288" s="7">
        <v>1965407.7387672639</v>
      </c>
      <c r="J288" s="7">
        <v>260991.42958940001</v>
      </c>
      <c r="K288" s="7">
        <v>661200.64543449203</v>
      </c>
      <c r="L288" s="7">
        <v>173819.49905010001</v>
      </c>
      <c r="M288" s="8">
        <v>3061419.3128412557</v>
      </c>
      <c r="O288" s="8">
        <v>4766020.0801805565</v>
      </c>
      <c r="T288" s="1"/>
      <c r="Z288" s="1"/>
      <c r="AB288" s="1"/>
    </row>
    <row r="289" spans="1:28" x14ac:dyDescent="0.2">
      <c r="C289" s="1" t="s">
        <v>22</v>
      </c>
      <c r="D289" s="7">
        <v>1115799.818</v>
      </c>
      <c r="E289" s="7">
        <v>315191.31400000001</v>
      </c>
      <c r="F289" s="7">
        <v>64558.794999999998</v>
      </c>
      <c r="G289" s="8">
        <v>1495549.9269999999</v>
      </c>
      <c r="I289" s="7">
        <v>1807946.942</v>
      </c>
      <c r="J289" s="7">
        <v>241510.61900000001</v>
      </c>
      <c r="K289" s="7">
        <v>639416.152</v>
      </c>
      <c r="L289" s="7">
        <v>159990.54300000001</v>
      </c>
      <c r="M289" s="8">
        <v>2848864.2560000001</v>
      </c>
      <c r="O289" s="8">
        <v>4344414.1830000002</v>
      </c>
      <c r="T289" s="1"/>
      <c r="Z289" s="1"/>
      <c r="AB289" s="1"/>
    </row>
    <row r="290" spans="1:28" x14ac:dyDescent="0.2">
      <c r="C290" s="1" t="s">
        <v>23</v>
      </c>
      <c r="D290" s="11">
        <v>0.13165475784411762</v>
      </c>
      <c r="E290" s="11">
        <v>0.16505084633011258</v>
      </c>
      <c r="F290" s="11">
        <v>0.15687858434160651</v>
      </c>
      <c r="G290" s="12">
        <v>0.13978192005842738</v>
      </c>
      <c r="H290" s="11"/>
      <c r="I290" s="11">
        <v>8.7093704527123172E-2</v>
      </c>
      <c r="J290" s="11">
        <v>8.0662335553038256E-2</v>
      </c>
      <c r="K290" s="11">
        <v>3.406935118287735E-2</v>
      </c>
      <c r="L290" s="11">
        <v>8.6436084225928411E-2</v>
      </c>
      <c r="M290" s="12">
        <v>7.4610454462192388E-2</v>
      </c>
      <c r="O290" s="12">
        <v>9.7045511643510052E-2</v>
      </c>
      <c r="T290" s="1"/>
      <c r="Z290" s="1"/>
      <c r="AB290" s="1"/>
    </row>
    <row r="291" spans="1:28" x14ac:dyDescent="0.2">
      <c r="T291" s="1"/>
      <c r="Z291" s="1"/>
      <c r="AB291" s="1"/>
    </row>
    <row r="292" spans="1:28" x14ac:dyDescent="0.2">
      <c r="A292" s="1" t="s">
        <v>12</v>
      </c>
      <c r="C292" s="1" t="s">
        <v>21</v>
      </c>
      <c r="D292" s="7">
        <v>1065718.8080995001</v>
      </c>
      <c r="E292" s="7">
        <v>306169.00140328828</v>
      </c>
      <c r="F292" s="7">
        <v>69240.279708800139</v>
      </c>
      <c r="G292" s="8">
        <v>1441128.0892115885</v>
      </c>
      <c r="I292" s="7">
        <v>1880882.4327810924</v>
      </c>
      <c r="J292" s="7">
        <v>237199.14022419992</v>
      </c>
      <c r="K292" s="7">
        <v>620485.27314725996</v>
      </c>
      <c r="L292" s="7">
        <v>169028.3722059</v>
      </c>
      <c r="M292" s="8">
        <v>2907595.218358452</v>
      </c>
      <c r="O292" s="8">
        <v>4348723.3075700402</v>
      </c>
      <c r="T292" s="1"/>
      <c r="Z292" s="1"/>
      <c r="AB292" s="1"/>
    </row>
    <row r="293" spans="1:28" x14ac:dyDescent="0.2">
      <c r="C293" s="1" t="s">
        <v>22</v>
      </c>
      <c r="D293" s="7">
        <v>959035.02300000004</v>
      </c>
      <c r="E293" s="7">
        <v>273663.77600000001</v>
      </c>
      <c r="F293" s="7">
        <v>51743.919000000002</v>
      </c>
      <c r="G293" s="8">
        <v>1284442.7180000001</v>
      </c>
      <c r="I293" s="7">
        <v>1766007.798</v>
      </c>
      <c r="J293" s="7">
        <v>223455.527</v>
      </c>
      <c r="K293" s="7">
        <v>595674.54099999997</v>
      </c>
      <c r="L293" s="7">
        <v>165668.448</v>
      </c>
      <c r="M293" s="8">
        <v>2750806.3139999998</v>
      </c>
      <c r="O293" s="8">
        <v>4035249.0319999997</v>
      </c>
      <c r="T293" s="1"/>
      <c r="Z293" s="1"/>
      <c r="AB293" s="1"/>
    </row>
    <row r="294" spans="1:28" x14ac:dyDescent="0.2">
      <c r="C294" s="1" t="s">
        <v>23</v>
      </c>
      <c r="D294" s="11">
        <v>0.11124076028608187</v>
      </c>
      <c r="E294" s="11">
        <v>0.118777961330506</v>
      </c>
      <c r="F294" s="11">
        <v>0.3381336598953808</v>
      </c>
      <c r="G294" s="12">
        <v>0.12198704466600296</v>
      </c>
      <c r="H294" s="11"/>
      <c r="I294" s="11">
        <v>6.5047637338401243E-2</v>
      </c>
      <c r="J294" s="11">
        <v>6.1504915133291371E-2</v>
      </c>
      <c r="K294" s="11">
        <v>4.1651489932083452E-2</v>
      </c>
      <c r="L294" s="11">
        <v>2.0281014559272004E-2</v>
      </c>
      <c r="M294" s="12">
        <v>5.6997435101296734E-2</v>
      </c>
      <c r="O294" s="12">
        <v>7.7683997464382593E-2</v>
      </c>
      <c r="T294" s="1"/>
      <c r="Z294" s="1"/>
      <c r="AB294" s="1"/>
    </row>
    <row r="295" spans="1:28" x14ac:dyDescent="0.2">
      <c r="T295" s="1"/>
      <c r="Z295" s="1"/>
      <c r="AB295" s="1"/>
    </row>
    <row r="296" spans="1:28" x14ac:dyDescent="0.2">
      <c r="A296" s="1" t="s">
        <v>13</v>
      </c>
      <c r="C296" s="1" t="s">
        <v>21</v>
      </c>
      <c r="D296" s="7">
        <v>1079566.6859548001</v>
      </c>
      <c r="E296" s="7">
        <v>325052.58099567279</v>
      </c>
      <c r="F296" s="7">
        <v>81839.72414320003</v>
      </c>
      <c r="G296" s="8">
        <v>1486458.991093673</v>
      </c>
      <c r="I296" s="7">
        <v>1989004.4153471787</v>
      </c>
      <c r="J296" s="7">
        <v>369142.78606260027</v>
      </c>
      <c r="K296" s="7">
        <v>637017.40941448195</v>
      </c>
      <c r="L296" s="7">
        <v>167040.93022469999</v>
      </c>
      <c r="M296" s="8">
        <v>3162205.5410489608</v>
      </c>
      <c r="O296" s="8">
        <v>4648664.5321426336</v>
      </c>
      <c r="T296" s="1"/>
      <c r="Z296" s="1"/>
      <c r="AB296" s="1"/>
    </row>
    <row r="297" spans="1:28" x14ac:dyDescent="0.2">
      <c r="C297" s="1" t="s">
        <v>22</v>
      </c>
      <c r="D297" s="7">
        <v>989734.31299999997</v>
      </c>
      <c r="E297" s="7">
        <v>292628.484</v>
      </c>
      <c r="F297" s="7">
        <v>65106.067999999999</v>
      </c>
      <c r="G297" s="8">
        <v>1347468.865</v>
      </c>
      <c r="I297" s="7">
        <v>1924978.558</v>
      </c>
      <c r="J297" s="7">
        <v>305846.56300000002</v>
      </c>
      <c r="K297" s="7">
        <v>576060.005</v>
      </c>
      <c r="L297" s="7">
        <v>167228.33499999999</v>
      </c>
      <c r="M297" s="8">
        <v>2974113.4609999997</v>
      </c>
      <c r="O297" s="8">
        <v>4321582.3259999994</v>
      </c>
      <c r="T297" s="1"/>
      <c r="Z297" s="1"/>
      <c r="AB297" s="1"/>
    </row>
    <row r="298" spans="1:28" x14ac:dyDescent="0.2">
      <c r="C298" s="1" t="s">
        <v>23</v>
      </c>
      <c r="D298" s="11">
        <v>9.0764129094916157E-2</v>
      </c>
      <c r="E298" s="11">
        <v>0.11080294218956754</v>
      </c>
      <c r="F298" s="11">
        <v>0.2570214521816927</v>
      </c>
      <c r="G298" s="12">
        <v>0.10314904463018748</v>
      </c>
      <c r="H298" s="11"/>
      <c r="I298" s="11">
        <v>3.3260556114297568E-2</v>
      </c>
      <c r="J298" s="11">
        <v>0.20695417480496658</v>
      </c>
      <c r="K298" s="11">
        <v>0.10581780350205339</v>
      </c>
      <c r="L298" s="11">
        <v>-1.1206520432078815E-3</v>
      </c>
      <c r="M298" s="12">
        <v>6.3243074790333642E-2</v>
      </c>
      <c r="O298" s="12">
        <v>7.5685751530129242E-2</v>
      </c>
      <c r="T298" s="1"/>
      <c r="Z298" s="1"/>
      <c r="AB298" s="1"/>
    </row>
    <row r="299" spans="1:28" x14ac:dyDescent="0.2">
      <c r="T299" s="1"/>
      <c r="Z299" s="1"/>
      <c r="AB299" s="1"/>
    </row>
    <row r="300" spans="1:28" x14ac:dyDescent="0.2">
      <c r="A300" s="1" t="s">
        <v>14</v>
      </c>
      <c r="C300" s="1" t="s">
        <v>21</v>
      </c>
      <c r="D300" s="7">
        <v>1057564.6314360003</v>
      </c>
      <c r="E300" s="7">
        <v>323131.77181303431</v>
      </c>
      <c r="F300" s="7">
        <v>80930.112567000033</v>
      </c>
      <c r="G300" s="8">
        <v>1461626.5158160347</v>
      </c>
      <c r="I300" s="7">
        <v>2249832.0295864046</v>
      </c>
      <c r="J300" s="7">
        <v>442557.32664680074</v>
      </c>
      <c r="K300" s="7">
        <v>667797.07749245199</v>
      </c>
      <c r="L300" s="7">
        <v>155577.32063399997</v>
      </c>
      <c r="M300" s="8">
        <v>3515763.7543596569</v>
      </c>
      <c r="O300" s="8">
        <v>4977390.2701756917</v>
      </c>
      <c r="T300" s="1"/>
      <c r="Z300" s="1"/>
      <c r="AB300" s="1"/>
    </row>
    <row r="301" spans="1:28" x14ac:dyDescent="0.2">
      <c r="C301" s="1" t="s">
        <v>22</v>
      </c>
      <c r="D301" s="7">
        <v>965521.95600000001</v>
      </c>
      <c r="E301" s="7">
        <v>288147.76299999998</v>
      </c>
      <c r="F301" s="7">
        <v>71876.567999999999</v>
      </c>
      <c r="G301" s="8">
        <v>1325546.287</v>
      </c>
      <c r="I301" s="7">
        <v>2073589.2009999999</v>
      </c>
      <c r="J301" s="7">
        <v>404044.86800000002</v>
      </c>
      <c r="K301" s="7">
        <v>662640.52599999995</v>
      </c>
      <c r="L301" s="7">
        <v>174711.90100000001</v>
      </c>
      <c r="M301" s="8">
        <v>3314986.4960000003</v>
      </c>
      <c r="O301" s="8">
        <v>4640532.7829999998</v>
      </c>
      <c r="T301" s="1"/>
      <c r="Z301" s="1"/>
      <c r="AB301" s="1"/>
    </row>
    <row r="302" spans="1:28" x14ac:dyDescent="0.2">
      <c r="C302" s="1" t="s">
        <v>23</v>
      </c>
      <c r="D302" s="11">
        <v>9.5329448350732537E-2</v>
      </c>
      <c r="E302" s="11">
        <v>0.12140996150309991</v>
      </c>
      <c r="F302" s="11">
        <v>0.12595961130197586</v>
      </c>
      <c r="G302" s="12">
        <v>0.10265973368912973</v>
      </c>
      <c r="H302" s="11"/>
      <c r="I302" s="11">
        <v>8.4994090681708157E-2</v>
      </c>
      <c r="J302" s="11">
        <v>9.5317282056904373E-2</v>
      </c>
      <c r="K302" s="11">
        <v>7.7818233116215829E-3</v>
      </c>
      <c r="L302" s="11">
        <v>-0.10952076107282493</v>
      </c>
      <c r="M302" s="12">
        <v>6.0566538838671802E-2</v>
      </c>
      <c r="O302" s="12">
        <v>7.2590261275542911E-2</v>
      </c>
      <c r="T302" s="1"/>
      <c r="Z302" s="1"/>
      <c r="AB302" s="1"/>
    </row>
    <row r="303" spans="1:28" x14ac:dyDescent="0.2">
      <c r="T303" s="1"/>
      <c r="Z303" s="1"/>
      <c r="AB303" s="1"/>
    </row>
    <row r="304" spans="1:28" x14ac:dyDescent="0.2">
      <c r="A304" s="1" t="s">
        <v>15</v>
      </c>
      <c r="C304" s="1" t="s">
        <v>21</v>
      </c>
      <c r="D304" s="7">
        <v>1183149.8605787996</v>
      </c>
      <c r="E304" s="7">
        <v>392662.43265940057</v>
      </c>
      <c r="F304" s="7">
        <v>89247.618895899956</v>
      </c>
      <c r="G304" s="8">
        <v>1665059.9121341002</v>
      </c>
      <c r="I304" s="7">
        <v>2513630.6340363887</v>
      </c>
      <c r="J304" s="7">
        <v>467630.47643029998</v>
      </c>
      <c r="K304" s="7">
        <v>695893.42607051705</v>
      </c>
      <c r="L304" s="7">
        <v>155865.22544330001</v>
      </c>
      <c r="M304" s="8">
        <v>3833019.7619805057</v>
      </c>
      <c r="O304" s="8">
        <v>5498079.6741146054</v>
      </c>
      <c r="T304" s="1"/>
      <c r="Z304" s="1"/>
      <c r="AB304" s="1"/>
    </row>
    <row r="305" spans="1:28" x14ac:dyDescent="0.2">
      <c r="C305" s="1" t="s">
        <v>22</v>
      </c>
      <c r="D305" s="7">
        <v>1081551.2350000001</v>
      </c>
      <c r="E305" s="7">
        <v>363285.68599999999</v>
      </c>
      <c r="F305" s="7">
        <v>81105.726999999999</v>
      </c>
      <c r="G305" s="8">
        <v>1525942.648</v>
      </c>
      <c r="I305" s="7">
        <v>2398487.4219999998</v>
      </c>
      <c r="J305" s="7">
        <v>413020.89799999999</v>
      </c>
      <c r="K305" s="7">
        <v>604402.41399999999</v>
      </c>
      <c r="L305" s="7">
        <v>136675.13500000001</v>
      </c>
      <c r="M305" s="8">
        <v>3552585.8689999999</v>
      </c>
      <c r="O305" s="8">
        <v>5078528.517</v>
      </c>
      <c r="T305" s="1"/>
      <c r="Z305" s="1"/>
      <c r="AB305" s="1"/>
    </row>
    <row r="306" spans="1:28" x14ac:dyDescent="0.2">
      <c r="C306" s="1" t="s">
        <v>23</v>
      </c>
      <c r="D306" s="11">
        <v>9.3937875794482872E-2</v>
      </c>
      <c r="E306" s="11">
        <v>8.0864035637783438E-2</v>
      </c>
      <c r="F306" s="11">
        <v>0.10038615270534423</v>
      </c>
      <c r="G306" s="12">
        <v>9.1168081786321631E-2</v>
      </c>
      <c r="H306" s="11"/>
      <c r="I306" s="11">
        <v>4.8006594064343933E-2</v>
      </c>
      <c r="J306" s="11">
        <v>0.13221989176513782</v>
      </c>
      <c r="K306" s="11">
        <v>0.15137433264870626</v>
      </c>
      <c r="L306" s="11">
        <v>0.14040659585446913</v>
      </c>
      <c r="M306" s="12">
        <v>7.8937963309369197E-2</v>
      </c>
      <c r="O306" s="12">
        <v>8.2612740227841375E-2</v>
      </c>
      <c r="T306" s="1"/>
      <c r="Z306" s="1"/>
      <c r="AB306" s="1"/>
    </row>
    <row r="307" spans="1:28" x14ac:dyDescent="0.2">
      <c r="T307" s="1"/>
      <c r="Z307" s="1"/>
      <c r="AB307" s="1"/>
    </row>
    <row r="308" spans="1:28" x14ac:dyDescent="0.2">
      <c r="A308" s="1" t="s">
        <v>16</v>
      </c>
      <c r="C308" s="1" t="s">
        <v>21</v>
      </c>
      <c r="D308" s="7">
        <v>1247105.5411253006</v>
      </c>
      <c r="E308" s="7">
        <v>399015.92391294317</v>
      </c>
      <c r="F308" s="7">
        <v>89334.415797600072</v>
      </c>
      <c r="G308" s="8">
        <v>1735455.8808358437</v>
      </c>
      <c r="I308" s="7">
        <v>2546173.189996494</v>
      </c>
      <c r="J308" s="7">
        <v>395917.92476720025</v>
      </c>
      <c r="K308" s="7">
        <v>682151.34840607003</v>
      </c>
      <c r="L308" s="7">
        <v>164718.92280850001</v>
      </c>
      <c r="M308" s="8">
        <v>3788961.3859782643</v>
      </c>
      <c r="O308" s="8">
        <v>5524417.266814108</v>
      </c>
      <c r="T308" s="1"/>
      <c r="Z308" s="1"/>
      <c r="AB308" s="1"/>
    </row>
    <row r="309" spans="1:28" x14ac:dyDescent="0.2">
      <c r="C309" s="1" t="s">
        <v>22</v>
      </c>
      <c r="D309" s="7">
        <v>1132474.1540000001</v>
      </c>
      <c r="E309" s="7">
        <v>386974.20899999997</v>
      </c>
      <c r="F309" s="7">
        <v>60971.97</v>
      </c>
      <c r="G309" s="8">
        <v>1580420.3330000001</v>
      </c>
      <c r="I309" s="7">
        <v>2369228.7519999999</v>
      </c>
      <c r="J309" s="7">
        <v>399181.99800000002</v>
      </c>
      <c r="K309" s="7">
        <v>632393.71200000006</v>
      </c>
      <c r="L309" s="7">
        <v>160804.019</v>
      </c>
      <c r="M309" s="8">
        <v>3561608.4810000001</v>
      </c>
      <c r="O309" s="8">
        <v>5142028.8140000002</v>
      </c>
      <c r="T309" s="1"/>
      <c r="Z309" s="1"/>
      <c r="AB309" s="1"/>
    </row>
    <row r="310" spans="1:28" x14ac:dyDescent="0.2">
      <c r="C310" s="1" t="s">
        <v>23</v>
      </c>
      <c r="D310" s="11">
        <v>0.1012220779789208</v>
      </c>
      <c r="E310" s="11">
        <v>3.1117616194786812E-2</v>
      </c>
      <c r="F310" s="11">
        <v>0.46517187812038996</v>
      </c>
      <c r="G310" s="12">
        <v>9.8097667182976966E-2</v>
      </c>
      <c r="H310" s="11"/>
      <c r="I310" s="11">
        <v>7.4684404301241569E-2</v>
      </c>
      <c r="J310" s="11">
        <v>-8.1769048933909572E-3</v>
      </c>
      <c r="K310" s="11">
        <v>7.8681421813488805E-2</v>
      </c>
      <c r="L310" s="11">
        <v>2.4345808225725962E-2</v>
      </c>
      <c r="M310" s="12">
        <v>6.3834333894676076E-2</v>
      </c>
      <c r="O310" s="12">
        <v>7.4365287835998384E-2</v>
      </c>
      <c r="T310" s="1"/>
      <c r="Z310" s="1"/>
      <c r="AB310" s="1"/>
    </row>
    <row r="311" spans="1:28" x14ac:dyDescent="0.2">
      <c r="T311" s="1"/>
      <c r="Z311" s="1"/>
      <c r="AB311" s="1"/>
    </row>
    <row r="312" spans="1:28" x14ac:dyDescent="0.2">
      <c r="A312" s="1" t="s">
        <v>17</v>
      </c>
      <c r="C312" s="1" t="s">
        <v>21</v>
      </c>
      <c r="D312" s="7">
        <v>1095443.8163009009</v>
      </c>
      <c r="E312" s="7">
        <v>350324.08898905572</v>
      </c>
      <c r="F312" s="7">
        <v>72236.990446399883</v>
      </c>
      <c r="G312" s="8">
        <v>1518004.8957363565</v>
      </c>
      <c r="I312" s="7">
        <v>2062716.2429840707</v>
      </c>
      <c r="J312" s="7">
        <v>283826.68276520009</v>
      </c>
      <c r="K312" s="7">
        <v>623371.62543118303</v>
      </c>
      <c r="L312" s="7">
        <v>172948.01692610001</v>
      </c>
      <c r="M312" s="8">
        <v>3142862.568106554</v>
      </c>
      <c r="O312" s="8">
        <v>4660867.4638429107</v>
      </c>
      <c r="T312" s="1"/>
      <c r="Z312" s="1"/>
      <c r="AB312" s="1"/>
    </row>
    <row r="313" spans="1:28" x14ac:dyDescent="0.2">
      <c r="C313" s="1" t="s">
        <v>22</v>
      </c>
      <c r="D313" s="7">
        <v>976411.99100000004</v>
      </c>
      <c r="E313" s="7">
        <v>301192.70400000003</v>
      </c>
      <c r="F313" s="7">
        <v>64756.993999999999</v>
      </c>
      <c r="G313" s="8">
        <v>1342361.689</v>
      </c>
      <c r="I313" s="7">
        <v>1909616.0560000001</v>
      </c>
      <c r="J313" s="7">
        <v>266770.65999999997</v>
      </c>
      <c r="K313" s="7">
        <v>579063.19900000002</v>
      </c>
      <c r="L313" s="7">
        <v>152426.59700000001</v>
      </c>
      <c r="M313" s="8">
        <v>2907876.5120000001</v>
      </c>
      <c r="O313" s="8">
        <v>4250238.2010000004</v>
      </c>
      <c r="T313" s="1"/>
      <c r="Z313" s="1"/>
      <c r="AB313" s="1"/>
    </row>
    <row r="314" spans="1:28" x14ac:dyDescent="0.2">
      <c r="C314" s="1" t="s">
        <v>23</v>
      </c>
      <c r="D314" s="11">
        <v>0.1219073776214008</v>
      </c>
      <c r="E314" s="11">
        <v>0.16312275940474197</v>
      </c>
      <c r="F314" s="11">
        <v>0.11550870391543944</v>
      </c>
      <c r="G314" s="12">
        <v>0.13084640911288448</v>
      </c>
      <c r="H314" s="11"/>
      <c r="I314" s="11">
        <v>8.0173282217140374E-2</v>
      </c>
      <c r="J314" s="11">
        <v>6.3935152258498551E-2</v>
      </c>
      <c r="K314" s="11">
        <v>7.6517427644686054E-2</v>
      </c>
      <c r="L314" s="11">
        <v>0.13463149036975475</v>
      </c>
      <c r="M314" s="12">
        <v>8.0810190920017178E-2</v>
      </c>
      <c r="O314" s="12">
        <v>9.6613235170277534E-2</v>
      </c>
      <c r="T314" s="1"/>
      <c r="Z314" s="1"/>
      <c r="AB314" s="1"/>
    </row>
    <row r="315" spans="1:28" x14ac:dyDescent="0.2">
      <c r="T315" s="1"/>
      <c r="Z315" s="1"/>
      <c r="AB315" s="1"/>
    </row>
    <row r="316" spans="1:28" x14ac:dyDescent="0.2">
      <c r="A316" s="1" t="s">
        <v>18</v>
      </c>
      <c r="C316" s="1" t="s">
        <v>21</v>
      </c>
      <c r="D316" s="7">
        <v>1135552.3503223991</v>
      </c>
      <c r="E316" s="7">
        <v>366823.26342600246</v>
      </c>
      <c r="F316" s="7">
        <v>63235.495168900074</v>
      </c>
      <c r="G316" s="8">
        <v>1565611.1089173015</v>
      </c>
      <c r="I316" s="7">
        <v>1976277.0938441218</v>
      </c>
      <c r="J316" s="7">
        <v>264303.29762300011</v>
      </c>
      <c r="K316" s="7">
        <v>683605.31686200399</v>
      </c>
      <c r="L316" s="7">
        <v>190960.8040145</v>
      </c>
      <c r="M316" s="8">
        <v>3115146.5123436255</v>
      </c>
      <c r="O316" s="8">
        <v>4680757.6212609271</v>
      </c>
      <c r="T316" s="1"/>
      <c r="Z316" s="1"/>
      <c r="AB316" s="1"/>
    </row>
    <row r="317" spans="1:28" x14ac:dyDescent="0.2">
      <c r="C317" s="1" t="s">
        <v>22</v>
      </c>
      <c r="D317" s="7">
        <v>1008493.419</v>
      </c>
      <c r="E317" s="7">
        <v>342188.19400000002</v>
      </c>
      <c r="F317" s="7">
        <v>59068.105000000003</v>
      </c>
      <c r="G317" s="8">
        <v>1409749.7179999999</v>
      </c>
      <c r="I317" s="7">
        <v>1923127.1470000001</v>
      </c>
      <c r="J317" s="7">
        <v>268267.31199999998</v>
      </c>
      <c r="K317" s="7">
        <v>612854.62399999995</v>
      </c>
      <c r="L317" s="7">
        <v>169805.08</v>
      </c>
      <c r="M317" s="8">
        <v>2974054.1630000002</v>
      </c>
      <c r="O317" s="8">
        <v>4383803.8810000001</v>
      </c>
      <c r="T317" s="1"/>
      <c r="Z317" s="1"/>
      <c r="AB317" s="1"/>
    </row>
    <row r="318" spans="1:28" x14ac:dyDescent="0.2">
      <c r="C318" s="1" t="s">
        <v>23</v>
      </c>
      <c r="D318" s="11">
        <v>0.12598885518597425</v>
      </c>
      <c r="E318" s="11">
        <v>7.1992750942197814E-2</v>
      </c>
      <c r="F318" s="11">
        <v>7.0552291611523099E-2</v>
      </c>
      <c r="G318" s="12">
        <v>0.11055961843952056</v>
      </c>
      <c r="H318" s="11"/>
      <c r="I318" s="11">
        <v>2.7637250572347005E-2</v>
      </c>
      <c r="J318" s="11">
        <v>-1.4776359994988386E-2</v>
      </c>
      <c r="K318" s="11">
        <v>0.11544449546652036</v>
      </c>
      <c r="L318" s="11">
        <v>0.12458828684336187</v>
      </c>
      <c r="M318" s="12">
        <v>4.7441082647029509E-2</v>
      </c>
      <c r="O318" s="12">
        <v>6.7738828725428357E-2</v>
      </c>
      <c r="T318" s="1"/>
      <c r="Z318" s="1"/>
      <c r="AB318" s="1"/>
    </row>
    <row r="319" spans="1:28" x14ac:dyDescent="0.2">
      <c r="T319" s="1"/>
      <c r="Z319" s="1"/>
      <c r="AB319" s="1"/>
    </row>
    <row r="320" spans="1:28" x14ac:dyDescent="0.2">
      <c r="A320" s="1" t="s">
        <v>19</v>
      </c>
      <c r="C320" s="1" t="s">
        <v>21</v>
      </c>
      <c r="D320" s="7">
        <v>1179217.7483934006</v>
      </c>
      <c r="E320" s="7">
        <v>389236.66627823922</v>
      </c>
      <c r="F320" s="7">
        <v>68878.196330499966</v>
      </c>
      <c r="G320" s="8">
        <v>1637332.61100214</v>
      </c>
      <c r="I320" s="7">
        <v>2010847.9308816481</v>
      </c>
      <c r="J320" s="7">
        <v>243386.28172489937</v>
      </c>
      <c r="K320" s="7">
        <v>687629.19747665094</v>
      </c>
      <c r="L320" s="7">
        <v>180201.6341115</v>
      </c>
      <c r="M320" s="8">
        <v>3122065.0441946983</v>
      </c>
      <c r="O320" s="8">
        <v>4759397.6551968381</v>
      </c>
      <c r="T320" s="1"/>
      <c r="Z320" s="1"/>
      <c r="AB320" s="1"/>
    </row>
    <row r="321" spans="1:28" x14ac:dyDescent="0.2">
      <c r="C321" s="1" t="s">
        <v>22</v>
      </c>
      <c r="D321" s="7">
        <v>1060718.44</v>
      </c>
      <c r="E321" s="7">
        <v>335068.038</v>
      </c>
      <c r="F321" s="7">
        <v>65393.057999999997</v>
      </c>
      <c r="G321" s="8">
        <v>1461179.5359999998</v>
      </c>
      <c r="I321" s="7">
        <v>1827155.284</v>
      </c>
      <c r="J321" s="7">
        <v>228276.356</v>
      </c>
      <c r="K321" s="7">
        <v>652928.33900000004</v>
      </c>
      <c r="L321" s="7">
        <v>195469.071</v>
      </c>
      <c r="M321" s="8">
        <v>2903829.05</v>
      </c>
      <c r="O321" s="8">
        <v>4365008.5859999992</v>
      </c>
      <c r="T321" s="1"/>
      <c r="Z321" s="1"/>
      <c r="AB321" s="1"/>
    </row>
    <row r="322" spans="1:28" x14ac:dyDescent="0.2">
      <c r="C322" s="1" t="s">
        <v>23</v>
      </c>
      <c r="D322" s="11">
        <v>0.11171608216163431</v>
      </c>
      <c r="E322" s="11">
        <v>0.16166456401382945</v>
      </c>
      <c r="F322" s="11">
        <v>5.3295234036921268E-2</v>
      </c>
      <c r="G322" s="12">
        <v>0.12055539422921413</v>
      </c>
      <c r="H322" s="11"/>
      <c r="I322" s="11">
        <v>0.10053477582896453</v>
      </c>
      <c r="J322" s="11">
        <v>6.6191374304658046E-2</v>
      </c>
      <c r="K322" s="11">
        <v>5.3146503841137394E-2</v>
      </c>
      <c r="L322" s="11">
        <v>-7.8106663168721946E-2</v>
      </c>
      <c r="M322" s="12">
        <v>7.5154559871456028E-2</v>
      </c>
      <c r="O322" s="12">
        <v>9.0352415448109902E-2</v>
      </c>
      <c r="T322" s="1"/>
      <c r="Z322" s="1"/>
      <c r="AB322" s="1"/>
    </row>
    <row r="323" spans="1:28" x14ac:dyDescent="0.2">
      <c r="T323" s="1"/>
      <c r="Z323" s="1"/>
      <c r="AB323" s="1"/>
    </row>
    <row r="324" spans="1:28" x14ac:dyDescent="0.2">
      <c r="A324" s="1" t="s">
        <v>20</v>
      </c>
      <c r="C324" s="1" t="s">
        <v>21</v>
      </c>
      <c r="D324" s="7">
        <v>1361023.4586571006</v>
      </c>
      <c r="E324" s="7">
        <v>433564.93843131355</v>
      </c>
      <c r="F324" s="7">
        <v>82209.482545499995</v>
      </c>
      <c r="G324" s="8">
        <v>1876797.879633914</v>
      </c>
      <c r="I324" s="7">
        <v>2208316.5528507223</v>
      </c>
      <c r="J324" s="7">
        <v>291497.38173900003</v>
      </c>
      <c r="K324" s="7">
        <v>703455.24062122696</v>
      </c>
      <c r="L324" s="7">
        <v>169139.1163691</v>
      </c>
      <c r="M324" s="8">
        <v>3372408.2915800489</v>
      </c>
      <c r="O324" s="8">
        <v>5249206.1712139631</v>
      </c>
      <c r="T324" s="1"/>
      <c r="Z324" s="1"/>
      <c r="AB324" s="1"/>
    </row>
    <row r="325" spans="1:28" x14ac:dyDescent="0.2">
      <c r="C325" s="1" t="s">
        <v>22</v>
      </c>
      <c r="D325" s="7">
        <v>1204218.398</v>
      </c>
      <c r="E325" s="7">
        <v>402571.33299999998</v>
      </c>
      <c r="F325" s="7">
        <v>64914.860999999997</v>
      </c>
      <c r="G325" s="8">
        <v>1671704.5920000002</v>
      </c>
      <c r="I325" s="7">
        <v>2098093.0490000001</v>
      </c>
      <c r="J325" s="7">
        <v>244258.49600000001</v>
      </c>
      <c r="K325" s="7">
        <v>639007</v>
      </c>
      <c r="L325" s="7">
        <v>198666.11199999999</v>
      </c>
      <c r="M325" s="8">
        <v>3180024.6570000001</v>
      </c>
      <c r="O325" s="8">
        <v>4851729.2489999998</v>
      </c>
      <c r="T325" s="1"/>
      <c r="Z325" s="1"/>
      <c r="AB325" s="1"/>
    </row>
    <row r="326" spans="1:28" x14ac:dyDescent="0.2">
      <c r="C326" s="1" t="s">
        <v>23</v>
      </c>
      <c r="D326" s="11">
        <v>0.13021314150118179</v>
      </c>
      <c r="E326" s="11">
        <v>7.698910203154874E-2</v>
      </c>
      <c r="F326" s="11">
        <v>0.26642006589985612</v>
      </c>
      <c r="G326" s="12">
        <v>0.12268512547934285</v>
      </c>
      <c r="H326" s="11"/>
      <c r="I326" s="11">
        <v>5.2535088423870002E-2</v>
      </c>
      <c r="J326" s="11">
        <v>0.19339710393942666</v>
      </c>
      <c r="K326" s="11">
        <v>0.10085686169514108</v>
      </c>
      <c r="L326" s="11">
        <v>-0.14862623189051993</v>
      </c>
      <c r="M326" s="12">
        <v>6.0497529211468892E-2</v>
      </c>
      <c r="O326" s="12">
        <v>8.1924794607178164E-2</v>
      </c>
      <c r="T326" s="1"/>
      <c r="Z326" s="1"/>
      <c r="AB326" s="1"/>
    </row>
    <row r="327" spans="1:28" x14ac:dyDescent="0.2">
      <c r="T327" s="1"/>
      <c r="Z327" s="1"/>
      <c r="AB327" s="1"/>
    </row>
    <row r="328" spans="1:28" x14ac:dyDescent="0.2">
      <c r="A328" s="1" t="s">
        <v>51</v>
      </c>
      <c r="C328" s="1" t="s">
        <v>21</v>
      </c>
      <c r="D328" s="7">
        <v>14293228.421319202</v>
      </c>
      <c r="E328" s="7">
        <v>4484520.3502564151</v>
      </c>
      <c r="F328" s="7">
        <v>922835.24404630018</v>
      </c>
      <c r="G328" s="8">
        <v>19700584.015621919</v>
      </c>
      <c r="I328" s="7">
        <v>25547112.275478259</v>
      </c>
      <c r="J328" s="7">
        <v>3799702.5699620014</v>
      </c>
      <c r="K328" s="7">
        <v>8032935.0701968251</v>
      </c>
      <c r="L328" s="7">
        <v>2064057.1525318001</v>
      </c>
      <c r="M328" s="8">
        <v>39443807.068168879</v>
      </c>
      <c r="O328" s="8">
        <v>59144391.083790794</v>
      </c>
      <c r="T328" s="1"/>
      <c r="Z328" s="1"/>
      <c r="AB328" s="1"/>
    </row>
    <row r="329" spans="1:28" x14ac:dyDescent="0.2">
      <c r="C329" s="1" t="s">
        <v>22</v>
      </c>
      <c r="D329" s="7">
        <v>12778781.288000001</v>
      </c>
      <c r="E329" s="7">
        <v>4041897.8550000004</v>
      </c>
      <c r="F329" s="7">
        <v>782661.2209999999</v>
      </c>
      <c r="G329" s="8">
        <v>17603340.364</v>
      </c>
      <c r="I329" s="7">
        <v>23930266.010999996</v>
      </c>
      <c r="J329" s="7">
        <v>3517627.2520000003</v>
      </c>
      <c r="K329" s="7">
        <v>7455491.466</v>
      </c>
      <c r="L329" s="7">
        <v>2042615.7060000002</v>
      </c>
      <c r="M329" s="8">
        <v>36946000.434999995</v>
      </c>
      <c r="O329" s="8">
        <v>54549340.798999995</v>
      </c>
      <c r="T329" s="1"/>
      <c r="Z329" s="1"/>
      <c r="AB329" s="1"/>
    </row>
    <row r="330" spans="1:28" x14ac:dyDescent="0.2">
      <c r="C330" s="1" t="s">
        <v>23</v>
      </c>
      <c r="D330" s="11">
        <v>0.11851264210471713</v>
      </c>
      <c r="E330" s="11">
        <v>0.10950858016089438</v>
      </c>
      <c r="F330" s="11">
        <v>0.17909923129601468</v>
      </c>
      <c r="G330" s="12">
        <v>0.11913895932563578</v>
      </c>
      <c r="I330" s="11">
        <v>6.7564909798121242E-2</v>
      </c>
      <c r="J330" s="11">
        <v>8.0189087061917297E-2</v>
      </c>
      <c r="K330" s="11">
        <v>7.7452117922768293E-2</v>
      </c>
      <c r="L330" s="11">
        <v>1.0497053591048688E-2</v>
      </c>
      <c r="M330" s="12">
        <v>6.760695619985535E-2</v>
      </c>
      <c r="O330" s="12">
        <v>8.423658686770108E-2</v>
      </c>
      <c r="T330" s="1"/>
      <c r="Z330" s="1"/>
      <c r="AB330" s="1"/>
    </row>
    <row r="331" spans="1:28" x14ac:dyDescent="0.2">
      <c r="D331" s="10"/>
      <c r="E331" s="10"/>
      <c r="F331" s="10"/>
      <c r="G331" s="9"/>
      <c r="H331" s="10"/>
      <c r="I331" s="10"/>
      <c r="J331" s="10"/>
      <c r="K331" s="10"/>
      <c r="L331" s="10"/>
      <c r="M331" s="9"/>
      <c r="O331" s="9"/>
      <c r="T331" s="1"/>
      <c r="Z331" s="1"/>
      <c r="AB331" s="1"/>
    </row>
  </sheetData>
  <mergeCells count="1">
    <mergeCell ref="Q2:Z2"/>
  </mergeCells>
  <phoneticPr fontId="1" type="noConversion"/>
  <printOptions horizontalCentered="1"/>
  <pageMargins left="0.25" right="0.25" top="0.75" bottom="0.5" header="0.5" footer="0.5"/>
  <pageSetup scale="37" fitToHeight="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38"/>
  <sheetViews>
    <sheetView zoomScaleNormal="100" workbookViewId="0"/>
  </sheetViews>
  <sheetFormatPr defaultRowHeight="12.75" x14ac:dyDescent="0.2"/>
  <cols>
    <col min="1" max="1" width="30" style="1" customWidth="1"/>
    <col min="2" max="2" width="9.5703125" style="1" customWidth="1"/>
    <col min="3" max="3" width="12.28515625" style="1" bestFit="1" customWidth="1"/>
    <col min="4" max="16384" width="9.140625" style="1"/>
  </cols>
  <sheetData>
    <row r="1" spans="1:5" x14ac:dyDescent="0.2">
      <c r="B1" s="1" t="s">
        <v>35</v>
      </c>
      <c r="C1" s="1" t="s">
        <v>36</v>
      </c>
      <c r="D1" s="1" t="s">
        <v>37</v>
      </c>
      <c r="E1" s="1" t="s">
        <v>38</v>
      </c>
    </row>
    <row r="2" spans="1:5" x14ac:dyDescent="0.2">
      <c r="A2" s="13" t="s">
        <v>28</v>
      </c>
      <c r="B2" s="14">
        <f>'Line Losses_Alt'!AC61</f>
        <v>0.10599872401348299</v>
      </c>
      <c r="C2" s="14">
        <f>'Line Losses_Alt'!AC63</f>
        <v>0.10530007453544499</v>
      </c>
      <c r="D2" s="14">
        <f>'Line Losses_Alt'!AC65</f>
        <v>7.3944574494370544E-2</v>
      </c>
      <c r="E2" s="14">
        <f>'Line Losses_Alt'!AC67</f>
        <v>0.10180987612322766</v>
      </c>
    </row>
    <row r="3" spans="1:5" x14ac:dyDescent="0.2">
      <c r="A3" s="13" t="s">
        <v>29</v>
      </c>
      <c r="B3" s="14">
        <f>'Line Losses_Alt'!AD61</f>
        <v>0.13613580012821067</v>
      </c>
      <c r="C3" s="14">
        <f>'Line Losses_Alt'!AD63</f>
        <v>7.4003916109935675E-2</v>
      </c>
      <c r="D3" s="14">
        <f>'Line Losses_Alt'!AD65</f>
        <v>8.9647848740886119E-2</v>
      </c>
      <c r="E3" s="14">
        <f>'Line Losses_Alt'!AD67</f>
        <v>0.1269772399695713</v>
      </c>
    </row>
    <row r="4" spans="1:5" x14ac:dyDescent="0.2">
      <c r="A4" s="13" t="s">
        <v>30</v>
      </c>
      <c r="B4" s="14">
        <f>'Line Losses_Alt'!AE61</f>
        <v>0.13493636536093243</v>
      </c>
      <c r="C4" s="14">
        <f>'Line Losses_Alt'!AE63</f>
        <v>0.19509244941433335</v>
      </c>
      <c r="D4" s="14">
        <f>'Line Losses_Alt'!AE65</f>
        <v>0.10074309273221442</v>
      </c>
      <c r="E4" s="14">
        <f>'Line Losses_Alt'!AE67</f>
        <v>0.18505938684781739</v>
      </c>
    </row>
    <row r="5" spans="1:5" x14ac:dyDescent="0.2">
      <c r="A5" s="13" t="s">
        <v>31</v>
      </c>
      <c r="B5" s="14">
        <f>'Line Losses_Alt'!AH61</f>
        <v>8.6012203939969667E-2</v>
      </c>
      <c r="C5" s="14">
        <f>'Line Losses_Alt'!AH63</f>
        <v>6.0858442405758571E-2</v>
      </c>
      <c r="D5" s="14">
        <f>'Line Losses_Alt'!AH65</f>
        <v>7.4855805908240036E-2</v>
      </c>
      <c r="E5" s="14">
        <f>'Line Losses_Alt'!AH67</f>
        <v>8.4072799034080395E-2</v>
      </c>
    </row>
    <row r="6" spans="1:5" x14ac:dyDescent="0.2">
      <c r="A6" s="13" t="s">
        <v>32</v>
      </c>
      <c r="B6" s="15">
        <f>'Line Losses_Alt'!AF61</f>
        <v>7.0545082891115982E-2</v>
      </c>
      <c r="C6" s="15">
        <f>'Line Losses_Alt'!AF63</f>
        <v>7.2531251450515755E-2</v>
      </c>
      <c r="D6" s="15">
        <f>'Line Losses_Alt'!AF65</f>
        <v>8.6511184080068929E-2</v>
      </c>
      <c r="E6" s="15">
        <f>'Line Losses_Alt'!AF67</f>
        <v>9.4704775123939003E-2</v>
      </c>
    </row>
    <row r="7" spans="1:5" x14ac:dyDescent="0.2">
      <c r="A7" s="13" t="s">
        <v>33</v>
      </c>
      <c r="B7" s="14">
        <f>'Line Losses_Alt'!AG61</f>
        <v>7.7155991984313693E-2</v>
      </c>
      <c r="C7" s="14">
        <f>'Line Losses_Alt'!AG63</f>
        <v>0.14156361956688279</v>
      </c>
      <c r="D7" s="14">
        <f>'Line Losses_Alt'!AG65</f>
        <v>0.10536425925316818</v>
      </c>
      <c r="E7" s="14">
        <f>'Line Losses_Alt'!AG67</f>
        <v>8.8026938371684807E-2</v>
      </c>
    </row>
    <row r="8" spans="1:5" x14ac:dyDescent="0.2">
      <c r="A8" s="13" t="s">
        <v>34</v>
      </c>
      <c r="B8" s="14">
        <f>B5</f>
        <v>8.6012203939969667E-2</v>
      </c>
      <c r="C8" s="14">
        <f>C5</f>
        <v>6.0858442405758571E-2</v>
      </c>
      <c r="D8" s="14">
        <f>D5</f>
        <v>7.4855805908240036E-2</v>
      </c>
      <c r="E8" s="14">
        <f>E5</f>
        <v>8.4072799034080395E-2</v>
      </c>
    </row>
    <row r="11" spans="1:5" x14ac:dyDescent="0.2">
      <c r="D11" s="14"/>
    </row>
    <row r="12" spans="1:5" x14ac:dyDescent="0.2">
      <c r="A12" s="13"/>
      <c r="B12" s="14"/>
    </row>
    <row r="13" spans="1:5" x14ac:dyDescent="0.2">
      <c r="A13" s="13"/>
      <c r="B13" s="14"/>
    </row>
    <row r="14" spans="1:5" x14ac:dyDescent="0.2">
      <c r="A14" s="13"/>
      <c r="B14" s="14" t="s">
        <v>39</v>
      </c>
    </row>
    <row r="15" spans="1:5" x14ac:dyDescent="0.2">
      <c r="A15" s="13" t="s">
        <v>28</v>
      </c>
      <c r="B15" s="14">
        <f>'Line Losses_Alt'!AC71</f>
        <v>0.10100706618161905</v>
      </c>
    </row>
    <row r="16" spans="1:5" x14ac:dyDescent="0.2">
      <c r="A16" s="13" t="s">
        <v>29</v>
      </c>
      <c r="B16" s="15">
        <f>'Line Losses_Alt'!AD71</f>
        <v>0.11334424129306393</v>
      </c>
    </row>
    <row r="17" spans="1:5" x14ac:dyDescent="0.2">
      <c r="A17" s="13" t="s">
        <v>30</v>
      </c>
      <c r="B17" s="14">
        <f>'Line Losses_Alt'!AE71</f>
        <v>0.14376747677078341</v>
      </c>
    </row>
    <row r="18" spans="1:5" x14ac:dyDescent="0.2">
      <c r="A18" s="13" t="s">
        <v>31</v>
      </c>
      <c r="B18" s="14">
        <f>'Line Losses_Alt'!AH71</f>
        <v>8.3612747523487338E-2</v>
      </c>
    </row>
    <row r="19" spans="1:5" x14ac:dyDescent="0.2">
      <c r="A19" s="13" t="s">
        <v>32</v>
      </c>
      <c r="B19" s="11">
        <f>'Line Losses_Alt'!AF71</f>
        <v>8.2513416075796764E-2</v>
      </c>
      <c r="D19" s="14"/>
    </row>
    <row r="20" spans="1:5" x14ac:dyDescent="0.2">
      <c r="A20" s="13" t="s">
        <v>33</v>
      </c>
      <c r="B20" s="11">
        <f>'Line Losses_Alt'!AG71</f>
        <v>9.8206494096669192E-2</v>
      </c>
    </row>
    <row r="21" spans="1:5" x14ac:dyDescent="0.2">
      <c r="A21" s="13" t="s">
        <v>34</v>
      </c>
      <c r="B21" s="14">
        <f>B18</f>
        <v>8.3612747523487338E-2</v>
      </c>
      <c r="C21" s="14"/>
      <c r="D21" s="14"/>
      <c r="E21" s="14"/>
    </row>
    <row r="22" spans="1:5" x14ac:dyDescent="0.2">
      <c r="A22" s="13"/>
      <c r="B22" s="14"/>
      <c r="C22" s="14"/>
      <c r="D22" s="14"/>
      <c r="E22" s="14"/>
    </row>
    <row r="23" spans="1:5" x14ac:dyDescent="0.2">
      <c r="A23" s="13"/>
      <c r="B23" s="14"/>
      <c r="C23" s="14"/>
      <c r="D23" s="14"/>
      <c r="E23" s="14"/>
    </row>
    <row r="24" spans="1:5" x14ac:dyDescent="0.2">
      <c r="A24" s="13"/>
      <c r="B24" s="14"/>
      <c r="C24" s="14"/>
      <c r="D24" s="14"/>
      <c r="E24" s="14"/>
    </row>
    <row r="25" spans="1:5" x14ac:dyDescent="0.2">
      <c r="A25" s="13"/>
      <c r="B25" s="15"/>
      <c r="C25" s="15"/>
      <c r="D25" s="15"/>
      <c r="E25" s="15"/>
    </row>
    <row r="26" spans="1:5" x14ac:dyDescent="0.2">
      <c r="A26" s="13"/>
      <c r="B26" s="14"/>
      <c r="C26" s="14"/>
      <c r="D26" s="14"/>
      <c r="E26" s="14"/>
    </row>
    <row r="27" spans="1:5" x14ac:dyDescent="0.2">
      <c r="A27" s="13"/>
      <c r="B27" s="14"/>
      <c r="C27" s="14"/>
      <c r="D27" s="14"/>
      <c r="E27" s="14"/>
    </row>
    <row r="32" spans="1:5" x14ac:dyDescent="0.2">
      <c r="C32" s="14"/>
    </row>
    <row r="33" spans="3:3" x14ac:dyDescent="0.2">
      <c r="C33" s="14"/>
    </row>
    <row r="34" spans="3:3" x14ac:dyDescent="0.2">
      <c r="C34" s="14"/>
    </row>
    <row r="35" spans="3:3" x14ac:dyDescent="0.2">
      <c r="C35" s="14"/>
    </row>
    <row r="36" spans="3:3" x14ac:dyDescent="0.2">
      <c r="C36" s="15"/>
    </row>
    <row r="37" spans="3:3" x14ac:dyDescent="0.2">
      <c r="C37" s="14"/>
    </row>
    <row r="38" spans="3:3" x14ac:dyDescent="0.2">
      <c r="C38" s="14"/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I384"/>
  <sheetViews>
    <sheetView zoomScaleNormal="100" workbookViewId="0"/>
  </sheetViews>
  <sheetFormatPr defaultRowHeight="12.75" x14ac:dyDescent="0.2"/>
  <cols>
    <col min="1" max="1" width="10.7109375" style="1" customWidth="1"/>
    <col min="2" max="2" width="2.7109375" style="1" customWidth="1"/>
    <col min="3" max="3" width="12.7109375" style="1" customWidth="1"/>
    <col min="4" max="7" width="15.7109375" style="7" customWidth="1"/>
    <col min="8" max="8" width="2.7109375" style="7" customWidth="1"/>
    <col min="9" max="11" width="15.7109375" style="7" customWidth="1"/>
    <col min="12" max="12" width="15.7109375" style="1" customWidth="1"/>
    <col min="13" max="13" width="9.140625" style="1"/>
    <col min="14" max="14" width="15.7109375" style="1" customWidth="1"/>
    <col min="15" max="15" width="9.140625" style="1"/>
    <col min="16" max="16" width="12" style="1" bestFit="1" customWidth="1"/>
    <col min="17" max="17" width="12.5703125" style="1" bestFit="1" customWidth="1"/>
    <col min="18" max="18" width="11.42578125" style="1" customWidth="1"/>
    <col min="19" max="19" width="12" style="1" bestFit="1" customWidth="1"/>
    <col min="20" max="20" width="4.7109375" style="1" customWidth="1"/>
    <col min="21" max="21" width="12" style="1" bestFit="1" customWidth="1"/>
    <col min="22" max="23" width="11" style="1" bestFit="1" customWidth="1"/>
    <col min="24" max="24" width="12" style="1" bestFit="1" customWidth="1"/>
    <col min="25" max="25" width="4.7109375" style="1" customWidth="1"/>
    <col min="26" max="26" width="12" style="1" bestFit="1" customWidth="1"/>
    <col min="27" max="16384" width="9.140625" style="1"/>
  </cols>
  <sheetData>
    <row r="1" spans="1:26" x14ac:dyDescent="0.2">
      <c r="D1" s="19" t="s">
        <v>7</v>
      </c>
      <c r="E1" s="19"/>
      <c r="F1" s="19"/>
      <c r="G1" s="19"/>
      <c r="H1" s="10"/>
      <c r="I1" s="19" t="s">
        <v>8</v>
      </c>
      <c r="J1" s="19"/>
      <c r="K1" s="19"/>
      <c r="L1" s="19"/>
      <c r="N1" s="6" t="s">
        <v>24</v>
      </c>
      <c r="R1" s="1" t="s">
        <v>26</v>
      </c>
      <c r="Z1" s="6" t="s">
        <v>24</v>
      </c>
    </row>
    <row r="2" spans="1:26" x14ac:dyDescent="0.2">
      <c r="D2" s="10" t="s">
        <v>0</v>
      </c>
      <c r="E2" s="10" t="s">
        <v>1</v>
      </c>
      <c r="F2" s="10" t="s">
        <v>2</v>
      </c>
      <c r="G2" s="10" t="s">
        <v>24</v>
      </c>
      <c r="H2" s="10"/>
      <c r="I2" s="10" t="s">
        <v>3</v>
      </c>
      <c r="J2" s="10" t="s">
        <v>4</v>
      </c>
      <c r="K2" s="10" t="s">
        <v>25</v>
      </c>
      <c r="L2" s="10" t="s">
        <v>24</v>
      </c>
      <c r="N2" s="10" t="s">
        <v>49</v>
      </c>
      <c r="P2" s="10" t="s">
        <v>0</v>
      </c>
      <c r="Q2" s="10" t="s">
        <v>1</v>
      </c>
      <c r="R2" s="10" t="s">
        <v>2</v>
      </c>
      <c r="S2" s="10" t="s">
        <v>24</v>
      </c>
      <c r="T2" s="10"/>
      <c r="U2" s="10" t="s">
        <v>3</v>
      </c>
      <c r="V2" s="10" t="s">
        <v>4</v>
      </c>
      <c r="W2" s="10" t="s">
        <v>25</v>
      </c>
      <c r="X2" s="10" t="s">
        <v>24</v>
      </c>
      <c r="Y2" s="10"/>
      <c r="Z2" s="10" t="s">
        <v>49</v>
      </c>
    </row>
    <row r="3" spans="1:26" x14ac:dyDescent="0.2">
      <c r="A3" s="1">
        <v>2008</v>
      </c>
    </row>
    <row r="4" spans="1:26" x14ac:dyDescent="0.2">
      <c r="A4" s="1" t="s">
        <v>9</v>
      </c>
      <c r="C4" s="1" t="s">
        <v>21</v>
      </c>
      <c r="D4" s="7">
        <v>1564188.6169620007</v>
      </c>
      <c r="E4" s="7">
        <v>463037.94172079995</v>
      </c>
      <c r="F4" s="7">
        <v>90455.872043399868</v>
      </c>
      <c r="G4" s="7">
        <f>SUM(D4:F4)</f>
        <v>2117682.4307262008</v>
      </c>
      <c r="I4" s="7">
        <v>2174768.5081201247</v>
      </c>
      <c r="J4" s="7">
        <v>316240.81565890001</v>
      </c>
      <c r="K4" s="7">
        <v>857054.64813468221</v>
      </c>
      <c r="L4" s="7">
        <f>SUM(I4:K4)</f>
        <v>3348063.971913707</v>
      </c>
      <c r="N4" s="7">
        <f>G4+L4</f>
        <v>5465746.4026399078</v>
      </c>
      <c r="P4" s="7">
        <f t="shared" ref="P4:S5" si="0">AVERAGE(D4,D59,D114,D224)</f>
        <v>1480476.9985879501</v>
      </c>
      <c r="Q4" s="7">
        <f t="shared" si="0"/>
        <v>453521.17213277507</v>
      </c>
      <c r="R4" s="7">
        <f t="shared" si="0"/>
        <v>88460.836222949933</v>
      </c>
      <c r="S4" s="7">
        <f t="shared" si="0"/>
        <v>2022459.0069436752</v>
      </c>
      <c r="U4" s="7">
        <f t="shared" ref="U4:W5" si="1">AVERAGE(I4,I59,I114,I224)</f>
        <v>2014648.1460912672</v>
      </c>
      <c r="V4" s="7">
        <f t="shared" si="1"/>
        <v>297224.82669915003</v>
      </c>
      <c r="W4" s="7">
        <f t="shared" si="1"/>
        <v>798249.5003590961</v>
      </c>
      <c r="X4" s="7">
        <f t="shared" ref="X4:Z5" si="2">AVERAGE(L4,L59,L114,L224)</f>
        <v>3110122.4731495134</v>
      </c>
      <c r="Z4" s="7">
        <f t="shared" si="2"/>
        <v>5132581.4800931886</v>
      </c>
    </row>
    <row r="5" spans="1:26" x14ac:dyDescent="0.2">
      <c r="C5" s="1" t="s">
        <v>22</v>
      </c>
      <c r="D5" s="7">
        <v>1358887.3970000001</v>
      </c>
      <c r="E5" s="7">
        <v>413072.39899999998</v>
      </c>
      <c r="F5" s="7">
        <v>85444.668000000005</v>
      </c>
      <c r="G5" s="7">
        <f>SUM(D5:F5)</f>
        <v>1857404.4640000002</v>
      </c>
      <c r="I5" s="7">
        <v>2037764.939</v>
      </c>
      <c r="J5" s="7">
        <v>260990.76</v>
      </c>
      <c r="K5" s="7">
        <v>763909.26300000004</v>
      </c>
      <c r="L5" s="7">
        <f>SUM(I5:K5)</f>
        <v>3062664.9620000003</v>
      </c>
      <c r="N5" s="7">
        <f>G5+L5</f>
        <v>4920069.4260000009</v>
      </c>
      <c r="P5" s="7">
        <f t="shared" si="0"/>
        <v>1357680.3887499999</v>
      </c>
      <c r="Q5" s="7">
        <f t="shared" si="0"/>
        <v>399307.45024999999</v>
      </c>
      <c r="R5" s="7">
        <f t="shared" si="0"/>
        <v>79712.722750000001</v>
      </c>
      <c r="S5" s="7">
        <f t="shared" si="0"/>
        <v>1836700.5617500001</v>
      </c>
      <c r="U5" s="7">
        <f t="shared" si="1"/>
        <v>1870937.35225</v>
      </c>
      <c r="V5" s="7">
        <f t="shared" si="1"/>
        <v>267936.28075000003</v>
      </c>
      <c r="W5" s="7">
        <f t="shared" si="1"/>
        <v>738811.92274999991</v>
      </c>
      <c r="X5" s="7">
        <f t="shared" si="2"/>
        <v>2877685.5557500003</v>
      </c>
      <c r="Z5" s="7">
        <f t="shared" si="2"/>
        <v>4714386.1174999997</v>
      </c>
    </row>
    <row r="6" spans="1:26" x14ac:dyDescent="0.2">
      <c r="C6" s="1" t="s">
        <v>23</v>
      </c>
      <c r="D6" s="11">
        <f>(D4/D5)-1</f>
        <v>0.15108037679593012</v>
      </c>
      <c r="E6" s="11">
        <f>(E4/E5)-1</f>
        <v>0.12096073918703043</v>
      </c>
      <c r="F6" s="11">
        <f>(F4/F5)-1</f>
        <v>5.8648528465226946E-2</v>
      </c>
      <c r="G6" s="11">
        <f>(G4/G5)-1</f>
        <v>0.14012993495540593</v>
      </c>
      <c r="H6" s="11"/>
      <c r="I6" s="11">
        <f>(I4/I5)-1</f>
        <v>6.7232273211726312E-2</v>
      </c>
      <c r="J6" s="11">
        <f>(J4/J5)-1</f>
        <v>0.21169353144494463</v>
      </c>
      <c r="K6" s="11">
        <f>(K4/K5)-1</f>
        <v>0.12193252477249006</v>
      </c>
      <c r="L6" s="11">
        <f>(L4/L5)-1</f>
        <v>9.3186493937402082E-2</v>
      </c>
      <c r="N6" s="11">
        <f>(N4/N5)-1</f>
        <v>0.11090838957602678</v>
      </c>
      <c r="P6" s="11">
        <f>(P4/P5)-1</f>
        <v>9.0445889073353714E-2</v>
      </c>
      <c r="Q6" s="11">
        <f>(Q4/Q5)-1</f>
        <v>0.13576937231908071</v>
      </c>
      <c r="R6" s="11">
        <f>(R4/R5)-1</f>
        <v>0.10974551076854211</v>
      </c>
      <c r="S6" s="11">
        <f>(S4/S5)-1</f>
        <v>0.101137032928593</v>
      </c>
      <c r="U6" s="11">
        <f>(U4/U5)-1</f>
        <v>7.6812189178028678E-2</v>
      </c>
      <c r="V6" s="11">
        <f>(V4/V5)-1</f>
        <v>0.109311608966006</v>
      </c>
      <c r="W6" s="11">
        <f>(W4/W5)-1</f>
        <v>8.0450214430565881E-2</v>
      </c>
      <c r="X6" s="11">
        <f>(X4/X5)-1</f>
        <v>8.0772173643181011E-2</v>
      </c>
      <c r="Z6" s="11">
        <f>(Z4/Z5)-1</f>
        <v>8.870621798261924E-2</v>
      </c>
    </row>
    <row r="8" spans="1:26" x14ac:dyDescent="0.2">
      <c r="A8" s="1" t="s">
        <v>10</v>
      </c>
      <c r="C8" s="1" t="s">
        <v>21</v>
      </c>
      <c r="D8" s="7">
        <v>1333681.7682848989</v>
      </c>
      <c r="E8" s="7">
        <v>375361.11825549958</v>
      </c>
      <c r="F8" s="7">
        <v>80532.889089900098</v>
      </c>
      <c r="G8" s="7">
        <f>SUM(D8:F8)</f>
        <v>1789575.7756302985</v>
      </c>
      <c r="I8" s="7">
        <v>1953431.5012354739</v>
      </c>
      <c r="J8" s="7">
        <v>271253.11572809995</v>
      </c>
      <c r="K8" s="7">
        <v>796331.40300022531</v>
      </c>
      <c r="L8" s="7">
        <f>SUM(I8:K8)</f>
        <v>3021016.019963799</v>
      </c>
      <c r="N8" s="7">
        <f>G8+L8</f>
        <v>4810591.795594098</v>
      </c>
      <c r="P8" s="7">
        <f t="shared" ref="P8:S9" si="3">AVERAGE(D8,D63,D118,D228)</f>
        <v>1282044.9134044498</v>
      </c>
      <c r="Q8" s="7">
        <f t="shared" si="3"/>
        <v>378868.76072537492</v>
      </c>
      <c r="R8" s="7">
        <f t="shared" si="3"/>
        <v>77221.086275875015</v>
      </c>
      <c r="S8" s="7">
        <f t="shared" si="3"/>
        <v>1738134.7604056997</v>
      </c>
      <c r="U8" s="7">
        <f t="shared" ref="U8:X9" si="4">AVERAGE(I8,I63,I118,I228)</f>
        <v>1793612.0649843034</v>
      </c>
      <c r="V8" s="7">
        <f t="shared" si="4"/>
        <v>254328.60062894993</v>
      </c>
      <c r="W8" s="7">
        <f t="shared" si="4"/>
        <v>729253.37944258738</v>
      </c>
      <c r="X8" s="7">
        <f t="shared" si="4"/>
        <v>2777194.0450558406</v>
      </c>
      <c r="Z8" s="7">
        <f>AVERAGE(N8,N63,N118,N228)</f>
        <v>4515328.8054615408</v>
      </c>
    </row>
    <row r="9" spans="1:26" x14ac:dyDescent="0.2">
      <c r="C9" s="1" t="s">
        <v>22</v>
      </c>
      <c r="D9" s="7">
        <v>1204296.554</v>
      </c>
      <c r="E9" s="7">
        <v>343751.52399999998</v>
      </c>
      <c r="F9" s="7">
        <v>71244.812000000005</v>
      </c>
      <c r="G9" s="7">
        <f>SUM(D9:F9)</f>
        <v>1619292.89</v>
      </c>
      <c r="I9" s="7">
        <v>1754366.6610000001</v>
      </c>
      <c r="J9" s="7">
        <v>266369.79700000002</v>
      </c>
      <c r="K9" s="7">
        <v>751226.99099999992</v>
      </c>
      <c r="L9" s="7">
        <f>SUM(I9:K9)</f>
        <v>2771963.449</v>
      </c>
      <c r="N9" s="7">
        <f>G9+L9</f>
        <v>4391256.3389999997</v>
      </c>
      <c r="P9" s="7">
        <f t="shared" si="3"/>
        <v>1144555.8787499999</v>
      </c>
      <c r="Q9" s="7">
        <f t="shared" si="3"/>
        <v>336193.69524999999</v>
      </c>
      <c r="R9" s="7">
        <f t="shared" si="3"/>
        <v>68246.464000000007</v>
      </c>
      <c r="S9" s="7">
        <f t="shared" si="3"/>
        <v>1548996.0379999997</v>
      </c>
      <c r="U9" s="7">
        <f t="shared" si="4"/>
        <v>1662482.298</v>
      </c>
      <c r="V9" s="7">
        <f t="shared" si="4"/>
        <v>241568.99425000002</v>
      </c>
      <c r="W9" s="7">
        <f t="shared" si="4"/>
        <v>675422.91125</v>
      </c>
      <c r="X9" s="7">
        <f t="shared" si="4"/>
        <v>2579474.2035000003</v>
      </c>
      <c r="Z9" s="7">
        <f>AVERAGE(N9,N64,N119,N229)</f>
        <v>4128470.2414999995</v>
      </c>
    </row>
    <row r="10" spans="1:26" x14ac:dyDescent="0.2">
      <c r="C10" s="1" t="s">
        <v>23</v>
      </c>
      <c r="D10" s="11">
        <f>(D8/D9)-1</f>
        <v>0.1074363402063665</v>
      </c>
      <c r="E10" s="11">
        <f>(E8/E9)-1</f>
        <v>9.1954775611408301E-2</v>
      </c>
      <c r="F10" s="11">
        <f>(F8/F9)-1</f>
        <v>0.13036846935465407</v>
      </c>
      <c r="G10" s="11">
        <f>(G8/G9)-1</f>
        <v>0.10515879287921703</v>
      </c>
      <c r="H10" s="11"/>
      <c r="I10" s="11">
        <f>(I8/I9)-1</f>
        <v>0.11346820745100428</v>
      </c>
      <c r="J10" s="11">
        <f>(J8/J9)-1</f>
        <v>1.8332854486876826E-2</v>
      </c>
      <c r="K10" s="11">
        <f>(K8/K9)-1</f>
        <v>6.004098966170579E-2</v>
      </c>
      <c r="L10" s="11">
        <f>(L8/L9)-1</f>
        <v>8.9846989524211107E-2</v>
      </c>
      <c r="N10" s="11">
        <f>(N8/N9)-1</f>
        <v>9.5493276689374795E-2</v>
      </c>
      <c r="P10" s="11">
        <f>(P8/P9)-1</f>
        <v>0.12012435321603121</v>
      </c>
      <c r="Q10" s="11">
        <f>(Q8/Q9)-1</f>
        <v>0.12693594817011933</v>
      </c>
      <c r="R10" s="11">
        <f>(R8/R9)-1</f>
        <v>0.1315031101959363</v>
      </c>
      <c r="S10" s="11">
        <f>(S8/S9)-1</f>
        <v>0.12210407113107147</v>
      </c>
      <c r="U10" s="11">
        <f>(U8/U9)-1</f>
        <v>7.8875887666326028E-2</v>
      </c>
      <c r="V10" s="11">
        <f>(V8/V9)-1</f>
        <v>5.2819718931913062E-2</v>
      </c>
      <c r="W10" s="11">
        <f>(W8/W9)-1</f>
        <v>7.9698907596965851E-2</v>
      </c>
      <c r="X10" s="11">
        <f>(X8/X9)-1</f>
        <v>7.6651218797831433E-2</v>
      </c>
      <c r="Z10" s="11">
        <f>(Z8/Z9)-1</f>
        <v>9.3705062972909703E-2</v>
      </c>
    </row>
    <row r="12" spans="1:26" x14ac:dyDescent="0.2">
      <c r="A12" s="1" t="s">
        <v>11</v>
      </c>
      <c r="C12" s="1" t="s">
        <v>21</v>
      </c>
      <c r="D12" s="7">
        <v>1354041.8008571989</v>
      </c>
      <c r="E12" s="7">
        <v>374506.06172319991</v>
      </c>
      <c r="F12" s="7">
        <v>81309.148463800069</v>
      </c>
      <c r="G12" s="7">
        <f>SUM(D12:F12)</f>
        <v>1809857.0110441989</v>
      </c>
      <c r="I12" s="7">
        <v>1894537.8771711355</v>
      </c>
      <c r="J12" s="7">
        <v>274007.23769970023</v>
      </c>
      <c r="K12" s="7">
        <v>818684.97574435291</v>
      </c>
      <c r="L12" s="7">
        <f>SUM(I12:K12)</f>
        <v>2987230.0906151887</v>
      </c>
      <c r="N12" s="7">
        <f>G12+L12</f>
        <v>4797087.1016593874</v>
      </c>
      <c r="P12" s="7">
        <f t="shared" ref="P12:S13" si="5">AVERAGE(D12,D67,D122,D232)</f>
        <v>1291137.7300070003</v>
      </c>
      <c r="Q12" s="7">
        <f t="shared" si="5"/>
        <v>363377.61000279989</v>
      </c>
      <c r="R12" s="7">
        <f t="shared" si="5"/>
        <v>82621.825644325028</v>
      </c>
      <c r="S12" s="7">
        <f t="shared" si="5"/>
        <v>1737137.1656541252</v>
      </c>
      <c r="U12" s="7">
        <f t="shared" ref="U12:X13" si="6">AVERAGE(I12,I67,I122,I232)</f>
        <v>1769629.7223492027</v>
      </c>
      <c r="V12" s="7">
        <f t="shared" si="6"/>
        <v>264163.90133782499</v>
      </c>
      <c r="W12" s="7">
        <f t="shared" si="6"/>
        <v>761644.32859363873</v>
      </c>
      <c r="X12" s="7">
        <f t="shared" si="6"/>
        <v>2795437.9522806671</v>
      </c>
      <c r="Z12" s="7">
        <f>AVERAGE(N12,N67,N122,N232)</f>
        <v>4532575.1179347914</v>
      </c>
    </row>
    <row r="13" spans="1:26" x14ac:dyDescent="0.2">
      <c r="C13" s="1" t="s">
        <v>22</v>
      </c>
      <c r="D13" s="7">
        <v>1240743.939</v>
      </c>
      <c r="E13" s="7">
        <v>332601.32299999997</v>
      </c>
      <c r="F13" s="7">
        <v>71393.311000000002</v>
      </c>
      <c r="G13" s="7">
        <f>SUM(D13:F13)</f>
        <v>1644738.5730000001</v>
      </c>
      <c r="I13" s="7">
        <v>1769631.9909999999</v>
      </c>
      <c r="J13" s="7">
        <v>224812.06</v>
      </c>
      <c r="K13" s="7">
        <v>760710.1</v>
      </c>
      <c r="L13" s="7">
        <f>SUM(I13:K13)</f>
        <v>2755154.1510000001</v>
      </c>
      <c r="N13" s="7">
        <f>G13+L13</f>
        <v>4399892.7240000004</v>
      </c>
      <c r="P13" s="7">
        <f t="shared" si="5"/>
        <v>1163486.0715000001</v>
      </c>
      <c r="Q13" s="7">
        <f t="shared" si="5"/>
        <v>328683.68349999998</v>
      </c>
      <c r="R13" s="7">
        <f t="shared" si="5"/>
        <v>67158.313750000001</v>
      </c>
      <c r="S13" s="7">
        <f t="shared" si="5"/>
        <v>1559328.0687499999</v>
      </c>
      <c r="U13" s="7">
        <f t="shared" si="6"/>
        <v>1620261.7752499999</v>
      </c>
      <c r="V13" s="7">
        <f t="shared" si="6"/>
        <v>222140.67174999998</v>
      </c>
      <c r="W13" s="7">
        <f t="shared" si="6"/>
        <v>694384.65350000001</v>
      </c>
      <c r="X13" s="7">
        <f t="shared" si="6"/>
        <v>2536787.1004999997</v>
      </c>
      <c r="Z13" s="7">
        <f>AVERAGE(N13,N68,N123,N233)</f>
        <v>4096115.1692499998</v>
      </c>
    </row>
    <row r="14" spans="1:26" x14ac:dyDescent="0.2">
      <c r="C14" s="1" t="s">
        <v>23</v>
      </c>
      <c r="D14" s="11">
        <f>(D12/D13)-1</f>
        <v>9.1314459249757229E-2</v>
      </c>
      <c r="E14" s="11">
        <f>(E12/E13)-1</f>
        <v>0.1259908960831162</v>
      </c>
      <c r="F14" s="11">
        <f>(F12/F13)-1</f>
        <v>0.13889028712788054</v>
      </c>
      <c r="G14" s="11">
        <f>(G12/G13)-1</f>
        <v>0.10039190468003856</v>
      </c>
      <c r="H14" s="11"/>
      <c r="I14" s="11">
        <f>(I12/I13)-1</f>
        <v>7.0582972508624664E-2</v>
      </c>
      <c r="J14" s="11">
        <f>(J12/J13)-1</f>
        <v>0.21882801883359915</v>
      </c>
      <c r="K14" s="11">
        <f>(K12/K13)-1</f>
        <v>7.6211523607157217E-2</v>
      </c>
      <c r="L14" s="11">
        <f>(L12/L13)-1</f>
        <v>8.4233377479425275E-2</v>
      </c>
      <c r="N14" s="11">
        <f>(N12/N13)-1</f>
        <v>9.0273650421706764E-2</v>
      </c>
      <c r="P14" s="11">
        <f>(P12/P13)-1</f>
        <v>0.10971481449917819</v>
      </c>
      <c r="Q14" s="11">
        <f>(Q12/Q13)-1</f>
        <v>0.10555414900234905</v>
      </c>
      <c r="R14" s="11">
        <f>(R12/R13)-1</f>
        <v>0.23025461824263016</v>
      </c>
      <c r="S14" s="11">
        <f>(S12/S13)-1</f>
        <v>0.11402930561409175</v>
      </c>
      <c r="U14" s="11">
        <f>(U12/U13)-1</f>
        <v>9.2187539927710782E-2</v>
      </c>
      <c r="V14" s="11">
        <f>(V12/V13)-1</f>
        <v>0.1891739556595855</v>
      </c>
      <c r="W14" s="11">
        <f>(W12/W13)-1</f>
        <v>9.6862271875711503E-2</v>
      </c>
      <c r="X14" s="11">
        <f>(X12/X13)-1</f>
        <v>0.10196001537917287</v>
      </c>
      <c r="Z14" s="11">
        <f>(Z12/Z13)-1</f>
        <v>0.10655460861094568</v>
      </c>
    </row>
    <row r="16" spans="1:26" x14ac:dyDescent="0.2">
      <c r="A16" s="1" t="s">
        <v>12</v>
      </c>
      <c r="C16" s="1" t="s">
        <v>21</v>
      </c>
      <c r="D16" s="7">
        <v>1237073.5096190008</v>
      </c>
      <c r="E16" s="7">
        <v>347696.76672679989</v>
      </c>
      <c r="F16" s="7">
        <v>73658.910301399941</v>
      </c>
      <c r="G16" s="7">
        <f>SUM(D16:F16)</f>
        <v>1658429.1866472005</v>
      </c>
      <c r="I16" s="7">
        <v>1817634.8811485961</v>
      </c>
      <c r="J16" s="7">
        <v>265900.64622479992</v>
      </c>
      <c r="K16" s="7">
        <v>785786.07273790136</v>
      </c>
      <c r="L16" s="7">
        <f>SUM(I16:K16)</f>
        <v>2869321.6001112973</v>
      </c>
      <c r="N16" s="7">
        <f>G16+L16</f>
        <v>4527750.7867584974</v>
      </c>
      <c r="P16" s="7">
        <f t="shared" ref="P16:S17" si="7">AVERAGE(D16,D71,D126,D236)</f>
        <v>1157333.6841731854</v>
      </c>
      <c r="Q16" s="7">
        <f t="shared" si="7"/>
        <v>329392.78051242477</v>
      </c>
      <c r="R16" s="7">
        <f t="shared" si="7"/>
        <v>76450.663230524966</v>
      </c>
      <c r="S16" s="7">
        <f t="shared" si="7"/>
        <v>1563177.1279161349</v>
      </c>
      <c r="U16" s="7">
        <f t="shared" ref="U16:X17" si="8">AVERAGE(I16,I71,I126,I236)</f>
        <v>1668133.0790852867</v>
      </c>
      <c r="V16" s="7">
        <f t="shared" si="8"/>
        <v>256549.21254849999</v>
      </c>
      <c r="W16" s="7">
        <f t="shared" si="8"/>
        <v>716790.0591867984</v>
      </c>
      <c r="X16" s="7">
        <f t="shared" si="8"/>
        <v>2641472.3508205852</v>
      </c>
      <c r="Z16" s="7">
        <f>AVERAGE(N16,N71,N126,N236)</f>
        <v>4204649.47873672</v>
      </c>
    </row>
    <row r="17" spans="1:26" x14ac:dyDescent="0.2">
      <c r="C17" s="1" t="s">
        <v>22</v>
      </c>
      <c r="D17" s="7">
        <v>1089186.71</v>
      </c>
      <c r="E17" s="7">
        <v>285395.06400000001</v>
      </c>
      <c r="F17" s="7">
        <v>64160.4</v>
      </c>
      <c r="G17" s="7">
        <f>SUM(D17:F17)</f>
        <v>1438742.1739999999</v>
      </c>
      <c r="I17" s="7">
        <v>1688337.8149999999</v>
      </c>
      <c r="J17" s="7">
        <v>251726.75099999999</v>
      </c>
      <c r="K17" s="7">
        <v>714374.14800000004</v>
      </c>
      <c r="L17" s="7">
        <f>SUM(I17:K17)</f>
        <v>2654438.7139999997</v>
      </c>
      <c r="N17" s="7">
        <f>G17+L17</f>
        <v>4093180.8879999993</v>
      </c>
      <c r="P17" s="7">
        <f t="shared" si="7"/>
        <v>1042526.8894999999</v>
      </c>
      <c r="Q17" s="7">
        <f t="shared" si="7"/>
        <v>293163.58924999996</v>
      </c>
      <c r="R17" s="7">
        <f t="shared" si="7"/>
        <v>63958.205000000002</v>
      </c>
      <c r="S17" s="7">
        <f t="shared" si="7"/>
        <v>1399648.6837500001</v>
      </c>
      <c r="U17" s="7">
        <f t="shared" si="8"/>
        <v>1553837.362</v>
      </c>
      <c r="V17" s="7">
        <f t="shared" si="8"/>
        <v>239520.75524999999</v>
      </c>
      <c r="W17" s="7">
        <f t="shared" si="8"/>
        <v>694732.91824999987</v>
      </c>
      <c r="X17" s="7">
        <f t="shared" si="8"/>
        <v>2488091.0354999998</v>
      </c>
      <c r="Z17" s="7">
        <f>AVERAGE(N17,N72,N127,N237)</f>
        <v>3887739.7192500001</v>
      </c>
    </row>
    <row r="18" spans="1:26" x14ac:dyDescent="0.2">
      <c r="C18" s="1" t="s">
        <v>23</v>
      </c>
      <c r="D18" s="11">
        <f>(D16/D17)-1</f>
        <v>0.13577727148268348</v>
      </c>
      <c r="E18" s="11">
        <f>(E16/E17)-1</f>
        <v>0.21829986073900653</v>
      </c>
      <c r="F18" s="11">
        <f>(F16/F17)-1</f>
        <v>0.14804319021390056</v>
      </c>
      <c r="G18" s="11">
        <f>(G16/G17)-1</f>
        <v>0.1526938020009696</v>
      </c>
      <c r="H18" s="11"/>
      <c r="I18" s="11">
        <f>(I16/I17)-1</f>
        <v>7.6582461756088849E-2</v>
      </c>
      <c r="J18" s="11">
        <f>(J16/J17)-1</f>
        <v>5.6306670500823941E-2</v>
      </c>
      <c r="K18" s="11">
        <f>(K16/K17)-1</f>
        <v>9.996431833070929E-2</v>
      </c>
      <c r="L18" s="11">
        <f>(L16/L17)-1</f>
        <v>8.0952287569483472E-2</v>
      </c>
      <c r="N18" s="11">
        <f>(N16/N17)-1</f>
        <v>0.10616923870443373</v>
      </c>
      <c r="P18" s="11">
        <f>(P16/P17)-1</f>
        <v>0.11012358129990041</v>
      </c>
      <c r="Q18" s="11">
        <f>(Q16/Q17)-1</f>
        <v>0.12358011905608701</v>
      </c>
      <c r="R18" s="11">
        <f>(R16/R17)-1</f>
        <v>0.19532221441369346</v>
      </c>
      <c r="S18" s="11">
        <f>(S16/S17)-1</f>
        <v>0.11683535023088965</v>
      </c>
      <c r="U18" s="11">
        <f>(U16/U17)-1</f>
        <v>7.3557065803960819E-2</v>
      </c>
      <c r="V18" s="11">
        <f>(V16/V17)-1</f>
        <v>7.1093869425747913E-2</v>
      </c>
      <c r="W18" s="11">
        <f>(W16/W17)-1</f>
        <v>3.1749094302828462E-2</v>
      </c>
      <c r="X18" s="11">
        <f>(X16/X17)-1</f>
        <v>6.1646183010245936E-2</v>
      </c>
      <c r="Z18" s="11">
        <f>(Z16/Z17)-1</f>
        <v>8.1515168805553762E-2</v>
      </c>
    </row>
    <row r="20" spans="1:26" x14ac:dyDescent="0.2">
      <c r="A20" s="1" t="s">
        <v>13</v>
      </c>
      <c r="C20" s="1" t="s">
        <v>21</v>
      </c>
      <c r="D20" s="7">
        <v>1203719.8996444002</v>
      </c>
      <c r="E20" s="7">
        <v>335424.84606379975</v>
      </c>
      <c r="F20" s="7">
        <v>86753.263174000036</v>
      </c>
      <c r="G20" s="7">
        <f>SUM(D20:F20)</f>
        <v>1625898.0088821999</v>
      </c>
      <c r="I20" s="7">
        <v>1864817.9806407348</v>
      </c>
      <c r="J20" s="7">
        <v>302991.11527729995</v>
      </c>
      <c r="K20" s="7">
        <v>790257.66909151804</v>
      </c>
      <c r="L20" s="7">
        <f>SUM(I20:K20)</f>
        <v>2958066.7650095527</v>
      </c>
      <c r="N20" s="7">
        <f>G20+L20</f>
        <v>4583964.7738917526</v>
      </c>
      <c r="P20" s="7">
        <f t="shared" ref="P20:S21" si="9">AVERAGE(D20,D75,D130,D240)</f>
        <v>1154578.0098585626</v>
      </c>
      <c r="Q20" s="7">
        <f t="shared" si="9"/>
        <v>324802.82715039991</v>
      </c>
      <c r="R20" s="7">
        <f t="shared" si="9"/>
        <v>88439.365453424965</v>
      </c>
      <c r="S20" s="7">
        <f t="shared" si="9"/>
        <v>1567820.2024623873</v>
      </c>
      <c r="U20" s="7">
        <f t="shared" ref="U20:X21" si="10">AVERAGE(I20,I75,I130,I240)</f>
        <v>1812669.0087062642</v>
      </c>
      <c r="V20" s="7">
        <f t="shared" si="10"/>
        <v>329640.09133387503</v>
      </c>
      <c r="W20" s="7">
        <f t="shared" si="10"/>
        <v>726610.79662763607</v>
      </c>
      <c r="X20" s="7">
        <f t="shared" si="10"/>
        <v>2868919.8966677752</v>
      </c>
      <c r="Z20" s="7">
        <f>AVERAGE(N20,N75,N130,N240)</f>
        <v>4436740.099130163</v>
      </c>
    </row>
    <row r="21" spans="1:26" x14ac:dyDescent="0.2">
      <c r="C21" s="1" t="s">
        <v>22</v>
      </c>
      <c r="D21" s="7">
        <v>1074743.949</v>
      </c>
      <c r="E21" s="7">
        <v>336332.91700000002</v>
      </c>
      <c r="F21" s="7">
        <v>79133.357000000004</v>
      </c>
      <c r="G21" s="7">
        <f>SUM(D21:F21)</f>
        <v>1490210.223</v>
      </c>
      <c r="I21" s="7">
        <v>1758481.19</v>
      </c>
      <c r="J21" s="7">
        <v>273526.61900000001</v>
      </c>
      <c r="K21" s="7">
        <v>746806.85899999994</v>
      </c>
      <c r="L21" s="7">
        <f>SUM(I21:K21)</f>
        <v>2778814.6679999996</v>
      </c>
      <c r="N21" s="7">
        <f>G21+L21</f>
        <v>4269024.8909999998</v>
      </c>
      <c r="P21" s="7">
        <f t="shared" si="9"/>
        <v>1045310.932</v>
      </c>
      <c r="Q21" s="7">
        <f t="shared" si="9"/>
        <v>318562.77925000002</v>
      </c>
      <c r="R21" s="7">
        <f t="shared" si="9"/>
        <v>74359.373999999996</v>
      </c>
      <c r="S21" s="7">
        <f t="shared" si="9"/>
        <v>1438233.08525</v>
      </c>
      <c r="U21" s="7">
        <f t="shared" si="10"/>
        <v>1724797.8134999999</v>
      </c>
      <c r="V21" s="7">
        <f t="shared" si="10"/>
        <v>289195.75825000001</v>
      </c>
      <c r="W21" s="7">
        <f t="shared" si="10"/>
        <v>670843.89624999999</v>
      </c>
      <c r="X21" s="7">
        <f t="shared" si="10"/>
        <v>2684837.4679999999</v>
      </c>
      <c r="Z21" s="7">
        <f>AVERAGE(N21,N76,N131,N241)</f>
        <v>4123070.5532499999</v>
      </c>
    </row>
    <row r="22" spans="1:26" x14ac:dyDescent="0.2">
      <c r="C22" s="1" t="s">
        <v>23</v>
      </c>
      <c r="D22" s="11">
        <f>(D20/D21)-1</f>
        <v>0.12000621242334653</v>
      </c>
      <c r="E22" s="11">
        <f>(E20/E21)-1</f>
        <v>-2.6999169284410707E-3</v>
      </c>
      <c r="F22" s="11">
        <f>(F20/F21)-1</f>
        <v>9.6291961606027154E-2</v>
      </c>
      <c r="G22" s="11">
        <f>(G20/G21)-1</f>
        <v>9.1052781539131766E-2</v>
      </c>
      <c r="H22" s="11"/>
      <c r="I22" s="11">
        <f>(I20/I21)-1</f>
        <v>6.0470814954088237E-2</v>
      </c>
      <c r="J22" s="11">
        <f>(J20/J21)-1</f>
        <v>0.10772076365006344</v>
      </c>
      <c r="K22" s="11">
        <f>(K20/K21)-1</f>
        <v>5.8182125094164538E-2</v>
      </c>
      <c r="L22" s="11">
        <f>(L20/L21)-1</f>
        <v>6.4506675840518168E-2</v>
      </c>
      <c r="N22" s="11">
        <f>(N20/N21)-1</f>
        <v>7.3773259920716816E-2</v>
      </c>
      <c r="P22" s="11">
        <f>(P20/P21)-1</f>
        <v>0.10453069466087106</v>
      </c>
      <c r="Q22" s="11">
        <f>(Q20/Q21)-1</f>
        <v>1.9588126130400285E-2</v>
      </c>
      <c r="R22" s="11">
        <f>(R20/R21)-1</f>
        <v>0.18935059153974287</v>
      </c>
      <c r="S22" s="11">
        <f>(S20/S21)-1</f>
        <v>9.0101610470087135E-2</v>
      </c>
      <c r="U22" s="11">
        <f>(U20/U21)-1</f>
        <v>5.0945794642418996E-2</v>
      </c>
      <c r="V22" s="11">
        <f>(V20/V21)-1</f>
        <v>0.13985105911862039</v>
      </c>
      <c r="W22" s="11">
        <f>(W20/W21)-1</f>
        <v>8.312947421802841E-2</v>
      </c>
      <c r="X22" s="11">
        <f>(X20/X21)-1</f>
        <v>6.856371413979967E-2</v>
      </c>
      <c r="Z22" s="11">
        <f>(Z20/Z21)-1</f>
        <v>7.6076686495920809E-2</v>
      </c>
    </row>
    <row r="24" spans="1:26" x14ac:dyDescent="0.2">
      <c r="A24" s="1" t="s">
        <v>14</v>
      </c>
      <c r="C24" s="1" t="s">
        <v>21</v>
      </c>
      <c r="D24" s="7">
        <v>1176111.9958696021</v>
      </c>
      <c r="E24" s="7">
        <v>332633.56741919986</v>
      </c>
      <c r="F24" s="7">
        <v>87993.545979699964</v>
      </c>
      <c r="G24" s="7">
        <f>SUM(D24:F24)</f>
        <v>1596739.1092685019</v>
      </c>
      <c r="I24" s="7">
        <v>2034124.7504388399</v>
      </c>
      <c r="J24" s="7">
        <v>396668.5424629997</v>
      </c>
      <c r="K24" s="7">
        <v>785444.652378459</v>
      </c>
      <c r="L24" s="7">
        <f>SUM(I24:K24)</f>
        <v>3216237.9452802986</v>
      </c>
      <c r="N24" s="7">
        <f>G24+L24</f>
        <v>4812977.0545488</v>
      </c>
      <c r="P24" s="7">
        <f t="shared" ref="P24:S25" si="11">AVERAGE(D24,D79,D134,D244)</f>
        <v>1157499.4890769753</v>
      </c>
      <c r="Q24" s="7">
        <f t="shared" si="11"/>
        <v>346309.12020727491</v>
      </c>
      <c r="R24" s="7">
        <f t="shared" si="11"/>
        <v>90662.303442575037</v>
      </c>
      <c r="S24" s="7">
        <f t="shared" si="11"/>
        <v>1594470.9127268253</v>
      </c>
      <c r="U24" s="7">
        <f t="shared" ref="U24:X25" si="12">AVERAGE(I24,I79,I134,I244)</f>
        <v>1983969.5759499473</v>
      </c>
      <c r="V24" s="7">
        <f t="shared" si="12"/>
        <v>405422.09447297506</v>
      </c>
      <c r="W24" s="7">
        <f t="shared" si="12"/>
        <v>725958.4055451483</v>
      </c>
      <c r="X24" s="7">
        <f t="shared" si="12"/>
        <v>3115350.0759680709</v>
      </c>
      <c r="Z24" s="7">
        <f>AVERAGE(N24,N79,N134,N244)</f>
        <v>4709820.988694896</v>
      </c>
    </row>
    <row r="25" spans="1:26" x14ac:dyDescent="0.2">
      <c r="C25" s="1" t="s">
        <v>22</v>
      </c>
      <c r="D25" s="7">
        <v>1085134.673</v>
      </c>
      <c r="E25" s="7">
        <v>291338.451</v>
      </c>
      <c r="F25" s="7">
        <v>76250.581999999995</v>
      </c>
      <c r="G25" s="7">
        <f>SUM(D25:F25)</f>
        <v>1452723.7059999998</v>
      </c>
      <c r="I25" s="7">
        <v>1946442.926</v>
      </c>
      <c r="J25" s="7">
        <v>362347.391</v>
      </c>
      <c r="K25" s="7">
        <v>767271.80799999996</v>
      </c>
      <c r="L25" s="7">
        <f>SUM(I25:K25)</f>
        <v>3076062.125</v>
      </c>
      <c r="N25" s="7">
        <f>G25+L25</f>
        <v>4528785.8310000002</v>
      </c>
      <c r="P25" s="7">
        <f t="shared" si="11"/>
        <v>1081758.65925</v>
      </c>
      <c r="Q25" s="7">
        <f t="shared" si="11"/>
        <v>295324.73974999995</v>
      </c>
      <c r="R25" s="7">
        <f t="shared" si="11"/>
        <v>76711.173999999999</v>
      </c>
      <c r="S25" s="7">
        <f t="shared" si="11"/>
        <v>1453794.5729999999</v>
      </c>
      <c r="U25" s="7">
        <f t="shared" si="12"/>
        <v>1861897.6047500002</v>
      </c>
      <c r="V25" s="7">
        <f t="shared" si="12"/>
        <v>369414.71224999998</v>
      </c>
      <c r="W25" s="7">
        <f t="shared" si="12"/>
        <v>689590.90500000003</v>
      </c>
      <c r="X25" s="7">
        <f t="shared" si="12"/>
        <v>2920903.2220000001</v>
      </c>
      <c r="Z25" s="7">
        <f>AVERAGE(N25,N80,N135,N245)</f>
        <v>4374697.7949999999</v>
      </c>
    </row>
    <row r="26" spans="1:26" x14ac:dyDescent="0.2">
      <c r="C26" s="1" t="s">
        <v>23</v>
      </c>
      <c r="D26" s="11">
        <f>(D24/D25)-1</f>
        <v>8.3839660765868906E-2</v>
      </c>
      <c r="E26" s="11">
        <f>(E24/E25)-1</f>
        <v>0.14174276096223171</v>
      </c>
      <c r="F26" s="11">
        <f>(F24/F25)-1</f>
        <v>0.15400490949301826</v>
      </c>
      <c r="G26" s="11">
        <f>(G24/G25)-1</f>
        <v>9.9134751276993338E-2</v>
      </c>
      <c r="H26" s="11"/>
      <c r="I26" s="11">
        <f>(I24/I25)-1</f>
        <v>4.5047210615637656E-2</v>
      </c>
      <c r="J26" s="11">
        <f>(J24/J25)-1</f>
        <v>9.4718914266998855E-2</v>
      </c>
      <c r="K26" s="11">
        <f>(K24/K25)-1</f>
        <v>2.3685015126294173E-2</v>
      </c>
      <c r="L26" s="11">
        <f>(L24/L25)-1</f>
        <v>4.5569892474229157E-2</v>
      </c>
      <c r="N26" s="11">
        <f>(N24/N25)-1</f>
        <v>6.2752188810405229E-2</v>
      </c>
      <c r="P26" s="11">
        <f>(P24/P25)-1</f>
        <v>7.0016384134597542E-2</v>
      </c>
      <c r="Q26" s="11">
        <f>(Q24/Q25)-1</f>
        <v>0.17263836582209313</v>
      </c>
      <c r="R26" s="11">
        <f>(R24/R25)-1</f>
        <v>0.1818656750394021</v>
      </c>
      <c r="S26" s="11">
        <f>(S24/S25)-1</f>
        <v>9.6764936628240816E-2</v>
      </c>
      <c r="U26" s="11">
        <f>(U24/U25)-1</f>
        <v>6.5563203308561135E-2</v>
      </c>
      <c r="V26" s="11">
        <f>(V24/V25)-1</f>
        <v>9.7471435297377118E-2</v>
      </c>
      <c r="W26" s="11">
        <f>(W24/W25)-1</f>
        <v>5.2737790306483623E-2</v>
      </c>
      <c r="X26" s="11">
        <f>(X24/X25)-1</f>
        <v>6.6570796493192086E-2</v>
      </c>
      <c r="Z26" s="11">
        <f>(Z24/Z25)-1</f>
        <v>7.6604878645085028E-2</v>
      </c>
    </row>
    <row r="28" spans="1:26" x14ac:dyDescent="0.2">
      <c r="A28" s="1" t="s">
        <v>15</v>
      </c>
      <c r="C28" s="1" t="s">
        <v>21</v>
      </c>
      <c r="D28" s="7">
        <v>1321679.3843018005</v>
      </c>
      <c r="E28" s="7">
        <v>387465.93188540003</v>
      </c>
      <c r="F28" s="7">
        <v>93404.394185300131</v>
      </c>
      <c r="G28" s="7">
        <f>SUM(D28:F28)</f>
        <v>1802549.7103725008</v>
      </c>
      <c r="I28" s="7">
        <v>2422512.4446862214</v>
      </c>
      <c r="J28" s="7">
        <v>497878.58830459975</v>
      </c>
      <c r="K28" s="7">
        <v>842422.23899176926</v>
      </c>
      <c r="L28" s="7">
        <f>SUM(I28:K28)</f>
        <v>3762813.2719825907</v>
      </c>
      <c r="N28" s="7">
        <f>G28+L28</f>
        <v>5565362.9823550917</v>
      </c>
      <c r="P28" s="7">
        <f t="shared" ref="P28:S29" si="13">AVERAGE(D28,D83,D138,D248)</f>
        <v>1307021.6121095649</v>
      </c>
      <c r="Q28" s="7">
        <f t="shared" si="13"/>
        <v>403767.63398672495</v>
      </c>
      <c r="R28" s="7">
        <f t="shared" si="13"/>
        <v>92234.198349400016</v>
      </c>
      <c r="S28" s="7">
        <f t="shared" si="13"/>
        <v>1803023.4444456899</v>
      </c>
      <c r="U28" s="7">
        <f t="shared" ref="U28:X29" si="14">AVERAGE(I28,I83,I138,I248)</f>
        <v>2323907.0162190762</v>
      </c>
      <c r="V28" s="7">
        <f t="shared" si="14"/>
        <v>459163.58288755</v>
      </c>
      <c r="W28" s="7">
        <f t="shared" si="14"/>
        <v>775572.13307762786</v>
      </c>
      <c r="X28" s="7">
        <f t="shared" si="14"/>
        <v>3558642.7321842546</v>
      </c>
      <c r="Z28" s="7">
        <f>AVERAGE(N28,N83,N138,N248)</f>
        <v>5361666.1766299447</v>
      </c>
    </row>
    <row r="29" spans="1:26" x14ac:dyDescent="0.2">
      <c r="C29" s="1" t="s">
        <v>22</v>
      </c>
      <c r="D29" s="7">
        <v>1209934.202</v>
      </c>
      <c r="E29" s="7">
        <v>357181.95799999998</v>
      </c>
      <c r="F29" s="7">
        <v>86459.134999999995</v>
      </c>
      <c r="G29" s="7">
        <f>SUM(D29:F29)</f>
        <v>1653575.2950000002</v>
      </c>
      <c r="I29" s="7">
        <v>2320861.1850000001</v>
      </c>
      <c r="J29" s="7">
        <v>414100.46500000003</v>
      </c>
      <c r="K29" s="7">
        <v>794677.45699999994</v>
      </c>
      <c r="L29" s="7">
        <f>SUM(I29:K29)</f>
        <v>3529639.1069999998</v>
      </c>
      <c r="N29" s="7">
        <f>G29+L29</f>
        <v>5183214.4019999998</v>
      </c>
      <c r="P29" s="7">
        <f t="shared" si="13"/>
        <v>1190709.9382500001</v>
      </c>
      <c r="Q29" s="7">
        <f t="shared" si="13"/>
        <v>373699.17350000003</v>
      </c>
      <c r="R29" s="7">
        <f t="shared" si="13"/>
        <v>88146.839500000002</v>
      </c>
      <c r="S29" s="7">
        <f t="shared" si="13"/>
        <v>1652555.9512499999</v>
      </c>
      <c r="U29" s="7">
        <f t="shared" si="14"/>
        <v>2190391.1535</v>
      </c>
      <c r="V29" s="7">
        <f t="shared" si="14"/>
        <v>409141.33100000001</v>
      </c>
      <c r="W29" s="7">
        <f t="shared" si="14"/>
        <v>721379.40500000003</v>
      </c>
      <c r="X29" s="7">
        <f t="shared" si="14"/>
        <v>3320911.8895</v>
      </c>
      <c r="Z29" s="7">
        <f>AVERAGE(N29,N84,N139,N249)</f>
        <v>4973467.8407499995</v>
      </c>
    </row>
    <row r="30" spans="1:26" x14ac:dyDescent="0.2">
      <c r="C30" s="1" t="s">
        <v>23</v>
      </c>
      <c r="D30" s="11">
        <f>(D28/D29)-1</f>
        <v>9.2356412536390486E-2</v>
      </c>
      <c r="E30" s="11">
        <f>(E28/E29)-1</f>
        <v>8.4785844321397796E-2</v>
      </c>
      <c r="F30" s="11">
        <f>(F28/F29)-1</f>
        <v>8.0329963806602178E-2</v>
      </c>
      <c r="G30" s="11">
        <f>(G28/G29)-1</f>
        <v>9.0092308359324358E-2</v>
      </c>
      <c r="H30" s="11"/>
      <c r="I30" s="11">
        <f>(I28/I29)-1</f>
        <v>4.3798939955222327E-2</v>
      </c>
      <c r="J30" s="11">
        <f>(J28/J29)-1</f>
        <v>0.20231352144122727</v>
      </c>
      <c r="K30" s="11">
        <f>(K28/K29)-1</f>
        <v>6.0080705160570957E-2</v>
      </c>
      <c r="L30" s="11">
        <f>(L28/L29)-1</f>
        <v>6.6061758132767379E-2</v>
      </c>
      <c r="N30" s="11">
        <f>(N28/N29)-1</f>
        <v>7.3728105904250496E-2</v>
      </c>
      <c r="P30" s="11">
        <f>(P28/P29)-1</f>
        <v>9.7682626241038628E-2</v>
      </c>
      <c r="Q30" s="11">
        <f>(Q28/Q29)-1</f>
        <v>8.046167243322766E-2</v>
      </c>
      <c r="R30" s="11">
        <f>(R28/R29)-1</f>
        <v>4.636988543871734E-2</v>
      </c>
      <c r="S30" s="11">
        <f>(S28/S29)-1</f>
        <v>9.1051375950010005E-2</v>
      </c>
      <c r="U30" s="11">
        <f>(U28/U29)-1</f>
        <v>6.0955260208083395E-2</v>
      </c>
      <c r="V30" s="11">
        <f>(V28/V29)-1</f>
        <v>0.12226154655480159</v>
      </c>
      <c r="W30" s="11">
        <f>(W28/W29)-1</f>
        <v>7.5123752774211461E-2</v>
      </c>
      <c r="X30" s="11">
        <f>(X28/X29)-1</f>
        <v>7.1586013298307494E-2</v>
      </c>
      <c r="Z30" s="11">
        <f>(Z28/Z29)-1</f>
        <v>7.8053854636246145E-2</v>
      </c>
    </row>
    <row r="32" spans="1:26" x14ac:dyDescent="0.2">
      <c r="A32" s="1" t="s">
        <v>16</v>
      </c>
      <c r="C32" s="1" t="s">
        <v>21</v>
      </c>
      <c r="D32" s="7">
        <v>1300407.6720929986</v>
      </c>
      <c r="E32" s="7">
        <v>377340.64953389968</v>
      </c>
      <c r="F32" s="7">
        <v>87273.162596799928</v>
      </c>
      <c r="G32" s="7">
        <f>SUM(D32:F32)</f>
        <v>1765021.4842236983</v>
      </c>
      <c r="I32" s="7">
        <v>2351117.4393979996</v>
      </c>
      <c r="J32" s="7">
        <v>362676.46290429967</v>
      </c>
      <c r="K32" s="7">
        <v>836340.11249786068</v>
      </c>
      <c r="L32" s="7">
        <f>SUM(I32:K32)</f>
        <v>3550134.0148001597</v>
      </c>
      <c r="N32" s="7">
        <f>G32+L32</f>
        <v>5315155.4990238585</v>
      </c>
      <c r="P32" s="7">
        <f t="shared" ref="P32:S33" si="15">AVERAGE(D32,D87,D142,D252)</f>
        <v>1284317.4252110748</v>
      </c>
      <c r="Q32" s="7">
        <f t="shared" si="15"/>
        <v>390357.66527234984</v>
      </c>
      <c r="R32" s="7">
        <f t="shared" si="15"/>
        <v>88397.528012749986</v>
      </c>
      <c r="S32" s="7">
        <f t="shared" si="15"/>
        <v>1763072.6184961747</v>
      </c>
      <c r="U32" s="7">
        <f t="shared" ref="U32:X33" si="16">AVERAGE(I32,I87,I142,I252)</f>
        <v>2224707.1316833925</v>
      </c>
      <c r="V32" s="7">
        <f t="shared" si="16"/>
        <v>352935.26035707502</v>
      </c>
      <c r="W32" s="7">
        <f t="shared" si="16"/>
        <v>767879.52840785799</v>
      </c>
      <c r="X32" s="7">
        <f t="shared" si="16"/>
        <v>3345521.9204483256</v>
      </c>
      <c r="Z32" s="7">
        <f>AVERAGE(N32,N87,N142,N252)</f>
        <v>5108594.5389445005</v>
      </c>
    </row>
    <row r="33" spans="1:26" x14ac:dyDescent="0.2">
      <c r="C33" s="1" t="s">
        <v>22</v>
      </c>
      <c r="D33" s="7">
        <v>1140664.254</v>
      </c>
      <c r="E33" s="7">
        <v>353021.755</v>
      </c>
      <c r="F33" s="7">
        <v>70771.392999999996</v>
      </c>
      <c r="G33" s="7">
        <f>SUM(D33:F33)</f>
        <v>1564457.402</v>
      </c>
      <c r="I33" s="7">
        <v>2177892.469</v>
      </c>
      <c r="J33" s="7">
        <v>336660.06900000002</v>
      </c>
      <c r="K33" s="7">
        <v>794890.34199999995</v>
      </c>
      <c r="L33" s="7">
        <f>SUM(I33:K33)</f>
        <v>3309442.88</v>
      </c>
      <c r="N33" s="7">
        <f>G33+L33</f>
        <v>4873900.2819999997</v>
      </c>
      <c r="P33" s="7">
        <f t="shared" si="15"/>
        <v>1151996.08975</v>
      </c>
      <c r="Q33" s="7">
        <f t="shared" si="15"/>
        <v>358110.5295</v>
      </c>
      <c r="R33" s="7">
        <f t="shared" si="15"/>
        <v>79140.710500000001</v>
      </c>
      <c r="S33" s="7">
        <f t="shared" si="15"/>
        <v>1589247.32975</v>
      </c>
      <c r="U33" s="7">
        <f t="shared" si="16"/>
        <v>2056704.9065</v>
      </c>
      <c r="V33" s="7">
        <f t="shared" si="16"/>
        <v>332666.84000000003</v>
      </c>
      <c r="W33" s="7">
        <f t="shared" si="16"/>
        <v>724008.88600000006</v>
      </c>
      <c r="X33" s="7">
        <f t="shared" si="16"/>
        <v>3113380.6324999998</v>
      </c>
      <c r="Z33" s="7">
        <f>AVERAGE(N33,N88,N143,N253)</f>
        <v>4702627.9622499999</v>
      </c>
    </row>
    <row r="34" spans="1:26" x14ac:dyDescent="0.2">
      <c r="C34" s="1" t="s">
        <v>23</v>
      </c>
      <c r="D34" s="11">
        <f>(D32/D33)-1</f>
        <v>0.14004420453505206</v>
      </c>
      <c r="E34" s="11">
        <f>(E32/E33)-1</f>
        <v>6.888780702452646E-2</v>
      </c>
      <c r="F34" s="11">
        <f>(F32/F33)-1</f>
        <v>0.23317005497969978</v>
      </c>
      <c r="G34" s="11">
        <f>(G32/G33)-1</f>
        <v>0.12820041118875936</v>
      </c>
      <c r="H34" s="11"/>
      <c r="I34" s="11">
        <f>(I32/I33)-1</f>
        <v>7.9537889433787035E-2</v>
      </c>
      <c r="J34" s="11">
        <f>(J32/J33)-1</f>
        <v>7.7277931955451518E-2</v>
      </c>
      <c r="K34" s="11">
        <f>(K32/K33)-1</f>
        <v>5.2145268734263617E-2</v>
      </c>
      <c r="L34" s="11">
        <f>(L32/L33)-1</f>
        <v>7.272859617995886E-2</v>
      </c>
      <c r="N34" s="11">
        <f>(N32/N33)-1</f>
        <v>9.0534313689895729E-2</v>
      </c>
      <c r="P34" s="11">
        <f>(P32/P33)-1</f>
        <v>0.1148626602454792</v>
      </c>
      <c r="Q34" s="11">
        <f>(Q32/Q33)-1</f>
        <v>9.0047996682403708E-2</v>
      </c>
      <c r="R34" s="11">
        <f>(R32/R33)-1</f>
        <v>0.11696657073542438</v>
      </c>
      <c r="S34" s="11">
        <f>(S32/S33)-1</f>
        <v>0.1093758570439245</v>
      </c>
      <c r="U34" s="11">
        <f>(U32/U33)-1</f>
        <v>8.1685138520571909E-2</v>
      </c>
      <c r="V34" s="11">
        <f>(V32/V33)-1</f>
        <v>6.0927083556254091E-2</v>
      </c>
      <c r="W34" s="11">
        <f>(W32/W33)-1</f>
        <v>6.0594066255504453E-2</v>
      </c>
      <c r="X34" s="11">
        <f>(X32/X33)-1</f>
        <v>7.4562450066351094E-2</v>
      </c>
      <c r="Z34" s="11">
        <f>(Z32/Z33)-1</f>
        <v>8.6327598090550017E-2</v>
      </c>
    </row>
    <row r="36" spans="1:26" x14ac:dyDescent="0.2">
      <c r="A36" s="1" t="s">
        <v>17</v>
      </c>
      <c r="C36" s="1" t="s">
        <v>21</v>
      </c>
      <c r="D36" s="7">
        <v>1204710.9211048004</v>
      </c>
      <c r="E36" s="7">
        <v>355296.50658860005</v>
      </c>
      <c r="F36" s="7">
        <v>72646.620848199978</v>
      </c>
      <c r="G36" s="7">
        <f>SUM(D36:F36)</f>
        <v>1632654.0485416006</v>
      </c>
      <c r="I36" s="7">
        <v>1918885.6418018276</v>
      </c>
      <c r="J36" s="7">
        <v>282385.37961370038</v>
      </c>
      <c r="K36" s="7">
        <v>760904.74057445163</v>
      </c>
      <c r="L36" s="7">
        <f>SUM(I36:K36)</f>
        <v>2962175.7619899795</v>
      </c>
      <c r="N36" s="7">
        <f>G36+L36</f>
        <v>4594829.8105315799</v>
      </c>
      <c r="P36" s="7">
        <f t="shared" ref="P36:S37" si="17">AVERAGE(D36,D91,D146,D256)</f>
        <v>1164504.1829805749</v>
      </c>
      <c r="Q36" s="7">
        <f t="shared" si="17"/>
        <v>357114.23282857478</v>
      </c>
      <c r="R36" s="7">
        <f t="shared" si="17"/>
        <v>73001.597154699994</v>
      </c>
      <c r="S36" s="7">
        <f t="shared" si="17"/>
        <v>1594620.0129638496</v>
      </c>
      <c r="U36" s="7">
        <f t="shared" ref="U36:X37" si="18">AVERAGE(I36,I91,I146,I256)</f>
        <v>1824463.3464674789</v>
      </c>
      <c r="V36" s="7">
        <f t="shared" si="18"/>
        <v>283682.89704287512</v>
      </c>
      <c r="W36" s="7">
        <f t="shared" si="18"/>
        <v>709389.19670807733</v>
      </c>
      <c r="X36" s="7">
        <f t="shared" si="18"/>
        <v>2817535.4402184319</v>
      </c>
      <c r="Z36" s="7">
        <f>AVERAGE(N36,N91,N146,N256)</f>
        <v>4412155.453182281</v>
      </c>
    </row>
    <row r="37" spans="1:26" x14ac:dyDescent="0.2">
      <c r="C37" s="1" t="s">
        <v>22</v>
      </c>
      <c r="D37" s="7">
        <v>1053848.753</v>
      </c>
      <c r="E37" s="7">
        <v>294048.34700000001</v>
      </c>
      <c r="F37" s="7">
        <v>91948.764999999999</v>
      </c>
      <c r="G37" s="7">
        <f>SUM(D37:F37)</f>
        <v>1439845.865</v>
      </c>
      <c r="I37" s="7">
        <v>1709354.4839999999</v>
      </c>
      <c r="J37" s="7">
        <v>258379.34899999999</v>
      </c>
      <c r="K37" s="7">
        <v>712970.103</v>
      </c>
      <c r="L37" s="7">
        <f>SUM(I37:K37)</f>
        <v>2680703.9359999998</v>
      </c>
      <c r="N37" s="7">
        <f>G37+L37</f>
        <v>4120549.801</v>
      </c>
      <c r="P37" s="7">
        <f t="shared" si="17"/>
        <v>1055563.03675</v>
      </c>
      <c r="Q37" s="7">
        <f t="shared" si="17"/>
        <v>300697.69725000003</v>
      </c>
      <c r="R37" s="7">
        <f t="shared" si="17"/>
        <v>65925.286250000005</v>
      </c>
      <c r="S37" s="7">
        <f t="shared" si="17"/>
        <v>1422186.0202500001</v>
      </c>
      <c r="U37" s="7">
        <f t="shared" si="18"/>
        <v>1647002.2027499999</v>
      </c>
      <c r="V37" s="7">
        <f t="shared" si="18"/>
        <v>269617.24725000001</v>
      </c>
      <c r="W37" s="7">
        <f t="shared" si="18"/>
        <v>653521.17799999996</v>
      </c>
      <c r="X37" s="7">
        <f t="shared" si="18"/>
        <v>2570140.628</v>
      </c>
      <c r="Z37" s="7">
        <f>AVERAGE(N37,N92,N147,N257)</f>
        <v>3992326.6482500001</v>
      </c>
    </row>
    <row r="38" spans="1:26" x14ac:dyDescent="0.2">
      <c r="C38" s="1" t="s">
        <v>23</v>
      </c>
      <c r="D38" s="11">
        <f>(D36/D37)-1</f>
        <v>0.14315352907648249</v>
      </c>
      <c r="E38" s="11">
        <f>(E36/E37)-1</f>
        <v>0.20829282059728782</v>
      </c>
      <c r="F38" s="11">
        <f>(F36/F37)-1</f>
        <v>-0.20992282116894145</v>
      </c>
      <c r="G38" s="11">
        <f>(G36/G37)-1</f>
        <v>0.13390890527132959</v>
      </c>
      <c r="H38" s="11"/>
      <c r="I38" s="11">
        <f>(I36/I37)-1</f>
        <v>0.12257911379008468</v>
      </c>
      <c r="J38" s="11">
        <f>(J36/J37)-1</f>
        <v>9.2910020505161839E-2</v>
      </c>
      <c r="K38" s="11">
        <f>(K36/K37)-1</f>
        <v>6.7232324851707936E-2</v>
      </c>
      <c r="L38" s="11">
        <f>(L36/L37)-1</f>
        <v>0.10499922136495865</v>
      </c>
      <c r="N38" s="11">
        <f>(N36/N37)-1</f>
        <v>0.11510114728293752</v>
      </c>
      <c r="P38" s="11">
        <f>(P36/P37)-1</f>
        <v>0.10320667022028029</v>
      </c>
      <c r="Q38" s="11">
        <f>(Q36/Q37)-1</f>
        <v>0.18761878156875289</v>
      </c>
      <c r="R38" s="11">
        <f>(R36/R37)-1</f>
        <v>0.10733834173833401</v>
      </c>
      <c r="S38" s="11">
        <f>(S36/S37)-1</f>
        <v>0.12124573737796829</v>
      </c>
      <c r="U38" s="11">
        <f>(U36/U37)-1</f>
        <v>0.10774796986984714</v>
      </c>
      <c r="V38" s="11">
        <f>(V36/V37)-1</f>
        <v>5.2168954087098429E-2</v>
      </c>
      <c r="W38" s="11">
        <f>(W36/W37)-1</f>
        <v>8.5487694337699649E-2</v>
      </c>
      <c r="X38" s="11">
        <f>(X36/X37)-1</f>
        <v>9.6257305737758925E-2</v>
      </c>
      <c r="Z38" s="11">
        <f>(Z36/Z37)-1</f>
        <v>0.10515893160102752</v>
      </c>
    </row>
    <row r="40" spans="1:26" x14ac:dyDescent="0.2">
      <c r="A40" s="1" t="s">
        <v>18</v>
      </c>
      <c r="C40" s="1" t="s">
        <v>21</v>
      </c>
      <c r="D40" s="7">
        <v>1219736.263246499</v>
      </c>
      <c r="E40" s="7">
        <v>366546.96016750013</v>
      </c>
      <c r="F40" s="7">
        <v>70919.018489700014</v>
      </c>
      <c r="G40" s="7">
        <f>SUM(D40:F40)</f>
        <v>1657202.2419036992</v>
      </c>
      <c r="I40" s="7">
        <v>1858344.1395199413</v>
      </c>
      <c r="J40" s="7">
        <v>276042.79217879963</v>
      </c>
      <c r="K40" s="7">
        <v>835901.72897806566</v>
      </c>
      <c r="L40" s="7">
        <f>SUM(I40:K40)</f>
        <v>2970288.6606768067</v>
      </c>
      <c r="N40" s="7">
        <f>G40+L40</f>
        <v>4627490.9025805062</v>
      </c>
      <c r="P40" s="7">
        <f t="shared" ref="P40:S41" si="19">AVERAGE(D40,D95,D150,D260)</f>
        <v>1208201.2454571745</v>
      </c>
      <c r="Q40" s="7">
        <f t="shared" si="19"/>
        <v>369981.64967359893</v>
      </c>
      <c r="R40" s="7">
        <f t="shared" si="19"/>
        <v>73394.790817800022</v>
      </c>
      <c r="S40" s="7">
        <f t="shared" si="19"/>
        <v>1651577.6859485735</v>
      </c>
      <c r="U40" s="7">
        <f t="shared" ref="U40:X41" si="20">AVERAGE(I40,I95,I150,I260)</f>
        <v>1769377.2638294345</v>
      </c>
      <c r="V40" s="7">
        <f t="shared" si="20"/>
        <v>267060.88743439986</v>
      </c>
      <c r="W40" s="7">
        <f t="shared" si="20"/>
        <v>765509.05825211294</v>
      </c>
      <c r="X40" s="7">
        <f t="shared" si="20"/>
        <v>2801947.2095159469</v>
      </c>
      <c r="Z40" s="7">
        <f>AVERAGE(N40,N95,N150,N260)</f>
        <v>4453524.8954645209</v>
      </c>
    </row>
    <row r="41" spans="1:26" x14ac:dyDescent="0.2">
      <c r="C41" s="1" t="s">
        <v>22</v>
      </c>
      <c r="D41" s="7">
        <v>1078293.621</v>
      </c>
      <c r="E41" s="7">
        <v>344855.86300000001</v>
      </c>
      <c r="F41" s="7">
        <v>48358.332999999999</v>
      </c>
      <c r="G41" s="7">
        <f>SUM(D41:F41)</f>
        <v>1471507.8170000003</v>
      </c>
      <c r="I41" s="7">
        <v>1792594.811</v>
      </c>
      <c r="J41" s="7">
        <v>241207.99</v>
      </c>
      <c r="K41" s="7">
        <v>816694.71</v>
      </c>
      <c r="L41" s="7">
        <f>SUM(I41:K41)</f>
        <v>2850497.5109999999</v>
      </c>
      <c r="N41" s="7">
        <f>G41+L41</f>
        <v>4322005.3279999997</v>
      </c>
      <c r="P41" s="7">
        <f t="shared" si="19"/>
        <v>1082692.0517500001</v>
      </c>
      <c r="Q41" s="7">
        <f t="shared" si="19"/>
        <v>342601.21849999996</v>
      </c>
      <c r="R41" s="7">
        <f t="shared" si="19"/>
        <v>60164.038499999995</v>
      </c>
      <c r="S41" s="7">
        <f t="shared" si="19"/>
        <v>1485457.3087500001</v>
      </c>
      <c r="U41" s="7">
        <f t="shared" si="20"/>
        <v>1650931.7605000001</v>
      </c>
      <c r="V41" s="7">
        <f t="shared" si="20"/>
        <v>231140.0925</v>
      </c>
      <c r="W41" s="7">
        <f t="shared" si="20"/>
        <v>721021.39199999999</v>
      </c>
      <c r="X41" s="7">
        <f t="shared" si="20"/>
        <v>2603093.2450000001</v>
      </c>
      <c r="Z41" s="7">
        <f>AVERAGE(N41,N96,N151,N261)</f>
        <v>4088550.55375</v>
      </c>
    </row>
    <row r="42" spans="1:26" x14ac:dyDescent="0.2">
      <c r="C42" s="1" t="s">
        <v>23</v>
      </c>
      <c r="D42" s="11">
        <f>(D40/D41)-1</f>
        <v>0.1311726597393077</v>
      </c>
      <c r="E42" s="11">
        <f>(E40/E41)-1</f>
        <v>6.2899023895963468E-2</v>
      </c>
      <c r="F42" s="11">
        <f>(F40/F41)-1</f>
        <v>0.46653149705760155</v>
      </c>
      <c r="G42" s="11">
        <f>(G40/G41)-1</f>
        <v>0.12619329830151971</v>
      </c>
      <c r="H42" s="11"/>
      <c r="I42" s="11">
        <f>(I40/I41)-1</f>
        <v>3.6678299031370543E-2</v>
      </c>
      <c r="J42" s="11">
        <f>(J40/J41)-1</f>
        <v>0.14441811060570431</v>
      </c>
      <c r="K42" s="11">
        <f>(K40/K41)-1</f>
        <v>2.3517991169632602E-2</v>
      </c>
      <c r="L42" s="11">
        <f>(L40/L41)-1</f>
        <v>4.2024646299298807E-2</v>
      </c>
      <c r="N42" s="11">
        <f>(N40/N41)-1</f>
        <v>7.0681443310915526E-2</v>
      </c>
      <c r="P42" s="11">
        <f>(P40/P41)-1</f>
        <v>0.11592326137825504</v>
      </c>
      <c r="Q42" s="11">
        <f>(Q40/Q41)-1</f>
        <v>7.9919246328071569E-2</v>
      </c>
      <c r="R42" s="11">
        <f>(R40/R41)-1</f>
        <v>0.21991130661549629</v>
      </c>
      <c r="S42" s="11">
        <f>(S40/S41)-1</f>
        <v>0.11183113524707244</v>
      </c>
      <c r="U42" s="11">
        <f>(U40/U41)-1</f>
        <v>7.1744639096144258E-2</v>
      </c>
      <c r="V42" s="11">
        <f>(V40/V41)-1</f>
        <v>0.15540702846434939</v>
      </c>
      <c r="W42" s="11">
        <f>(W40/W41)-1</f>
        <v>6.1700896458440901E-2</v>
      </c>
      <c r="X42" s="11">
        <f>(X40/X41)-1</f>
        <v>7.6391410449050845E-2</v>
      </c>
      <c r="Z42" s="11">
        <f>(Z40/Z41)-1</f>
        <v>8.9267415656574922E-2</v>
      </c>
    </row>
    <row r="44" spans="1:26" x14ac:dyDescent="0.2">
      <c r="A44" s="1" t="s">
        <v>19</v>
      </c>
      <c r="C44" s="1" t="s">
        <v>21</v>
      </c>
      <c r="D44" s="7">
        <v>1229681.1904784006</v>
      </c>
      <c r="E44" s="7">
        <v>375174.82468339964</v>
      </c>
      <c r="F44" s="7">
        <v>72870.483086100008</v>
      </c>
      <c r="G44" s="7">
        <f>SUM(D44:F44)</f>
        <v>1677726.4982479003</v>
      </c>
      <c r="I44" s="7">
        <v>1905853.87131653</v>
      </c>
      <c r="J44" s="7">
        <v>251394.44958880023</v>
      </c>
      <c r="K44" s="7">
        <v>821057.28194231261</v>
      </c>
      <c r="L44" s="7">
        <f>SUM(I44:K44)</f>
        <v>2978305.6028476427</v>
      </c>
      <c r="N44" s="7">
        <f>G44+L44</f>
        <v>4656032.1010955432</v>
      </c>
      <c r="P44" s="7">
        <f t="shared" ref="P44:S45" si="21">AVERAGE(D44,D99,D154,D264)</f>
        <v>1284303.3366782248</v>
      </c>
      <c r="Q44" s="7">
        <f t="shared" si="21"/>
        <v>391818.28908234986</v>
      </c>
      <c r="R44" s="7">
        <f t="shared" si="21"/>
        <v>78644.479900974984</v>
      </c>
      <c r="S44" s="7">
        <f t="shared" si="21"/>
        <v>1754766.1056615498</v>
      </c>
      <c r="U44" s="7">
        <f t="shared" ref="U44:X45" si="22">AVERAGE(I44,I99,I154,I264)</f>
        <v>1859216.1018813362</v>
      </c>
      <c r="V44" s="7">
        <f t="shared" si="22"/>
        <v>253914.10824205008</v>
      </c>
      <c r="W44" s="7">
        <f t="shared" si="22"/>
        <v>756820.77484911087</v>
      </c>
      <c r="X44" s="7">
        <f t="shared" si="22"/>
        <v>2869950.9849724974</v>
      </c>
      <c r="Z44" s="7">
        <f>AVERAGE(N44,N99,N154,N264)</f>
        <v>4624717.0906340471</v>
      </c>
    </row>
    <row r="45" spans="1:26" x14ac:dyDescent="0.2">
      <c r="C45" s="1" t="s">
        <v>22</v>
      </c>
      <c r="D45" s="7">
        <v>1084655.29</v>
      </c>
      <c r="E45" s="7">
        <v>330954.53499999997</v>
      </c>
      <c r="F45" s="7">
        <v>64412.856</v>
      </c>
      <c r="G45" s="7">
        <f>SUM(D45:F45)</f>
        <v>1480022.6809999999</v>
      </c>
      <c r="I45" s="7">
        <v>1754353.7450000001</v>
      </c>
      <c r="J45" s="7">
        <v>258144.91899999999</v>
      </c>
      <c r="K45" s="7">
        <v>769802.89199999999</v>
      </c>
      <c r="L45" s="7">
        <f>SUM(I45:K45)</f>
        <v>2782301.5559999999</v>
      </c>
      <c r="N45" s="7">
        <f>G45+L45</f>
        <v>4262324.2369999997</v>
      </c>
      <c r="P45" s="7">
        <f t="shared" si="21"/>
        <v>1145364.0307500002</v>
      </c>
      <c r="Q45" s="7">
        <f t="shared" si="21"/>
        <v>351306.92849999998</v>
      </c>
      <c r="R45" s="7">
        <f t="shared" si="21"/>
        <v>65650.543250000002</v>
      </c>
      <c r="S45" s="7">
        <f t="shared" si="21"/>
        <v>1562321.5025000002</v>
      </c>
      <c r="U45" s="7">
        <f t="shared" si="22"/>
        <v>1708838.1</v>
      </c>
      <c r="V45" s="7">
        <f t="shared" si="22"/>
        <v>241272.97025000001</v>
      </c>
      <c r="W45" s="7">
        <f t="shared" si="22"/>
        <v>712258.68700000003</v>
      </c>
      <c r="X45" s="7">
        <f t="shared" si="22"/>
        <v>2662369.7572499998</v>
      </c>
      <c r="Z45" s="7">
        <f>AVERAGE(N45,N100,N155,N265)</f>
        <v>4224691.2597500002</v>
      </c>
    </row>
    <row r="46" spans="1:26" x14ac:dyDescent="0.2">
      <c r="C46" s="1" t="s">
        <v>23</v>
      </c>
      <c r="D46" s="11">
        <f>(D44/D45)-1</f>
        <v>0.13370690376515881</v>
      </c>
      <c r="E46" s="11">
        <f>(E44/E45)-1</f>
        <v>0.13361439414449983</v>
      </c>
      <c r="F46" s="11">
        <f>(F44/F45)-1</f>
        <v>0.13130340139086538</v>
      </c>
      <c r="G46" s="11">
        <f>(G44/G45)-1</f>
        <v>0.13358161316441364</v>
      </c>
      <c r="H46" s="11"/>
      <c r="I46" s="11">
        <f>(I44/I45)-1</f>
        <v>8.6356657970670492E-2</v>
      </c>
      <c r="J46" s="11">
        <f>(J44/J45)-1</f>
        <v>-2.6149921669385123E-2</v>
      </c>
      <c r="K46" s="11">
        <f>(K44/K45)-1</f>
        <v>6.6581186528346548E-2</v>
      </c>
      <c r="L46" s="11">
        <f>(L44/L45)-1</f>
        <v>7.044673012706415E-2</v>
      </c>
      <c r="N46" s="11">
        <f>(N44/N45)-1</f>
        <v>9.2369290134682869E-2</v>
      </c>
      <c r="P46" s="11">
        <f>(P44/P45)-1</f>
        <v>0.12130580513973821</v>
      </c>
      <c r="Q46" s="11">
        <f>(Q44/Q45)-1</f>
        <v>0.11531614464685935</v>
      </c>
      <c r="R46" s="11">
        <f>(R44/R45)-1</f>
        <v>0.19792580544982741</v>
      </c>
      <c r="S46" s="11">
        <f>(S44/S45)-1</f>
        <v>0.12317861775159789</v>
      </c>
      <c r="U46" s="11">
        <f>(U44/U45)-1</f>
        <v>8.8000145760640525E-2</v>
      </c>
      <c r="V46" s="11">
        <f>(V44/V45)-1</f>
        <v>5.2393510880857086E-2</v>
      </c>
      <c r="W46" s="11">
        <f>(W44/W45)-1</f>
        <v>6.2564470834050923E-2</v>
      </c>
      <c r="X46" s="11">
        <f>(X44/X45)-1</f>
        <v>7.7968594391228052E-2</v>
      </c>
      <c r="Z46" s="11">
        <f>(Z44/Z45)-1</f>
        <v>9.4687589290896268E-2</v>
      </c>
    </row>
    <row r="48" spans="1:26" x14ac:dyDescent="0.2">
      <c r="A48" s="1" t="s">
        <v>20</v>
      </c>
      <c r="C48" s="1" t="s">
        <v>21</v>
      </c>
      <c r="D48" s="7">
        <v>1512164.1674659995</v>
      </c>
      <c r="E48" s="7">
        <v>479491.36920469993</v>
      </c>
      <c r="F48" s="7">
        <v>90600.699175900008</v>
      </c>
      <c r="G48" s="7">
        <f>SUM(D48:F48)</f>
        <v>2082256.2358465996</v>
      </c>
      <c r="I48" s="7">
        <v>2119013.1500112591</v>
      </c>
      <c r="J48" s="7">
        <v>279184.59377509973</v>
      </c>
      <c r="K48" s="7">
        <v>907980.60123070818</v>
      </c>
      <c r="L48" s="7">
        <f>SUM(I48:K48)</f>
        <v>3306178.3450170672</v>
      </c>
      <c r="N48" s="7">
        <f>G48+L48</f>
        <v>5388434.5808636667</v>
      </c>
      <c r="P48" s="7">
        <f t="shared" ref="P48:S49" si="23">AVERAGE(D48,D103,D158,D268)</f>
        <v>1456067.8242579005</v>
      </c>
      <c r="Q48" s="7">
        <f t="shared" si="23"/>
        <v>457094.82663897518</v>
      </c>
      <c r="R48" s="7">
        <f t="shared" si="23"/>
        <v>92539.056034949986</v>
      </c>
      <c r="S48" s="7">
        <f t="shared" si="23"/>
        <v>2005701.7069318253</v>
      </c>
      <c r="U48" s="7">
        <f t="shared" ref="U48:X49" si="24">AVERAGE(I48,I103,I158,I268)</f>
        <v>2063664.3675053143</v>
      </c>
      <c r="V48" s="7">
        <f t="shared" si="24"/>
        <v>284848.67230530002</v>
      </c>
      <c r="W48" s="7">
        <f t="shared" si="24"/>
        <v>824458.21508756944</v>
      </c>
      <c r="X48" s="7">
        <f t="shared" si="24"/>
        <v>3172971.2548981835</v>
      </c>
      <c r="Z48" s="7">
        <f>AVERAGE(N48,N103,N158,N268)</f>
        <v>5178672.9618300088</v>
      </c>
    </row>
    <row r="49" spans="1:34" x14ac:dyDescent="0.2">
      <c r="C49" s="1" t="s">
        <v>22</v>
      </c>
      <c r="D49" s="7">
        <v>1398375.8659999999</v>
      </c>
      <c r="E49" s="7">
        <v>397809.13199999998</v>
      </c>
      <c r="F49" s="7">
        <v>73276.001999999993</v>
      </c>
      <c r="G49" s="7">
        <f>SUM(D49:F49)</f>
        <v>1869461</v>
      </c>
      <c r="I49" s="7">
        <v>1943402.78</v>
      </c>
      <c r="J49" s="7">
        <v>242658.30300000001</v>
      </c>
      <c r="K49" s="7">
        <v>942057.65800000005</v>
      </c>
      <c r="L49" s="7">
        <f>SUM(I49:K49)</f>
        <v>3128118.7410000004</v>
      </c>
      <c r="N49" s="7">
        <f>G49+L49</f>
        <v>4997579.7410000004</v>
      </c>
      <c r="P49" s="7">
        <f t="shared" si="23"/>
        <v>1323871.8600000001</v>
      </c>
      <c r="Q49" s="7">
        <f t="shared" si="23"/>
        <v>398646.47474999999</v>
      </c>
      <c r="R49" s="7">
        <f t="shared" si="23"/>
        <v>76012.153250000003</v>
      </c>
      <c r="S49" s="7">
        <f t="shared" si="23"/>
        <v>1798530.4879999999</v>
      </c>
      <c r="U49" s="7">
        <f t="shared" si="24"/>
        <v>1942996.6705</v>
      </c>
      <c r="V49" s="7">
        <f t="shared" si="24"/>
        <v>251432.28100000002</v>
      </c>
      <c r="W49" s="7">
        <f t="shared" si="24"/>
        <v>792332.22899999993</v>
      </c>
      <c r="X49" s="7">
        <f t="shared" si="24"/>
        <v>2986761.1805000002</v>
      </c>
      <c r="Z49" s="7">
        <f>AVERAGE(N49,N104,N159,N269)</f>
        <v>4785291.6684999997</v>
      </c>
    </row>
    <row r="50" spans="1:34" x14ac:dyDescent="0.2">
      <c r="C50" s="1" t="s">
        <v>23</v>
      </c>
      <c r="D50" s="11">
        <f>(D48/D49)-1</f>
        <v>8.1371757216810892E-2</v>
      </c>
      <c r="E50" s="11">
        <f>(E48/E49)-1</f>
        <v>0.20533022154126912</v>
      </c>
      <c r="F50" s="11">
        <f>(F48/F49)-1</f>
        <v>0.23643070996013149</v>
      </c>
      <c r="G50" s="11">
        <f>(G48/G49)-1</f>
        <v>0.11382705274226068</v>
      </c>
      <c r="H50" s="11"/>
      <c r="I50" s="11">
        <f>(I48/I49)-1</f>
        <v>9.0362312855834848E-2</v>
      </c>
      <c r="J50" s="11">
        <f>(J48/J49)-1</f>
        <v>0.15052561698290501</v>
      </c>
      <c r="K50" s="11">
        <f>(K48/K49)-1</f>
        <v>-3.6173005420536475E-2</v>
      </c>
      <c r="L50" s="11">
        <f>(L48/L49)-1</f>
        <v>5.6922265028898744E-2</v>
      </c>
      <c r="N50" s="11">
        <f>(N48/N49)-1</f>
        <v>7.8208825095296586E-2</v>
      </c>
      <c r="P50" s="11">
        <f>(P48/P49)-1</f>
        <v>9.9855558722957038E-2</v>
      </c>
      <c r="Q50" s="11">
        <f>(Q48/Q49)-1</f>
        <v>0.14661700426582081</v>
      </c>
      <c r="R50" s="11">
        <f>(R48/R49)-1</f>
        <v>0.21742447856455094</v>
      </c>
      <c r="S50" s="11">
        <f>(S48/S49)-1</f>
        <v>0.11518916154832803</v>
      </c>
      <c r="U50" s="11">
        <f>(U48/U49)-1</f>
        <v>6.2103913422693724E-2</v>
      </c>
      <c r="V50" s="11">
        <f>(V48/V49)-1</f>
        <v>0.1329041409177687</v>
      </c>
      <c r="W50" s="11">
        <f>(W48/W49)-1</f>
        <v>4.054610542362469E-2</v>
      </c>
      <c r="X50" s="11">
        <f>(X48/X49)-1</f>
        <v>6.2345150196110088E-2</v>
      </c>
      <c r="Z50" s="11">
        <f>(Z48/Z49)-1</f>
        <v>8.2206335701438871E-2</v>
      </c>
    </row>
    <row r="52" spans="1:34" x14ac:dyDescent="0.2">
      <c r="A52" s="1" t="s">
        <v>44</v>
      </c>
      <c r="C52" s="1" t="s">
        <v>21</v>
      </c>
      <c r="D52" s="7">
        <f t="shared" ref="D52:G53" si="25">D4+D8+D12+D16+D20+D24+D28+D32+D36+D40+D44+D48</f>
        <v>15657197.1899276</v>
      </c>
      <c r="E52" s="7">
        <f t="shared" si="25"/>
        <v>4569976.5439727977</v>
      </c>
      <c r="F52" s="7">
        <f t="shared" si="25"/>
        <v>988418.00743419991</v>
      </c>
      <c r="G52" s="7">
        <f t="shared" si="25"/>
        <v>21215591.741334595</v>
      </c>
      <c r="I52" s="7">
        <f t="shared" ref="I52:L53" si="26">I4+I8+I12+I16+I20+I24+I28+I32+I36+I40+I44+I48</f>
        <v>24315042.185488682</v>
      </c>
      <c r="J52" s="7">
        <f t="shared" si="26"/>
        <v>3776623.7394170994</v>
      </c>
      <c r="K52" s="7">
        <f t="shared" si="26"/>
        <v>9838166.1253023054</v>
      </c>
      <c r="L52" s="7">
        <f t="shared" si="26"/>
        <v>37929832.050208092</v>
      </c>
      <c r="N52" s="7">
        <f>N4+N8+N12+N16+N20+N24+N28+N32+N36+N40+N44+N48</f>
        <v>59145423.791542694</v>
      </c>
      <c r="P52" s="7">
        <f t="shared" ref="P52:S53" si="27">P4+P8+P12+P16+P20+P24+P28+P32+P36+P40+P44+P48</f>
        <v>15227486.451802637</v>
      </c>
      <c r="Q52" s="7">
        <f t="shared" si="27"/>
        <v>4566406.568213623</v>
      </c>
      <c r="R52" s="7">
        <f t="shared" si="27"/>
        <v>1002067.7305402498</v>
      </c>
      <c r="S52" s="7">
        <f t="shared" si="27"/>
        <v>20795960.75055651</v>
      </c>
      <c r="T52" s="7"/>
      <c r="U52" s="7">
        <f t="shared" ref="U52:X53" si="28">U4+U8+U12+U16+U20+U24+U28+U32+U36+U40+U44+U48</f>
        <v>23107996.824752305</v>
      </c>
      <c r="V52" s="7">
        <f t="shared" si="28"/>
        <v>3708934.1352905249</v>
      </c>
      <c r="W52" s="7">
        <f t="shared" si="28"/>
        <v>9058135.3761372622</v>
      </c>
      <c r="X52" s="7">
        <f t="shared" si="28"/>
        <v>35875066.336180091</v>
      </c>
      <c r="Z52" s="7">
        <f>Z4+Z8+Z12+Z16+Z20+Z24+Z28+Z32+Z36+Z40+Z44+Z48</f>
        <v>56671027.086736605</v>
      </c>
    </row>
    <row r="53" spans="1:34" x14ac:dyDescent="0.2">
      <c r="C53" s="1" t="s">
        <v>22</v>
      </c>
      <c r="D53" s="7">
        <f t="shared" si="25"/>
        <v>14018765.208000001</v>
      </c>
      <c r="E53" s="7">
        <f t="shared" si="25"/>
        <v>4080363.2680000002</v>
      </c>
      <c r="F53" s="7">
        <f t="shared" si="25"/>
        <v>882853.61400000006</v>
      </c>
      <c r="G53" s="7">
        <f t="shared" si="25"/>
        <v>18981982.09</v>
      </c>
      <c r="I53" s="7">
        <f t="shared" si="26"/>
        <v>22653484.996000003</v>
      </c>
      <c r="J53" s="7">
        <f t="shared" si="26"/>
        <v>3390924.4729999998</v>
      </c>
      <c r="K53" s="7">
        <f t="shared" si="26"/>
        <v>9335392.3310000002</v>
      </c>
      <c r="L53" s="7">
        <f t="shared" si="26"/>
        <v>35379801.799999997</v>
      </c>
      <c r="N53" s="7">
        <f>N5+N9+N13+N17+N21+N25+N29+N33+N37+N41+N45+N49</f>
        <v>54361783.890000001</v>
      </c>
      <c r="P53" s="7">
        <f t="shared" si="27"/>
        <v>13785515.827</v>
      </c>
      <c r="Q53" s="7">
        <f t="shared" si="27"/>
        <v>4096297.9592500003</v>
      </c>
      <c r="R53" s="7">
        <f t="shared" si="27"/>
        <v>865185.82475000003</v>
      </c>
      <c r="S53" s="7">
        <f t="shared" si="27"/>
        <v>18746999.611000001</v>
      </c>
      <c r="T53" s="7"/>
      <c r="U53" s="7">
        <f t="shared" si="28"/>
        <v>21491078.999499999</v>
      </c>
      <c r="V53" s="7">
        <f t="shared" si="28"/>
        <v>3365047.9345</v>
      </c>
      <c r="W53" s="7">
        <f t="shared" si="28"/>
        <v>8488308.9840000011</v>
      </c>
      <c r="X53" s="7">
        <f t="shared" si="28"/>
        <v>33344435.918000001</v>
      </c>
      <c r="Z53" s="7">
        <f>Z5+Z9+Z13+Z17+Z21+Z25+Z29+Z33+Z37+Z41+Z45+Z49</f>
        <v>52091435.528999999</v>
      </c>
    </row>
    <row r="54" spans="1:34" x14ac:dyDescent="0.2">
      <c r="C54" s="1" t="s">
        <v>23</v>
      </c>
      <c r="D54" s="11">
        <f>(D52/D53)-1</f>
        <v>0.11687420094550172</v>
      </c>
      <c r="E54" s="11">
        <f>(E52/E53)-1</f>
        <v>0.11999257022347987</v>
      </c>
      <c r="F54" s="11">
        <f>(F52/F53)-1</f>
        <v>0.11957179736277301</v>
      </c>
      <c r="G54" s="11">
        <f>(G52/G53)-1</f>
        <v>0.11766999045433169</v>
      </c>
      <c r="I54" s="11">
        <f>(I52/I53)-1</f>
        <v>7.3346647978536961E-2</v>
      </c>
      <c r="J54" s="11">
        <f>(J52/J53)-1</f>
        <v>0.11374457599637</v>
      </c>
      <c r="K54" s="11">
        <f>(K52/K53)-1</f>
        <v>5.3856739650110397E-2</v>
      </c>
      <c r="L54" s="11">
        <f>(L52/L53)-1</f>
        <v>7.2075877208789052E-2</v>
      </c>
      <c r="N54" s="11">
        <f>(N52/N53)-1</f>
        <v>8.7996374644774278E-2</v>
      </c>
      <c r="P54" s="11">
        <f>(P52/P53)-1</f>
        <v>0.10460041125036668</v>
      </c>
      <c r="Q54" s="11">
        <f>(Q52/Q53)-1</f>
        <v>0.11476426120371763</v>
      </c>
      <c r="R54" s="11">
        <f>(R52/R53)-1</f>
        <v>0.15821098991052307</v>
      </c>
      <c r="S54" s="11">
        <f>(S52/S53)-1</f>
        <v>0.10929541697724576</v>
      </c>
      <c r="T54" s="7"/>
      <c r="U54" s="11">
        <f>(U52/U53)-1</f>
        <v>7.5236698226735177E-2</v>
      </c>
      <c r="V54" s="11">
        <f>(V52/V53)-1</f>
        <v>0.10219355191492152</v>
      </c>
      <c r="W54" s="11">
        <f>(W52/W53)-1</f>
        <v>6.7130731599350568E-2</v>
      </c>
      <c r="X54" s="11">
        <f>(X52/X53)-1</f>
        <v>7.5893634080461458E-2</v>
      </c>
      <c r="Z54" s="11">
        <f>(Z52/Z53)-1</f>
        <v>8.7914481742149109E-2</v>
      </c>
    </row>
    <row r="56" spans="1:34" x14ac:dyDescent="0.2">
      <c r="D56" s="19" t="s">
        <v>7</v>
      </c>
      <c r="E56" s="19"/>
      <c r="F56" s="19"/>
      <c r="G56" s="19"/>
      <c r="H56" s="10"/>
      <c r="I56" s="19" t="s">
        <v>8</v>
      </c>
      <c r="J56" s="19"/>
      <c r="K56" s="19"/>
      <c r="L56" s="19"/>
      <c r="N56" s="6" t="s">
        <v>24</v>
      </c>
      <c r="R56" s="1" t="s">
        <v>26</v>
      </c>
      <c r="Z56" s="6" t="s">
        <v>24</v>
      </c>
    </row>
    <row r="57" spans="1:34" x14ac:dyDescent="0.2">
      <c r="D57" s="10" t="s">
        <v>0</v>
      </c>
      <c r="E57" s="10" t="s">
        <v>1</v>
      </c>
      <c r="F57" s="10" t="s">
        <v>2</v>
      </c>
      <c r="G57" s="10" t="s">
        <v>24</v>
      </c>
      <c r="H57" s="10"/>
      <c r="I57" s="10" t="s">
        <v>3</v>
      </c>
      <c r="J57" s="10" t="s">
        <v>4</v>
      </c>
      <c r="K57" s="10" t="s">
        <v>25</v>
      </c>
      <c r="L57" s="10" t="s">
        <v>24</v>
      </c>
      <c r="N57" s="10" t="s">
        <v>49</v>
      </c>
      <c r="P57" s="10" t="s">
        <v>0</v>
      </c>
      <c r="Q57" s="10" t="s">
        <v>1</v>
      </c>
      <c r="R57" s="10" t="s">
        <v>2</v>
      </c>
      <c r="S57" s="10" t="s">
        <v>24</v>
      </c>
      <c r="T57" s="10"/>
      <c r="U57" s="10" t="s">
        <v>3</v>
      </c>
      <c r="V57" s="10" t="s">
        <v>4</v>
      </c>
      <c r="W57" s="10" t="s">
        <v>25</v>
      </c>
      <c r="X57" s="10" t="s">
        <v>24</v>
      </c>
      <c r="Y57" s="10"/>
      <c r="Z57" s="10" t="s">
        <v>49</v>
      </c>
      <c r="AA57" s="10"/>
    </row>
    <row r="58" spans="1:34" x14ac:dyDescent="0.2">
      <c r="A58" s="1">
        <v>2007</v>
      </c>
      <c r="AC58" s="1" t="s">
        <v>27</v>
      </c>
    </row>
    <row r="59" spans="1:34" x14ac:dyDescent="0.2">
      <c r="A59" s="1" t="s">
        <v>9</v>
      </c>
      <c r="C59" s="1" t="s">
        <v>21</v>
      </c>
      <c r="D59" s="7">
        <v>1571400.1793037001</v>
      </c>
      <c r="E59" s="7">
        <v>461737.83542880003</v>
      </c>
      <c r="F59" s="7">
        <v>97192.359228299974</v>
      </c>
      <c r="G59" s="7">
        <f>SUM(D59:F59)</f>
        <v>2130330.3739608</v>
      </c>
      <c r="I59" s="7">
        <v>2096063.5742977932</v>
      </c>
      <c r="J59" s="7">
        <v>298943.7145603</v>
      </c>
      <c r="K59" s="7">
        <v>814806.641325998</v>
      </c>
      <c r="L59" s="7">
        <f>SUM(I59:K59)</f>
        <v>3209813.9301840914</v>
      </c>
      <c r="N59" s="7">
        <f>G59+L59</f>
        <v>5340144.304144891</v>
      </c>
      <c r="AC59" s="10" t="s">
        <v>0</v>
      </c>
      <c r="AD59" s="10" t="s">
        <v>1</v>
      </c>
      <c r="AE59" s="10" t="s">
        <v>2</v>
      </c>
      <c r="AF59" s="10" t="s">
        <v>3</v>
      </c>
      <c r="AG59" s="10" t="s">
        <v>4</v>
      </c>
      <c r="AH59" s="10" t="s">
        <v>25</v>
      </c>
    </row>
    <row r="60" spans="1:34" x14ac:dyDescent="0.2">
      <c r="C60" s="1" t="s">
        <v>22</v>
      </c>
      <c r="D60" s="7">
        <v>1469430.067</v>
      </c>
      <c r="E60" s="7">
        <v>404240.98200000002</v>
      </c>
      <c r="F60" s="7">
        <v>95933.585999999996</v>
      </c>
      <c r="G60" s="7">
        <f>SUM(D60:F60)</f>
        <v>1969604.635</v>
      </c>
      <c r="I60" s="7">
        <v>1924634.9709999999</v>
      </c>
      <c r="J60" s="7">
        <v>288786.42800000001</v>
      </c>
      <c r="K60" s="7">
        <v>742288.24800000002</v>
      </c>
      <c r="L60" s="7">
        <f>SUM(I60:K60)</f>
        <v>2955709.6469999999</v>
      </c>
      <c r="N60" s="7">
        <f>G60+L60</f>
        <v>4925314.2819999997</v>
      </c>
    </row>
    <row r="61" spans="1:34" x14ac:dyDescent="0.2">
      <c r="C61" s="1" t="s">
        <v>23</v>
      </c>
      <c r="D61" s="11">
        <f>(D59/D60)-1</f>
        <v>6.9394328177783349E-2</v>
      </c>
      <c r="E61" s="11">
        <f>(E59/E60)-1</f>
        <v>0.14223410289657368</v>
      </c>
      <c r="F61" s="11">
        <f>(F59/F60)-1</f>
        <v>1.3121298606517007E-2</v>
      </c>
      <c r="G61" s="11">
        <f>(G59/G60)-1</f>
        <v>8.160304667479612E-2</v>
      </c>
      <c r="H61" s="11"/>
      <c r="I61" s="11">
        <f>(I59/I60)-1</f>
        <v>8.9070709968822159E-2</v>
      </c>
      <c r="J61" s="11">
        <f>(J59/J60)-1</f>
        <v>3.5172312738672051E-2</v>
      </c>
      <c r="K61" s="11">
        <f>(K59/K60)-1</f>
        <v>9.7695731437739131E-2</v>
      </c>
      <c r="L61" s="11">
        <f>(L59/L60)-1</f>
        <v>8.5970651224826389E-2</v>
      </c>
      <c r="N61" s="11">
        <f>(N59/N60)-1</f>
        <v>8.4224071479240381E-2</v>
      </c>
      <c r="P61" s="11">
        <f>(D61+D116+D171+D226+D281)/5</f>
        <v>9.1434042503335838E-2</v>
      </c>
      <c r="Q61" s="11">
        <f>(E61+E116+E171+E226+E281)/5</f>
        <v>0.12400341254529992</v>
      </c>
      <c r="R61" s="11">
        <f>(F61+F116+F171+F226+F281)/5</f>
        <v>0.16582476853747438</v>
      </c>
      <c r="S61" s="11">
        <f>(G61+G116+G171+G226+G281)/5</f>
        <v>0.1004214167686845</v>
      </c>
      <c r="U61" s="11">
        <f>(I61+I116+I171+I226+I281)/5</f>
        <v>7.645935747968062E-2</v>
      </c>
      <c r="V61" s="11">
        <f>(J61+J116+J171+J226+J281)/5</f>
        <v>6.4466708188146218E-2</v>
      </c>
      <c r="W61" s="11">
        <f>(K61+K116+K171+K226+K281)/5</f>
        <v>6.2867891206660212E-2</v>
      </c>
      <c r="X61" s="11">
        <f>(L61+L116+L171+L226+L281)/5</f>
        <v>7.1475604982990729E-2</v>
      </c>
      <c r="Z61" s="11">
        <f>(N61+N116+N171+N226+N281)/5</f>
        <v>8.2579824740239394E-2</v>
      </c>
      <c r="AB61" s="11" t="s">
        <v>35</v>
      </c>
      <c r="AC61" s="11">
        <f>(P61+P65+P105)/3</f>
        <v>0.10599872401348299</v>
      </c>
      <c r="AD61" s="11">
        <f>(Q61+Q65+Q105)/3</f>
        <v>0.13613580012821067</v>
      </c>
      <c r="AE61" s="11">
        <f>(R61+R65+R105)/3</f>
        <v>0.13493636536093243</v>
      </c>
      <c r="AF61" s="11">
        <f>(U61+U65+U105)/3</f>
        <v>7.0545082891115982E-2</v>
      </c>
      <c r="AG61" s="11">
        <f>(V61+V65+V105)/3</f>
        <v>7.7155991984313693E-2</v>
      </c>
      <c r="AH61" s="11">
        <f>(W61+W65+W105)/3</f>
        <v>8.6012203939969667E-2</v>
      </c>
    </row>
    <row r="63" spans="1:34" x14ac:dyDescent="0.2">
      <c r="A63" s="1" t="s">
        <v>10</v>
      </c>
      <c r="C63" s="1" t="s">
        <v>21</v>
      </c>
      <c r="D63" s="7">
        <v>1296958.9294865003</v>
      </c>
      <c r="E63" s="7">
        <v>371626.22406379995</v>
      </c>
      <c r="F63" s="7">
        <v>82866.710912600014</v>
      </c>
      <c r="G63" s="7">
        <f>SUM(D63:F63)</f>
        <v>1751451.8644629002</v>
      </c>
      <c r="I63" s="7">
        <v>1796189.9980182808</v>
      </c>
      <c r="J63" s="7">
        <v>224266.40974799986</v>
      </c>
      <c r="K63" s="7">
        <v>718300.94829808408</v>
      </c>
      <c r="L63" s="7">
        <f>SUM(I63:K63)</f>
        <v>2738757.3560643648</v>
      </c>
      <c r="N63" s="7">
        <f>G63+L63</f>
        <v>4490209.2205272652</v>
      </c>
      <c r="AB63" s="11" t="s">
        <v>36</v>
      </c>
      <c r="AC63" s="11">
        <f>(P69+P73+P77)/3</f>
        <v>0.10530007453544499</v>
      </c>
      <c r="AD63" s="11">
        <f>(Q69+Q73+Q77)/3</f>
        <v>7.4003916109935675E-2</v>
      </c>
      <c r="AE63" s="11">
        <f>(R69+R73+R77)/3</f>
        <v>0.19509244941433335</v>
      </c>
      <c r="AF63" s="11">
        <f>(U69+U73+U77)/3</f>
        <v>7.2531251450515755E-2</v>
      </c>
      <c r="AG63" s="11">
        <f>(V69+V73+V77)/3</f>
        <v>0.14156361956688279</v>
      </c>
      <c r="AH63" s="11">
        <f>(W69+W73+W77)/3</f>
        <v>6.0858442405758571E-2</v>
      </c>
    </row>
    <row r="64" spans="1:34" x14ac:dyDescent="0.2">
      <c r="C64" s="1" t="s">
        <v>22</v>
      </c>
      <c r="D64" s="7">
        <v>1133845.966</v>
      </c>
      <c r="E64" s="7">
        <v>349300.72200000001</v>
      </c>
      <c r="F64" s="7">
        <v>62231.487999999998</v>
      </c>
      <c r="G64" s="7">
        <f>SUM(D64:F64)</f>
        <v>1545378.176</v>
      </c>
      <c r="I64" s="7">
        <v>1641005.726</v>
      </c>
      <c r="J64" s="7">
        <v>239934.878</v>
      </c>
      <c r="K64" s="7">
        <v>657420.598</v>
      </c>
      <c r="L64" s="7">
        <f>SUM(I64:K64)</f>
        <v>2538361.202</v>
      </c>
      <c r="N64" s="7">
        <f>G64+L64</f>
        <v>4083739.378</v>
      </c>
    </row>
    <row r="65" spans="1:34" x14ac:dyDescent="0.2">
      <c r="C65" s="1" t="s">
        <v>23</v>
      </c>
      <c r="D65" s="11">
        <f>(D63/D64)-1</f>
        <v>0.14385813274260961</v>
      </c>
      <c r="E65" s="11">
        <f>(E63/E64)-1</f>
        <v>6.3914846599715691E-2</v>
      </c>
      <c r="F65" s="11">
        <f>(F63/F64)-1</f>
        <v>0.33158813288539757</v>
      </c>
      <c r="G65" s="11">
        <f>(G63/G64)-1</f>
        <v>0.13334838789835501</v>
      </c>
      <c r="H65" s="11"/>
      <c r="I65" s="11">
        <f>(I63/I64)-1</f>
        <v>9.4566563394356429E-2</v>
      </c>
      <c r="J65" s="11">
        <f>(J63/J64)-1</f>
        <v>-6.5303003809225824E-2</v>
      </c>
      <c r="K65" s="11">
        <f>(K63/K64)-1</f>
        <v>9.2604871954565793E-2</v>
      </c>
      <c r="L65" s="11">
        <f>(L63/L64)-1</f>
        <v>7.894705997967133E-2</v>
      </c>
      <c r="N65" s="11">
        <f>(N63/N64)-1</f>
        <v>9.9533737318548532E-2</v>
      </c>
      <c r="P65" s="11">
        <f>(D65+D120+D175+D230+D285)/5</f>
        <v>0.1168074749115946</v>
      </c>
      <c r="Q65" s="11">
        <f>(E65+E120+E175+E230+E285)/5</f>
        <v>0.16466807096907116</v>
      </c>
      <c r="R65" s="11">
        <f>(F65+F120+F175+F230+F285)/5</f>
        <v>0.11025295752470701</v>
      </c>
      <c r="S65" s="11">
        <f>(G65+G120+G175+G230+G285)/5</f>
        <v>0.12592916212323754</v>
      </c>
      <c r="U65" s="11">
        <f>(I65+I120+I175+I230+I285)/5</f>
        <v>6.5935006580123107E-2</v>
      </c>
      <c r="V65" s="11">
        <f>(J65+J120+J175+J230+J285)/5</f>
        <v>4.2338597086949023E-2</v>
      </c>
      <c r="W65" s="11">
        <f>(K65+K120+K175+K230+K285)/5</f>
        <v>0.10318684279456</v>
      </c>
      <c r="X65" s="11">
        <f>(L65+L120+L175+L230+L285)/5</f>
        <v>7.2529611346253284E-2</v>
      </c>
      <c r="Z65" s="11">
        <f>(N65+N120+N175+N230+N285)/5</f>
        <v>9.2697684083509868E-2</v>
      </c>
      <c r="AB65" s="11" t="s">
        <v>37</v>
      </c>
      <c r="AC65" s="11">
        <f>(P81+P85+P89)/3</f>
        <v>7.3944574494370544E-2</v>
      </c>
      <c r="AD65" s="11">
        <f>(Q81+Q85+Q89)/3</f>
        <v>8.9647848740886119E-2</v>
      </c>
      <c r="AE65" s="11">
        <f>(R81+R85+R89)/3</f>
        <v>0.10074309273221442</v>
      </c>
      <c r="AF65" s="11">
        <f>(U81+U85+U89)/3</f>
        <v>8.6511184080068929E-2</v>
      </c>
      <c r="AG65" s="11">
        <f>(V81+V85+V89)/3</f>
        <v>0.10536425925316818</v>
      </c>
      <c r="AH65" s="11">
        <f>(W81+W85+W89)/3</f>
        <v>7.4855805908240036E-2</v>
      </c>
    </row>
    <row r="67" spans="1:34" x14ac:dyDescent="0.2">
      <c r="A67" s="1" t="s">
        <v>11</v>
      </c>
      <c r="C67" s="1" t="s">
        <v>21</v>
      </c>
      <c r="D67" s="7">
        <v>1259228.5149876014</v>
      </c>
      <c r="E67" s="7">
        <v>353797.92040479975</v>
      </c>
      <c r="F67" s="7">
        <v>97214.569852900022</v>
      </c>
      <c r="G67" s="7">
        <f>SUM(D67:F67)</f>
        <v>1710241.0052453012</v>
      </c>
      <c r="I67" s="7">
        <v>1784527.5209224562</v>
      </c>
      <c r="J67" s="7">
        <v>250763.30606400009</v>
      </c>
      <c r="K67" s="7">
        <v>763152.40998969041</v>
      </c>
      <c r="L67" s="7">
        <f>SUM(I67:K67)</f>
        <v>2798443.2369761467</v>
      </c>
      <c r="N67" s="7">
        <f>G67+L67</f>
        <v>4508684.2422214476</v>
      </c>
      <c r="AB67" s="11" t="s">
        <v>38</v>
      </c>
      <c r="AC67" s="11">
        <f>(P93+P97+P101)/3</f>
        <v>0.10180987612322766</v>
      </c>
      <c r="AD67" s="11">
        <f>(Q93+Q97+Q101)/3</f>
        <v>0.1269772399695713</v>
      </c>
      <c r="AE67" s="11">
        <f>(R93+R97+R101)/3</f>
        <v>0.18505938684781739</v>
      </c>
      <c r="AF67" s="11">
        <f>(U93+U97+U101)/3</f>
        <v>9.4704775123939003E-2</v>
      </c>
      <c r="AG67" s="11">
        <f>(V93+V97+V101)/3</f>
        <v>8.8026938371684807E-2</v>
      </c>
      <c r="AH67" s="11">
        <f>(W93+W97+W101)/3</f>
        <v>8.4072799034080395E-2</v>
      </c>
    </row>
    <row r="68" spans="1:34" x14ac:dyDescent="0.2">
      <c r="C68" s="1" t="s">
        <v>22</v>
      </c>
      <c r="D68" s="7">
        <v>1163161.0689999999</v>
      </c>
      <c r="E68" s="7">
        <v>294892.85700000002</v>
      </c>
      <c r="F68" s="7">
        <v>64191.006000000001</v>
      </c>
      <c r="G68" s="7">
        <f>SUM(D68:F68)</f>
        <v>1522244.932</v>
      </c>
      <c r="I68" s="7">
        <v>1652089.1259999999</v>
      </c>
      <c r="J68" s="7">
        <v>200470.29500000001</v>
      </c>
      <c r="K68" s="7">
        <v>692697.00399999996</v>
      </c>
      <c r="L68" s="7">
        <f>SUM(I68:K68)</f>
        <v>2545256.4249999998</v>
      </c>
      <c r="N68" s="7">
        <f>G68+L68</f>
        <v>4067501.3569999998</v>
      </c>
    </row>
    <row r="69" spans="1:34" x14ac:dyDescent="0.2">
      <c r="C69" s="1" t="s">
        <v>23</v>
      </c>
      <c r="D69" s="11">
        <f>(D67/D68)-1</f>
        <v>8.2591696496679745E-2</v>
      </c>
      <c r="E69" s="11">
        <f>(E67/E68)-1</f>
        <v>0.19975072982116937</v>
      </c>
      <c r="F69" s="11">
        <f>(F67/F68)-1</f>
        <v>0.51445780196839452</v>
      </c>
      <c r="G69" s="11">
        <f>(G67/G68)-1</f>
        <v>0.12349922755091902</v>
      </c>
      <c r="H69" s="11"/>
      <c r="I69" s="11">
        <f>(I67/I68)-1</f>
        <v>8.0164195041409814E-2</v>
      </c>
      <c r="J69" s="11">
        <f>(J67/J68)-1</f>
        <v>0.25087512872667772</v>
      </c>
      <c r="K69" s="11">
        <f>(K67/K68)-1</f>
        <v>0.10171172328282574</v>
      </c>
      <c r="L69" s="11">
        <f>(L67/L68)-1</f>
        <v>9.947398992466816E-2</v>
      </c>
      <c r="N69" s="11">
        <f>(N67/N68)-1</f>
        <v>0.10846533203048359</v>
      </c>
      <c r="P69" s="11">
        <f>(D69+D124+D179+D234+D289)/5</f>
        <v>9.6599745151057223E-2</v>
      </c>
      <c r="Q69" s="11">
        <f>(E69+E124+E179+E234+E289)/5</f>
        <v>6.5567346354551775E-2</v>
      </c>
      <c r="R69" s="11">
        <f>(F69+F124+F179+F234+F289)/5</f>
        <v>0.21666713498043358</v>
      </c>
      <c r="S69" s="11">
        <f>(G69+G124+G179+G234+G289)/5</f>
        <v>9.3472995057020822E-2</v>
      </c>
      <c r="U69" s="11">
        <f>(I69+I124+I179+I234+I289)/5</f>
        <v>9.3626661196676772E-2</v>
      </c>
      <c r="V69" s="11">
        <f>(J69+J124+J179+J234+J289)/5</f>
        <v>0.16130954027524766</v>
      </c>
      <c r="W69" s="11">
        <f>(K69+K124+K179+K234+K289)/5</f>
        <v>6.5551400185665853E-2</v>
      </c>
      <c r="X69" s="11">
        <f>(L69+L124+L179+L234+L289)/5</f>
        <v>8.9931322884577017E-2</v>
      </c>
      <c r="Z69" s="11">
        <f>(N69+N124+N179+N234+N289)/5</f>
        <v>9.1252730623937461E-2</v>
      </c>
    </row>
    <row r="71" spans="1:34" x14ac:dyDescent="0.2">
      <c r="A71" s="1" t="s">
        <v>12</v>
      </c>
      <c r="C71" s="1" t="s">
        <v>21</v>
      </c>
      <c r="D71" s="7">
        <v>1169267.1540300003</v>
      </c>
      <c r="E71" s="7">
        <v>324757.39612389926</v>
      </c>
      <c r="F71" s="7">
        <v>87950.554452399927</v>
      </c>
      <c r="G71" s="7">
        <f>SUM(D71:F71)</f>
        <v>1581975.1046062994</v>
      </c>
      <c r="I71" s="7">
        <v>1704524.2121936905</v>
      </c>
      <c r="J71" s="7">
        <v>251970.48032670026</v>
      </c>
      <c r="K71" s="7">
        <v>711500.91404466028</v>
      </c>
      <c r="L71" s="7">
        <f>SUM(I71:K71)</f>
        <v>2667995.6065650508</v>
      </c>
      <c r="N71" s="7">
        <f>G71+L71</f>
        <v>4249970.7111713504</v>
      </c>
      <c r="AC71" s="11">
        <f>(P85+P89+P93+P97+P101+P105)/6</f>
        <v>0.10100706618161905</v>
      </c>
      <c r="AD71" s="11">
        <f>(Q85+Q89+Q93+Q97+Q101+Q105)/6</f>
        <v>0.11334424129306393</v>
      </c>
      <c r="AE71" s="11">
        <f>(R85+R89+R93+R97+R101+R105)/6</f>
        <v>0.14376747677078341</v>
      </c>
      <c r="AF71" s="11">
        <f>(U85+U89+U93+U97+U101+U105)/6</f>
        <v>8.2513416075796764E-2</v>
      </c>
      <c r="AG71" s="11">
        <f>(V85+V89+V93+V97+V101+V105)/6</f>
        <v>9.8206494096669192E-2</v>
      </c>
      <c r="AH71" s="11">
        <f>(W85+W89+W93+W97+W101+W105)/6</f>
        <v>8.3612747523487338E-2</v>
      </c>
    </row>
    <row r="72" spans="1:34" x14ac:dyDescent="0.2">
      <c r="C72" s="1" t="s">
        <v>22</v>
      </c>
      <c r="D72" s="7">
        <v>1056956.601</v>
      </c>
      <c r="E72" s="7">
        <v>304116.78499999997</v>
      </c>
      <c r="F72" s="7">
        <v>62752.144</v>
      </c>
      <c r="G72" s="7">
        <f>SUM(D72:F72)</f>
        <v>1423825.53</v>
      </c>
      <c r="I72" s="7">
        <v>1586419.352</v>
      </c>
      <c r="J72" s="7">
        <v>232576.45499999999</v>
      </c>
      <c r="K72" s="7">
        <v>691383.64399999997</v>
      </c>
      <c r="L72" s="7">
        <f>SUM(I72:K72)</f>
        <v>2510379.4509999999</v>
      </c>
      <c r="N72" s="7">
        <f>G72+L72</f>
        <v>3934204.9809999997</v>
      </c>
    </row>
    <row r="73" spans="1:34" x14ac:dyDescent="0.2">
      <c r="C73" s="1" t="s">
        <v>23</v>
      </c>
      <c r="D73" s="11">
        <f>(D71/D72)-1</f>
        <v>0.10625843381245925</v>
      </c>
      <c r="E73" s="11">
        <f>(E71/E72)-1</f>
        <v>6.7870673839654394E-2</v>
      </c>
      <c r="F73" s="11">
        <f>(F71/F72)-1</f>
        <v>0.401554574014235</v>
      </c>
      <c r="G73" s="11">
        <f>(G71/G72)-1</f>
        <v>0.11107370339559752</v>
      </c>
      <c r="H73" s="11"/>
      <c r="I73" s="11">
        <f>(I71/I72)-1</f>
        <v>7.4447440422859001E-2</v>
      </c>
      <c r="J73" s="11">
        <f>(J71/J72)-1</f>
        <v>8.3387741578141661E-2</v>
      </c>
      <c r="K73" s="11">
        <f>(K71/K72)-1</f>
        <v>2.9097115934464179E-2</v>
      </c>
      <c r="L73" s="11">
        <f>(L71/L72)-1</f>
        <v>6.2785789416123894E-2</v>
      </c>
      <c r="N73" s="11">
        <f>(N71/N72)-1</f>
        <v>8.0261636517751755E-2</v>
      </c>
      <c r="P73" s="11">
        <f>(D73+D128+D183+D238+D293)/5</f>
        <v>0.12366316324924406</v>
      </c>
      <c r="Q73" s="11">
        <f>(E73+E128+E183+E238+E293)/5</f>
        <v>5.4602135231377399E-2</v>
      </c>
      <c r="R73" s="11">
        <f>(F73+F128+F183+F238+F293)/5</f>
        <v>0.19741199822093475</v>
      </c>
      <c r="S73" s="11">
        <f>(G73+G128+G183+G238+G293)/5</f>
        <v>0.11026882359168363</v>
      </c>
      <c r="U73" s="11">
        <f>(I73+I128+I183+I238+I293)/5</f>
        <v>7.695678532459449E-2</v>
      </c>
      <c r="V73" s="11">
        <f>(J73+J128+J183+J238+J293)/5</f>
        <v>8.3605223008134555E-2</v>
      </c>
      <c r="W73" s="11">
        <f>(K73+K128+K183+K238+K293)/5</f>
        <v>3.0411491872669248E-2</v>
      </c>
      <c r="X73" s="11">
        <f>(L73+L128+L183+L238+L293)/5</f>
        <v>6.4367342598774302E-2</v>
      </c>
      <c r="Z73" s="11">
        <f>(N73+N128+N183+N238+N293)/5</f>
        <v>8.1075219952237723E-2</v>
      </c>
      <c r="AC73" s="10"/>
      <c r="AD73" s="10"/>
      <c r="AE73" s="10"/>
      <c r="AF73" s="10"/>
      <c r="AG73" s="10"/>
      <c r="AH73" s="10"/>
    </row>
    <row r="75" spans="1:34" x14ac:dyDescent="0.2">
      <c r="A75" s="1" t="s">
        <v>13</v>
      </c>
      <c r="C75" s="1" t="s">
        <v>21</v>
      </c>
      <c r="D75" s="7">
        <v>1205966.1547584005</v>
      </c>
      <c r="E75" s="7">
        <v>311641.48446470039</v>
      </c>
      <c r="F75" s="7">
        <v>92263.236917499918</v>
      </c>
      <c r="G75" s="7">
        <f>SUM(D75:F75)</f>
        <v>1609870.8761406008</v>
      </c>
      <c r="I75" s="7">
        <v>1901030.7296295813</v>
      </c>
      <c r="J75" s="7">
        <v>388080.09153969993</v>
      </c>
      <c r="K75" s="7">
        <v>729258.74472084921</v>
      </c>
      <c r="L75" s="7">
        <f>SUM(I75:K75)</f>
        <v>3018369.5658901306</v>
      </c>
      <c r="N75" s="7">
        <f>G75+L75</f>
        <v>4628240.4420307316</v>
      </c>
      <c r="AB75" s="11"/>
      <c r="AC75" s="11"/>
      <c r="AD75" s="11"/>
      <c r="AE75" s="11"/>
      <c r="AF75" s="11"/>
      <c r="AG75" s="11"/>
      <c r="AH75" s="11"/>
    </row>
    <row r="76" spans="1:34" x14ac:dyDescent="0.2">
      <c r="C76" s="1" t="s">
        <v>22</v>
      </c>
      <c r="D76" s="7">
        <v>1061075.923</v>
      </c>
      <c r="E76" s="7">
        <v>324030.55499999999</v>
      </c>
      <c r="F76" s="7">
        <v>84201.891000000003</v>
      </c>
      <c r="G76" s="7">
        <f>SUM(D76:F76)</f>
        <v>1469308.3689999999</v>
      </c>
      <c r="I76" s="7">
        <v>1859987.6270000001</v>
      </c>
      <c r="J76" s="7">
        <v>304851.53700000001</v>
      </c>
      <c r="K76" s="7">
        <v>691195.89099999995</v>
      </c>
      <c r="L76" s="7">
        <f>SUM(I76:K76)</f>
        <v>2856035.0549999997</v>
      </c>
      <c r="N76" s="7">
        <f>G76+L76</f>
        <v>4325343.4239999996</v>
      </c>
    </row>
    <row r="77" spans="1:34" x14ac:dyDescent="0.2">
      <c r="C77" s="1" t="s">
        <v>23</v>
      </c>
      <c r="D77" s="11">
        <f>(D75/D76)-1</f>
        <v>0.13655029637158256</v>
      </c>
      <c r="E77" s="11">
        <f>(E75/E76)-1</f>
        <v>-3.8234266318803223E-2</v>
      </c>
      <c r="F77" s="11">
        <f>(F75/F76)-1</f>
        <v>9.5738300194468495E-2</v>
      </c>
      <c r="G77" s="11">
        <f>(G75/G76)-1</f>
        <v>9.5665763638348222E-2</v>
      </c>
      <c r="H77" s="11"/>
      <c r="I77" s="11">
        <f>(I75/I76)-1</f>
        <v>2.206633099800781E-2</v>
      </c>
      <c r="J77" s="11">
        <f>(J75/J76)-1</f>
        <v>0.27301339976416106</v>
      </c>
      <c r="K77" s="11">
        <f>(K75/K76)-1</f>
        <v>5.506811341974438E-2</v>
      </c>
      <c r="L77" s="11">
        <f>(L75/L76)-1</f>
        <v>5.6839117085042634E-2</v>
      </c>
      <c r="N77" s="11">
        <f>(N75/N76)-1</f>
        <v>7.002843204311815E-2</v>
      </c>
      <c r="P77" s="11">
        <f>(D77+D132+D187+D242+D297)/5</f>
        <v>9.5637315206033691E-2</v>
      </c>
      <c r="Q77" s="11">
        <f>(E77+E132+E187+E242+E297)/5</f>
        <v>0.10184226674387784</v>
      </c>
      <c r="R77" s="11">
        <f>(F77+F132+F187+F242+F297)/5</f>
        <v>0.17119821504163163</v>
      </c>
      <c r="S77" s="11">
        <f>(G77+G132+G187+G242+G297)/5</f>
        <v>9.8824957491756835E-2</v>
      </c>
      <c r="U77" s="11">
        <f>(I77+I132+I187+I242+I297)/5</f>
        <v>4.7010307830275974E-2</v>
      </c>
      <c r="V77" s="11">
        <f>(J77+J132+J187+J242+J297)/5</f>
        <v>0.17977609541726616</v>
      </c>
      <c r="W77" s="11">
        <f>(K77+K132+K187+K242+K297)/5</f>
        <v>8.6612435158940612E-2</v>
      </c>
      <c r="X77" s="11">
        <f>(L77+L132+L187+L242+L297)/5</f>
        <v>7.0310515422935801E-2</v>
      </c>
      <c r="Z77" s="11">
        <f>(N77+N132+N187+N242+N297)/5</f>
        <v>8.0191909800806552E-2</v>
      </c>
      <c r="AB77" s="11"/>
      <c r="AC77" s="11"/>
      <c r="AD77" s="11"/>
      <c r="AF77" s="11"/>
      <c r="AG77" s="11"/>
      <c r="AH77" s="11"/>
    </row>
    <row r="79" spans="1:34" x14ac:dyDescent="0.2">
      <c r="A79" s="1" t="s">
        <v>14</v>
      </c>
      <c r="C79" s="1" t="s">
        <v>21</v>
      </c>
      <c r="D79" s="7">
        <v>1192422.6370028993</v>
      </c>
      <c r="E79" s="7">
        <v>344371.38504370011</v>
      </c>
      <c r="F79" s="7">
        <v>93105.662596300099</v>
      </c>
      <c r="G79" s="7">
        <f>SUM(D79:F79)</f>
        <v>1629899.6846428995</v>
      </c>
      <c r="I79" s="7">
        <v>2092631.3275412293</v>
      </c>
      <c r="J79" s="7">
        <v>447449.27918800042</v>
      </c>
      <c r="K79" s="7">
        <v>735942.24155946611</v>
      </c>
      <c r="L79" s="7">
        <f>SUM(I79:K79)</f>
        <v>3276022.8482886963</v>
      </c>
      <c r="N79" s="7">
        <f>G79+L79</f>
        <v>4905922.532931596</v>
      </c>
      <c r="AB79" s="11"/>
      <c r="AC79" s="11"/>
      <c r="AD79" s="11"/>
      <c r="AE79" s="11"/>
      <c r="AF79" s="11"/>
      <c r="AG79" s="11"/>
      <c r="AH79" s="11"/>
    </row>
    <row r="80" spans="1:34" x14ac:dyDescent="0.2">
      <c r="C80" s="1" t="s">
        <v>22</v>
      </c>
      <c r="D80" s="7">
        <v>1119714.209</v>
      </c>
      <c r="E80" s="7">
        <v>271174.43400000001</v>
      </c>
      <c r="F80" s="7">
        <v>69063.495999999999</v>
      </c>
      <c r="G80" s="7">
        <f>SUM(D80:F80)</f>
        <v>1459952.1390000002</v>
      </c>
      <c r="I80" s="7">
        <v>1948207.9669999999</v>
      </c>
      <c r="J80" s="7">
        <v>426581.5</v>
      </c>
      <c r="K80" s="7">
        <v>695338.85400000005</v>
      </c>
      <c r="L80" s="7">
        <f>SUM(I80:K80)</f>
        <v>3070128.3210000005</v>
      </c>
      <c r="N80" s="7">
        <f>G80+L80</f>
        <v>4530080.4600000009</v>
      </c>
    </row>
    <row r="81" spans="1:34" x14ac:dyDescent="0.2">
      <c r="C81" s="1" t="s">
        <v>23</v>
      </c>
      <c r="D81" s="11">
        <f>(D79/D80)-1</f>
        <v>6.4934808738235095E-2</v>
      </c>
      <c r="E81" s="11">
        <f>(E79/E80)-1</f>
        <v>0.2699257078331363</v>
      </c>
      <c r="F81" s="11">
        <f>(F79/F80)-1</f>
        <v>0.34811684882416172</v>
      </c>
      <c r="G81" s="11">
        <f>(G79/G80)-1</f>
        <v>0.11640624449463499</v>
      </c>
      <c r="H81" s="11"/>
      <c r="I81" s="11">
        <f>(I79/I80)-1</f>
        <v>7.4131387915235436E-2</v>
      </c>
      <c r="J81" s="11">
        <f>(J79/J80)-1</f>
        <v>4.8918622087456676E-2</v>
      </c>
      <c r="K81" s="11">
        <f>(K79/K80)-1</f>
        <v>5.8393669972404583E-2</v>
      </c>
      <c r="L81" s="11">
        <f>(L79/L80)-1</f>
        <v>6.7063818108303641E-2</v>
      </c>
      <c r="N81" s="11">
        <f>(N79/N80)-1</f>
        <v>8.2965871412269632E-2</v>
      </c>
      <c r="P81" s="11">
        <f>(D81+D136+D191+D246+D301)/5</f>
        <v>3.0975609388598845E-2</v>
      </c>
      <c r="Q81" s="11">
        <f>(E81+E136+E191+E246+E301)/5</f>
        <v>8.9545735243249561E-2</v>
      </c>
      <c r="R81" s="11">
        <f>(F81+F136+F191+F246+F301)/5</f>
        <v>0.12353394813601071</v>
      </c>
      <c r="S81" s="11">
        <f>(G81+G136+G191+G246+G301)/5</f>
        <v>4.6376363885520064E-2</v>
      </c>
      <c r="U81" s="11">
        <f>(I81+I136+I191+I246+I301)/5</f>
        <v>0.11780826577078743</v>
      </c>
      <c r="V81" s="11">
        <f>(J81+J136+J191+J246+J301)/5</f>
        <v>0.11559729897238977</v>
      </c>
      <c r="W81" s="11">
        <f>(K81+K136+K191+K246+K301)/5</f>
        <v>6.709120750472608E-2</v>
      </c>
      <c r="X81" s="11">
        <f>(L81+L136+L191+L246+L301)/5</f>
        <v>0.10435740226787478</v>
      </c>
      <c r="Z81" s="11">
        <f>(N81+N136+N191+N246+N301)/5</f>
        <v>7.6764205572295643E-2</v>
      </c>
      <c r="AB81" s="11"/>
      <c r="AC81" s="11"/>
      <c r="AD81" s="11"/>
      <c r="AE81" s="11"/>
      <c r="AF81" s="11"/>
      <c r="AG81" s="11"/>
      <c r="AH81" s="11"/>
    </row>
    <row r="83" spans="1:34" x14ac:dyDescent="0.2">
      <c r="A83" s="1" t="s">
        <v>15</v>
      </c>
      <c r="C83" s="1" t="s">
        <v>21</v>
      </c>
      <c r="D83" s="7">
        <v>1332333.479660999</v>
      </c>
      <c r="E83" s="7">
        <v>411508.85950499994</v>
      </c>
      <c r="F83" s="7">
        <v>91698.448761999898</v>
      </c>
      <c r="G83" s="7">
        <f>SUM(D83:F83)</f>
        <v>1835540.7879279989</v>
      </c>
      <c r="I83" s="7">
        <v>2476721.0404224633</v>
      </c>
      <c r="J83" s="7">
        <v>461356.74002190022</v>
      </c>
      <c r="K83" s="7">
        <v>780719.43463724153</v>
      </c>
      <c r="L83" s="7">
        <f>SUM(I83:K83)</f>
        <v>3718797.2150816051</v>
      </c>
      <c r="N83" s="7">
        <f>G83+L83</f>
        <v>5554338.0030096043</v>
      </c>
    </row>
    <row r="84" spans="1:34" x14ac:dyDescent="0.2">
      <c r="C84" s="1" t="s">
        <v>22</v>
      </c>
      <c r="D84" s="7">
        <v>1212157.747</v>
      </c>
      <c r="E84" s="7">
        <v>366303.07699999999</v>
      </c>
      <c r="F84" s="7">
        <v>90520.642999999996</v>
      </c>
      <c r="G84" s="7">
        <f>SUM(D84:F84)</f>
        <v>1668981.4669999999</v>
      </c>
      <c r="I84" s="7">
        <v>2341726.605</v>
      </c>
      <c r="J84" s="7">
        <v>398742.56</v>
      </c>
      <c r="K84" s="7">
        <v>712756.54099999997</v>
      </c>
      <c r="L84" s="7">
        <f>SUM(I84:K84)</f>
        <v>3453225.7060000002</v>
      </c>
      <c r="N84" s="7">
        <f>G84+L84</f>
        <v>5122207.1730000004</v>
      </c>
    </row>
    <row r="85" spans="1:34" x14ac:dyDescent="0.2">
      <c r="C85" s="1" t="s">
        <v>23</v>
      </c>
      <c r="D85" s="11">
        <f>(D83/D84)-1</f>
        <v>9.9141991179304112E-2</v>
      </c>
      <c r="E85" s="11">
        <f>(E83/E84)-1</f>
        <v>0.1234108729722736</v>
      </c>
      <c r="F85" s="11">
        <f>(F83/F84)-1</f>
        <v>1.3011460402462038E-2</v>
      </c>
      <c r="G85" s="11">
        <f>(G83/G84)-1</f>
        <v>9.9796986498232432E-2</v>
      </c>
      <c r="H85" s="11"/>
      <c r="I85" s="11">
        <f>(I83/I84)-1</f>
        <v>5.7647393651430789E-2</v>
      </c>
      <c r="J85" s="11">
        <f>(J83/J84)-1</f>
        <v>0.15702908669167459</v>
      </c>
      <c r="K85" s="11">
        <f>(K83/K84)-1</f>
        <v>9.5352185112029142E-2</v>
      </c>
      <c r="L85" s="11">
        <f>(L83/L84)-1</f>
        <v>7.6905343493815836E-2</v>
      </c>
      <c r="N85" s="11">
        <f>(N83/N84)-1</f>
        <v>8.4364184308560741E-2</v>
      </c>
      <c r="P85" s="11">
        <f>(D85+D140+D195+D250+D305)/5</f>
        <v>8.8891567180374761E-2</v>
      </c>
      <c r="Q85" s="11">
        <f>(E85+E140+E195+E250+E305)/5</f>
        <v>9.5939950646066752E-2</v>
      </c>
      <c r="R85" s="11">
        <f>(F85+F140+F195+F250+F305)/5</f>
        <v>4.6876197310502167E-2</v>
      </c>
      <c r="S85" s="11">
        <f>(G85+G140+G195+G250+G305)/5</f>
        <v>8.7866270407853261E-2</v>
      </c>
      <c r="U85" s="11">
        <f>(I85+I140+I195+I250+I305)/5</f>
        <v>5.4129016230024175E-2</v>
      </c>
      <c r="V85" s="11">
        <f>(J85+J140+J195+J250+J305)/5</f>
        <v>0.14269222101573989</v>
      </c>
      <c r="W85" s="11">
        <f>(K85+K140+K195+K250+K305)/5</f>
        <v>9.3581401233343617E-2</v>
      </c>
      <c r="X85" s="11">
        <f>(L85+L140+L195+L250+L305)/5</f>
        <v>7.2933235258333756E-2</v>
      </c>
      <c r="Z85" s="11">
        <f>(N85+N140+N195+N250+N305)/5</f>
        <v>7.7940823597310291E-2</v>
      </c>
    </row>
    <row r="87" spans="1:34" x14ac:dyDescent="0.2">
      <c r="A87" s="1" t="s">
        <v>16</v>
      </c>
      <c r="C87" s="1" t="s">
        <v>21</v>
      </c>
      <c r="D87" s="7">
        <v>1308397.9753590012</v>
      </c>
      <c r="E87" s="7">
        <v>389542.95756800001</v>
      </c>
      <c r="F87" s="7">
        <v>93606.870397000108</v>
      </c>
      <c r="G87" s="7">
        <f>SUM(D87:F87)</f>
        <v>1791547.8033240014</v>
      </c>
      <c r="I87" s="7">
        <v>2405205.7811911805</v>
      </c>
      <c r="J87" s="7">
        <v>357794.30879059999</v>
      </c>
      <c r="K87" s="7">
        <v>780519.67794501153</v>
      </c>
      <c r="L87" s="7">
        <f>SUM(I87:K87)</f>
        <v>3543519.7679267917</v>
      </c>
      <c r="N87" s="7">
        <f>G87+L87</f>
        <v>5335067.5712507926</v>
      </c>
    </row>
    <row r="88" spans="1:34" x14ac:dyDescent="0.2">
      <c r="C88" s="1" t="s">
        <v>22</v>
      </c>
      <c r="D88" s="7">
        <v>1178016.277</v>
      </c>
      <c r="E88" s="7">
        <v>367484.614</v>
      </c>
      <c r="F88" s="7">
        <v>85282.620999999999</v>
      </c>
      <c r="G88" s="7">
        <f>SUM(D88:F88)</f>
        <v>1630783.5120000001</v>
      </c>
      <c r="I88" s="7">
        <v>2214959.1940000001</v>
      </c>
      <c r="J88" s="7">
        <v>356695.66399999999</v>
      </c>
      <c r="K88" s="7">
        <v>746091.50300000003</v>
      </c>
      <c r="L88" s="7">
        <f>SUM(I88:K88)</f>
        <v>3317746.361</v>
      </c>
      <c r="N88" s="7">
        <f>G88+L88</f>
        <v>4948529.8729999997</v>
      </c>
    </row>
    <row r="89" spans="1:34" x14ac:dyDescent="0.2">
      <c r="C89" s="1" t="s">
        <v>23</v>
      </c>
      <c r="D89" s="11">
        <f>(D87/D88)-1</f>
        <v>0.11067902957252707</v>
      </c>
      <c r="E89" s="11">
        <f>(E87/E88)-1</f>
        <v>6.002521664213134E-2</v>
      </c>
      <c r="F89" s="11">
        <f>(F87/F88)-1</f>
        <v>9.7607804490437822E-2</v>
      </c>
      <c r="G89" s="11">
        <f>(G87/G88)-1</f>
        <v>9.8581013446008781E-2</v>
      </c>
      <c r="H89" s="11"/>
      <c r="I89" s="11">
        <f>(I87/I88)-1</f>
        <v>8.5891689430004137E-2</v>
      </c>
      <c r="J89" s="11">
        <f>(J87/J88)-1</f>
        <v>3.0800620850832683E-3</v>
      </c>
      <c r="K89" s="11">
        <f>(K87/K88)-1</f>
        <v>4.6144708533172318E-2</v>
      </c>
      <c r="L89" s="11">
        <f>(L87/L88)-1</f>
        <v>6.8050231199331845E-2</v>
      </c>
      <c r="N89" s="11">
        <f>(N87/N88)-1</f>
        <v>7.8111622678041615E-2</v>
      </c>
      <c r="P89" s="11">
        <f>(D89+D144+D199+D254+D309)/5</f>
        <v>0.10196654691413802</v>
      </c>
      <c r="Q89" s="11">
        <f>(E89+E144+E199+E254+E309)/5</f>
        <v>8.3457860333342099E-2</v>
      </c>
      <c r="R89" s="11">
        <f>(F89+F144+F199+F254+F309)/5</f>
        <v>0.13181913275013038</v>
      </c>
      <c r="S89" s="11">
        <f>(G89+G144+G199+G254+G309)/5</f>
        <v>9.8703039300843939E-2</v>
      </c>
      <c r="U89" s="11">
        <f>(I89+I144+I199+I254+I309)/5</f>
        <v>8.759627023939523E-2</v>
      </c>
      <c r="V89" s="11">
        <f>(J89+J144+J199+J254+J309)/5</f>
        <v>5.7803257771374919E-2</v>
      </c>
      <c r="W89" s="11">
        <f>(K89+K144+K199+K254+K309)/5</f>
        <v>6.3894808986650412E-2</v>
      </c>
      <c r="X89" s="11">
        <f>(L89+L144+L199+L254+L309)/5</f>
        <v>7.8800492197682676E-2</v>
      </c>
      <c r="Z89" s="11">
        <f>(N89+N144+N199+N254+N309)/5</f>
        <v>8.5677536229642387E-2</v>
      </c>
    </row>
    <row r="91" spans="1:34" x14ac:dyDescent="0.2">
      <c r="A91" s="1" t="s">
        <v>17</v>
      </c>
      <c r="C91" s="1" t="s">
        <v>21</v>
      </c>
      <c r="D91" s="7">
        <v>1180467.1537163993</v>
      </c>
      <c r="E91" s="7">
        <v>356018.7344695995</v>
      </c>
      <c r="F91" s="7">
        <v>74895.894513199994</v>
      </c>
      <c r="G91" s="7">
        <f>SUM(D91:F91)</f>
        <v>1611381.7826991989</v>
      </c>
      <c r="I91" s="7">
        <v>1910170.1231957986</v>
      </c>
      <c r="J91" s="7">
        <v>300750.57294370019</v>
      </c>
      <c r="K91" s="7">
        <v>736971.6471627336</v>
      </c>
      <c r="L91" s="7">
        <f>SUM(I91:K91)</f>
        <v>2947892.3433022322</v>
      </c>
      <c r="N91" s="7">
        <f>G91+L91</f>
        <v>4559274.1260014307</v>
      </c>
    </row>
    <row r="92" spans="1:34" x14ac:dyDescent="0.2">
      <c r="C92" s="1" t="s">
        <v>22</v>
      </c>
      <c r="D92" s="7">
        <v>1061416.4790000001</v>
      </c>
      <c r="E92" s="7">
        <v>304656.63799999998</v>
      </c>
      <c r="F92" s="7">
        <v>62365.275999999998</v>
      </c>
      <c r="G92" s="7">
        <f>SUM(D92:F92)</f>
        <v>1428438.3930000002</v>
      </c>
      <c r="I92" s="7">
        <v>1737748.7919999999</v>
      </c>
      <c r="J92" s="7">
        <v>262194.17099999997</v>
      </c>
      <c r="K92" s="7">
        <v>688264.05799999996</v>
      </c>
      <c r="L92" s="7">
        <f>SUM(I92:K92)</f>
        <v>2688207.0209999997</v>
      </c>
      <c r="N92" s="7">
        <f>G92+L92</f>
        <v>4116645.4139999999</v>
      </c>
    </row>
    <row r="93" spans="1:34" x14ac:dyDescent="0.2">
      <c r="C93" s="1" t="s">
        <v>23</v>
      </c>
      <c r="D93" s="11">
        <f>(D91/D92)-1</f>
        <v>0.11216207499299546</v>
      </c>
      <c r="E93" s="11">
        <f>(E91/E92)-1</f>
        <v>0.1685901111716448</v>
      </c>
      <c r="F93" s="11">
        <f>(F91/F92)-1</f>
        <v>0.20092300262088147</v>
      </c>
      <c r="G93" s="11">
        <f>(G91/G92)-1</f>
        <v>0.12807229950952381</v>
      </c>
      <c r="H93" s="11"/>
      <c r="I93" s="11">
        <f>(I91/I92)-1</f>
        <v>9.922109109761279E-2</v>
      </c>
      <c r="J93" s="11">
        <f>(J91/J92)-1</f>
        <v>0.14705285703586535</v>
      </c>
      <c r="K93" s="11">
        <f>(K91/K92)-1</f>
        <v>7.0768753062990353E-2</v>
      </c>
      <c r="L93" s="11">
        <f>(L91/L92)-1</f>
        <v>9.6601682933493249E-2</v>
      </c>
      <c r="N93" s="11">
        <f>(N91/N92)-1</f>
        <v>0.10752169970630132</v>
      </c>
      <c r="P93" s="11">
        <f>(D93+D148+D203+D258+D313)/5</f>
        <v>7.8940284681499537E-2</v>
      </c>
      <c r="Q93" s="11">
        <f>(E93+E148+E203+E258+E313)/5</f>
        <v>0.17556016861228235</v>
      </c>
      <c r="R93" s="11">
        <f>(F93+F148+F203+F258+F313)/5</f>
        <v>0.18865349299906764</v>
      </c>
      <c r="S93" s="11">
        <f>(G93+G148+G203+G258+G313)/5</f>
        <v>0.1036429530911199</v>
      </c>
      <c r="U93" s="11">
        <f>(I93+I148+I203+I258+I313)/5</f>
        <v>0.11641329895071779</v>
      </c>
      <c r="V93" s="11">
        <f>(J93+J148+J203+J258+J313)/5</f>
        <v>-1.1319654305420369E-3</v>
      </c>
      <c r="W93" s="11">
        <f>(K93+K148+K203+K258+K313)/5</f>
        <v>9.0653665684029633E-2</v>
      </c>
      <c r="X93" s="11">
        <f>(L93+L148+L203+L258+L313)/5</f>
        <v>9.5315362624054559E-2</v>
      </c>
      <c r="Z93" s="11">
        <f>(N93+N148+N203+N258+N313)/5</f>
        <v>9.8140697368000712E-2</v>
      </c>
    </row>
    <row r="95" spans="1:34" x14ac:dyDescent="0.2">
      <c r="A95" s="1" t="s">
        <v>18</v>
      </c>
      <c r="C95" s="1" t="s">
        <v>21</v>
      </c>
      <c r="D95" s="7">
        <v>1239843.0009711992</v>
      </c>
      <c r="E95" s="7">
        <v>366128.37746939599</v>
      </c>
      <c r="F95" s="7">
        <v>78562.428761299976</v>
      </c>
      <c r="G95" s="7">
        <f>SUM(D95:F95)</f>
        <v>1684533.8072018952</v>
      </c>
      <c r="I95" s="7">
        <v>1827948.8095360859</v>
      </c>
      <c r="J95" s="7">
        <v>265180.85441819986</v>
      </c>
      <c r="K95" s="7">
        <v>756239.56110764516</v>
      </c>
      <c r="L95" s="7">
        <f>SUM(I95:K95)</f>
        <v>2849369.2250619312</v>
      </c>
      <c r="N95" s="7">
        <f>G95+L95</f>
        <v>4533903.0322638266</v>
      </c>
    </row>
    <row r="96" spans="1:34" x14ac:dyDescent="0.2">
      <c r="C96" s="1" t="s">
        <v>22</v>
      </c>
      <c r="D96" s="7">
        <v>1109128.9779999999</v>
      </c>
      <c r="E96" s="7">
        <v>324049.239</v>
      </c>
      <c r="F96" s="7">
        <v>63279.813999999998</v>
      </c>
      <c r="G96" s="7">
        <f>SUM(D96:F96)</f>
        <v>1496458.031</v>
      </c>
      <c r="I96" s="7">
        <v>1632090.584</v>
      </c>
      <c r="J96" s="7">
        <v>252810.625</v>
      </c>
      <c r="K96" s="7">
        <v>704382.02</v>
      </c>
      <c r="L96" s="7">
        <f>SUM(I96:K96)</f>
        <v>2589283.2290000003</v>
      </c>
      <c r="N96" s="7">
        <f>G96+L96</f>
        <v>4085741.2600000002</v>
      </c>
    </row>
    <row r="97" spans="1:35" x14ac:dyDescent="0.2">
      <c r="C97" s="1" t="s">
        <v>23</v>
      </c>
      <c r="D97" s="11">
        <f>(D95/D96)-1</f>
        <v>0.11785286072581491</v>
      </c>
      <c r="E97" s="11">
        <f>(E95/E96)-1</f>
        <v>0.12985414994107103</v>
      </c>
      <c r="F97" s="11">
        <f>(F95/F96)-1</f>
        <v>0.24150852847481463</v>
      </c>
      <c r="G97" s="11">
        <f>(G95/G96)-1</f>
        <v>0.12568062204605535</v>
      </c>
      <c r="H97" s="11"/>
      <c r="I97" s="11">
        <f>(I95/I96)-1</f>
        <v>0.12000450676951258</v>
      </c>
      <c r="J97" s="11">
        <f>(J95/J96)-1</f>
        <v>4.8930813007561857E-2</v>
      </c>
      <c r="K97" s="11">
        <f>(K95/K96)-1</f>
        <v>7.3621329953375447E-2</v>
      </c>
      <c r="L97" s="11">
        <f>(L95/L96)-1</f>
        <v>0.10044710178823424</v>
      </c>
      <c r="N97" s="11">
        <f>(N95/N96)-1</f>
        <v>0.10968922008140725</v>
      </c>
      <c r="P97" s="11">
        <f>(D97+D152+D207+D262+D317)/5</f>
        <v>0.12220116129656441</v>
      </c>
      <c r="Q97" s="11">
        <f>(E97+E152+E207+E262+E317)/5</f>
        <v>8.1063955510018146E-2</v>
      </c>
      <c r="R97" s="11">
        <f>(F97+F152+F207+F262+F317)/5</f>
        <v>0.16673808872309387</v>
      </c>
      <c r="S97" s="11">
        <f>(G97+G152+G207+G262+G317)/5</f>
        <v>0.11402023274285736</v>
      </c>
      <c r="U97" s="11">
        <f>(I97+I152+I207+I262+I317)/5</f>
        <v>8.3345635187343919E-2</v>
      </c>
      <c r="V97" s="11">
        <f>(J97+J152+J207+J262+J317)/5</f>
        <v>0.17881973182741157</v>
      </c>
      <c r="W97" s="11">
        <f>(K97+K152+K207+K262+K317)/5</f>
        <v>8.5208022228329489E-2</v>
      </c>
      <c r="X97" s="11">
        <f>(L97+L152+L207+L262+L317)/5</f>
        <v>9.1886973718088599E-2</v>
      </c>
      <c r="Z97" s="11">
        <f>(N97+N152+N207+N262+N317)/5</f>
        <v>0.10002754975853581</v>
      </c>
    </row>
    <row r="99" spans="1:35" x14ac:dyDescent="0.2">
      <c r="A99" s="1" t="s">
        <v>19</v>
      </c>
      <c r="C99" s="1" t="s">
        <v>21</v>
      </c>
      <c r="D99" s="7">
        <v>1330142.3468704997</v>
      </c>
      <c r="E99" s="7">
        <v>391731.06192479964</v>
      </c>
      <c r="F99" s="7">
        <v>80058.185342899931</v>
      </c>
      <c r="G99" s="7">
        <f>SUM(D99:F99)</f>
        <v>1801931.5941381992</v>
      </c>
      <c r="I99" s="7">
        <v>1925353.7588368948</v>
      </c>
      <c r="J99" s="7">
        <v>271885.50633030018</v>
      </c>
      <c r="K99" s="7">
        <v>761930.90504839888</v>
      </c>
      <c r="L99" s="7">
        <f>SUM(I99:K99)</f>
        <v>2959170.1702155937</v>
      </c>
      <c r="N99" s="7">
        <f>G99+L99</f>
        <v>4761101.7643537931</v>
      </c>
    </row>
    <row r="100" spans="1:35" x14ac:dyDescent="0.2">
      <c r="C100" s="1" t="s">
        <v>22</v>
      </c>
      <c r="D100" s="7">
        <v>1177684.149</v>
      </c>
      <c r="E100" s="7">
        <v>356121.25599999999</v>
      </c>
      <c r="F100" s="7">
        <v>65733.172000000006</v>
      </c>
      <c r="G100" s="7">
        <f>SUM(D100:F100)</f>
        <v>1599538.577</v>
      </c>
      <c r="I100" s="7">
        <v>1795301.091</v>
      </c>
      <c r="J100" s="7">
        <v>242709.375</v>
      </c>
      <c r="K100" s="7">
        <v>718060.94400000002</v>
      </c>
      <c r="L100" s="7">
        <f>SUM(I100:K100)</f>
        <v>2756071.41</v>
      </c>
      <c r="N100" s="7">
        <f>G100+L100</f>
        <v>4355609.9869999997</v>
      </c>
    </row>
    <row r="101" spans="1:35" x14ac:dyDescent="0.2">
      <c r="C101" s="1" t="s">
        <v>23</v>
      </c>
      <c r="D101" s="11">
        <f>(D99/D100)-1</f>
        <v>0.12945593094715213</v>
      </c>
      <c r="E101" s="11">
        <f>(E99/E100)-1</f>
        <v>9.9993486277043964E-2</v>
      </c>
      <c r="F101" s="11">
        <f>(F99/F100)-1</f>
        <v>0.21792670134494529</v>
      </c>
      <c r="G101" s="11">
        <f>(G99/G100)-1</f>
        <v>0.12653212623217591</v>
      </c>
      <c r="H101" s="11"/>
      <c r="I101" s="11">
        <f>(I99/I100)-1</f>
        <v>7.2440588650483306E-2</v>
      </c>
      <c r="J101" s="11">
        <f>(J99/J100)-1</f>
        <v>0.12021015393534018</v>
      </c>
      <c r="K101" s="11">
        <f>(K99/K100)-1</f>
        <v>6.1095038540905255E-2</v>
      </c>
      <c r="L101" s="11">
        <f>(L99/L100)-1</f>
        <v>7.369139982319739E-2</v>
      </c>
      <c r="N101" s="11">
        <f>(N99/N100)-1</f>
        <v>9.3096438515855917E-2</v>
      </c>
      <c r="P101" s="11">
        <f>(D101+D156+D211+D266+D321)/5</f>
        <v>0.10428818239161904</v>
      </c>
      <c r="Q101" s="11">
        <f>(E101+E156+E211+E266+E321)/5</f>
        <v>0.12430759578641334</v>
      </c>
      <c r="R101" s="11">
        <f>(F101+F156+F211+F266+F321)/5</f>
        <v>0.19978657882129061</v>
      </c>
      <c r="S101" s="11">
        <f>(G101+G156+G211+G266+G321)/5</f>
        <v>0.11243640075233632</v>
      </c>
      <c r="U101" s="11">
        <f>(I101+I156+I211+I266+I321)/5</f>
        <v>8.4355391233755309E-2</v>
      </c>
      <c r="V101" s="11">
        <f>(J101+J156+J211+J266+J321)/5</f>
        <v>8.6393048718184873E-2</v>
      </c>
      <c r="W101" s="11">
        <f>(K101+K156+K211+K266+K321)/5</f>
        <v>7.6356709189882063E-2</v>
      </c>
      <c r="X101" s="11">
        <f>(L101+L156+L211+L266+L321)/5</f>
        <v>8.2190238910770569E-2</v>
      </c>
      <c r="Z101" s="11">
        <f>(N101+N156+N211+N266+N321)/5</f>
        <v>9.357726688584278E-2</v>
      </c>
    </row>
    <row r="103" spans="1:35" x14ac:dyDescent="0.2">
      <c r="A103" s="1" t="s">
        <v>20</v>
      </c>
      <c r="C103" s="1" t="s">
        <v>21</v>
      </c>
      <c r="D103" s="7">
        <v>1476102.2833836016</v>
      </c>
      <c r="E103" s="7">
        <v>449310.18490030011</v>
      </c>
      <c r="F103" s="7">
        <v>95179.731467899997</v>
      </c>
      <c r="G103" s="7">
        <f>SUM(D103:F103)</f>
        <v>2020592.1997518018</v>
      </c>
      <c r="I103" s="7">
        <v>2148136.4988957276</v>
      </c>
      <c r="J103" s="7">
        <v>285087.39403630001</v>
      </c>
      <c r="K103" s="7">
        <v>842951.10302722931</v>
      </c>
      <c r="L103" s="7">
        <f>SUM(I103:K103)</f>
        <v>3276174.9959592568</v>
      </c>
      <c r="N103" s="7">
        <f>G103+L103</f>
        <v>5296767.1957110586</v>
      </c>
    </row>
    <row r="104" spans="1:35" x14ac:dyDescent="0.2">
      <c r="C104" s="1" t="s">
        <v>22</v>
      </c>
      <c r="D104" s="7">
        <v>1334768.885</v>
      </c>
      <c r="E104" s="7">
        <v>411998.86800000002</v>
      </c>
      <c r="F104" s="7">
        <v>79310.172000000006</v>
      </c>
      <c r="G104" s="7">
        <f>SUM(D104:F104)</f>
        <v>1826077.925</v>
      </c>
      <c r="I104" s="7">
        <v>2017988.754</v>
      </c>
      <c r="J104" s="7">
        <v>268918.19699999999</v>
      </c>
      <c r="K104" s="7">
        <v>782575.08900000004</v>
      </c>
      <c r="L104" s="7">
        <f>SUM(I104:K104)</f>
        <v>3069482.04</v>
      </c>
      <c r="N104" s="7">
        <f>G104+L104</f>
        <v>4895559.9649999999</v>
      </c>
    </row>
    <row r="105" spans="1:35" x14ac:dyDescent="0.2">
      <c r="C105" s="1" t="s">
        <v>23</v>
      </c>
      <c r="D105" s="11">
        <f>(D103/D104)-1</f>
        <v>0.10588604512128819</v>
      </c>
      <c r="E105" s="11">
        <f>(E103/E104)-1</f>
        <v>9.0561697611994729E-2</v>
      </c>
      <c r="F105" s="11">
        <f>(F103/F104)-1</f>
        <v>0.20009488149767218</v>
      </c>
      <c r="G105" s="11">
        <f>(G103/G104)-1</f>
        <v>0.10652024871928822</v>
      </c>
      <c r="H105" s="11"/>
      <c r="I105" s="11">
        <f>(I103/I104)-1</f>
        <v>6.4493790977651511E-2</v>
      </c>
      <c r="J105" s="11">
        <f>(J103/J104)-1</f>
        <v>6.0126823757858272E-2</v>
      </c>
      <c r="K105" s="11">
        <f>(K103/K104)-1</f>
        <v>7.7150442016215681E-2</v>
      </c>
      <c r="L105" s="11">
        <f>(L103/L104)-1</f>
        <v>6.7338056801028445E-2</v>
      </c>
      <c r="N105" s="11">
        <f>(N103/N104)-1</f>
        <v>8.19532869742019E-2</v>
      </c>
      <c r="P105" s="11">
        <f>(D105+D160+D215+D270+D325)/5</f>
        <v>0.10975465462551855</v>
      </c>
      <c r="Q105" s="11">
        <f>(E105+E160+E215+E270+E325)/5</f>
        <v>0.11973591687026093</v>
      </c>
      <c r="R105" s="11">
        <f>(F105+F160+F215+F270+F325)/5</f>
        <v>0.12873137002061591</v>
      </c>
      <c r="S105" s="11">
        <f>(G105+G160+G215+G270+G325)/5</f>
        <v>0.11232207549101525</v>
      </c>
      <c r="U105" s="11">
        <f>(I105+I160+I215+I270+I325)/5</f>
        <v>6.9240884613544246E-2</v>
      </c>
      <c r="V105" s="11">
        <f>(J105+J160+J215+J270+J325)/5</f>
        <v>0.12466267067784584</v>
      </c>
      <c r="W105" s="11">
        <f>(K105+K160+K215+K270+K325)/5</f>
        <v>9.1981877818688759E-2</v>
      </c>
      <c r="X105" s="11">
        <f>(L105+L160+L215+L270+L325)/5</f>
        <v>7.8020515328547452E-2</v>
      </c>
      <c r="Z105" s="11">
        <f>(N105+N160+N215+N270+N325)/5</f>
        <v>9.0939251433562254E-2</v>
      </c>
    </row>
    <row r="107" spans="1:35" x14ac:dyDescent="0.2">
      <c r="A107" s="1" t="s">
        <v>44</v>
      </c>
      <c r="C107" s="1" t="s">
        <v>21</v>
      </c>
      <c r="D107" s="7">
        <f t="shared" ref="D107:G108" si="29">D59+D63+D67+D71+D75+D79+D83+D87+D91+D95+D99+D103</f>
        <v>15562529.809530804</v>
      </c>
      <c r="E107" s="7">
        <f t="shared" si="29"/>
        <v>4532172.421366795</v>
      </c>
      <c r="F107" s="7">
        <f t="shared" si="29"/>
        <v>1064594.6532043</v>
      </c>
      <c r="G107" s="7">
        <f t="shared" si="29"/>
        <v>21159296.884101894</v>
      </c>
      <c r="I107" s="7">
        <f t="shared" ref="I107:L108" si="30">I59+I63+I67+I71+I75+I79+I83+I87+I91+I95+I99+I103</f>
        <v>24068503.374681178</v>
      </c>
      <c r="J107" s="7">
        <f t="shared" si="30"/>
        <v>3803528.6579677006</v>
      </c>
      <c r="K107" s="7">
        <f t="shared" si="30"/>
        <v>9132294.2288670093</v>
      </c>
      <c r="L107" s="7">
        <f t="shared" si="30"/>
        <v>37004326.261515893</v>
      </c>
      <c r="N107" s="7">
        <f>N59+N63+N67+N71+N75+N79+N83+N87+N91+N95+N99+N103</f>
        <v>58163623.145617798</v>
      </c>
    </row>
    <row r="108" spans="1:35" x14ac:dyDescent="0.2">
      <c r="C108" s="1" t="s">
        <v>22</v>
      </c>
      <c r="D108" s="7">
        <f t="shared" si="29"/>
        <v>14077356.350000001</v>
      </c>
      <c r="E108" s="7">
        <f t="shared" si="29"/>
        <v>4078370.0269999998</v>
      </c>
      <c r="F108" s="7">
        <f t="shared" si="29"/>
        <v>884865.30900000001</v>
      </c>
      <c r="G108" s="7">
        <f t="shared" si="29"/>
        <v>19040591.686000001</v>
      </c>
      <c r="I108" s="7">
        <f t="shared" si="30"/>
        <v>22352159.788999997</v>
      </c>
      <c r="J108" s="7">
        <f t="shared" si="30"/>
        <v>3475271.6850000001</v>
      </c>
      <c r="K108" s="7">
        <f t="shared" si="30"/>
        <v>8522454.3939999994</v>
      </c>
      <c r="L108" s="7">
        <f t="shared" si="30"/>
        <v>34349885.868000008</v>
      </c>
      <c r="N108" s="7">
        <f>N60+N64+N68+N72+N76+N80+N84+N88+N92+N96+N100+N104</f>
        <v>53390477.554000005</v>
      </c>
    </row>
    <row r="109" spans="1:35" x14ac:dyDescent="0.2">
      <c r="C109" s="1" t="s">
        <v>23</v>
      </c>
      <c r="D109" s="11">
        <f>(D107/D108)-1</f>
        <v>0.10550087833294075</v>
      </c>
      <c r="E109" s="11">
        <f>(E107/E108)-1</f>
        <v>0.11127052998195142</v>
      </c>
      <c r="F109" s="11">
        <f>(F107/F108)-1</f>
        <v>0.20311491746400923</v>
      </c>
      <c r="G109" s="11">
        <f>(G107/G108)-1</f>
        <v>0.11127307559773558</v>
      </c>
      <c r="I109" s="11">
        <f>(I107/I108)-1</f>
        <v>7.6786476201097686E-2</v>
      </c>
      <c r="J109" s="11">
        <f>(J107/J108)-1</f>
        <v>9.4455053509780562E-2</v>
      </c>
      <c r="K109" s="11">
        <f>(K107/K108)-1</f>
        <v>7.1556831714623348E-2</v>
      </c>
      <c r="L109" s="11">
        <f>(L107/L108)-1</f>
        <v>7.7276541870223037E-2</v>
      </c>
      <c r="N109" s="11">
        <f>(N107/N108)-1</f>
        <v>8.940069110245652E-2</v>
      </c>
      <c r="P109" s="11">
        <f>(D109+D164+D219+D274+D329)/5</f>
        <v>9.521951244037799E-2</v>
      </c>
      <c r="Q109" s="11">
        <f>(E109+E164+E219+E274+E329)/5</f>
        <v>0.10250827682021284</v>
      </c>
      <c r="R109" s="11">
        <f>(F109+F164+F219+F274+F329)/5</f>
        <v>0.142371228158476</v>
      </c>
      <c r="S109" s="11">
        <f>(G109+G164+G219+G274+G329)/5</f>
        <v>9.9008920157140828E-2</v>
      </c>
      <c r="U109" s="11">
        <f>(I109+I164+I219+I274+I329)/5</f>
        <v>7.946979090865422E-2</v>
      </c>
      <c r="V109" s="11">
        <f>(J109+J164+J219+J274+J329)/5</f>
        <v>9.9264225689976102E-2</v>
      </c>
      <c r="W109" s="11">
        <f>(K109+K164+K219+K274+K329)/5</f>
        <v>7.4922161003906362E-2</v>
      </c>
      <c r="X109" s="11">
        <f>(L109+L164+L219+L274+L329)/5</f>
        <v>8.037835259959758E-2</v>
      </c>
      <c r="Z109" s="11">
        <f>(N109+N164+N219+N274+N329)/5</f>
        <v>8.7127100463150864E-2</v>
      </c>
    </row>
    <row r="111" spans="1:35" x14ac:dyDescent="0.2">
      <c r="D111" s="19" t="s">
        <v>7</v>
      </c>
      <c r="E111" s="19"/>
      <c r="F111" s="19"/>
      <c r="G111" s="19"/>
      <c r="H111" s="10"/>
      <c r="I111" s="19" t="s">
        <v>8</v>
      </c>
      <c r="J111" s="19"/>
      <c r="K111" s="19"/>
      <c r="L111" s="19"/>
      <c r="N111" s="6" t="s">
        <v>24</v>
      </c>
    </row>
    <row r="112" spans="1:35" x14ac:dyDescent="0.2">
      <c r="D112" s="10" t="s">
        <v>0</v>
      </c>
      <c r="E112" s="10" t="s">
        <v>1</v>
      </c>
      <c r="F112" s="10" t="s">
        <v>2</v>
      </c>
      <c r="G112" s="10" t="s">
        <v>24</v>
      </c>
      <c r="H112" s="10"/>
      <c r="I112" s="10" t="s">
        <v>3</v>
      </c>
      <c r="J112" s="10" t="s">
        <v>4</v>
      </c>
      <c r="K112" s="10" t="s">
        <v>25</v>
      </c>
      <c r="L112" s="10" t="s">
        <v>24</v>
      </c>
      <c r="N112" s="10" t="s">
        <v>49</v>
      </c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C112" s="10"/>
      <c r="AD112" s="10"/>
      <c r="AE112" s="10"/>
      <c r="AF112" s="10"/>
      <c r="AG112" s="10"/>
      <c r="AH112" s="10"/>
      <c r="AI112" s="10"/>
    </row>
    <row r="113" spans="1:35" x14ac:dyDescent="0.2">
      <c r="A113" s="1">
        <v>2006</v>
      </c>
      <c r="D113" s="10"/>
      <c r="E113" s="10"/>
      <c r="F113" s="10"/>
      <c r="G113" s="10"/>
      <c r="H113" s="10"/>
      <c r="I113" s="10"/>
      <c r="J113" s="10"/>
      <c r="K113" s="10"/>
    </row>
    <row r="114" spans="1:35" x14ac:dyDescent="0.2">
      <c r="A114" s="1" t="s">
        <v>9</v>
      </c>
      <c r="C114" s="1" t="s">
        <v>21</v>
      </c>
      <c r="D114" s="7">
        <f>1421283.8329621-932.451108</f>
        <v>1420351.3818540999</v>
      </c>
      <c r="E114" s="7">
        <v>434428.91138150019</v>
      </c>
      <c r="F114" s="7">
        <v>87819.113620099888</v>
      </c>
      <c r="G114" s="7">
        <f>SUM(D114:F114)</f>
        <v>1942599.4068556998</v>
      </c>
      <c r="I114" s="7">
        <f>1930167.57094715-16159.082</f>
        <v>1914008.4889471501</v>
      </c>
      <c r="J114" s="7">
        <v>290581.77657739999</v>
      </c>
      <c r="K114" s="7">
        <f>94619.3907792001+681887.240932504-116.4</f>
        <v>776390.23171170405</v>
      </c>
      <c r="L114" s="7">
        <f>SUM(I114:K114)</f>
        <v>2980980.4972362537</v>
      </c>
      <c r="N114" s="7">
        <f>G114+L114</f>
        <v>4923579.9040919533</v>
      </c>
      <c r="AB114" s="11"/>
      <c r="AC114" s="11"/>
      <c r="AD114" s="11"/>
      <c r="AE114" s="11"/>
      <c r="AF114" s="11"/>
      <c r="AG114" s="11"/>
      <c r="AH114" s="11"/>
      <c r="AI114" s="11"/>
    </row>
    <row r="115" spans="1:35" x14ac:dyDescent="0.2">
      <c r="C115" s="1" t="s">
        <v>22</v>
      </c>
      <c r="D115" s="7">
        <v>1309698.1529999999</v>
      </c>
      <c r="E115" s="7">
        <v>372628.04700000002</v>
      </c>
      <c r="F115" s="7">
        <v>66000.020999999993</v>
      </c>
      <c r="G115" s="7">
        <f>SUM(D115:F115)</f>
        <v>1748326.2209999999</v>
      </c>
      <c r="I115" s="7">
        <v>1777210.1240000001</v>
      </c>
      <c r="J115" s="7">
        <v>249519.42600000001</v>
      </c>
      <c r="K115" s="7">
        <v>722119.62699999998</v>
      </c>
      <c r="L115" s="7">
        <f>SUM(I115:K115)</f>
        <v>2748849.1770000001</v>
      </c>
      <c r="N115" s="7">
        <f>G115+L115</f>
        <v>4497175.398</v>
      </c>
    </row>
    <row r="116" spans="1:35" s="11" customFormat="1" x14ac:dyDescent="0.2">
      <c r="C116" s="11" t="s">
        <v>23</v>
      </c>
      <c r="D116" s="11">
        <f>(D114/D115)-1</f>
        <v>8.4487581051127858E-2</v>
      </c>
      <c r="E116" s="11">
        <f>(E114/E115)-1</f>
        <v>0.1658513492987288</v>
      </c>
      <c r="F116" s="11">
        <f>(F114/F115)-1</f>
        <v>0.33059220723732641</v>
      </c>
      <c r="G116" s="11">
        <f>(G114/G115)-1</f>
        <v>0.11111952879399145</v>
      </c>
      <c r="I116" s="11">
        <f>(I114/I115)-1</f>
        <v>7.6973658376003007E-2</v>
      </c>
      <c r="J116" s="11">
        <f>(J114/J115)-1</f>
        <v>0.16456574638561405</v>
      </c>
      <c r="K116" s="11">
        <f>(K114/K115)-1</f>
        <v>7.5154590295748891E-2</v>
      </c>
      <c r="L116" s="11">
        <f>(L114/L115)-1</f>
        <v>8.4446728535900961E-2</v>
      </c>
      <c r="N116" s="11">
        <f>(N114/N115)-1</f>
        <v>9.4816071946312253E-2</v>
      </c>
    </row>
    <row r="118" spans="1:35" x14ac:dyDescent="0.2">
      <c r="A118" s="1" t="s">
        <v>10</v>
      </c>
      <c r="C118" s="1" t="s">
        <v>21</v>
      </c>
      <c r="D118" s="7">
        <f>1281272.2498914-920.271156</f>
        <v>1280351.9787354001</v>
      </c>
      <c r="E118" s="7">
        <v>393053.70058220014</v>
      </c>
      <c r="F118" s="7">
        <v>74663.745100999935</v>
      </c>
      <c r="G118" s="7">
        <f>SUM(D118:F118)</f>
        <v>1748069.4244186003</v>
      </c>
      <c r="I118" s="7">
        <f>1734164.45068346-14321.414</f>
        <v>1719843.03668346</v>
      </c>
      <c r="J118" s="7">
        <v>264602.87703969999</v>
      </c>
      <c r="K118" s="7">
        <f>89047.6772026+610945.96926944-94.56</f>
        <v>699899.08647204004</v>
      </c>
      <c r="L118" s="7">
        <f>SUM(I118:K118)</f>
        <v>2684345.0001952001</v>
      </c>
      <c r="N118" s="7">
        <f>G118+L118</f>
        <v>4432414.4246137999</v>
      </c>
      <c r="AB118" s="11"/>
      <c r="AC118" s="11"/>
      <c r="AD118" s="11"/>
      <c r="AE118" s="11"/>
      <c r="AF118" s="11"/>
      <c r="AG118" s="11"/>
      <c r="AH118" s="11"/>
      <c r="AI118" s="11"/>
    </row>
    <row r="119" spans="1:35" x14ac:dyDescent="0.2">
      <c r="C119" s="1" t="s">
        <v>22</v>
      </c>
      <c r="D119" s="7">
        <v>1158732.142</v>
      </c>
      <c r="E119" s="7">
        <v>326345.71999999997</v>
      </c>
      <c r="F119" s="7">
        <v>69123.467000000004</v>
      </c>
      <c r="G119" s="7">
        <f>SUM(D119:F119)</f>
        <v>1554201.3289999999</v>
      </c>
      <c r="I119" s="7">
        <v>1649596.4310000001</v>
      </c>
      <c r="J119" s="7">
        <v>228892.723</v>
      </c>
      <c r="K119" s="7">
        <v>682116.44300000009</v>
      </c>
      <c r="L119" s="7">
        <f>SUM(I119:K119)</f>
        <v>2560605.5970000001</v>
      </c>
      <c r="N119" s="7">
        <f>G119+L119</f>
        <v>4114806.926</v>
      </c>
    </row>
    <row r="120" spans="1:35" s="11" customFormat="1" x14ac:dyDescent="0.2">
      <c r="C120" s="11" t="s">
        <v>23</v>
      </c>
      <c r="D120" s="11">
        <f>(D118/D119)-1</f>
        <v>0.1049594054804428</v>
      </c>
      <c r="E120" s="11">
        <f>(E118/E119)-1</f>
        <v>0.20440893351443434</v>
      </c>
      <c r="F120" s="11">
        <f>(F118/F119)-1</f>
        <v>8.0150466136195586E-2</v>
      </c>
      <c r="G120" s="11">
        <f>(G118/G119)-1</f>
        <v>0.12473808367114092</v>
      </c>
      <c r="I120" s="11">
        <f>(I118/I119)-1</f>
        <v>4.2584115946999068E-2</v>
      </c>
      <c r="J120" s="11">
        <f>(J118/J119)-1</f>
        <v>0.1560126227328773</v>
      </c>
      <c r="K120" s="11">
        <f>(K118/K119)-1</f>
        <v>2.6069806195890166E-2</v>
      </c>
      <c r="L120" s="11">
        <f>(L118/L119)-1</f>
        <v>4.8324272718989869E-2</v>
      </c>
      <c r="N120" s="11">
        <f>(N118/N119)-1</f>
        <v>7.7186488777140738E-2</v>
      </c>
    </row>
    <row r="122" spans="1:35" x14ac:dyDescent="0.2">
      <c r="A122" s="1" t="s">
        <v>11</v>
      </c>
      <c r="C122" s="1" t="s">
        <v>21</v>
      </c>
      <c r="D122" s="7">
        <f>1374586.2633422-927.869091</f>
        <v>1373658.3942512001</v>
      </c>
      <c r="E122" s="7">
        <v>380868.45788320003</v>
      </c>
      <c r="F122" s="7">
        <v>83851.584260600037</v>
      </c>
      <c r="G122" s="7">
        <f>SUM(D122:F122)</f>
        <v>1838378.4363950002</v>
      </c>
      <c r="I122" s="7">
        <f>1777492.30230322-16037.536</f>
        <v>1761454.7663032198</v>
      </c>
      <c r="J122" s="7">
        <v>273089.0615875998</v>
      </c>
      <c r="K122" s="7">
        <f>94032.0621313001+653830.306557212-94.56</f>
        <v>747767.80868851207</v>
      </c>
      <c r="L122" s="7">
        <f>SUM(I122:K122)</f>
        <v>2782311.6365793319</v>
      </c>
      <c r="N122" s="7">
        <f>G122+L122</f>
        <v>4620690.0729743317</v>
      </c>
    </row>
    <row r="123" spans="1:35" x14ac:dyDescent="0.2">
      <c r="C123" s="1" t="s">
        <v>22</v>
      </c>
      <c r="D123" s="7">
        <v>1216132.9809999999</v>
      </c>
      <c r="E123" s="7">
        <v>360990.76</v>
      </c>
      <c r="F123" s="7">
        <v>72789.047000000006</v>
      </c>
      <c r="G123" s="7">
        <f>SUM(D123:F123)</f>
        <v>1649912.7879999999</v>
      </c>
      <c r="I123" s="7">
        <v>1618501.5970000001</v>
      </c>
      <c r="J123" s="7">
        <v>224215.30100000001</v>
      </c>
      <c r="K123" s="7">
        <v>663624.39800000004</v>
      </c>
      <c r="L123" s="7">
        <f>SUM(I123:K123)</f>
        <v>2506341.2960000001</v>
      </c>
      <c r="N123" s="7">
        <f>G123+L123</f>
        <v>4156254.0839999998</v>
      </c>
    </row>
    <row r="124" spans="1:35" s="11" customFormat="1" x14ac:dyDescent="0.2">
      <c r="C124" s="11" t="s">
        <v>23</v>
      </c>
      <c r="D124" s="11">
        <f>(D122/D123)-1</f>
        <v>0.12952976007744677</v>
      </c>
      <c r="E124" s="11">
        <f>(E122/E123)-1</f>
        <v>5.5064284424343857E-2</v>
      </c>
      <c r="F124" s="11">
        <f>(F122/F123)-1</f>
        <v>0.15198079541555232</v>
      </c>
      <c r="G124" s="11">
        <f>(G122/G123)-1</f>
        <v>0.11422764267646879</v>
      </c>
      <c r="I124" s="11">
        <f>(I122/I123)-1</f>
        <v>8.8324391874677666E-2</v>
      </c>
      <c r="J124" s="11">
        <f>(J122/J123)-1</f>
        <v>0.21797691937001118</v>
      </c>
      <c r="K124" s="11">
        <f>(K122/K123)-1</f>
        <v>0.12679372690651447</v>
      </c>
      <c r="L124" s="11">
        <f>(L122/L123)-1</f>
        <v>0.11010884312514313</v>
      </c>
      <c r="N124" s="11">
        <f>(N122/N123)-1</f>
        <v>0.11174388754581543</v>
      </c>
    </row>
    <row r="126" spans="1:35" x14ac:dyDescent="0.2">
      <c r="A126" s="1" t="s">
        <v>12</v>
      </c>
      <c r="C126" s="1" t="s">
        <v>21</v>
      </c>
      <c r="D126" s="7">
        <f>1138459.29058474-922.34575</f>
        <v>1137536.9448347399</v>
      </c>
      <c r="E126" s="7">
        <v>329004.95919899992</v>
      </c>
      <c r="F126" s="7">
        <v>76888.188168299981</v>
      </c>
      <c r="G126" s="7">
        <f>SUM(D126:F126)</f>
        <v>1543430.0922020399</v>
      </c>
      <c r="I126" s="7">
        <f>1629719.94399886-14733.297</f>
        <v>1614986.6469988599</v>
      </c>
      <c r="J126" s="7">
        <v>248772.72364249983</v>
      </c>
      <c r="K126" s="7">
        <f>81743.066519+616481.863251632-87.72</f>
        <v>698137.20977063198</v>
      </c>
      <c r="L126" s="7">
        <f>SUM(I126:K126)</f>
        <v>2561896.580411992</v>
      </c>
      <c r="N126" s="7">
        <f>G126+L126</f>
        <v>4105326.6726140319</v>
      </c>
    </row>
    <row r="127" spans="1:35" x14ac:dyDescent="0.2">
      <c r="C127" s="1" t="s">
        <v>22</v>
      </c>
      <c r="D127" s="7">
        <v>1015528.853</v>
      </c>
      <c r="E127" s="7">
        <v>293801.66499999998</v>
      </c>
      <c r="F127" s="7">
        <v>68062.596999999994</v>
      </c>
      <c r="G127" s="7">
        <f>SUM(D127:F127)</f>
        <v>1377393.115</v>
      </c>
      <c r="I127" s="7">
        <v>1485481.865</v>
      </c>
      <c r="J127" s="7">
        <v>238090.50700000001</v>
      </c>
      <c r="K127" s="7">
        <v>691376.78599999996</v>
      </c>
      <c r="L127" s="7">
        <f>SUM(I127:K127)</f>
        <v>2414949.1579999998</v>
      </c>
      <c r="N127" s="7">
        <f>G127+L127</f>
        <v>3792342.273</v>
      </c>
    </row>
    <row r="128" spans="1:35" s="11" customFormat="1" x14ac:dyDescent="0.2">
      <c r="C128" s="11" t="s">
        <v>23</v>
      </c>
      <c r="D128" s="11">
        <f>(D126/D127)-1</f>
        <v>0.12014241788828817</v>
      </c>
      <c r="E128" s="11">
        <f>(E126/E127)-1</f>
        <v>0.11981992749768766</v>
      </c>
      <c r="F128" s="11">
        <f>(F126/F127)-1</f>
        <v>0.12966873962067571</v>
      </c>
      <c r="G128" s="11">
        <f>(G126/G127)-1</f>
        <v>0.12054436412805791</v>
      </c>
      <c r="I128" s="11">
        <f>(I126/I127)-1</f>
        <v>8.7180318420689629E-2</v>
      </c>
      <c r="J128" s="11">
        <f>(J126/J127)-1</f>
        <v>4.4866201416841056E-2</v>
      </c>
      <c r="K128" s="11">
        <f>(K126/K127)-1</f>
        <v>9.7782047467125377E-3</v>
      </c>
      <c r="L128" s="11">
        <f>(L126/L127)-1</f>
        <v>6.0849074989922425E-2</v>
      </c>
      <c r="N128" s="11">
        <f>(N126/N127)-1</f>
        <v>8.2530630698172791E-2</v>
      </c>
    </row>
    <row r="130" spans="1:14" x14ac:dyDescent="0.2">
      <c r="A130" s="1" t="s">
        <v>13</v>
      </c>
      <c r="C130" s="1" t="s">
        <v>21</v>
      </c>
      <c r="D130" s="7">
        <f>1151017.82576745-923.252757</f>
        <v>1150094.57301045</v>
      </c>
      <c r="E130" s="7">
        <v>338908.9780730994</v>
      </c>
      <c r="F130" s="7">
        <v>86426.961722199921</v>
      </c>
      <c r="G130" s="7">
        <f>SUM(D130:F130)</f>
        <v>1575430.5128057492</v>
      </c>
      <c r="I130" s="7">
        <f>1823956.32355474-16695.203</f>
        <v>1807261.1205547401</v>
      </c>
      <c r="J130" s="7">
        <v>311230.15851850022</v>
      </c>
      <c r="K130" s="7">
        <f>88036.8124071001+613705.120123077-80.04</f>
        <v>701661.89253017702</v>
      </c>
      <c r="L130" s="7">
        <f>SUM(I130:K130)</f>
        <v>2820153.171603417</v>
      </c>
      <c r="N130" s="7">
        <f>G130+L130</f>
        <v>4395583.6844091658</v>
      </c>
    </row>
    <row r="131" spans="1:14" x14ac:dyDescent="0.2">
      <c r="C131" s="1" t="s">
        <v>22</v>
      </c>
      <c r="D131" s="7">
        <v>1084184.385</v>
      </c>
      <c r="E131" s="7">
        <v>309850.32500000001</v>
      </c>
      <c r="F131" s="7">
        <v>65914.343999999997</v>
      </c>
      <c r="G131" s="7">
        <f>SUM(D131:F131)</f>
        <v>1459949.054</v>
      </c>
      <c r="I131" s="7">
        <v>1686652.4709999999</v>
      </c>
      <c r="J131" s="7">
        <v>295737.01299999998</v>
      </c>
      <c r="K131" s="7">
        <v>642687.85</v>
      </c>
      <c r="L131" s="7">
        <f>SUM(I131:K131)</f>
        <v>2625077.3339999998</v>
      </c>
      <c r="N131" s="7">
        <f>G131+L131</f>
        <v>4085026.3879999998</v>
      </c>
    </row>
    <row r="132" spans="1:14" s="11" customFormat="1" x14ac:dyDescent="0.2">
      <c r="C132" s="11" t="s">
        <v>23</v>
      </c>
      <c r="D132" s="11">
        <f>(D130/D131)-1</f>
        <v>6.0792415867942928E-2</v>
      </c>
      <c r="E132" s="11">
        <f>(E130/E131)-1</f>
        <v>9.3782871046203864E-2</v>
      </c>
      <c r="F132" s="11">
        <f>(F130/F131)-1</f>
        <v>0.31120112068778116</v>
      </c>
      <c r="G132" s="11">
        <f>(G130/G131)-1</f>
        <v>7.9099649737331967E-2</v>
      </c>
      <c r="I132" s="11">
        <f>(I130/I131)-1</f>
        <v>7.1507706316780606E-2</v>
      </c>
      <c r="J132" s="11">
        <f>(J130/J131)-1</f>
        <v>5.2388253202855672E-2</v>
      </c>
      <c r="K132" s="11">
        <f>(K130/K131)-1</f>
        <v>9.176156438958194E-2</v>
      </c>
      <c r="L132" s="11">
        <f>(L130/L131)-1</f>
        <v>7.4312415515076502E-2</v>
      </c>
      <c r="N132" s="11">
        <f>(N130/N131)-1</f>
        <v>7.6023326880199749E-2</v>
      </c>
    </row>
    <row r="134" spans="1:14" x14ac:dyDescent="0.2">
      <c r="A134" s="1" t="s">
        <v>14</v>
      </c>
      <c r="C134" s="1" t="s">
        <v>21</v>
      </c>
      <c r="D134" s="7">
        <f>1155906.0567414-913.91517</f>
        <v>1154992.1415714</v>
      </c>
      <c r="E134" s="7">
        <v>350401.52836619964</v>
      </c>
      <c r="F134" s="7">
        <v>92700.005194300087</v>
      </c>
      <c r="G134" s="7">
        <f>SUM(D134:F134)</f>
        <v>1598093.6751318998</v>
      </c>
      <c r="I134" s="7">
        <f>1999409.98481972-19200.293</f>
        <v>1980209.69181972</v>
      </c>
      <c r="J134" s="7">
        <v>386311.55624090013</v>
      </c>
      <c r="K134" s="7">
        <f>86618.8249050001+609371.863577668-73.2</f>
        <v>695917.48848266806</v>
      </c>
      <c r="L134" s="7">
        <f>SUM(I134:K134)</f>
        <v>3062438.736543288</v>
      </c>
      <c r="N134" s="7">
        <f>G134+L134</f>
        <v>4660532.4116751878</v>
      </c>
    </row>
    <row r="135" spans="1:14" x14ac:dyDescent="0.2">
      <c r="C135" s="1" t="s">
        <v>22</v>
      </c>
      <c r="D135" s="7">
        <v>1058221.433</v>
      </c>
      <c r="E135" s="7">
        <v>318114.79499999998</v>
      </c>
      <c r="F135" s="7">
        <v>81108.998000000007</v>
      </c>
      <c r="G135" s="7">
        <f>SUM(D135:F135)</f>
        <v>1457445.2259999998</v>
      </c>
      <c r="I135" s="7">
        <v>1853521.36</v>
      </c>
      <c r="J135" s="7">
        <v>339571.75699999998</v>
      </c>
      <c r="K135" s="7">
        <v>639513.61400000006</v>
      </c>
      <c r="L135" s="7">
        <f>SUM(I135:K135)</f>
        <v>2832606.7310000001</v>
      </c>
      <c r="N135" s="7">
        <f>G135+L135</f>
        <v>4290051.9570000004</v>
      </c>
    </row>
    <row r="136" spans="1:14" s="11" customFormat="1" x14ac:dyDescent="0.2">
      <c r="C136" s="11" t="s">
        <v>23</v>
      </c>
      <c r="D136" s="11">
        <f>(D134/D135)-1</f>
        <v>9.1446558871010941E-2</v>
      </c>
      <c r="E136" s="11">
        <f>(E134/E135)-1</f>
        <v>0.10149396970423719</v>
      </c>
      <c r="F136" s="11">
        <f>(F134/F135)-1</f>
        <v>0.14290655143218611</v>
      </c>
      <c r="G136" s="11">
        <f>(G134/G135)-1</f>
        <v>9.6503420247163296E-2</v>
      </c>
      <c r="I136" s="11">
        <f>(I134/I135)-1</f>
        <v>6.8350079234975603E-2</v>
      </c>
      <c r="J136" s="11">
        <f>(J134/J135)-1</f>
        <v>0.13764336484821427</v>
      </c>
      <c r="K136" s="11">
        <f>(K134/K135)-1</f>
        <v>8.8198082492529917E-2</v>
      </c>
      <c r="L136" s="11">
        <f>(L134/L135)-1</f>
        <v>8.1137986091754266E-2</v>
      </c>
      <c r="N136" s="11">
        <f>(N134/N135)-1</f>
        <v>8.6358034445406018E-2</v>
      </c>
    </row>
    <row r="138" spans="1:14" x14ac:dyDescent="0.2">
      <c r="A138" s="1" t="s">
        <v>15</v>
      </c>
      <c r="C138" s="1" t="s">
        <v>21</v>
      </c>
      <c r="D138" s="7">
        <f>1330745.49249146-915.703947</f>
        <v>1329829.78854446</v>
      </c>
      <c r="E138" s="7">
        <v>413215.74455649994</v>
      </c>
      <c r="F138" s="7">
        <v>92227.950450300006</v>
      </c>
      <c r="G138" s="7">
        <f>SUM(D138:F138)</f>
        <v>1835273.4835512599</v>
      </c>
      <c r="I138" s="7">
        <f>2325592.19476762-21526.554</f>
        <v>2304065.6407676199</v>
      </c>
      <c r="J138" s="7">
        <v>451549.00322369993</v>
      </c>
      <c r="K138" s="7">
        <f>88578.8850168999+663306.573304601-64.08</f>
        <v>751821.37832150096</v>
      </c>
      <c r="L138" s="7">
        <f>SUM(I138:K138)</f>
        <v>3507436.0223128209</v>
      </c>
      <c r="N138" s="7">
        <f>G138+L138</f>
        <v>5342709.505864081</v>
      </c>
    </row>
    <row r="139" spans="1:14" x14ac:dyDescent="0.2">
      <c r="C139" s="1" t="s">
        <v>22</v>
      </c>
      <c r="D139" s="7">
        <v>1205192.1910000001</v>
      </c>
      <c r="E139" s="7">
        <v>394699.00900000002</v>
      </c>
      <c r="F139" s="7">
        <v>85693.72</v>
      </c>
      <c r="G139" s="7">
        <f>SUM(D139:F139)</f>
        <v>1685584.9200000002</v>
      </c>
      <c r="I139" s="7">
        <v>2149006.588</v>
      </c>
      <c r="J139" s="7">
        <v>427107.86599999998</v>
      </c>
      <c r="K139" s="7">
        <v>725478.33400000003</v>
      </c>
      <c r="L139" s="7">
        <f>SUM(I139:K139)</f>
        <v>3301592.7879999997</v>
      </c>
      <c r="N139" s="7">
        <f>G139+L139</f>
        <v>4987177.7079999996</v>
      </c>
    </row>
    <row r="140" spans="1:14" s="11" customFormat="1" x14ac:dyDescent="0.2">
      <c r="C140" s="11" t="s">
        <v>23</v>
      </c>
      <c r="D140" s="11">
        <f>(D138/D139)-1</f>
        <v>0.10341719642328795</v>
      </c>
      <c r="E140" s="11">
        <f>(E138/E139)-1</f>
        <v>4.6913559786768921E-2</v>
      </c>
      <c r="F140" s="11">
        <f>(F138/F139)-1</f>
        <v>7.6250983739531986E-2</v>
      </c>
      <c r="G140" s="11">
        <f>(G138/G139)-1</f>
        <v>8.8805115527053724E-2</v>
      </c>
      <c r="I140" s="11">
        <f>(I138/I139)-1</f>
        <v>7.2153828486830163E-2</v>
      </c>
      <c r="J140" s="11">
        <f>(J138/J139)-1</f>
        <v>5.7224741498205001E-2</v>
      </c>
      <c r="K140" s="11">
        <f>(K138/K139)-1</f>
        <v>3.6311276418491856E-2</v>
      </c>
      <c r="L140" s="11">
        <f>(L138/L139)-1</f>
        <v>6.2346645249826471E-2</v>
      </c>
      <c r="N140" s="11">
        <f>(N138/N139)-1</f>
        <v>7.1289177703406814E-2</v>
      </c>
    </row>
    <row r="142" spans="1:14" x14ac:dyDescent="0.2">
      <c r="A142" s="1" t="s">
        <v>16</v>
      </c>
      <c r="C142" s="1" t="s">
        <v>21</v>
      </c>
      <c r="D142" s="7">
        <f>1302141.0590983-916.435857</f>
        <v>1301224.6232413</v>
      </c>
      <c r="E142" s="7">
        <v>392338.05398749956</v>
      </c>
      <c r="F142" s="7">
        <v>82536.07905719991</v>
      </c>
      <c r="G142" s="7">
        <f>SUM(D142:F142)</f>
        <v>1776098.7562859994</v>
      </c>
      <c r="I142" s="7">
        <f>2191124.11914439-20986.576</f>
        <v>2170137.54314439</v>
      </c>
      <c r="J142" s="7">
        <v>373430.26973340032</v>
      </c>
      <c r="K142" s="7">
        <f>89674.2056115+660340.19764906-81.48</f>
        <v>749932.92326056003</v>
      </c>
      <c r="L142" s="7">
        <f>SUM(I142:K142)</f>
        <v>3293500.7361383503</v>
      </c>
      <c r="N142" s="7">
        <f>G142+L142</f>
        <v>5069599.4924243502</v>
      </c>
    </row>
    <row r="143" spans="1:14" x14ac:dyDescent="0.2">
      <c r="C143" s="1" t="s">
        <v>22</v>
      </c>
      <c r="D143" s="7">
        <v>1185253.8640000001</v>
      </c>
      <c r="E143" s="7">
        <v>348521.51299999998</v>
      </c>
      <c r="F143" s="7">
        <v>85082.240999999995</v>
      </c>
      <c r="G143" s="7">
        <f>SUM(D143:F143)</f>
        <v>1618857.618</v>
      </c>
      <c r="I143" s="7">
        <v>2015834.727</v>
      </c>
      <c r="J143" s="7">
        <v>339028.89799999999</v>
      </c>
      <c r="K143" s="7">
        <v>717425.88300000003</v>
      </c>
      <c r="L143" s="7">
        <f>SUM(I143:K143)</f>
        <v>3072289.5079999999</v>
      </c>
      <c r="N143" s="7">
        <f>G143+L143</f>
        <v>4691147.1260000002</v>
      </c>
    </row>
    <row r="144" spans="1:14" s="11" customFormat="1" x14ac:dyDescent="0.2">
      <c r="C144" s="11" t="s">
        <v>23</v>
      </c>
      <c r="D144" s="11">
        <f>(D142/D143)-1</f>
        <v>9.7844658232052684E-2</v>
      </c>
      <c r="E144" s="11">
        <f>(E142/E143)-1</f>
        <v>0.12572119468418452</v>
      </c>
      <c r="F144" s="11">
        <f>(F142/F143)-1</f>
        <v>-2.9925891853272657E-2</v>
      </c>
      <c r="G144" s="11">
        <f>(G142/G143)-1</f>
        <v>9.7130925251018185E-2</v>
      </c>
      <c r="I144" s="11">
        <f>(I142/I143)-1</f>
        <v>7.6545370549313985E-2</v>
      </c>
      <c r="J144" s="11">
        <f>(J142/J143)-1</f>
        <v>0.10147032284368973</v>
      </c>
      <c r="K144" s="11">
        <f>(K142/K143)-1</f>
        <v>4.5310660001041558E-2</v>
      </c>
      <c r="L144" s="11">
        <f>(L142/L143)-1</f>
        <v>7.2002077786723406E-2</v>
      </c>
      <c r="N144" s="11">
        <f>(N142/N143)-1</f>
        <v>8.0673736350504344E-2</v>
      </c>
    </row>
    <row r="146" spans="1:14" x14ac:dyDescent="0.2">
      <c r="A146" s="1" t="s">
        <v>17</v>
      </c>
      <c r="C146" s="1" t="s">
        <v>21</v>
      </c>
      <c r="D146" s="7">
        <f>1197335.5619001-915.19506</f>
        <v>1196420.3668400999</v>
      </c>
      <c r="E146" s="7">
        <v>360833.69025609957</v>
      </c>
      <c r="F146" s="7">
        <v>70077.873257400002</v>
      </c>
      <c r="G146" s="7">
        <f>SUM(D146:F146)</f>
        <v>1627331.9303535996</v>
      </c>
      <c r="I146" s="7">
        <f>1817284.14987229-16797.92</f>
        <v>1800486.22987229</v>
      </c>
      <c r="J146" s="7">
        <v>286305.63561409991</v>
      </c>
      <c r="K146" s="7">
        <f>87149.4030580001+598622.956277124-75.48</f>
        <v>685696.87933512416</v>
      </c>
      <c r="L146" s="7">
        <f>SUM(I146:K146)</f>
        <v>2772488.744821514</v>
      </c>
      <c r="N146" s="7">
        <f>G146+L146</f>
        <v>4399820.6751751136</v>
      </c>
    </row>
    <row r="147" spans="1:14" x14ac:dyDescent="0.2">
      <c r="C147" s="1" t="s">
        <v>22</v>
      </c>
      <c r="D147" s="7">
        <v>1095773.7309999999</v>
      </c>
      <c r="E147" s="7">
        <v>301139.20000000001</v>
      </c>
      <c r="F147" s="7">
        <v>58109.889000000003</v>
      </c>
      <c r="G147" s="7">
        <f>SUM(D147:F147)</f>
        <v>1455022.8199999998</v>
      </c>
      <c r="I147" s="7">
        <v>1633105.175</v>
      </c>
      <c r="J147" s="7">
        <v>311724.55499999999</v>
      </c>
      <c r="K147" s="7">
        <v>625719.0290000001</v>
      </c>
      <c r="L147" s="7">
        <f>SUM(I147:K147)</f>
        <v>2570548.7590000001</v>
      </c>
      <c r="N147" s="7">
        <f>G147+L147</f>
        <v>4025571.5789999999</v>
      </c>
    </row>
    <row r="148" spans="1:14" s="11" customFormat="1" x14ac:dyDescent="0.2">
      <c r="C148" s="11" t="s">
        <v>23</v>
      </c>
      <c r="D148" s="11">
        <f>(D146/D147)-1</f>
        <v>9.1849834498450855E-2</v>
      </c>
      <c r="E148" s="11">
        <f>(E146/E147)-1</f>
        <v>0.19822889300396485</v>
      </c>
      <c r="F148" s="11">
        <f>(F146/F147)-1</f>
        <v>0.20595434724371953</v>
      </c>
      <c r="G148" s="11">
        <f>(G146/G147)-1</f>
        <v>0.11842364805907302</v>
      </c>
      <c r="I148" s="11">
        <f>(I146/I147)-1</f>
        <v>0.10249251391435332</v>
      </c>
      <c r="J148" s="11">
        <f>(J146/J147)-1</f>
        <v>-8.1542884505521496E-2</v>
      </c>
      <c r="K148" s="11">
        <f>(K146/K147)-1</f>
        <v>9.5854285318728971E-2</v>
      </c>
      <c r="L148" s="11">
        <f>(L146/L147)-1</f>
        <v>7.855909564620478E-2</v>
      </c>
      <c r="N148" s="11">
        <f>(N146/N147)-1</f>
        <v>9.296793978957929E-2</v>
      </c>
    </row>
    <row r="150" spans="1:14" x14ac:dyDescent="0.2">
      <c r="A150" s="1" t="s">
        <v>18</v>
      </c>
      <c r="C150" s="1" t="s">
        <v>21</v>
      </c>
      <c r="D150" s="7">
        <f>1233242.146872-918.357881</f>
        <v>1232323.788991</v>
      </c>
      <c r="E150" s="7">
        <v>375092.26105749968</v>
      </c>
      <c r="F150" s="7">
        <v>74519.716020200096</v>
      </c>
      <c r="G150" s="7">
        <f>SUM(D150:F150)</f>
        <v>1681935.7660687</v>
      </c>
      <c r="I150" s="7">
        <f>1759336.33126171-15461.238</f>
        <v>1743875.0932617101</v>
      </c>
      <c r="J150" s="7">
        <v>258105.90314059993</v>
      </c>
      <c r="K150" s="7">
        <f>670286.245771541+89501.1121512-68.52</f>
        <v>759718.83792274096</v>
      </c>
      <c r="L150" s="7">
        <f>SUM(I150:K150)</f>
        <v>2761699.8343250509</v>
      </c>
      <c r="N150" s="7">
        <f>G150+L150</f>
        <v>4443635.6003937507</v>
      </c>
    </row>
    <row r="151" spans="1:14" x14ac:dyDescent="0.2">
      <c r="C151" s="1" t="s">
        <v>22</v>
      </c>
      <c r="D151" s="7">
        <v>1109274.6229999999</v>
      </c>
      <c r="E151" s="7">
        <v>349398.913</v>
      </c>
      <c r="F151" s="7">
        <v>64276.377999999997</v>
      </c>
      <c r="G151" s="7">
        <f>SUM(D151:F151)</f>
        <v>1522949.9139999999</v>
      </c>
      <c r="I151" s="7">
        <v>1627911.62</v>
      </c>
      <c r="J151" s="7">
        <v>223278.209</v>
      </c>
      <c r="K151" s="7">
        <v>717642.31599999999</v>
      </c>
      <c r="L151" s="7">
        <f>SUM(I151:K151)</f>
        <v>2568832.145</v>
      </c>
      <c r="N151" s="7">
        <f>G151+L151</f>
        <v>4091782.0589999999</v>
      </c>
    </row>
    <row r="152" spans="1:14" s="11" customFormat="1" x14ac:dyDescent="0.2">
      <c r="C152" s="11" t="s">
        <v>23</v>
      </c>
      <c r="D152" s="11">
        <f>(D150/D151)-1</f>
        <v>0.11092759488017245</v>
      </c>
      <c r="E152" s="11">
        <f>(E150/E151)-1</f>
        <v>7.3535855726888588E-2</v>
      </c>
      <c r="F152" s="11">
        <f>(F150/F151)-1</f>
        <v>0.15936395825228522</v>
      </c>
      <c r="G152" s="11">
        <f>(G150/G151)-1</f>
        <v>0.10439335568897778</v>
      </c>
      <c r="I152" s="11">
        <f>(I150/I151)-1</f>
        <v>7.1234501822470042E-2</v>
      </c>
      <c r="J152" s="11">
        <f>(J150/J151)-1</f>
        <v>0.15598339979787235</v>
      </c>
      <c r="K152" s="11">
        <f>(K150/K151)-1</f>
        <v>5.8631606560308969E-2</v>
      </c>
      <c r="L152" s="11">
        <f>(L150/L151)-1</f>
        <v>7.5079911196397342E-2</v>
      </c>
      <c r="N152" s="11">
        <f>(N150/N151)-1</f>
        <v>8.5990293793834383E-2</v>
      </c>
    </row>
    <row r="154" spans="1:14" x14ac:dyDescent="0.2">
      <c r="A154" s="1" t="s">
        <v>19</v>
      </c>
      <c r="C154" s="1" t="s">
        <v>21</v>
      </c>
      <c r="D154" s="7">
        <f>1324952.326838-917.70696</f>
        <v>1324034.6198779999</v>
      </c>
      <c r="E154" s="7">
        <v>403362.26972120034</v>
      </c>
      <c r="F154" s="7">
        <v>79344.251174899982</v>
      </c>
      <c r="G154" s="7">
        <f>SUM(D154:F154)</f>
        <v>1806741.1407741003</v>
      </c>
      <c r="I154" s="7">
        <f>1878664.64037192-15218.145</f>
        <v>1863446.4953719201</v>
      </c>
      <c r="J154" s="7">
        <v>237261.47704909989</v>
      </c>
      <c r="K154" s="7">
        <f>653763.400372332+87542.1120333999-89.16</f>
        <v>741216.3524057318</v>
      </c>
      <c r="L154" s="7">
        <f>SUM(I154:K154)</f>
        <v>2841924.3248267518</v>
      </c>
      <c r="N154" s="7">
        <f>G154+L154</f>
        <v>4648665.4656008519</v>
      </c>
    </row>
    <row r="155" spans="1:14" x14ac:dyDescent="0.2">
      <c r="C155" s="1" t="s">
        <v>22</v>
      </c>
      <c r="D155" s="7">
        <v>1168059.3810000001</v>
      </c>
      <c r="E155" s="7">
        <v>374115.10800000001</v>
      </c>
      <c r="F155" s="7">
        <v>62750.050999999999</v>
      </c>
      <c r="G155" s="7">
        <f>SUM(D155:F155)</f>
        <v>1604924.54</v>
      </c>
      <c r="I155" s="7">
        <v>1690824.4790000001</v>
      </c>
      <c r="J155" s="7">
        <v>244018.83600000001</v>
      </c>
      <c r="K155" s="7">
        <v>710951.92299999995</v>
      </c>
      <c r="L155" s="7">
        <f>SUM(I155:K155)</f>
        <v>2645795.2379999999</v>
      </c>
      <c r="N155" s="7">
        <f>G155+L155</f>
        <v>4250719.7779999999</v>
      </c>
    </row>
    <row r="156" spans="1:14" s="11" customFormat="1" x14ac:dyDescent="0.2">
      <c r="C156" s="11" t="s">
        <v>23</v>
      </c>
      <c r="D156" s="11">
        <f>(D154/D155)-1</f>
        <v>0.13353365540754125</v>
      </c>
      <c r="E156" s="11">
        <f>(E154/E155)-1</f>
        <v>7.8176906240312372E-2</v>
      </c>
      <c r="F156" s="11">
        <f>(F154/F155)-1</f>
        <v>0.26444919024687308</v>
      </c>
      <c r="G156" s="11">
        <f>(G154/G155)-1</f>
        <v>0.12574834251964284</v>
      </c>
      <c r="I156" s="11">
        <f>(I154/I155)-1</f>
        <v>0.1020933979344878</v>
      </c>
      <c r="J156" s="11">
        <f>(J154/J155)-1</f>
        <v>-2.7691956332830503E-2</v>
      </c>
      <c r="K156" s="11">
        <f>(K154/K155)-1</f>
        <v>4.2568883248849332E-2</v>
      </c>
      <c r="L156" s="11">
        <f>(L154/L155)-1</f>
        <v>7.4128596200440988E-2</v>
      </c>
      <c r="N156" s="11">
        <f>(N154/N155)-1</f>
        <v>9.3618424263217204E-2</v>
      </c>
    </row>
    <row r="158" spans="1:14" x14ac:dyDescent="0.2">
      <c r="A158" s="1" t="s">
        <v>20</v>
      </c>
      <c r="C158" s="1" t="s">
        <v>21</v>
      </c>
      <c r="D158" s="7">
        <f>1477569.647483-922.961295</f>
        <v>1476646.686188</v>
      </c>
      <c r="E158" s="7">
        <v>465709.7524509005</v>
      </c>
      <c r="F158" s="7">
        <v>90290.793495999955</v>
      </c>
      <c r="G158" s="7">
        <f>SUM(D158:F158)</f>
        <v>2032647.2321349003</v>
      </c>
      <c r="I158" s="7">
        <f>2091210.78811427-16874.744</f>
        <v>2074336.04411427</v>
      </c>
      <c r="J158" s="7">
        <v>296754.70140980021</v>
      </c>
      <c r="K158" s="7">
        <f>707915.16890404+101395.6111883-103.44</f>
        <v>809207.34009234002</v>
      </c>
      <c r="L158" s="7">
        <f>SUM(I158:K158)</f>
        <v>3180298.0856164102</v>
      </c>
      <c r="N158" s="7">
        <f>G158+L158</f>
        <v>5212945.3177513108</v>
      </c>
    </row>
    <row r="159" spans="1:14" x14ac:dyDescent="0.2">
      <c r="C159" s="1" t="s">
        <v>22</v>
      </c>
      <c r="D159" s="7">
        <v>1305951.75</v>
      </c>
      <c r="E159" s="7">
        <v>416439.91899999999</v>
      </c>
      <c r="F159" s="7">
        <v>72294.285000000003</v>
      </c>
      <c r="G159" s="7">
        <f>SUM(D159:F159)</f>
        <v>1794685.9539999999</v>
      </c>
      <c r="I159" s="7">
        <v>2039497.45</v>
      </c>
      <c r="J159" s="7">
        <v>210393.95199999999</v>
      </c>
      <c r="K159" s="7">
        <v>770703.45700000005</v>
      </c>
      <c r="L159" s="7">
        <f>SUM(I159:K159)</f>
        <v>3020594.8589999997</v>
      </c>
      <c r="N159" s="7">
        <f>G159+L159</f>
        <v>4815280.8129999992</v>
      </c>
    </row>
    <row r="160" spans="1:14" s="11" customFormat="1" x14ac:dyDescent="0.2">
      <c r="C160" s="11" t="s">
        <v>23</v>
      </c>
      <c r="D160" s="11">
        <f>(D158/D159)-1</f>
        <v>0.13070539259049974</v>
      </c>
      <c r="E160" s="11">
        <f>(E158/E159)-1</f>
        <v>0.11831198500185214</v>
      </c>
      <c r="F160" s="11">
        <f>(F158/F159)-1</f>
        <v>0.24893404085813908</v>
      </c>
      <c r="G160" s="11">
        <f>(G158/G159)-1</f>
        <v>0.13259215496980503</v>
      </c>
      <c r="I160" s="11">
        <f>(I158/I159)-1</f>
        <v>1.7081950317844319E-2</v>
      </c>
      <c r="J160" s="11">
        <f>(J158/J159)-1</f>
        <v>0.41047163470649672</v>
      </c>
      <c r="K160" s="11">
        <f>(K158/K159)-1</f>
        <v>4.9959401041508533E-2</v>
      </c>
      <c r="L160" s="11">
        <f>(L158/L159)-1</f>
        <v>5.2871448860666526E-2</v>
      </c>
      <c r="N160" s="11">
        <f>(N158/N159)-1</f>
        <v>8.2583865862551953E-2</v>
      </c>
    </row>
    <row r="162" spans="1:14" x14ac:dyDescent="0.2">
      <c r="A162" s="1" t="s">
        <v>45</v>
      </c>
      <c r="C162" s="1" t="s">
        <v>21</v>
      </c>
      <c r="D162" s="7">
        <f t="shared" ref="D162:G163" si="31">D114+D118+D122+D126+D130+D134+D138+D142+D146+D150+D154+D158</f>
        <v>15377465.287940148</v>
      </c>
      <c r="E162" s="7">
        <f t="shared" si="31"/>
        <v>4637218.3075148985</v>
      </c>
      <c r="F162" s="7">
        <f t="shared" si="31"/>
        <v>991346.26152249984</v>
      </c>
      <c r="G162" s="7">
        <f t="shared" si="31"/>
        <v>21006029.856977548</v>
      </c>
      <c r="I162" s="7">
        <f t="shared" ref="I162:L163" si="32">I114+I118+I122+I126+I130+I134+I138+I142+I146+I150+I154+I158</f>
        <v>22754110.797839351</v>
      </c>
      <c r="J162" s="7">
        <f t="shared" si="32"/>
        <v>3677995.1437772997</v>
      </c>
      <c r="K162" s="7">
        <f t="shared" si="32"/>
        <v>8817367.4289937299</v>
      </c>
      <c r="L162" s="7">
        <f t="shared" si="32"/>
        <v>35249473.370610386</v>
      </c>
      <c r="N162" s="7">
        <f>N114+N118+N122+N126+N130+N134+N138+N142+N146+N150+N154+N158</f>
        <v>56255503.227587931</v>
      </c>
    </row>
    <row r="163" spans="1:14" x14ac:dyDescent="0.2">
      <c r="C163" s="1" t="s">
        <v>22</v>
      </c>
      <c r="D163" s="7">
        <f t="shared" si="31"/>
        <v>13912003.487</v>
      </c>
      <c r="E163" s="7">
        <f t="shared" si="31"/>
        <v>4166044.9740000004</v>
      </c>
      <c r="F163" s="7">
        <f t="shared" si="31"/>
        <v>851205.03800000006</v>
      </c>
      <c r="G163" s="7">
        <f t="shared" si="31"/>
        <v>18929253.498999998</v>
      </c>
      <c r="I163" s="7">
        <f t="shared" si="32"/>
        <v>21227143.886999998</v>
      </c>
      <c r="J163" s="7">
        <f t="shared" si="32"/>
        <v>3331579.0430000001</v>
      </c>
      <c r="K163" s="7">
        <f t="shared" si="32"/>
        <v>8309359.6600000001</v>
      </c>
      <c r="L163" s="7">
        <f t="shared" si="32"/>
        <v>32868082.59</v>
      </c>
      <c r="N163" s="7">
        <f>N115+N119+N123+N127+N131+N135+N139+N143+N147+N151+N155+N159</f>
        <v>51797336.088999994</v>
      </c>
    </row>
    <row r="164" spans="1:14" x14ac:dyDescent="0.2">
      <c r="C164" s="1" t="s">
        <v>23</v>
      </c>
      <c r="D164" s="11">
        <f>(D162/D163)-1</f>
        <v>0.10533794088748905</v>
      </c>
      <c r="E164" s="11">
        <f>(E162/E163)-1</f>
        <v>0.11309847504178627</v>
      </c>
      <c r="F164" s="11">
        <f>(F162/F163)-1</f>
        <v>0.1646386208565882</v>
      </c>
      <c r="G164" s="11">
        <f>(G162/G163)-1</f>
        <v>0.10971253346505527</v>
      </c>
      <c r="I164" s="11">
        <f>(I162/I163)-1</f>
        <v>7.1934637978993576E-2</v>
      </c>
      <c r="J164" s="11">
        <f>(J162/J163)-1</f>
        <v>0.10397955333077169</v>
      </c>
      <c r="K164" s="11">
        <f>(K162/K163)-1</f>
        <v>6.1136813157721681E-2</v>
      </c>
      <c r="L164" s="11">
        <f>(L162/L163)-1</f>
        <v>7.2452987608559782E-2</v>
      </c>
      <c r="N164" s="11">
        <f>(N162/N163)-1</f>
        <v>8.6069428955337646E-2</v>
      </c>
    </row>
    <row r="166" spans="1:14" x14ac:dyDescent="0.2">
      <c r="D166" s="19" t="s">
        <v>7</v>
      </c>
      <c r="E166" s="19"/>
      <c r="F166" s="19"/>
      <c r="G166" s="19"/>
      <c r="H166" s="10"/>
      <c r="I166" s="19" t="s">
        <v>8</v>
      </c>
      <c r="J166" s="19"/>
      <c r="K166" s="19"/>
      <c r="L166" s="19"/>
      <c r="N166" s="6" t="s">
        <v>24</v>
      </c>
    </row>
    <row r="167" spans="1:14" x14ac:dyDescent="0.2">
      <c r="D167" s="10" t="s">
        <v>0</v>
      </c>
      <c r="E167" s="10" t="s">
        <v>1</v>
      </c>
      <c r="F167" s="10" t="s">
        <v>2</v>
      </c>
      <c r="G167" s="10" t="s">
        <v>24</v>
      </c>
      <c r="H167" s="10"/>
      <c r="I167" s="10" t="s">
        <v>3</v>
      </c>
      <c r="J167" s="10" t="s">
        <v>4</v>
      </c>
      <c r="K167" s="10" t="s">
        <v>25</v>
      </c>
      <c r="L167" s="10" t="s">
        <v>24</v>
      </c>
      <c r="N167" s="10" t="s">
        <v>49</v>
      </c>
    </row>
    <row r="168" spans="1:14" x14ac:dyDescent="0.2">
      <c r="A168" s="1">
        <v>2005</v>
      </c>
    </row>
    <row r="169" spans="1:14" x14ac:dyDescent="0.2">
      <c r="A169" s="1" t="s">
        <v>9</v>
      </c>
      <c r="C169" s="1" t="s">
        <v>21</v>
      </c>
      <c r="D169" s="7">
        <f>1368206.5942479-921.961</f>
        <v>1367284.6332479001</v>
      </c>
      <c r="E169" s="7">
        <v>442586.23097129987</v>
      </c>
      <c r="F169" s="7">
        <v>88372.842168300063</v>
      </c>
      <c r="G169" s="7">
        <f>SUM(D169:F169)</f>
        <v>1898243.7063874998</v>
      </c>
      <c r="I169" s="7">
        <f>1887851.23738044-15485.9</f>
        <v>1872365.3373804402</v>
      </c>
      <c r="J169" s="7">
        <v>282026.16632760008</v>
      </c>
      <c r="K169" s="7">
        <f>640434.261642797+101389.8336632-113.088</f>
        <v>741711.00730599707</v>
      </c>
      <c r="L169" s="7">
        <f>SUM(I169:K169)</f>
        <v>2896102.5110140373</v>
      </c>
      <c r="N169" s="7">
        <f>G169+L169</f>
        <v>4794346.2174015371</v>
      </c>
    </row>
    <row r="170" spans="1:14" x14ac:dyDescent="0.2">
      <c r="C170" s="1" t="s">
        <v>22</v>
      </c>
      <c r="D170" s="7">
        <v>1212115.5279999999</v>
      </c>
      <c r="E170" s="7">
        <v>429297.875</v>
      </c>
      <c r="F170" s="7">
        <v>65103.697999999997</v>
      </c>
      <c r="G170" s="7">
        <f>SUM(D170:F170)</f>
        <v>1706517.101</v>
      </c>
      <c r="I170" s="7">
        <v>1740928.2390000001</v>
      </c>
      <c r="J170" s="7">
        <v>270041.71000000002</v>
      </c>
      <c r="K170" s="7">
        <v>724584.755</v>
      </c>
      <c r="L170" s="7">
        <f>SUM(I170:K170)</f>
        <v>2735554.7039999999</v>
      </c>
      <c r="N170" s="7">
        <f>G170+L170</f>
        <v>4442071.8049999997</v>
      </c>
    </row>
    <row r="171" spans="1:14" s="11" customFormat="1" x14ac:dyDescent="0.2">
      <c r="C171" s="11" t="s">
        <v>23</v>
      </c>
      <c r="D171" s="11">
        <f>(D169/D170)-1</f>
        <v>0.12801511214358441</v>
      </c>
      <c r="E171" s="11">
        <f>(E169/E170)-1</f>
        <v>3.0953696128358077E-2</v>
      </c>
      <c r="F171" s="11">
        <f>(F169/F170)-1</f>
        <v>0.35741662736731272</v>
      </c>
      <c r="G171" s="11">
        <f>(G169/G170)-1</f>
        <v>0.1123496537334141</v>
      </c>
      <c r="I171" s="11">
        <f>(I169/I170)-1</f>
        <v>7.5498286164821238E-2</v>
      </c>
      <c r="J171" s="11">
        <f>(J169/J170)-1</f>
        <v>4.4380019396263126E-2</v>
      </c>
      <c r="K171" s="11">
        <f>(K169/K170)-1</f>
        <v>2.3635954507484902E-2</v>
      </c>
      <c r="L171" s="11">
        <f>(L169/L170)-1</f>
        <v>5.8689305967553951E-2</v>
      </c>
      <c r="N171" s="11">
        <f>(N169/N170)-1</f>
        <v>7.930407878706891E-2</v>
      </c>
    </row>
    <row r="173" spans="1:14" x14ac:dyDescent="0.2">
      <c r="A173" s="1" t="s">
        <v>10</v>
      </c>
      <c r="C173" s="1" t="s">
        <v>21</v>
      </c>
      <c r="D173" s="7">
        <f>1172982.8992943-924</f>
        <v>1172058.8992943</v>
      </c>
      <c r="E173" s="7">
        <v>368360.87133830012</v>
      </c>
      <c r="F173" s="7">
        <v>69599.847748699947</v>
      </c>
      <c r="G173" s="7">
        <f>SUM(D173:F173)</f>
        <v>1610019.6183813</v>
      </c>
      <c r="I173" s="7">
        <f>1686613.55022222-13456.885</f>
        <v>1673156.6652222199</v>
      </c>
      <c r="J173" s="7">
        <v>251888.55461779973</v>
      </c>
      <c r="K173" s="7">
        <f>593580.463178925+91685.4380731-94.08</f>
        <v>685171.82125202508</v>
      </c>
      <c r="L173" s="7">
        <f>SUM(I173:K173)</f>
        <v>2610217.0410920447</v>
      </c>
      <c r="N173" s="7">
        <f>G173+L173</f>
        <v>4220236.6594733447</v>
      </c>
    </row>
    <row r="174" spans="1:14" x14ac:dyDescent="0.2">
      <c r="C174" s="1" t="s">
        <v>22</v>
      </c>
      <c r="D174" s="7">
        <v>1094890.5689999999</v>
      </c>
      <c r="E174" s="7">
        <v>297323.57199999999</v>
      </c>
      <c r="F174" s="7">
        <v>68887.351999999999</v>
      </c>
      <c r="G174" s="7">
        <f>SUM(D174:F174)</f>
        <v>1461101.4929999998</v>
      </c>
      <c r="I174" s="7">
        <v>1621550.1470000001</v>
      </c>
      <c r="J174" s="7">
        <v>246426.03</v>
      </c>
      <c r="K174" s="7">
        <v>594868.80000000005</v>
      </c>
      <c r="L174" s="7">
        <f>SUM(I174:K174)</f>
        <v>2462844.977</v>
      </c>
      <c r="N174" s="7">
        <f>G174+L174</f>
        <v>3923946.4699999997</v>
      </c>
    </row>
    <row r="175" spans="1:14" s="11" customFormat="1" x14ac:dyDescent="0.2">
      <c r="C175" s="11" t="s">
        <v>23</v>
      </c>
      <c r="D175" s="11">
        <f>(D173/D174)-1</f>
        <v>7.0480404598589619E-2</v>
      </c>
      <c r="E175" s="11">
        <f>(E173/E174)-1</f>
        <v>0.23892252760336175</v>
      </c>
      <c r="F175" s="11">
        <f>(F173/F174)-1</f>
        <v>1.0342910970071006E-2</v>
      </c>
      <c r="G175" s="11">
        <f>(G173/G174)-1</f>
        <v>0.10192182137569028</v>
      </c>
      <c r="I175" s="11">
        <f>(I173/I174)-1</f>
        <v>3.1825422308212836E-2</v>
      </c>
      <c r="J175" s="11">
        <f>(J173/J174)-1</f>
        <v>2.2166995174169424E-2</v>
      </c>
      <c r="K175" s="11">
        <f>(K173/K174)-1</f>
        <v>0.15180325687281804</v>
      </c>
      <c r="L175" s="11">
        <f>(L173/L174)-1</f>
        <v>5.9838140633422743E-2</v>
      </c>
      <c r="N175" s="11">
        <f>(N173/N174)-1</f>
        <v>7.5508213921517964E-2</v>
      </c>
    </row>
    <row r="177" spans="1:14" x14ac:dyDescent="0.2">
      <c r="A177" s="1" t="s">
        <v>11</v>
      </c>
      <c r="C177" s="1" t="s">
        <v>21</v>
      </c>
      <c r="D177" s="7">
        <f>1195726.5891082-838.214</f>
        <v>1194888.3751082001</v>
      </c>
      <c r="E177" s="7">
        <v>360237.14354339993</v>
      </c>
      <c r="F177" s="7">
        <v>69870.278709599996</v>
      </c>
      <c r="G177" s="7">
        <f>SUM(D177:F177)</f>
        <v>1624995.7973612</v>
      </c>
      <c r="I177" s="7">
        <f>1688564.38572225-14755.221</f>
        <v>1673809.1647222501</v>
      </c>
      <c r="J177" s="7">
        <v>265524.22178639978</v>
      </c>
      <c r="K177" s="7">
        <f>645248.93228355+95583.9833308-84.834</f>
        <v>740748.08161434997</v>
      </c>
      <c r="L177" s="7">
        <f>SUM(I177:K177)</f>
        <v>2680081.4681230001</v>
      </c>
      <c r="N177" s="7">
        <f>G177+L177</f>
        <v>4305077.2654841999</v>
      </c>
    </row>
    <row r="178" spans="1:14" x14ac:dyDescent="0.2">
      <c r="C178" s="1" t="s">
        <v>22</v>
      </c>
      <c r="D178" s="7">
        <v>1083983.662</v>
      </c>
      <c r="E178" s="7">
        <v>366403.91499999998</v>
      </c>
      <c r="F178" s="7">
        <v>61177.381000000001</v>
      </c>
      <c r="G178" s="7">
        <f>SUM(D178:F178)</f>
        <v>1511564.9580000001</v>
      </c>
      <c r="I178" s="7">
        <v>1533308.0589999999</v>
      </c>
      <c r="J178" s="7">
        <v>230950.682</v>
      </c>
      <c r="K178" s="7">
        <v>660676.55700000003</v>
      </c>
      <c r="L178" s="7">
        <f>SUM(I178:K178)</f>
        <v>2424935.298</v>
      </c>
      <c r="N178" s="7">
        <f>G178+L178</f>
        <v>3936500.2560000001</v>
      </c>
    </row>
    <row r="179" spans="1:14" s="11" customFormat="1" x14ac:dyDescent="0.2">
      <c r="C179" s="11" t="s">
        <v>23</v>
      </c>
      <c r="D179" s="11">
        <f>(D177/D178)-1</f>
        <v>0.10231216299291424</v>
      </c>
      <c r="E179" s="11">
        <f>(E177/E178)-1</f>
        <v>-1.6830528288978686E-2</v>
      </c>
      <c r="F179" s="11">
        <f>(F177/F178)-1</f>
        <v>0.14209332873533764</v>
      </c>
      <c r="G179" s="11">
        <f>(G177/G178)-1</f>
        <v>7.5041987948228028E-2</v>
      </c>
      <c r="I179" s="11">
        <f>(I177/I178)-1</f>
        <v>9.1632666310958344E-2</v>
      </c>
      <c r="J179" s="11">
        <f>(J177/J178)-1</f>
        <v>0.14970096423616441</v>
      </c>
      <c r="K179" s="11">
        <f>(K177/K178)-1</f>
        <v>0.12119625521138322</v>
      </c>
      <c r="L179" s="11">
        <f>(L177/L178)-1</f>
        <v>0.10521772285365127</v>
      </c>
      <c r="N179" s="11">
        <f>(N177/N178)-1</f>
        <v>9.3630632672363268E-2</v>
      </c>
    </row>
    <row r="181" spans="1:14" x14ac:dyDescent="0.2">
      <c r="A181" s="1" t="s">
        <v>12</v>
      </c>
      <c r="C181" s="1" t="s">
        <v>21</v>
      </c>
      <c r="D181" s="7">
        <f>1114620.2492172-920.147</f>
        <v>1113700.1022172</v>
      </c>
      <c r="E181" s="7">
        <v>336257.76518009993</v>
      </c>
      <c r="F181" s="7">
        <v>68486.976105900001</v>
      </c>
      <c r="G181" s="7">
        <f>SUM(D181:F181)</f>
        <v>1518444.8435032</v>
      </c>
      <c r="I181" s="7">
        <f>1628442.80324778-14693.374</f>
        <v>1613749.42924778</v>
      </c>
      <c r="J181" s="7">
        <v>224777.58092869993</v>
      </c>
      <c r="K181" s="7">
        <f>606110.76500743+84449.0486999-79.809</f>
        <v>690480.00470733002</v>
      </c>
      <c r="L181" s="7">
        <f>SUM(I181:K181)</f>
        <v>2529007.0148838097</v>
      </c>
      <c r="N181" s="7">
        <f>G181+L181</f>
        <v>4047451.8583870097</v>
      </c>
    </row>
    <row r="182" spans="1:14" x14ac:dyDescent="0.2">
      <c r="C182" s="1" t="s">
        <v>22</v>
      </c>
      <c r="D182" s="7">
        <v>997678.86300000001</v>
      </c>
      <c r="E182" s="7">
        <v>319123</v>
      </c>
      <c r="F182" s="7">
        <v>59254.512000000002</v>
      </c>
      <c r="G182" s="7">
        <f>SUM(D182:F182)</f>
        <v>1376056.375</v>
      </c>
      <c r="I182" s="7">
        <v>1430654.682</v>
      </c>
      <c r="J182" s="7">
        <v>209963.96299999999</v>
      </c>
      <c r="K182" s="7">
        <v>645053.88400000008</v>
      </c>
      <c r="L182" s="7">
        <f>SUM(I182:K182)</f>
        <v>2285672.5290000001</v>
      </c>
      <c r="N182" s="7">
        <f>G182+L182</f>
        <v>3661728.9040000001</v>
      </c>
    </row>
    <row r="183" spans="1:14" s="11" customFormat="1" x14ac:dyDescent="0.2">
      <c r="C183" s="11" t="s">
        <v>23</v>
      </c>
      <c r="D183" s="11">
        <f>(D181/D182)-1</f>
        <v>0.11629116694757524</v>
      </c>
      <c r="E183" s="11">
        <f>(E181/E182)-1</f>
        <v>5.3693294372702427E-2</v>
      </c>
      <c r="F183" s="11">
        <f>(F181/F182)-1</f>
        <v>0.15581031375129717</v>
      </c>
      <c r="G183" s="11">
        <f>(G181/G182)-1</f>
        <v>0.10347575222214278</v>
      </c>
      <c r="I183" s="11">
        <f>(I181/I182)-1</f>
        <v>0.12797969317922386</v>
      </c>
      <c r="J183" s="11">
        <f>(J181/J182)-1</f>
        <v>7.0553145011365226E-2</v>
      </c>
      <c r="K183" s="11">
        <f>(K181/K182)-1</f>
        <v>7.0422210971959665E-2</v>
      </c>
      <c r="L183" s="11">
        <f>(L181/L182)-1</f>
        <v>0.10646078245962487</v>
      </c>
      <c r="N183" s="11">
        <f>(N181/N182)-1</f>
        <v>0.10533902549848895</v>
      </c>
    </row>
    <row r="185" spans="1:14" x14ac:dyDescent="0.2">
      <c r="A185" s="1" t="s">
        <v>13</v>
      </c>
      <c r="C185" s="1" t="s">
        <v>21</v>
      </c>
      <c r="D185" s="7">
        <f>1079502.2250167-916.002</f>
        <v>1078586.2230167</v>
      </c>
      <c r="E185" s="7">
        <v>336753.02678899973</v>
      </c>
      <c r="F185" s="7">
        <v>66493.100822000066</v>
      </c>
      <c r="G185" s="7">
        <f>SUM(D185:F185)</f>
        <v>1481832.3506276999</v>
      </c>
      <c r="I185" s="7">
        <f>1719555.64932079-15679.232</f>
        <v>1703876.41732079</v>
      </c>
      <c r="J185" s="7">
        <v>275274.1157509</v>
      </c>
      <c r="K185" s="7">
        <f>604774.964207369+90559.1392348001-75.144</f>
        <v>695258.95944216917</v>
      </c>
      <c r="L185" s="7">
        <f>SUM(I185:K185)</f>
        <v>2674409.4925138592</v>
      </c>
      <c r="N185" s="7">
        <f>G185+L185</f>
        <v>4156241.843141559</v>
      </c>
    </row>
    <row r="186" spans="1:14" x14ac:dyDescent="0.2">
      <c r="C186" s="1" t="s">
        <v>22</v>
      </c>
      <c r="D186" s="7">
        <v>984499.04</v>
      </c>
      <c r="E186" s="7">
        <v>304524.24200000003</v>
      </c>
      <c r="F186" s="7">
        <v>66167.327999999994</v>
      </c>
      <c r="G186" s="7">
        <f>SUM(D186:F186)</f>
        <v>1355190.61</v>
      </c>
      <c r="I186" s="7">
        <v>1634036.0649999999</v>
      </c>
      <c r="J186" s="7">
        <v>233884.65599999999</v>
      </c>
      <c r="K186" s="7">
        <v>648745.88299999991</v>
      </c>
      <c r="L186" s="7">
        <f>SUM(I186:K186)</f>
        <v>2516666.6039999998</v>
      </c>
      <c r="N186" s="7">
        <f>G186+L186</f>
        <v>3871857.2139999997</v>
      </c>
    </row>
    <row r="187" spans="1:14" s="11" customFormat="1" x14ac:dyDescent="0.2">
      <c r="C187" s="11" t="s">
        <v>23</v>
      </c>
      <c r="D187" s="11">
        <f>(D185/D186)-1</f>
        <v>9.5568587874600652E-2</v>
      </c>
      <c r="E187" s="11">
        <f>(E185/E186)-1</f>
        <v>0.10583323211752615</v>
      </c>
      <c r="F187" s="11">
        <f>(F185/F186)-1</f>
        <v>4.9234695105124793E-3</v>
      </c>
      <c r="G187" s="11">
        <f>(G185/G186)-1</f>
        <v>9.3449393534168479E-2</v>
      </c>
      <c r="I187" s="11">
        <f>(I185/I186)-1</f>
        <v>4.2741010322064232E-2</v>
      </c>
      <c r="J187" s="11">
        <f>(J185/J186)-1</f>
        <v>0.17696526338564089</v>
      </c>
      <c r="K187" s="11">
        <f>(K185/K186)-1</f>
        <v>7.1696911935808405E-2</v>
      </c>
      <c r="L187" s="11">
        <f>(L185/L186)-1</f>
        <v>6.2679295009971492E-2</v>
      </c>
      <c r="N187" s="11">
        <f>(N185/N186)-1</f>
        <v>7.3449152027939224E-2</v>
      </c>
    </row>
    <row r="189" spans="1:14" x14ac:dyDescent="0.2">
      <c r="A189" s="1" t="s">
        <v>14</v>
      </c>
      <c r="C189" s="1" t="s">
        <v>21</v>
      </c>
      <c r="D189" s="7">
        <f>1110676.8072168-921.739</f>
        <v>1109755.0682168</v>
      </c>
      <c r="E189" s="7">
        <v>351784.09680800018</v>
      </c>
      <c r="F189" s="7">
        <v>75396.154196800024</v>
      </c>
      <c r="G189" s="7">
        <f>SUM(D189:F189)</f>
        <v>1536935.3192216002</v>
      </c>
      <c r="I189" s="7">
        <f>1785756.75951225-16741.774</f>
        <v>1769014.9855122501</v>
      </c>
      <c r="J189" s="7">
        <v>335368.3375231002</v>
      </c>
      <c r="K189" s="7">
        <f>612418.776627101+87528.1743833001-71.28</f>
        <v>699875.6710104011</v>
      </c>
      <c r="L189" s="7">
        <f>SUM(I189:K189)</f>
        <v>2804258.9940457512</v>
      </c>
      <c r="N189" s="7">
        <f>G189+L189</f>
        <v>4341194.3132673511</v>
      </c>
    </row>
    <row r="190" spans="1:14" x14ac:dyDescent="0.2">
      <c r="C190" s="1" t="s">
        <v>22</v>
      </c>
      <c r="D190" s="7">
        <v>1000163.84</v>
      </c>
      <c r="E190" s="7">
        <v>339153.68599999999</v>
      </c>
      <c r="F190" s="7">
        <v>65627.906000000003</v>
      </c>
      <c r="G190" s="7">
        <f>SUM(D190:F190)</f>
        <v>1404945.432</v>
      </c>
      <c r="I190" s="7">
        <v>1616281.1029999999</v>
      </c>
      <c r="J190" s="7">
        <v>312632.44799999997</v>
      </c>
      <c r="K190" s="7">
        <v>664767.69200000004</v>
      </c>
      <c r="L190" s="7">
        <f>SUM(I190:K190)</f>
        <v>2593681.2429999998</v>
      </c>
      <c r="N190" s="7">
        <f>G190+L190</f>
        <v>3998626.6749999998</v>
      </c>
    </row>
    <row r="191" spans="1:14" s="11" customFormat="1" x14ac:dyDescent="0.2">
      <c r="C191" s="11" t="s">
        <v>23</v>
      </c>
      <c r="D191" s="11">
        <f>(D189/D190)-1</f>
        <v>0.10957327573130415</v>
      </c>
      <c r="E191" s="11">
        <f>(E189/E190)-1</f>
        <v>3.7240965760873879E-2</v>
      </c>
      <c r="F191" s="11">
        <f>(F189/F190)-1</f>
        <v>0.14884290528483457</v>
      </c>
      <c r="G191" s="11">
        <f>(G189/G190)-1</f>
        <v>9.3946628968861079E-2</v>
      </c>
      <c r="I191" s="11">
        <f>(I189/I190)-1</f>
        <v>9.4497103399129534E-2</v>
      </c>
      <c r="J191" s="11">
        <f>(J189/J190)-1</f>
        <v>7.2724023589196385E-2</v>
      </c>
      <c r="K191" s="11">
        <f>(K189/K190)-1</f>
        <v>5.281240263764353E-2</v>
      </c>
      <c r="L191" s="11">
        <f>(L189/L190)-1</f>
        <v>8.118875502302858E-2</v>
      </c>
      <c r="N191" s="11">
        <f>(N189/N190)-1</f>
        <v>8.5671323209324468E-2</v>
      </c>
    </row>
    <row r="193" spans="1:14" x14ac:dyDescent="0.2">
      <c r="A193" s="1" t="s">
        <v>15</v>
      </c>
      <c r="C193" s="1" t="s">
        <v>21</v>
      </c>
      <c r="D193" s="7">
        <f>1240979.5038222-918.976</f>
        <v>1240060.5278222</v>
      </c>
      <c r="E193" s="7">
        <v>397101.35070279997</v>
      </c>
      <c r="F193" s="7">
        <v>97510.740552300078</v>
      </c>
      <c r="G193" s="7">
        <f>SUM(D193:F193)</f>
        <v>1734672.6190773002</v>
      </c>
      <c r="I193" s="7">
        <f>2191104.45952141-21334.743</f>
        <v>2169769.7165214103</v>
      </c>
      <c r="J193" s="7">
        <v>469576.52463230013</v>
      </c>
      <c r="K193" s="7">
        <f>648253.832199705+92497.226048-61.752</f>
        <v>740689.30624770501</v>
      </c>
      <c r="L193" s="7">
        <f>SUM(I193:K193)</f>
        <v>3380035.5474014156</v>
      </c>
      <c r="N193" s="7">
        <f>G193+L193</f>
        <v>5114708.1664787158</v>
      </c>
    </row>
    <row r="194" spans="1:14" x14ac:dyDescent="0.2">
      <c r="C194" s="1" t="s">
        <v>22</v>
      </c>
      <c r="D194" s="7">
        <v>1160933.2830000001</v>
      </c>
      <c r="E194" s="7">
        <v>365273.16899999999</v>
      </c>
      <c r="F194" s="7">
        <v>95912.817999999999</v>
      </c>
      <c r="G194" s="7">
        <f>SUM(D194:F194)</f>
        <v>1622119.27</v>
      </c>
      <c r="I194" s="7">
        <v>2095203.0930000001</v>
      </c>
      <c r="J194" s="7">
        <v>370898.24</v>
      </c>
      <c r="K194" s="7">
        <v>655715.20899999992</v>
      </c>
      <c r="L194" s="7">
        <f>SUM(I194:K194)</f>
        <v>3121816.5419999999</v>
      </c>
      <c r="N194" s="7">
        <f>G194+L194</f>
        <v>4743935.8119999999</v>
      </c>
    </row>
    <row r="195" spans="1:14" s="11" customFormat="1" x14ac:dyDescent="0.2">
      <c r="C195" s="11" t="s">
        <v>23</v>
      </c>
      <c r="D195" s="11">
        <f>(D193/D194)-1</f>
        <v>6.8158305030005639E-2</v>
      </c>
      <c r="E195" s="11">
        <f>(E193/E194)-1</f>
        <v>8.7135285052376776E-2</v>
      </c>
      <c r="F195" s="11">
        <f>(F193/F194)-1</f>
        <v>1.6660156438111029E-2</v>
      </c>
      <c r="G195" s="11">
        <f>(G193/G194)-1</f>
        <v>6.938660501659677E-2</v>
      </c>
      <c r="I195" s="11">
        <f>(I193/I194)-1</f>
        <v>3.5589210311179231E-2</v>
      </c>
      <c r="J195" s="11">
        <f>(J193/J194)-1</f>
        <v>0.26605217817237459</v>
      </c>
      <c r="K195" s="11">
        <f>(K193/K194)-1</f>
        <v>0.12958994405100821</v>
      </c>
      <c r="L195" s="11">
        <f>(L193/L194)-1</f>
        <v>8.2714343372652932E-2</v>
      </c>
      <c r="N195" s="11">
        <f>(N193/N194)-1</f>
        <v>7.8157118724252239E-2</v>
      </c>
    </row>
    <row r="197" spans="1:14" x14ac:dyDescent="0.2">
      <c r="A197" s="1" t="s">
        <v>16</v>
      </c>
      <c r="C197" s="1" t="s">
        <v>21</v>
      </c>
      <c r="D197" s="7">
        <f>1266095.8847191-922.058</f>
        <v>1265173.8267191001</v>
      </c>
      <c r="E197" s="7">
        <v>421840.7703965003</v>
      </c>
      <c r="F197" s="7">
        <v>95319.275594099992</v>
      </c>
      <c r="G197" s="7">
        <f>SUM(D197:F197)</f>
        <v>1782333.8727097004</v>
      </c>
      <c r="I197" s="7">
        <f>2099546.29897935-20687.864</f>
        <v>2078858.4349793498</v>
      </c>
      <c r="J197" s="7">
        <v>359597.66596279992</v>
      </c>
      <c r="K197" s="7">
        <f>643347.923530186+90792.7363266-78.864</f>
        <v>734061.79585678596</v>
      </c>
      <c r="L197" s="7">
        <f>SUM(I197:K197)</f>
        <v>3172517.8967989357</v>
      </c>
      <c r="N197" s="7">
        <f>G197+L197</f>
        <v>4954851.7695086356</v>
      </c>
    </row>
    <row r="198" spans="1:14" x14ac:dyDescent="0.2">
      <c r="C198" s="1" t="s">
        <v>22</v>
      </c>
      <c r="D198" s="7">
        <v>1172625.5049999999</v>
      </c>
      <c r="E198" s="7">
        <v>404986.06599999999</v>
      </c>
      <c r="F198" s="7">
        <v>74075.812999999995</v>
      </c>
      <c r="G198" s="7">
        <f>SUM(D198:F198)</f>
        <v>1651687.3840000001</v>
      </c>
      <c r="I198" s="7">
        <v>1917692.108</v>
      </c>
      <c r="J198" s="7">
        <v>349086.75300000003</v>
      </c>
      <c r="K198" s="7">
        <v>696538.18400000001</v>
      </c>
      <c r="L198" s="7">
        <f>SUM(I198:K198)</f>
        <v>2963317.0449999999</v>
      </c>
      <c r="N198" s="7">
        <f>G198+L198</f>
        <v>4615004.4289999995</v>
      </c>
    </row>
    <row r="199" spans="1:14" s="11" customFormat="1" x14ac:dyDescent="0.2">
      <c r="C199" s="11" t="s">
        <v>23</v>
      </c>
      <c r="D199" s="11">
        <f>(D197/D198)-1</f>
        <v>7.8924022481585254E-2</v>
      </c>
      <c r="E199" s="11">
        <f>(E197/E198)-1</f>
        <v>4.1617985929669699E-2</v>
      </c>
      <c r="F199" s="11">
        <f>(F197/F198)-1</f>
        <v>0.28678001271616149</v>
      </c>
      <c r="G199" s="11">
        <f>(G197/G198)-1</f>
        <v>7.9098799188805913E-2</v>
      </c>
      <c r="I199" s="11">
        <f>(I197/I198)-1</f>
        <v>8.404181584051762E-2</v>
      </c>
      <c r="J199" s="11">
        <f>(J197/J198)-1</f>
        <v>3.0109744561976903E-2</v>
      </c>
      <c r="K199" s="11">
        <f>(K197/K198)-1</f>
        <v>5.3871579073095033E-2</v>
      </c>
      <c r="L199" s="11">
        <f>(L197/L198)-1</f>
        <v>7.0596850968720926E-2</v>
      </c>
      <c r="N199" s="11">
        <f>(N197/N198)-1</f>
        <v>7.3639656415730892E-2</v>
      </c>
    </row>
    <row r="201" spans="1:14" x14ac:dyDescent="0.2">
      <c r="A201" s="1" t="s">
        <v>17</v>
      </c>
      <c r="C201" s="1" t="s">
        <v>21</v>
      </c>
      <c r="D201" s="7">
        <f>1097035.8303415-923.21</f>
        <v>1096112.6203415</v>
      </c>
      <c r="E201" s="7">
        <v>372014.09035060013</v>
      </c>
      <c r="F201" s="7">
        <v>77430.545544799999</v>
      </c>
      <c r="G201" s="7">
        <f>SUM(D201:F201)</f>
        <v>1545557.2562369001</v>
      </c>
      <c r="I201" s="7">
        <f>1746874.64484079-16691.137</f>
        <v>1730183.5078407899</v>
      </c>
      <c r="J201" s="7">
        <v>269790.35436109989</v>
      </c>
      <c r="K201" s="7">
        <f>614313.415109619+85956.4449001-69.84</f>
        <v>700200.02000971907</v>
      </c>
      <c r="L201" s="7">
        <f>SUM(I201:K201)</f>
        <v>2700173.8822116088</v>
      </c>
      <c r="N201" s="7">
        <f>G201+L201</f>
        <v>4245731.1384485085</v>
      </c>
    </row>
    <row r="202" spans="1:14" x14ac:dyDescent="0.2">
      <c r="C202" s="1" t="s">
        <v>22</v>
      </c>
      <c r="D202" s="7">
        <v>1048947.83</v>
      </c>
      <c r="E202" s="7">
        <v>297151.69199999998</v>
      </c>
      <c r="F202" s="7">
        <v>68027.584000000003</v>
      </c>
      <c r="G202" s="7">
        <f>SUM(D202:F202)</f>
        <v>1414127.1060000001</v>
      </c>
      <c r="I202" s="7">
        <v>1512616.9709999999</v>
      </c>
      <c r="J202" s="7">
        <v>298620.22899999999</v>
      </c>
      <c r="K202" s="7">
        <v>651931.89500000002</v>
      </c>
      <c r="L202" s="7">
        <f>SUM(I202:K202)</f>
        <v>2463169.0949999997</v>
      </c>
      <c r="N202" s="7">
        <f>G202+L202</f>
        <v>3877296.2009999999</v>
      </c>
    </row>
    <row r="203" spans="1:14" s="11" customFormat="1" x14ac:dyDescent="0.2">
      <c r="C203" s="11" t="s">
        <v>23</v>
      </c>
      <c r="D203" s="11">
        <f>(D201/D202)-1</f>
        <v>4.4963904774463437E-2</v>
      </c>
      <c r="E203" s="11">
        <f>(E201/E202)-1</f>
        <v>0.25193327302541535</v>
      </c>
      <c r="F203" s="11">
        <f>(F201/F202)-1</f>
        <v>0.13822277658427495</v>
      </c>
      <c r="G203" s="11">
        <f>(G201/G202)-1</f>
        <v>9.2940832319283739E-2</v>
      </c>
      <c r="I203" s="11">
        <f>(I201/I202)-1</f>
        <v>0.14383452057724533</v>
      </c>
      <c r="J203" s="11">
        <f>(J201/J202)-1</f>
        <v>-9.654360903627901E-2</v>
      </c>
      <c r="K203" s="11">
        <f>(K201/K202)-1</f>
        <v>7.4038600319929149E-2</v>
      </c>
      <c r="L203" s="11">
        <f>(L201/L202)-1</f>
        <v>9.6219454723066367E-2</v>
      </c>
      <c r="N203" s="11">
        <f>(N201/N202)-1</f>
        <v>9.5023675868117774E-2</v>
      </c>
    </row>
    <row r="205" spans="1:14" x14ac:dyDescent="0.2">
      <c r="A205" s="1" t="s">
        <v>18</v>
      </c>
      <c r="C205" s="1" t="s">
        <v>21</v>
      </c>
      <c r="D205" s="7">
        <f>1130323.0157343-921.059</f>
        <v>1129401.9567343001</v>
      </c>
      <c r="E205" s="7">
        <v>368071.33282069996</v>
      </c>
      <c r="F205" s="7">
        <v>69834.725662299883</v>
      </c>
      <c r="G205" s="7">
        <f>SUM(D205:F205)</f>
        <v>1567308.0152173</v>
      </c>
      <c r="I205" s="7">
        <f>1694042.20079993-15103.109</f>
        <v>1678939.09179993</v>
      </c>
      <c r="J205" s="7">
        <v>260451.84396370011</v>
      </c>
      <c r="K205" s="7">
        <f>649696.79423294+87083.8418856001-67.795</f>
        <v>736712.84111854003</v>
      </c>
      <c r="L205" s="7">
        <f>SUM(I205:K205)</f>
        <v>2676103.7768821702</v>
      </c>
      <c r="N205" s="7">
        <f>G205+L205</f>
        <v>4243411.7920994703</v>
      </c>
    </row>
    <row r="206" spans="1:14" x14ac:dyDescent="0.2">
      <c r="C206" s="1" t="s">
        <v>22</v>
      </c>
      <c r="D206" s="7">
        <v>982522.87199999997</v>
      </c>
      <c r="E206" s="7">
        <v>339478.83899999998</v>
      </c>
      <c r="F206" s="7">
        <v>58422.156999999999</v>
      </c>
      <c r="G206" s="7">
        <f>SUM(D206:F206)</f>
        <v>1380423.8679999998</v>
      </c>
      <c r="I206" s="7">
        <v>1543158.0619999999</v>
      </c>
      <c r="J206" s="7">
        <v>202158.424</v>
      </c>
      <c r="K206" s="7">
        <v>665421.91300000006</v>
      </c>
      <c r="L206" s="7">
        <f>SUM(I206:K206)</f>
        <v>2410738.3990000002</v>
      </c>
      <c r="N206" s="7">
        <f>G206+L206</f>
        <v>3791162.267</v>
      </c>
    </row>
    <row r="207" spans="1:14" s="11" customFormat="1" x14ac:dyDescent="0.2">
      <c r="C207" s="11" t="s">
        <v>23</v>
      </c>
      <c r="D207" s="11">
        <f>(D205/D206)-1</f>
        <v>0.14949177156081528</v>
      </c>
      <c r="E207" s="11">
        <f>(E205/E206)-1</f>
        <v>8.4224671867397349E-2</v>
      </c>
      <c r="F207" s="11">
        <f>(F205/F206)-1</f>
        <v>0.19534658164538299</v>
      </c>
      <c r="G207" s="11">
        <f>(G205/G206)-1</f>
        <v>0.13538171249390496</v>
      </c>
      <c r="I207" s="11">
        <f>(I205/I206)-1</f>
        <v>8.7989061615601383E-2</v>
      </c>
      <c r="J207" s="11">
        <f>(J205/J206)-1</f>
        <v>0.28835513658189238</v>
      </c>
      <c r="K207" s="11">
        <f>(K205/K206)-1</f>
        <v>0.10713642987368832</v>
      </c>
      <c r="L207" s="11">
        <f>(L205/L206)-1</f>
        <v>0.11007638904007444</v>
      </c>
      <c r="N207" s="11">
        <f>(N205/N206)-1</f>
        <v>0.11929046905643048</v>
      </c>
    </row>
    <row r="209" spans="1:14" x14ac:dyDescent="0.2">
      <c r="A209" s="1" t="s">
        <v>19</v>
      </c>
      <c r="C209" s="1" t="s">
        <v>21</v>
      </c>
      <c r="D209" s="7">
        <f>1287010.193178-925.888</f>
        <v>1286084.3051779999</v>
      </c>
      <c r="E209" s="7">
        <v>409723.40129570023</v>
      </c>
      <c r="F209" s="7">
        <v>76257.846508100076</v>
      </c>
      <c r="G209" s="7">
        <f>SUM(D209:F209)</f>
        <v>1772065.5529818004</v>
      </c>
      <c r="I209" s="7">
        <f>1787058.17539118-15004.752</f>
        <v>1772053.4233911799</v>
      </c>
      <c r="J209" s="7">
        <v>244689.49816029976</v>
      </c>
      <c r="K209" s="7">
        <f>652055.430202452+91318.7311231001-79.2</f>
        <v>743294.96132555208</v>
      </c>
      <c r="L209" s="7">
        <f>SUM(I209:K209)</f>
        <v>2760037.8828770318</v>
      </c>
      <c r="N209" s="7">
        <f>G209+L209</f>
        <v>4532103.4358588327</v>
      </c>
    </row>
    <row r="210" spans="1:14" x14ac:dyDescent="0.2">
      <c r="C210" s="1" t="s">
        <v>22</v>
      </c>
      <c r="D210" s="7">
        <v>1180727.1680000001</v>
      </c>
      <c r="E210" s="7">
        <v>349864.60600000003</v>
      </c>
      <c r="F210" s="7">
        <v>62066.258999999998</v>
      </c>
      <c r="G210" s="7">
        <f>SUM(D210:F210)</f>
        <v>1592658.0330000003</v>
      </c>
      <c r="I210" s="7">
        <v>1620838.371</v>
      </c>
      <c r="J210" s="7">
        <v>235998.405</v>
      </c>
      <c r="K210" s="7">
        <v>690606.98700000008</v>
      </c>
      <c r="L210" s="7">
        <f>SUM(I210:K210)</f>
        <v>2547443.7630000003</v>
      </c>
      <c r="N210" s="7">
        <f>G210+L210</f>
        <v>4140101.7960000006</v>
      </c>
    </row>
    <row r="211" spans="1:14" s="11" customFormat="1" x14ac:dyDescent="0.2">
      <c r="C211" s="11" t="s">
        <v>23</v>
      </c>
      <c r="D211" s="11">
        <f>(D209/D210)-1</f>
        <v>8.9230721570048521E-2</v>
      </c>
      <c r="E211" s="11">
        <f>(E209/E210)-1</f>
        <v>0.1710913143803412</v>
      </c>
      <c r="F211" s="11">
        <f>(F209/F210)-1</f>
        <v>0.22865221356582932</v>
      </c>
      <c r="G211" s="11">
        <f>(G209/G210)-1</f>
        <v>0.11264660477294064</v>
      </c>
      <c r="I211" s="11">
        <f>(I209/I210)-1</f>
        <v>9.3294343900487409E-2</v>
      </c>
      <c r="J211" s="11">
        <f>(J209/J210)-1</f>
        <v>3.6826914827241097E-2</v>
      </c>
      <c r="K211" s="11">
        <f>(K209/K210)-1</f>
        <v>7.6292269434499627E-2</v>
      </c>
      <c r="L211" s="11">
        <f>(L209/L210)-1</f>
        <v>8.3453901108564432E-2</v>
      </c>
      <c r="N211" s="11">
        <f>(N209/N210)-1</f>
        <v>9.468405830928317E-2</v>
      </c>
    </row>
    <row r="213" spans="1:14" x14ac:dyDescent="0.2">
      <c r="A213" s="1" t="s">
        <v>20</v>
      </c>
      <c r="C213" s="1" t="s">
        <v>21</v>
      </c>
      <c r="D213" s="7">
        <f>1440562.4572498-923.819</f>
        <v>1439638.6382498001</v>
      </c>
      <c r="E213" s="7">
        <v>483222.33214250003</v>
      </c>
      <c r="F213" s="7">
        <v>90535.437333400012</v>
      </c>
      <c r="G213" s="7">
        <f>SUM(D213:F213)</f>
        <v>2013396.4077257002</v>
      </c>
      <c r="I213" s="7">
        <f>1986765.39732253-16769.77</f>
        <v>1969995.6273225299</v>
      </c>
      <c r="J213" s="7">
        <v>280755.14490190014</v>
      </c>
      <c r="K213" s="7">
        <f>707287.613533888+98733.0079283002-109.368</f>
        <v>805911.25346218818</v>
      </c>
      <c r="L213" s="7">
        <f>SUM(I213:K213)</f>
        <v>3056662.0256866179</v>
      </c>
      <c r="N213" s="7">
        <f>G213+L213</f>
        <v>5070058.4334123181</v>
      </c>
    </row>
    <row r="214" spans="1:14" x14ac:dyDescent="0.2">
      <c r="C214" s="1" t="s">
        <v>22</v>
      </c>
      <c r="D214" s="7">
        <v>1287500.922</v>
      </c>
      <c r="E214" s="7">
        <v>431919.94699999999</v>
      </c>
      <c r="F214" s="7">
        <v>91951.563999999998</v>
      </c>
      <c r="G214" s="7">
        <f>SUM(D214:F214)</f>
        <v>1811372.433</v>
      </c>
      <c r="I214" s="7">
        <v>1857913.868</v>
      </c>
      <c r="J214" s="7">
        <v>260693.91</v>
      </c>
      <c r="K214" s="7">
        <v>713990.04200000002</v>
      </c>
      <c r="L214" s="7">
        <f>SUM(I214:K214)</f>
        <v>2832597.82</v>
      </c>
      <c r="N214" s="7">
        <f>G214+L214</f>
        <v>4643970.2529999996</v>
      </c>
    </row>
    <row r="215" spans="1:14" s="11" customFormat="1" x14ac:dyDescent="0.2">
      <c r="C215" s="11" t="s">
        <v>23</v>
      </c>
      <c r="D215" s="11">
        <f>(D213/D214)-1</f>
        <v>0.1181651318846979</v>
      </c>
      <c r="E215" s="11">
        <f>(E213/E214)-1</f>
        <v>0.11877753157461846</v>
      </c>
      <c r="F215" s="11">
        <f>(F213/F214)-1</f>
        <v>-1.5400789339482968E-2</v>
      </c>
      <c r="G215" s="11">
        <f>(G213/G214)-1</f>
        <v>0.11153088732343552</v>
      </c>
      <c r="I215" s="11">
        <f>(I213/I214)-1</f>
        <v>6.0326671355967143E-2</v>
      </c>
      <c r="J215" s="11">
        <f>(J213/J214)-1</f>
        <v>7.6953216520862178E-2</v>
      </c>
      <c r="K215" s="11">
        <f>(K213/K214)-1</f>
        <v>0.12874298807403828</v>
      </c>
      <c r="L215" s="11">
        <f>(L213/L214)-1</f>
        <v>7.9102018685666575E-2</v>
      </c>
      <c r="N215" s="11">
        <f>(N213/N214)-1</f>
        <v>9.1750841887298096E-2</v>
      </c>
    </row>
    <row r="217" spans="1:14" x14ac:dyDescent="0.2">
      <c r="A217" s="1" t="s">
        <v>46</v>
      </c>
      <c r="C217" s="1" t="s">
        <v>21</v>
      </c>
      <c r="D217" s="7">
        <f t="shared" ref="D217:G218" si="33">D169+D173+D177+D181+D185+D189+D193+D197+D201+D205+D209+D213</f>
        <v>14492745.176145999</v>
      </c>
      <c r="E217" s="7">
        <f t="shared" si="33"/>
        <v>4647952.4123389004</v>
      </c>
      <c r="F217" s="7">
        <f t="shared" si="33"/>
        <v>945107.77094630012</v>
      </c>
      <c r="G217" s="7">
        <f t="shared" si="33"/>
        <v>20085805.359431203</v>
      </c>
      <c r="I217" s="7">
        <f t="shared" ref="I217:L218" si="34">I169+I173+I177+I181+I185+I189+I193+I197+I201+I205+I209+I213</f>
        <v>21705771.801260918</v>
      </c>
      <c r="J217" s="7">
        <f t="shared" si="34"/>
        <v>3519720.0089166001</v>
      </c>
      <c r="K217" s="7">
        <f t="shared" si="34"/>
        <v>8714115.7233527619</v>
      </c>
      <c r="L217" s="7">
        <f t="shared" si="34"/>
        <v>33939607.533530287</v>
      </c>
      <c r="N217" s="7">
        <f>N169+N173+N177+N181+N185+N189+N193+N197+N201+N205+N209+N213</f>
        <v>54025412.89296148</v>
      </c>
    </row>
    <row r="218" spans="1:14" x14ac:dyDescent="0.2">
      <c r="C218" s="1" t="s">
        <v>22</v>
      </c>
      <c r="D218" s="7">
        <f t="shared" si="33"/>
        <v>13206589.081999999</v>
      </c>
      <c r="E218" s="7">
        <f t="shared" si="33"/>
        <v>4244500.6090000002</v>
      </c>
      <c r="F218" s="7">
        <f t="shared" si="33"/>
        <v>836674.37199999997</v>
      </c>
      <c r="G218" s="7">
        <f t="shared" si="33"/>
        <v>18287764.062999997</v>
      </c>
      <c r="I218" s="7">
        <f t="shared" si="34"/>
        <v>20124180.767999999</v>
      </c>
      <c r="J218" s="7">
        <f t="shared" si="34"/>
        <v>3221355.4499999997</v>
      </c>
      <c r="K218" s="7">
        <f t="shared" si="34"/>
        <v>8012901.8010000009</v>
      </c>
      <c r="L218" s="7">
        <f t="shared" si="34"/>
        <v>31358438.019000001</v>
      </c>
      <c r="N218" s="7">
        <f>N170+N174+N178+N182+N186+N190+N194+N198+N202+N206+N210+N214</f>
        <v>49646202.081999995</v>
      </c>
    </row>
    <row r="219" spans="1:14" x14ac:dyDescent="0.2">
      <c r="C219" s="1" t="s">
        <v>23</v>
      </c>
      <c r="D219" s="11">
        <f>(D217/D218)-1</f>
        <v>9.7387454562281706E-2</v>
      </c>
      <c r="E219" s="11">
        <f>(E217/E218)-1</f>
        <v>9.5052832006532029E-2</v>
      </c>
      <c r="F219" s="11">
        <f>(F217/F218)-1</f>
        <v>0.12960047848376099</v>
      </c>
      <c r="G219" s="11">
        <f>(G217/G218)-1</f>
        <v>9.8319362073848282E-2</v>
      </c>
      <c r="I219" s="11">
        <f>(I217/I218)-1</f>
        <v>7.8591573564865236E-2</v>
      </c>
      <c r="J219" s="11">
        <f>(J217/J218)-1</f>
        <v>9.2620812433660715E-2</v>
      </c>
      <c r="K219" s="11">
        <f>(K217/K218)-1</f>
        <v>8.7510609735071299E-2</v>
      </c>
      <c r="L219" s="11">
        <f>(L217/L218)-1</f>
        <v>8.2311801147951336E-2</v>
      </c>
      <c r="N219" s="11">
        <f>(N217/N218)-1</f>
        <v>8.8208375007787998E-2</v>
      </c>
    </row>
    <row r="221" spans="1:14" x14ac:dyDescent="0.2">
      <c r="D221" s="19" t="s">
        <v>7</v>
      </c>
      <c r="E221" s="19"/>
      <c r="F221" s="19"/>
      <c r="G221" s="19"/>
      <c r="H221" s="10"/>
      <c r="I221" s="19" t="s">
        <v>8</v>
      </c>
      <c r="J221" s="19"/>
      <c r="K221" s="19"/>
      <c r="L221" s="19"/>
      <c r="N221" s="6" t="s">
        <v>24</v>
      </c>
    </row>
    <row r="222" spans="1:14" x14ac:dyDescent="0.2">
      <c r="D222" s="10" t="s">
        <v>0</v>
      </c>
      <c r="E222" s="10" t="s">
        <v>1</v>
      </c>
      <c r="F222" s="10" t="s">
        <v>2</v>
      </c>
      <c r="G222" s="10" t="s">
        <v>24</v>
      </c>
      <c r="H222" s="10"/>
      <c r="I222" s="10" t="s">
        <v>3</v>
      </c>
      <c r="J222" s="10" t="s">
        <v>4</v>
      </c>
      <c r="K222" s="10" t="s">
        <v>25</v>
      </c>
      <c r="L222" s="10" t="s">
        <v>24</v>
      </c>
      <c r="N222" s="10" t="s">
        <v>49</v>
      </c>
    </row>
    <row r="223" spans="1:14" x14ac:dyDescent="0.2">
      <c r="A223" s="1">
        <v>2004</v>
      </c>
    </row>
    <row r="224" spans="1:14" x14ac:dyDescent="0.2">
      <c r="A224" s="1" t="s">
        <v>9</v>
      </c>
      <c r="C224" s="1" t="s">
        <v>21</v>
      </c>
      <c r="D224" s="7">
        <f>1366898-930.183768</f>
        <v>1365967.816232</v>
      </c>
      <c r="E224" s="7">
        <v>454880</v>
      </c>
      <c r="F224" s="7">
        <v>78376</v>
      </c>
      <c r="G224" s="7">
        <f>SUM(D224:F224)</f>
        <v>1899223.816232</v>
      </c>
      <c r="I224" s="7">
        <f>1889190-15437.987</f>
        <v>1873752.013</v>
      </c>
      <c r="J224" s="7">
        <v>283133</v>
      </c>
      <c r="K224" s="7">
        <f>636828+108017-98.519736</f>
        <v>744746.48026400001</v>
      </c>
      <c r="L224" s="7">
        <f>SUM(I224:K224)</f>
        <v>2901631.4932640004</v>
      </c>
      <c r="N224" s="7">
        <f>G224+L224</f>
        <v>4800855.3094960004</v>
      </c>
    </row>
    <row r="225" spans="1:14" x14ac:dyDescent="0.2">
      <c r="C225" s="1" t="s">
        <v>22</v>
      </c>
      <c r="D225" s="7">
        <v>1292705.9380000001</v>
      </c>
      <c r="E225" s="7">
        <v>407288.37300000002</v>
      </c>
      <c r="F225" s="7">
        <v>71472.615999999995</v>
      </c>
      <c r="G225" s="7">
        <f>SUM(D225:F225)</f>
        <v>1771466.9270000001</v>
      </c>
      <c r="I225" s="7">
        <v>1744139.375</v>
      </c>
      <c r="J225" s="7">
        <v>272448.50900000002</v>
      </c>
      <c r="K225" s="7">
        <v>726930.55300000007</v>
      </c>
      <c r="L225" s="7">
        <f>SUM(I225:K225)</f>
        <v>2743518.4369999999</v>
      </c>
      <c r="N225" s="7">
        <f>G225+L225</f>
        <v>4514985.3640000001</v>
      </c>
    </row>
    <row r="226" spans="1:14" s="11" customFormat="1" x14ac:dyDescent="0.2">
      <c r="C226" s="11" t="s">
        <v>23</v>
      </c>
      <c r="D226" s="11">
        <f>(D224/D225)-1</f>
        <v>5.6673274314301025E-2</v>
      </c>
      <c r="E226" s="11">
        <f>(E224/E225)-1</f>
        <v>0.11684995240460738</v>
      </c>
      <c r="F226" s="11">
        <f>(F224/F225)-1</f>
        <v>9.6587817633539519E-2</v>
      </c>
      <c r="G226" s="11">
        <f>(G224/G225)-1</f>
        <v>7.2119263015741231E-2</v>
      </c>
      <c r="I226" s="11">
        <f>(I224/I225)-1</f>
        <v>7.4313234284960838E-2</v>
      </c>
      <c r="J226" s="11">
        <f>(J224/J225)-1</f>
        <v>3.921655155763748E-2</v>
      </c>
      <c r="K226" s="11">
        <f>(K224/K225)-1</f>
        <v>2.4508430950487048E-2</v>
      </c>
      <c r="L226" s="11">
        <f>(L224/L225)-1</f>
        <v>5.7631490327032298E-2</v>
      </c>
      <c r="N226" s="11">
        <f>(N224/N225)-1</f>
        <v>6.3315807793170142E-2</v>
      </c>
    </row>
    <row r="228" spans="1:14" x14ac:dyDescent="0.2">
      <c r="A228" s="1" t="s">
        <v>10</v>
      </c>
      <c r="C228" s="1" t="s">
        <v>21</v>
      </c>
      <c r="D228" s="7">
        <f>1218112-925.022889</f>
        <v>1217186.9771110001</v>
      </c>
      <c r="E228" s="7">
        <v>375434</v>
      </c>
      <c r="F228" s="7">
        <v>70821</v>
      </c>
      <c r="G228" s="7">
        <f>SUM(D228:F228)</f>
        <v>1663441.9771110001</v>
      </c>
      <c r="I228" s="7">
        <f>1718916-13932.276</f>
        <v>1704983.7239999999</v>
      </c>
      <c r="J228" s="7">
        <v>257192</v>
      </c>
      <c r="K228" s="7">
        <f>603546+99037-100.92</f>
        <v>702482.08</v>
      </c>
      <c r="L228" s="7">
        <f>SUM(I228:K228)</f>
        <v>2664657.804</v>
      </c>
      <c r="N228" s="7">
        <f>G228+L228</f>
        <v>4328099.7811110001</v>
      </c>
    </row>
    <row r="229" spans="1:14" x14ac:dyDescent="0.2">
      <c r="C229" s="1" t="s">
        <v>22</v>
      </c>
      <c r="D229" s="7">
        <v>1081348.8529999999</v>
      </c>
      <c r="E229" s="7">
        <v>325376.815</v>
      </c>
      <c r="F229" s="7">
        <v>70386.089000000007</v>
      </c>
      <c r="G229" s="7">
        <f>SUM(D229:F229)</f>
        <v>1477111.7569999998</v>
      </c>
      <c r="I229" s="7">
        <v>1604960.3740000001</v>
      </c>
      <c r="J229" s="7">
        <v>231078.579</v>
      </c>
      <c r="K229" s="7">
        <v>610927.61300000001</v>
      </c>
      <c r="L229" s="7">
        <f>SUM(I229:K229)</f>
        <v>2446966.5660000001</v>
      </c>
      <c r="N229" s="7">
        <f>G229+L229</f>
        <v>3924078.3229999999</v>
      </c>
    </row>
    <row r="230" spans="1:14" s="11" customFormat="1" x14ac:dyDescent="0.2">
      <c r="C230" s="11" t="s">
        <v>23</v>
      </c>
      <c r="D230" s="11">
        <f>(D228/D229)-1</f>
        <v>0.12561915031781168</v>
      </c>
      <c r="E230" s="11">
        <f>(E228/E229)-1</f>
        <v>0.15384373653052075</v>
      </c>
      <c r="F230" s="11">
        <f>(F228/F229)-1</f>
        <v>6.178934022033733E-3</v>
      </c>
      <c r="G230" s="11">
        <f>(G228/G229)-1</f>
        <v>0.12614497124404145</v>
      </c>
      <c r="I230" s="11">
        <f>(I228/I229)-1</f>
        <v>6.2321382895401012E-2</v>
      </c>
      <c r="J230" s="11">
        <f>(J228/J229)-1</f>
        <v>0.11300667120685381</v>
      </c>
      <c r="K230" s="11">
        <f>(K228/K229)-1</f>
        <v>0.1498613993733493</v>
      </c>
      <c r="L230" s="11">
        <f>(L228/L229)-1</f>
        <v>8.8963715738811455E-2</v>
      </c>
      <c r="N230" s="11">
        <f>(N228/N229)-1</f>
        <v>0.10295958053205245</v>
      </c>
    </row>
    <row r="232" spans="1:14" x14ac:dyDescent="0.2">
      <c r="A232" s="1" t="s">
        <v>11</v>
      </c>
      <c r="C232" s="1" t="s">
        <v>21</v>
      </c>
      <c r="D232" s="7">
        <f>1178547-924.790068</f>
        <v>1177622.2099319999</v>
      </c>
      <c r="E232" s="7">
        <v>344338</v>
      </c>
      <c r="F232" s="7">
        <v>68112</v>
      </c>
      <c r="G232" s="7">
        <f>SUM(D232:F232)</f>
        <v>1590072.2099319999</v>
      </c>
      <c r="I232" s="7">
        <f>1652169-14170.275</f>
        <v>1637998.7250000001</v>
      </c>
      <c r="J232" s="7">
        <v>258796</v>
      </c>
      <c r="K232" s="7">
        <f>615621+101435-83.880048</f>
        <v>716972.11995199998</v>
      </c>
      <c r="L232" s="7">
        <f>SUM(I232:K232)</f>
        <v>2613766.8449520003</v>
      </c>
      <c r="N232" s="7">
        <f>G232+L232</f>
        <v>4203839.0548839998</v>
      </c>
    </row>
    <row r="233" spans="1:14" x14ac:dyDescent="0.2">
      <c r="C233" s="1" t="s">
        <v>22</v>
      </c>
      <c r="D233" s="7">
        <v>1033906.297</v>
      </c>
      <c r="E233" s="7">
        <v>326249.79399999999</v>
      </c>
      <c r="F233" s="7">
        <v>60259.891000000003</v>
      </c>
      <c r="G233" s="7">
        <f>SUM(D233:F233)</f>
        <v>1420415.9820000001</v>
      </c>
      <c r="I233" s="7">
        <v>1440824.3870000001</v>
      </c>
      <c r="J233" s="7">
        <v>239065.03099999999</v>
      </c>
      <c r="K233" s="7">
        <v>660507.11200000008</v>
      </c>
      <c r="L233" s="7">
        <f>SUM(I233:K233)</f>
        <v>2340396.5300000003</v>
      </c>
      <c r="N233" s="7">
        <f>G233+L233</f>
        <v>3760812.5120000001</v>
      </c>
    </row>
    <row r="234" spans="1:14" s="11" customFormat="1" x14ac:dyDescent="0.2">
      <c r="C234" s="11" t="s">
        <v>23</v>
      </c>
      <c r="D234" s="11">
        <f>(D232/D233)-1</f>
        <v>0.13900284131067631</v>
      </c>
      <c r="E234" s="11">
        <f>(E232/E233)-1</f>
        <v>5.544281201906287E-2</v>
      </c>
      <c r="F234" s="11">
        <f>(F232/F233)-1</f>
        <v>0.13030406908635128</v>
      </c>
      <c r="G234" s="11">
        <f>(G232/G233)-1</f>
        <v>0.11944122713482663</v>
      </c>
      <c r="I234" s="11">
        <f>(I232/I233)-1</f>
        <v>0.13684827920670117</v>
      </c>
      <c r="J234" s="11">
        <f>(J232/J233)-1</f>
        <v>8.2533898485554813E-2</v>
      </c>
      <c r="K234" s="11">
        <f>(K232/K233)-1</f>
        <v>8.5487358010461367E-2</v>
      </c>
      <c r="L234" s="11">
        <f>(L232/L233)-1</f>
        <v>0.11680512744222882</v>
      </c>
      <c r="N234" s="11">
        <f>(N232/N233)-1</f>
        <v>0.11780075222319386</v>
      </c>
    </row>
    <row r="236" spans="1:14" x14ac:dyDescent="0.2">
      <c r="A236" s="1" t="s">
        <v>12</v>
      </c>
      <c r="C236" s="1" t="s">
        <v>21</v>
      </c>
      <c r="D236" s="7">
        <f>1086378-920.871791</f>
        <v>1085457.128209</v>
      </c>
      <c r="E236" s="7">
        <v>316112</v>
      </c>
      <c r="F236" s="7">
        <v>67305</v>
      </c>
      <c r="G236" s="7">
        <f>SUM(D236:F236)</f>
        <v>1468874.128209</v>
      </c>
      <c r="I236" s="7">
        <f>1550376-14989.424</f>
        <v>1535386.5759999999</v>
      </c>
      <c r="J236" s="7">
        <v>259553</v>
      </c>
      <c r="K236" s="7">
        <f>576898+94911-72.959806</f>
        <v>671736.040194</v>
      </c>
      <c r="L236" s="7">
        <f>SUM(I236:K236)</f>
        <v>2466675.616194</v>
      </c>
      <c r="N236" s="7">
        <f>G236+L236</f>
        <v>3935549.744403</v>
      </c>
    </row>
    <row r="237" spans="1:14" x14ac:dyDescent="0.2">
      <c r="C237" s="1" t="s">
        <v>22</v>
      </c>
      <c r="D237" s="7">
        <v>1008435.394</v>
      </c>
      <c r="E237" s="7">
        <v>289340.84299999999</v>
      </c>
      <c r="F237" s="7">
        <v>60857.678999999996</v>
      </c>
      <c r="G237" s="7">
        <f>SUM(D237:F237)</f>
        <v>1358633.916</v>
      </c>
      <c r="I237" s="7">
        <v>1455110.416</v>
      </c>
      <c r="J237" s="7">
        <v>235689.30799999999</v>
      </c>
      <c r="K237" s="7">
        <v>681797.09499999997</v>
      </c>
      <c r="L237" s="7">
        <f>SUM(I237:K237)</f>
        <v>2372596.8190000001</v>
      </c>
      <c r="N237" s="7">
        <f>G237+L237</f>
        <v>3731230.7350000003</v>
      </c>
    </row>
    <row r="238" spans="1:14" s="11" customFormat="1" x14ac:dyDescent="0.2">
      <c r="C238" s="11" t="s">
        <v>23</v>
      </c>
      <c r="D238" s="11">
        <f>(D236/D237)-1</f>
        <v>7.6377460239163364E-2</v>
      </c>
      <c r="E238" s="11">
        <f>(E236/E237)-1</f>
        <v>9.2524638839183826E-2</v>
      </c>
      <c r="F238" s="11">
        <f>(F236/F237)-1</f>
        <v>0.10594096104125184</v>
      </c>
      <c r="G238" s="11">
        <f>(G236/G237)-1</f>
        <v>8.1140483032811295E-2</v>
      </c>
      <c r="I238" s="11">
        <f>(I236/I237)-1</f>
        <v>5.5168431974168319E-2</v>
      </c>
      <c r="J238" s="11">
        <f>(J236/J237)-1</f>
        <v>0.10125063458542649</v>
      </c>
      <c r="K238" s="11">
        <f>(K236/K237)-1</f>
        <v>-1.4756670099921654E-2</v>
      </c>
      <c r="L238" s="11">
        <f>(L236/L237)-1</f>
        <v>3.9652247883250613E-2</v>
      </c>
      <c r="N238" s="11">
        <f>(N236/N237)-1</f>
        <v>5.4759146221226462E-2</v>
      </c>
    </row>
    <row r="240" spans="1:14" x14ac:dyDescent="0.2">
      <c r="A240" s="1" t="s">
        <v>13</v>
      </c>
      <c r="C240" s="1" t="s">
        <v>21</v>
      </c>
      <c r="D240" s="7">
        <f>1059450-918.587979</f>
        <v>1058531.4120209999</v>
      </c>
      <c r="E240" s="7">
        <v>313236</v>
      </c>
      <c r="F240" s="7">
        <v>88314</v>
      </c>
      <c r="G240" s="7">
        <f>SUM(D240:F240)</f>
        <v>1460081.4120209999</v>
      </c>
      <c r="I240" s="7">
        <f>1693481-15914.796</f>
        <v>1677566.2039999999</v>
      </c>
      <c r="J240" s="7">
        <v>316259</v>
      </c>
      <c r="K240" s="7">
        <f>588958+96376-69.119832</f>
        <v>685264.880168</v>
      </c>
      <c r="L240" s="7">
        <f>SUM(I240:K240)</f>
        <v>2679090.0841680001</v>
      </c>
      <c r="N240" s="7">
        <f>G240+L240</f>
        <v>4139171.4961890001</v>
      </c>
    </row>
    <row r="241" spans="1:14" x14ac:dyDescent="0.2">
      <c r="C241" s="1" t="s">
        <v>22</v>
      </c>
      <c r="D241" s="7">
        <v>961239.47100000002</v>
      </c>
      <c r="E241" s="7">
        <v>304037.32</v>
      </c>
      <c r="F241" s="7">
        <v>68187.903999999995</v>
      </c>
      <c r="G241" s="7">
        <f>SUM(D241:F241)</f>
        <v>1333464.6950000001</v>
      </c>
      <c r="I241" s="7">
        <v>1594069.966</v>
      </c>
      <c r="J241" s="7">
        <v>282667.864</v>
      </c>
      <c r="K241" s="7">
        <v>602684.98499999999</v>
      </c>
      <c r="L241" s="7">
        <f>SUM(I241:K241)</f>
        <v>2479422.8149999999</v>
      </c>
      <c r="N241" s="7">
        <f>G241+L241</f>
        <v>3812887.51</v>
      </c>
    </row>
    <row r="242" spans="1:14" s="11" customFormat="1" x14ac:dyDescent="0.2">
      <c r="C242" s="11" t="s">
        <v>23</v>
      </c>
      <c r="D242" s="11">
        <f>(D240/D241)-1</f>
        <v>0.10121509151073949</v>
      </c>
      <c r="E242" s="11">
        <f>(E240/E241)-1</f>
        <v>3.0255101577661536E-2</v>
      </c>
      <c r="F242" s="11">
        <f>(F240/F241)-1</f>
        <v>0.29515639606696231</v>
      </c>
      <c r="G242" s="11">
        <f>(G240/G241)-1</f>
        <v>9.4953182859483176E-2</v>
      </c>
      <c r="I242" s="11">
        <f>(I240/I241)-1</f>
        <v>5.237928057167851E-2</v>
      </c>
      <c r="J242" s="11">
        <f>(J240/J241)-1</f>
        <v>0.11883606266611202</v>
      </c>
      <c r="K242" s="11">
        <f>(K240/K241)-1</f>
        <v>0.13701999754979788</v>
      </c>
      <c r="L242" s="11">
        <f>(L240/L241)-1</f>
        <v>8.0529737792220946E-2</v>
      </c>
      <c r="N242" s="11">
        <f>(N240/N241)-1</f>
        <v>8.5573986993652484E-2</v>
      </c>
    </row>
    <row r="244" spans="1:14" x14ac:dyDescent="0.2">
      <c r="A244" s="1" t="s">
        <v>14</v>
      </c>
      <c r="C244" s="1" t="s">
        <v>21</v>
      </c>
      <c r="D244" s="7">
        <f>1107384-912.818136</f>
        <v>1106471.1818639999</v>
      </c>
      <c r="E244" s="7">
        <v>357830</v>
      </c>
      <c r="F244" s="7">
        <v>88850</v>
      </c>
      <c r="G244" s="7">
        <f>SUM(D244:F244)</f>
        <v>1553151.1818639999</v>
      </c>
      <c r="I244" s="7">
        <f>1845652-16739.466</f>
        <v>1828912.534</v>
      </c>
      <c r="J244" s="7">
        <v>391259</v>
      </c>
      <c r="K244" s="7">
        <f>592730+93871-71.76024</f>
        <v>686529.23976000003</v>
      </c>
      <c r="L244" s="7">
        <f>SUM(I244:K244)</f>
        <v>2906700.7737600002</v>
      </c>
      <c r="N244" s="7">
        <f>G244+L244</f>
        <v>4459851.9556240002</v>
      </c>
    </row>
    <row r="245" spans="1:14" x14ac:dyDescent="0.2">
      <c r="C245" s="1" t="s">
        <v>22</v>
      </c>
      <c r="D245" s="7">
        <v>1063964.3219999999</v>
      </c>
      <c r="E245" s="7">
        <v>300671.27899999998</v>
      </c>
      <c r="F245" s="7">
        <v>80421.62</v>
      </c>
      <c r="G245" s="7">
        <f>SUM(D245:F245)</f>
        <v>1445057.2209999999</v>
      </c>
      <c r="I245" s="7">
        <v>1699418.166</v>
      </c>
      <c r="J245" s="7">
        <v>349158.201</v>
      </c>
      <c r="K245" s="7">
        <v>656239.34400000004</v>
      </c>
      <c r="L245" s="7">
        <f>SUM(I245:K245)</f>
        <v>2704815.7110000001</v>
      </c>
      <c r="N245" s="7">
        <f>G245+L245</f>
        <v>4149872.932</v>
      </c>
    </row>
    <row r="246" spans="1:14" s="11" customFormat="1" x14ac:dyDescent="0.2">
      <c r="C246" s="11" t="s">
        <v>23</v>
      </c>
      <c r="D246" s="11">
        <f>(D244/D245)-1</f>
        <v>3.9951395911563381E-2</v>
      </c>
      <c r="E246" s="11">
        <f>(E244/E245)-1</f>
        <v>0.19010369460662724</v>
      </c>
      <c r="F246" s="11">
        <f>(F244/F245)-1</f>
        <v>0.10480241507196708</v>
      </c>
      <c r="G246" s="11">
        <f>(G244/G245)-1</f>
        <v>7.4802547119343421E-2</v>
      </c>
      <c r="I246" s="11">
        <f>(I244/I245)-1</f>
        <v>7.6199237239411799E-2</v>
      </c>
      <c r="J246" s="11">
        <f>(J244/J245)-1</f>
        <v>0.12057800412369524</v>
      </c>
      <c r="K246" s="11">
        <f>(K244/K245)-1</f>
        <v>4.6156781114909728E-2</v>
      </c>
      <c r="L246" s="11">
        <f>(L244/L245)-1</f>
        <v>7.4639119382133856E-2</v>
      </c>
      <c r="N246" s="11">
        <f>(N244/N245)-1</f>
        <v>7.4696027734663106E-2</v>
      </c>
    </row>
    <row r="248" spans="1:14" x14ac:dyDescent="0.2">
      <c r="A248" s="1" t="s">
        <v>15</v>
      </c>
      <c r="C248" s="1" t="s">
        <v>21</v>
      </c>
      <c r="D248" s="7">
        <f>1245159-915.204069</f>
        <v>1244243.795931</v>
      </c>
      <c r="E248" s="7">
        <v>402880</v>
      </c>
      <c r="F248" s="7">
        <v>91606</v>
      </c>
      <c r="G248" s="7">
        <f>SUM(D248:F248)</f>
        <v>1738729.795931</v>
      </c>
      <c r="I248" s="7">
        <f>2111123-18794.061</f>
        <v>2092328.939</v>
      </c>
      <c r="J248" s="7">
        <v>425870</v>
      </c>
      <c r="K248" s="7">
        <f>630436+96943-53.51964</f>
        <v>727325.48036000005</v>
      </c>
      <c r="L248" s="7">
        <f>SUM(I248:K248)</f>
        <v>3245524.4193600002</v>
      </c>
      <c r="N248" s="7">
        <f>G248+L248</f>
        <v>4984254.215291</v>
      </c>
    </row>
    <row r="249" spans="1:14" x14ac:dyDescent="0.2">
      <c r="C249" s="1" t="s">
        <v>22</v>
      </c>
      <c r="D249" s="7">
        <v>1135555.6129999999</v>
      </c>
      <c r="E249" s="7">
        <v>376612.65</v>
      </c>
      <c r="F249" s="7">
        <v>89913.86</v>
      </c>
      <c r="G249" s="7">
        <f>SUM(D249:F249)</f>
        <v>1602082.1229999999</v>
      </c>
      <c r="I249" s="7">
        <v>1949970.236</v>
      </c>
      <c r="J249" s="7">
        <v>396614.43300000002</v>
      </c>
      <c r="K249" s="7">
        <v>652605.28799999994</v>
      </c>
      <c r="L249" s="7">
        <f>SUM(I249:K249)</f>
        <v>2999189.9570000004</v>
      </c>
      <c r="N249" s="7">
        <f>G249+L249</f>
        <v>4601272.08</v>
      </c>
    </row>
    <row r="250" spans="1:14" s="11" customFormat="1" x14ac:dyDescent="0.2">
      <c r="C250" s="11" t="s">
        <v>23</v>
      </c>
      <c r="D250" s="11">
        <f>(D248/D249)-1</f>
        <v>9.5713659187381506E-2</v>
      </c>
      <c r="E250" s="11">
        <f>(E248/E249)-1</f>
        <v>6.9746329551065189E-2</v>
      </c>
      <c r="F250" s="11">
        <f>(F248/F249)-1</f>
        <v>1.8819567973169082E-2</v>
      </c>
      <c r="G250" s="11">
        <f>(G248/G249)-1</f>
        <v>8.529380046705648E-2</v>
      </c>
      <c r="I250" s="11">
        <f>(I248/I249)-1</f>
        <v>7.3005577404105626E-2</v>
      </c>
      <c r="J250" s="11">
        <f>(J248/J249)-1</f>
        <v>7.3763243507580567E-2</v>
      </c>
      <c r="K250" s="11">
        <f>(K248/K249)-1</f>
        <v>0.11449522971073467</v>
      </c>
      <c r="L250" s="11">
        <f>(L248/L249)-1</f>
        <v>8.2133664720056787E-2</v>
      </c>
      <c r="N250" s="11">
        <f>(N248/N249)-1</f>
        <v>8.3233968483559018E-2</v>
      </c>
    </row>
    <row r="252" spans="1:14" x14ac:dyDescent="0.2">
      <c r="A252" s="1" t="s">
        <v>16</v>
      </c>
      <c r="C252" s="1" t="s">
        <v>21</v>
      </c>
      <c r="D252" s="7">
        <f>1228153-913.569849</f>
        <v>1227239.4301509999</v>
      </c>
      <c r="E252" s="7">
        <v>402209</v>
      </c>
      <c r="F252" s="7">
        <v>90174</v>
      </c>
      <c r="G252" s="7">
        <f>SUM(D252:F252)</f>
        <v>1719622.4301509999</v>
      </c>
      <c r="I252" s="7">
        <f>1990804-18436.237</f>
        <v>1972367.763</v>
      </c>
      <c r="J252" s="7">
        <v>317840</v>
      </c>
      <c r="K252" s="7">
        <f>610865+93936-75.600072</f>
        <v>704725.39992800006</v>
      </c>
      <c r="L252" s="7">
        <f>SUM(I252:K252)</f>
        <v>2994933.1629280001</v>
      </c>
      <c r="N252" s="7">
        <f>G252+L252</f>
        <v>4714555.5930789998</v>
      </c>
    </row>
    <row r="253" spans="1:14" x14ac:dyDescent="0.2">
      <c r="C253" s="1" t="s">
        <v>22</v>
      </c>
      <c r="D253" s="7">
        <v>1104049.9639999999</v>
      </c>
      <c r="E253" s="7">
        <v>363414.23599999998</v>
      </c>
      <c r="F253" s="7">
        <v>75426.587</v>
      </c>
      <c r="G253" s="7">
        <f>SUM(D253:F253)</f>
        <v>1542890.787</v>
      </c>
      <c r="I253" s="7">
        <v>1818133.236</v>
      </c>
      <c r="J253" s="7">
        <v>298282.72899999999</v>
      </c>
      <c r="K253" s="7">
        <v>637627.81599999999</v>
      </c>
      <c r="L253" s="7">
        <f>SUM(I253:K253)</f>
        <v>2754043.781</v>
      </c>
      <c r="N253" s="7">
        <f>G253+L253</f>
        <v>4296934.568</v>
      </c>
    </row>
    <row r="254" spans="1:14" s="11" customFormat="1" x14ac:dyDescent="0.2">
      <c r="C254" s="11" t="s">
        <v>23</v>
      </c>
      <c r="D254" s="11">
        <f>(D252/D253)-1</f>
        <v>0.11157961158268748</v>
      </c>
      <c r="E254" s="11">
        <f>(E252/E253)-1</f>
        <v>0.10675080983894092</v>
      </c>
      <c r="F254" s="11">
        <f>(F252/F253)-1</f>
        <v>0.19552008895749196</v>
      </c>
      <c r="G254" s="11">
        <f>(G252/G253)-1</f>
        <v>0.11454578939747084</v>
      </c>
      <c r="I254" s="11">
        <f>(I252/I253)-1</f>
        <v>8.4831256558141499E-2</v>
      </c>
      <c r="J254" s="11">
        <f>(J252/J253)-1</f>
        <v>6.5566219893341549E-2</v>
      </c>
      <c r="K254" s="11">
        <f>(K252/K253)-1</f>
        <v>0.10523001388007214</v>
      </c>
      <c r="L254" s="11">
        <f>(L252/L253)-1</f>
        <v>8.7467520883249161E-2</v>
      </c>
      <c r="N254" s="11">
        <f>(N252/N253)-1</f>
        <v>9.719045483938582E-2</v>
      </c>
    </row>
    <row r="256" spans="1:14" x14ac:dyDescent="0.2">
      <c r="A256" s="1" t="s">
        <v>17</v>
      </c>
      <c r="C256" s="1" t="s">
        <v>21</v>
      </c>
      <c r="D256" s="7">
        <f>1077332-913.709739</f>
        <v>1076418.2902609999</v>
      </c>
      <c r="E256" s="7">
        <v>356308</v>
      </c>
      <c r="F256" s="7">
        <v>74386</v>
      </c>
      <c r="G256" s="7">
        <f>SUM(D256:F256)</f>
        <v>1507112.2902609999</v>
      </c>
      <c r="I256" s="7">
        <f>1684069-15757.609</f>
        <v>1668311.3910000001</v>
      </c>
      <c r="J256" s="7">
        <v>265290</v>
      </c>
      <c r="K256" s="7">
        <f>564375+89690-81.48024</f>
        <v>653983.51976000005</v>
      </c>
      <c r="L256" s="7">
        <f>SUM(I256:K256)</f>
        <v>2587584.9107600003</v>
      </c>
      <c r="N256" s="7">
        <f>G256+L256</f>
        <v>4094697.2010210003</v>
      </c>
    </row>
    <row r="257" spans="1:14" x14ac:dyDescent="0.2">
      <c r="C257" s="1" t="s">
        <v>22</v>
      </c>
      <c r="D257" s="7">
        <v>1011213.184</v>
      </c>
      <c r="E257" s="7">
        <v>302946.60399999999</v>
      </c>
      <c r="F257" s="7">
        <v>51277.214999999997</v>
      </c>
      <c r="G257" s="7">
        <f>SUM(D257:F257)</f>
        <v>1365437.003</v>
      </c>
      <c r="I257" s="7">
        <v>1507800.36</v>
      </c>
      <c r="J257" s="7">
        <v>246170.91399999999</v>
      </c>
      <c r="K257" s="7">
        <v>587131.522</v>
      </c>
      <c r="L257" s="7">
        <f>SUM(I257:K257)</f>
        <v>2341102.7960000001</v>
      </c>
      <c r="N257" s="7">
        <f>G257+L257</f>
        <v>3706539.7990000001</v>
      </c>
    </row>
    <row r="258" spans="1:14" s="11" customFormat="1" x14ac:dyDescent="0.2">
      <c r="C258" s="11" t="s">
        <v>23</v>
      </c>
      <c r="D258" s="11">
        <f>(D256/D257)-1</f>
        <v>6.4482057090149647E-2</v>
      </c>
      <c r="E258" s="11">
        <f>(E256/E257)-1</f>
        <v>0.17614125821327908</v>
      </c>
      <c r="F258" s="11">
        <f>(F256/F257)-1</f>
        <v>0.45066380847711796</v>
      </c>
      <c r="G258" s="11">
        <f>(G256/G257)-1</f>
        <v>0.10375820118374213</v>
      </c>
      <c r="I258" s="11">
        <f>(I256/I257)-1</f>
        <v>0.10645376885305957</v>
      </c>
      <c r="J258" s="11">
        <f>(J256/J257)-1</f>
        <v>7.7665901667002046E-2</v>
      </c>
      <c r="K258" s="11">
        <f>(K256/K257)-1</f>
        <v>0.11386204837423142</v>
      </c>
      <c r="L258" s="11">
        <f>(L256/L257)-1</f>
        <v>0.10528461850591908</v>
      </c>
      <c r="N258" s="11">
        <f>(N256/N257)-1</f>
        <v>0.10472230788557102</v>
      </c>
    </row>
    <row r="260" spans="1:14" x14ac:dyDescent="0.2">
      <c r="A260" s="1" t="s">
        <v>18</v>
      </c>
      <c r="C260" s="1" t="s">
        <v>21</v>
      </c>
      <c r="D260" s="7">
        <f>1141816-914.07138</f>
        <v>1140901.9286199999</v>
      </c>
      <c r="E260" s="7">
        <v>372159</v>
      </c>
      <c r="F260" s="7">
        <v>69578</v>
      </c>
      <c r="G260" s="7">
        <f>SUM(D260:F260)</f>
        <v>1582638.9286199999</v>
      </c>
      <c r="I260" s="7">
        <f>1662192-14850.987</f>
        <v>1647341.013</v>
      </c>
      <c r="J260" s="7">
        <v>268914</v>
      </c>
      <c r="K260" s="7">
        <f>615239+94990-52.895</f>
        <v>710176.10499999998</v>
      </c>
      <c r="L260" s="7">
        <f>SUM(I260:K260)</f>
        <v>2626431.1179999998</v>
      </c>
      <c r="N260" s="7">
        <f>G260+L260</f>
        <v>4209070.0466200002</v>
      </c>
    </row>
    <row r="261" spans="1:14" x14ac:dyDescent="0.2">
      <c r="C261" s="1" t="s">
        <v>22</v>
      </c>
      <c r="D261" s="7">
        <v>1034070.985</v>
      </c>
      <c r="E261" s="7">
        <v>352100.859</v>
      </c>
      <c r="F261" s="7">
        <v>64741.629000000001</v>
      </c>
      <c r="G261" s="7">
        <f>SUM(D261:F261)</f>
        <v>1450913.473</v>
      </c>
      <c r="I261" s="7">
        <v>1551130.027</v>
      </c>
      <c r="J261" s="7">
        <v>207263.546</v>
      </c>
      <c r="K261" s="7">
        <v>645366.522</v>
      </c>
      <c r="L261" s="7">
        <f>SUM(I261:K261)</f>
        <v>2403760.0950000002</v>
      </c>
      <c r="N261" s="7">
        <f>G261+L261</f>
        <v>3854673.568</v>
      </c>
    </row>
    <row r="262" spans="1:14" s="11" customFormat="1" x14ac:dyDescent="0.2">
      <c r="C262" s="11" t="s">
        <v>23</v>
      </c>
      <c r="D262" s="11">
        <f>(D260/D261)-1</f>
        <v>0.10331103489960114</v>
      </c>
      <c r="E262" s="11">
        <f>(E260/E261)-1</f>
        <v>5.6967032278668839E-2</v>
      </c>
      <c r="F262" s="11">
        <f>(F260/F261)-1</f>
        <v>7.4702646113522952E-2</v>
      </c>
      <c r="G262" s="11">
        <f>(G260/G261)-1</f>
        <v>9.0787947090763543E-2</v>
      </c>
      <c r="I262" s="11">
        <f>(I260/I261)-1</f>
        <v>6.202638355604484E-2</v>
      </c>
      <c r="J262" s="11">
        <f>(J260/J261)-1</f>
        <v>0.29744957658883253</v>
      </c>
      <c r="K262" s="11">
        <f>(K260/K261)-1</f>
        <v>0.1004229082090502</v>
      </c>
      <c r="L262" s="11">
        <f>(L260/L261)-1</f>
        <v>9.2634461926201395E-2</v>
      </c>
      <c r="N262" s="11">
        <f>(N260/N261)-1</f>
        <v>9.1939426871852969E-2</v>
      </c>
    </row>
    <row r="264" spans="1:14" x14ac:dyDescent="0.2">
      <c r="A264" s="1" t="s">
        <v>19</v>
      </c>
      <c r="C264" s="1" t="s">
        <v>21</v>
      </c>
      <c r="D264" s="7">
        <f>1254339-983.810514</f>
        <v>1253355.189486</v>
      </c>
      <c r="E264" s="7">
        <v>397005</v>
      </c>
      <c r="F264" s="7">
        <v>82305</v>
      </c>
      <c r="G264" s="7">
        <f>SUM(D264:F264)</f>
        <v>1732665.189486</v>
      </c>
      <c r="I264" s="7">
        <f>1756834-14623.718</f>
        <v>1742210.2819999999</v>
      </c>
      <c r="J264" s="7">
        <v>255115</v>
      </c>
      <c r="K264" s="7">
        <f>608630+94522-73.44</f>
        <v>703078.56</v>
      </c>
      <c r="L264" s="7">
        <f>SUM(I264:K264)</f>
        <v>2700403.8420000002</v>
      </c>
      <c r="N264" s="7">
        <f>G264+L264</f>
        <v>4433069.0314859999</v>
      </c>
    </row>
    <row r="265" spans="1:14" x14ac:dyDescent="0.2">
      <c r="C265" s="1" t="s">
        <v>22</v>
      </c>
      <c r="D265" s="7">
        <v>1151057.3030000001</v>
      </c>
      <c r="E265" s="7">
        <v>344036.815</v>
      </c>
      <c r="F265" s="7">
        <v>69706.093999999997</v>
      </c>
      <c r="G265" s="7">
        <f>SUM(D265:F265)</f>
        <v>1564800.2120000001</v>
      </c>
      <c r="I265" s="7">
        <v>1594873.085</v>
      </c>
      <c r="J265" s="7">
        <v>220218.75099999999</v>
      </c>
      <c r="K265" s="7">
        <v>650218.98899999994</v>
      </c>
      <c r="L265" s="7">
        <f>SUM(I265:K265)</f>
        <v>2465310.8249999997</v>
      </c>
      <c r="N265" s="7">
        <f>G265+L265</f>
        <v>4030111.0369999995</v>
      </c>
    </row>
    <row r="266" spans="1:14" s="11" customFormat="1" x14ac:dyDescent="0.2">
      <c r="C266" s="11" t="s">
        <v>23</v>
      </c>
      <c r="D266" s="11">
        <f>(D264/D265)-1</f>
        <v>8.8872974628961598E-2</v>
      </c>
      <c r="E266" s="11">
        <f>(E264/E265)-1</f>
        <v>0.15396080503768172</v>
      </c>
      <c r="F266" s="11">
        <f>(F264/F265)-1</f>
        <v>0.1807432503677513</v>
      </c>
      <c r="G266" s="11">
        <f>(G264/G265)-1</f>
        <v>0.10727566126249988</v>
      </c>
      <c r="I266" s="11">
        <f>(I264/I265)-1</f>
        <v>9.2381769048412998E-2</v>
      </c>
      <c r="J266" s="11">
        <f>(J264/J265)-1</f>
        <v>0.15846175151542852</v>
      </c>
      <c r="K266" s="11">
        <f>(K264/K265)-1</f>
        <v>8.1295028127823743E-2</v>
      </c>
      <c r="L266" s="11">
        <f>(L264/L265)-1</f>
        <v>9.5360396188582275E-2</v>
      </c>
      <c r="N266" s="11">
        <f>(N264/N265)-1</f>
        <v>9.9986821898078837E-2</v>
      </c>
    </row>
    <row r="268" spans="1:14" x14ac:dyDescent="0.2">
      <c r="A268" s="1" t="s">
        <v>20</v>
      </c>
      <c r="C268" s="1" t="s">
        <v>21</v>
      </c>
      <c r="D268" s="7">
        <f>1360296-937.840006</f>
        <v>1359358.1599940001</v>
      </c>
      <c r="E268" s="7">
        <v>433868</v>
      </c>
      <c r="F268" s="7">
        <v>94085</v>
      </c>
      <c r="G268" s="7">
        <f>SUM(D268:F268)</f>
        <v>1887311.1599940001</v>
      </c>
      <c r="I268" s="7">
        <f>1929232-16060.223</f>
        <v>1913171.777</v>
      </c>
      <c r="J268" s="7">
        <v>278368</v>
      </c>
      <c r="K268" s="7">
        <f>636121+101674-101.184</f>
        <v>737693.81599999999</v>
      </c>
      <c r="L268" s="7">
        <f>SUM(I268:K268)</f>
        <v>2929233.5929999999</v>
      </c>
      <c r="N268" s="7">
        <f>G268+L268</f>
        <v>4816544.752994</v>
      </c>
    </row>
    <row r="269" spans="1:14" x14ac:dyDescent="0.2">
      <c r="C269" s="1" t="s">
        <v>22</v>
      </c>
      <c r="D269" s="7">
        <v>1256390.939</v>
      </c>
      <c r="E269" s="7">
        <v>368337.98</v>
      </c>
      <c r="F269" s="7">
        <v>79168.153999999995</v>
      </c>
      <c r="G269" s="7">
        <f>SUM(D269:F269)</f>
        <v>1703897.0730000001</v>
      </c>
      <c r="I269" s="7">
        <v>1771097.6980000001</v>
      </c>
      <c r="J269" s="7">
        <v>283758.67200000002</v>
      </c>
      <c r="K269" s="7">
        <v>673992.71199999994</v>
      </c>
      <c r="L269" s="7">
        <f>SUM(I269:K269)</f>
        <v>2728849.0819999999</v>
      </c>
      <c r="N269" s="7">
        <f>G269+L269</f>
        <v>4432746.1550000003</v>
      </c>
    </row>
    <row r="270" spans="1:14" s="11" customFormat="1" x14ac:dyDescent="0.2">
      <c r="C270" s="11" t="s">
        <v>23</v>
      </c>
      <c r="D270" s="11">
        <f>(D268/D269)-1</f>
        <v>8.1954762484959476E-2</v>
      </c>
      <c r="E270" s="11">
        <f>(E268/E269)-1</f>
        <v>0.1779073121919168</v>
      </c>
      <c r="F270" s="11">
        <f>(F268/F269)-1</f>
        <v>0.18841977798295018</v>
      </c>
      <c r="G270" s="11">
        <f>(G268/G269)-1</f>
        <v>0.10764387702777634</v>
      </c>
      <c r="I270" s="11">
        <f>(I268/I269)-1</f>
        <v>8.0218092519930506E-2</v>
      </c>
      <c r="J270" s="11">
        <f>(J268/J269)-1</f>
        <v>-1.899738239541815E-2</v>
      </c>
      <c r="K270" s="11">
        <f>(K268/K269)-1</f>
        <v>9.4513045713764399E-2</v>
      </c>
      <c r="L270" s="11">
        <f>(L268/L269)-1</f>
        <v>7.3431877314789507E-2</v>
      </c>
      <c r="N270" s="11">
        <f>(N268/N269)-1</f>
        <v>8.6582579866678611E-2</v>
      </c>
    </row>
    <row r="272" spans="1:14" x14ac:dyDescent="0.2">
      <c r="A272" s="1" t="s">
        <v>47</v>
      </c>
      <c r="C272" s="1" t="s">
        <v>21</v>
      </c>
      <c r="D272" s="7">
        <f t="shared" ref="D272:G273" si="35">D224+D228+D232+D236+D240+D244+D248+D252+D256+D260+D264+D268</f>
        <v>14312753.519812001</v>
      </c>
      <c r="E272" s="7">
        <f t="shared" si="35"/>
        <v>4526259</v>
      </c>
      <c r="F272" s="7">
        <f t="shared" si="35"/>
        <v>963912</v>
      </c>
      <c r="G272" s="7">
        <f t="shared" si="35"/>
        <v>19802924.519811999</v>
      </c>
      <c r="I272" s="7">
        <f t="shared" ref="I272:L273" si="36">I224+I228+I232+I236+I240+I244+I248+I252+I256+I260+I264+I268</f>
        <v>21294330.941</v>
      </c>
      <c r="J272" s="7">
        <f t="shared" si="36"/>
        <v>3577589</v>
      </c>
      <c r="K272" s="7">
        <f t="shared" si="36"/>
        <v>8444713.7213860005</v>
      </c>
      <c r="L272" s="7">
        <f t="shared" si="36"/>
        <v>33316633.662386</v>
      </c>
      <c r="N272" s="7">
        <f>N224+N228+N232+N236+N240+N244+N248+N252+N256+N260+N264+N268</f>
        <v>53119558.182197995</v>
      </c>
    </row>
    <row r="273" spans="1:14" x14ac:dyDescent="0.2">
      <c r="C273" s="1" t="s">
        <v>22</v>
      </c>
      <c r="D273" s="7">
        <f t="shared" si="35"/>
        <v>13133938.262999998</v>
      </c>
      <c r="E273" s="7">
        <f t="shared" si="35"/>
        <v>4060413.568</v>
      </c>
      <c r="F273" s="7">
        <f t="shared" si="35"/>
        <v>841819.33799999999</v>
      </c>
      <c r="G273" s="7">
        <f t="shared" si="35"/>
        <v>18036171.169</v>
      </c>
      <c r="I273" s="7">
        <f t="shared" si="36"/>
        <v>19731527.325999998</v>
      </c>
      <c r="J273" s="7">
        <f t="shared" si="36"/>
        <v>3262416.5370000005</v>
      </c>
      <c r="K273" s="7">
        <f t="shared" si="36"/>
        <v>7786029.551</v>
      </c>
      <c r="L273" s="7">
        <f t="shared" si="36"/>
        <v>30779973.413999997</v>
      </c>
      <c r="N273" s="7">
        <f>N225+N229+N233+N237+N241+N245+N249+N253+N257+N261+N265+N269</f>
        <v>48816144.583000004</v>
      </c>
    </row>
    <row r="274" spans="1:14" x14ac:dyDescent="0.2">
      <c r="C274" s="1" t="s">
        <v>23</v>
      </c>
      <c r="D274" s="11">
        <f>(D272/D273)-1</f>
        <v>8.9753372766558259E-2</v>
      </c>
      <c r="E274" s="11">
        <f>(E272/E273)-1</f>
        <v>0.11472856747187388</v>
      </c>
      <c r="F274" s="11">
        <f>(F272/F273)-1</f>
        <v>0.14503428050259393</v>
      </c>
      <c r="G274" s="11">
        <f>(G272/G273)-1</f>
        <v>9.7956120190777485E-2</v>
      </c>
      <c r="I274" s="11">
        <f>(I272/I273)-1</f>
        <v>7.9203377882497428E-2</v>
      </c>
      <c r="J274" s="11">
        <f>(J272/J273)-1</f>
        <v>9.6607057812985619E-2</v>
      </c>
      <c r="K274" s="11">
        <f>(K272/K273)-1</f>
        <v>8.4598210945834751E-2</v>
      </c>
      <c r="L274" s="11">
        <f>(L272/L273)-1</f>
        <v>8.2412684841119077E-2</v>
      </c>
      <c r="N274" s="11">
        <f>(N272/N273)-1</f>
        <v>8.815554026150263E-2</v>
      </c>
    </row>
    <row r="276" spans="1:14" x14ac:dyDescent="0.2">
      <c r="D276" s="19" t="s">
        <v>7</v>
      </c>
      <c r="E276" s="19"/>
      <c r="F276" s="19"/>
      <c r="G276" s="19"/>
      <c r="H276" s="10"/>
      <c r="I276" s="19" t="s">
        <v>8</v>
      </c>
      <c r="J276" s="19"/>
      <c r="K276" s="19"/>
      <c r="L276" s="19"/>
      <c r="N276" s="6" t="s">
        <v>24</v>
      </c>
    </row>
    <row r="277" spans="1:14" x14ac:dyDescent="0.2">
      <c r="D277" s="10" t="s">
        <v>0</v>
      </c>
      <c r="E277" s="10" t="s">
        <v>1</v>
      </c>
      <c r="F277" s="10" t="s">
        <v>2</v>
      </c>
      <c r="G277" s="10" t="s">
        <v>24</v>
      </c>
      <c r="H277" s="10"/>
      <c r="I277" s="10" t="s">
        <v>3</v>
      </c>
      <c r="J277" s="10" t="s">
        <v>4</v>
      </c>
      <c r="K277" s="10" t="s">
        <v>25</v>
      </c>
      <c r="L277" s="10" t="s">
        <v>24</v>
      </c>
      <c r="N277" s="10" t="s">
        <v>49</v>
      </c>
    </row>
    <row r="278" spans="1:14" x14ac:dyDescent="0.2">
      <c r="A278" s="1">
        <v>2003</v>
      </c>
    </row>
    <row r="279" spans="1:14" x14ac:dyDescent="0.2">
      <c r="A279" s="1" t="s">
        <v>9</v>
      </c>
      <c r="C279" s="1" t="s">
        <v>21</v>
      </c>
      <c r="D279" s="7">
        <f>1277408.119-930.999898</f>
        <v>1276477.119102</v>
      </c>
      <c r="E279" s="7">
        <v>409814.75099999999</v>
      </c>
      <c r="F279" s="7">
        <v>72765.597999999998</v>
      </c>
      <c r="G279" s="7">
        <f>SUM(D279:F279)</f>
        <v>1759057.468102</v>
      </c>
      <c r="I279" s="7">
        <f>1757177.234-12666.117</f>
        <v>1744511.1169999999</v>
      </c>
      <c r="J279" s="7">
        <v>268300.72200000001</v>
      </c>
      <c r="K279" s="7">
        <f>633648.932+90660.459-93.999936</f>
        <v>724215.39106400008</v>
      </c>
      <c r="L279" s="7">
        <f>SUM(I279:K279)</f>
        <v>2737027.230064</v>
      </c>
      <c r="N279" s="7">
        <f>G279+L279</f>
        <v>4496084.6981659997</v>
      </c>
    </row>
    <row r="280" spans="1:14" x14ac:dyDescent="0.2">
      <c r="C280" s="1" t="s">
        <v>22</v>
      </c>
      <c r="D280" s="7">
        <v>1141138.2209999999</v>
      </c>
      <c r="E280" s="7">
        <v>352035.82799999998</v>
      </c>
      <c r="F280" s="7">
        <v>70549.914999999994</v>
      </c>
      <c r="G280" s="7">
        <f>SUM(D280:F280)</f>
        <v>1563723.9639999999</v>
      </c>
      <c r="I280" s="7">
        <v>1635825.4069999999</v>
      </c>
      <c r="J280" s="7">
        <v>258230.03200000001</v>
      </c>
      <c r="K280" s="7">
        <v>662385.21</v>
      </c>
      <c r="L280" s="7">
        <f>SUM(I280:K280)</f>
        <v>2556440.6489999997</v>
      </c>
      <c r="N280" s="7">
        <f>G280+L280</f>
        <v>4120164.6129999999</v>
      </c>
    </row>
    <row r="281" spans="1:14" x14ac:dyDescent="0.2">
      <c r="A281" s="11"/>
      <c r="B281" s="11"/>
      <c r="C281" s="11" t="s">
        <v>23</v>
      </c>
      <c r="D281" s="11">
        <f>(D279/D280)-1</f>
        <v>0.11859991682988258</v>
      </c>
      <c r="E281" s="11">
        <f>(E279/E280)-1</f>
        <v>0.16412796199823165</v>
      </c>
      <c r="F281" s="11">
        <f>(F279/F280)-1</f>
        <v>3.1405891842676281E-2</v>
      </c>
      <c r="G281" s="11">
        <f>(G279/G280)-1</f>
        <v>0.12491559162547961</v>
      </c>
      <c r="H281" s="11"/>
      <c r="I281" s="11">
        <f>(I279/I280)-1</f>
        <v>6.6440898603795873E-2</v>
      </c>
      <c r="J281" s="11">
        <f>(J279/J280)-1</f>
        <v>3.8998910862544367E-2</v>
      </c>
      <c r="K281" s="11">
        <f>(K279/K280)-1</f>
        <v>9.3344748841841074E-2</v>
      </c>
      <c r="L281" s="11">
        <f>(L279/L280)-1</f>
        <v>7.0639848859640031E-2</v>
      </c>
      <c r="N281" s="11">
        <f>(N279/N280)-1</f>
        <v>9.1239093695405282E-2</v>
      </c>
    </row>
    <row r="283" spans="1:14" x14ac:dyDescent="0.2">
      <c r="A283" s="1" t="s">
        <v>10</v>
      </c>
      <c r="C283" s="1" t="s">
        <v>21</v>
      </c>
      <c r="D283" s="7">
        <f>1178813.522-926.999892</f>
        <v>1177886.522108</v>
      </c>
      <c r="E283" s="7">
        <v>356924.49599999998</v>
      </c>
      <c r="F283" s="7">
        <v>67934.679999999993</v>
      </c>
      <c r="G283" s="7">
        <f>SUM(D283:F283)</f>
        <v>1602745.698108</v>
      </c>
      <c r="I283" s="7">
        <f>1594347.024-11304.65</f>
        <v>1583042.3740000001</v>
      </c>
      <c r="J283" s="7">
        <v>219904.48699999999</v>
      </c>
      <c r="K283" s="7">
        <f>583046.319+81078.468-87.999744</f>
        <v>664036.78725599998</v>
      </c>
      <c r="L283" s="7">
        <f>SUM(I283:K283)</f>
        <v>2466983.6482560001</v>
      </c>
      <c r="N283" s="7">
        <f>G283+L283</f>
        <v>4069729.3463639999</v>
      </c>
    </row>
    <row r="284" spans="1:14" x14ac:dyDescent="0.2">
      <c r="C284" s="1" t="s">
        <v>22</v>
      </c>
      <c r="D284" s="7">
        <v>1034031.736</v>
      </c>
      <c r="E284" s="7">
        <v>307097.78499999997</v>
      </c>
      <c r="F284" s="7">
        <v>60493.692999999999</v>
      </c>
      <c r="G284" s="7">
        <f>SUM(D284:F284)</f>
        <v>1401623.2139999999</v>
      </c>
      <c r="I284" s="7">
        <v>1441255.219</v>
      </c>
      <c r="J284" s="7">
        <v>223069.916</v>
      </c>
      <c r="K284" s="7">
        <v>606097.01599999995</v>
      </c>
      <c r="L284" s="7">
        <f>SUM(I284:K284)</f>
        <v>2270422.1510000001</v>
      </c>
      <c r="N284" s="7">
        <f>G284+L284</f>
        <v>3672045.3650000002</v>
      </c>
    </row>
    <row r="285" spans="1:14" x14ac:dyDescent="0.2">
      <c r="A285" s="11"/>
      <c r="B285" s="11"/>
      <c r="C285" s="11" t="s">
        <v>23</v>
      </c>
      <c r="D285" s="11">
        <f>(D283/D284)-1</f>
        <v>0.13912028141851929</v>
      </c>
      <c r="E285" s="11">
        <f>(E283/E284)-1</f>
        <v>0.1622503105973232</v>
      </c>
      <c r="F285" s="11">
        <f>(F283/F284)-1</f>
        <v>0.12300434360983714</v>
      </c>
      <c r="G285" s="11">
        <f>(G283/G284)-1</f>
        <v>0.14349254642696008</v>
      </c>
      <c r="H285" s="11"/>
      <c r="I285" s="11">
        <f>(I283/I284)-1</f>
        <v>9.8377548355646161E-2</v>
      </c>
      <c r="J285" s="11">
        <f>(J283/J284)-1</f>
        <v>-1.419029986992959E-2</v>
      </c>
      <c r="K285" s="11">
        <f>(K283/K284)-1</f>
        <v>9.5594879576176739E-2</v>
      </c>
      <c r="L285" s="11">
        <f>(L283/L284)-1</f>
        <v>8.6574867660371035E-2</v>
      </c>
      <c r="N285" s="11">
        <f>(N283/N284)-1</f>
        <v>0.10830039986828965</v>
      </c>
    </row>
    <row r="287" spans="1:14" x14ac:dyDescent="0.2">
      <c r="A287" s="1" t="s">
        <v>11</v>
      </c>
      <c r="C287" s="1" t="s">
        <v>21</v>
      </c>
      <c r="D287" s="7">
        <f>1196646.082-929.999987</f>
        <v>1195716.082013</v>
      </c>
      <c r="E287" s="7">
        <v>351575.27799999999</v>
      </c>
      <c r="F287" s="7">
        <v>70636.269</v>
      </c>
      <c r="G287" s="7">
        <f>SUM(D287:F287)</f>
        <v>1617927.6290130001</v>
      </c>
      <c r="I287" s="7">
        <f>1598314.047-12863.386</f>
        <v>1585450.6610000001</v>
      </c>
      <c r="J287" s="7">
        <v>259378.53899999999</v>
      </c>
      <c r="K287" s="7">
        <f>618995.694+86161.782-92.000064</f>
        <v>705065.475936</v>
      </c>
      <c r="L287" s="7">
        <f>SUM(I287:K287)</f>
        <v>2549894.6759360004</v>
      </c>
      <c r="N287" s="7">
        <f>G287+L287</f>
        <v>4167822.3049490005</v>
      </c>
    </row>
    <row r="288" spans="1:14" x14ac:dyDescent="0.2">
      <c r="C288" s="1" t="s">
        <v>22</v>
      </c>
      <c r="D288" s="7">
        <v>1161382.9709999999</v>
      </c>
      <c r="E288" s="7">
        <v>339880.19300000003</v>
      </c>
      <c r="F288" s="7">
        <v>61718.033000000003</v>
      </c>
      <c r="G288" s="7">
        <f>SUM(D288:F288)</f>
        <v>1562981.1969999999</v>
      </c>
      <c r="I288" s="7">
        <v>1480119.754</v>
      </c>
      <c r="J288" s="7">
        <v>234633.86600000001</v>
      </c>
      <c r="K288" s="7">
        <v>789929.19900000002</v>
      </c>
      <c r="L288" s="7">
        <f>SUM(I288:K288)</f>
        <v>2504682.8190000001</v>
      </c>
      <c r="N288" s="7">
        <f>G288+L288</f>
        <v>4067664.0159999998</v>
      </c>
    </row>
    <row r="289" spans="1:14" x14ac:dyDescent="0.2">
      <c r="A289" s="11"/>
      <c r="B289" s="11"/>
      <c r="C289" s="11" t="s">
        <v>23</v>
      </c>
      <c r="D289" s="11">
        <f>(D287/D288)-1</f>
        <v>2.9562264877569078E-2</v>
      </c>
      <c r="E289" s="11">
        <f>(E287/E288)-1</f>
        <v>3.4409433797161437E-2</v>
      </c>
      <c r="F289" s="11">
        <f>(F287/F288)-1</f>
        <v>0.1444996796965321</v>
      </c>
      <c r="G289" s="11">
        <f>(G287/G288)-1</f>
        <v>3.5154889974661652E-2</v>
      </c>
      <c r="H289" s="11"/>
      <c r="I289" s="11">
        <f>(I287/I288)-1</f>
        <v>7.1163773549636877E-2</v>
      </c>
      <c r="J289" s="11">
        <f>(J287/J288)-1</f>
        <v>0.1054607905578302</v>
      </c>
      <c r="K289" s="11">
        <f>(K287/K288)-1</f>
        <v>-0.10743206248285553</v>
      </c>
      <c r="L289" s="11">
        <f>(L287/L288)-1</f>
        <v>1.8050931077193688E-2</v>
      </c>
      <c r="N289" s="11">
        <f>(N287/N288)-1</f>
        <v>2.4623048647831158E-2</v>
      </c>
    </row>
    <row r="291" spans="1:14" x14ac:dyDescent="0.2">
      <c r="A291" s="1" t="s">
        <v>12</v>
      </c>
      <c r="C291" s="1" t="s">
        <v>21</v>
      </c>
      <c r="D291" s="7">
        <f>1134694.054-921.999931</f>
        <v>1133772.0540690001</v>
      </c>
      <c r="E291" s="7">
        <v>307566.42800000001</v>
      </c>
      <c r="F291" s="7">
        <v>72075.42</v>
      </c>
      <c r="G291" s="7">
        <f>SUM(D291:F291)</f>
        <v>1513413.9020690001</v>
      </c>
      <c r="I291" s="7">
        <f>1549501.757-13233.839</f>
        <v>1536267.9180000001</v>
      </c>
      <c r="J291" s="7">
        <v>246604.31099999999</v>
      </c>
      <c r="K291" s="7">
        <f>564689.899+80963.387-76.999867</f>
        <v>645576.28613299993</v>
      </c>
      <c r="L291" s="7">
        <f>SUM(I291:K291)</f>
        <v>2428448.515133</v>
      </c>
      <c r="N291" s="7">
        <f>G291+L291</f>
        <v>3941862.417202</v>
      </c>
    </row>
    <row r="292" spans="1:14" x14ac:dyDescent="0.2">
      <c r="C292" s="1" t="s">
        <v>22</v>
      </c>
      <c r="D292" s="7">
        <v>945403.80799999996</v>
      </c>
      <c r="E292" s="7">
        <v>327511.15600000002</v>
      </c>
      <c r="F292" s="7">
        <v>60360.356</v>
      </c>
      <c r="G292" s="7">
        <f>SUM(D292:F292)</f>
        <v>1333275.3199999998</v>
      </c>
      <c r="I292" s="7">
        <v>1477169.267</v>
      </c>
      <c r="J292" s="7">
        <v>220582.54300000001</v>
      </c>
      <c r="K292" s="7">
        <v>610464.44799999997</v>
      </c>
      <c r="L292" s="7">
        <f>SUM(I292:K292)</f>
        <v>2308216.2579999999</v>
      </c>
      <c r="N292" s="7">
        <f>G292+L292</f>
        <v>3641491.5779999997</v>
      </c>
    </row>
    <row r="293" spans="1:14" x14ac:dyDescent="0.2">
      <c r="A293" s="11"/>
      <c r="B293" s="11"/>
      <c r="C293" s="11" t="s">
        <v>23</v>
      </c>
      <c r="D293" s="11">
        <f>(D291/D292)-1</f>
        <v>0.19924633735873432</v>
      </c>
      <c r="E293" s="11">
        <f>(E291/E292)-1</f>
        <v>-6.0897858392341297E-2</v>
      </c>
      <c r="F293" s="11">
        <f>(F291/F292)-1</f>
        <v>0.19408540267721408</v>
      </c>
      <c r="G293" s="11">
        <f>(G291/G292)-1</f>
        <v>0.13510981517980869</v>
      </c>
      <c r="H293" s="11"/>
      <c r="I293" s="11">
        <f>(I291/I292)-1</f>
        <v>4.0008042626031637E-2</v>
      </c>
      <c r="J293" s="11">
        <f>(J291/J292)-1</f>
        <v>0.11796839244889834</v>
      </c>
      <c r="K293" s="11">
        <f>(K291/K292)-1</f>
        <v>5.751659781013152E-2</v>
      </c>
      <c r="L293" s="11">
        <f>(L291/L292)-1</f>
        <v>5.2088818244949708E-2</v>
      </c>
      <c r="N293" s="11">
        <f>(N291/N292)-1</f>
        <v>8.2485660825548646E-2</v>
      </c>
    </row>
    <row r="295" spans="1:14" x14ac:dyDescent="0.2">
      <c r="A295" s="1" t="s">
        <v>13</v>
      </c>
      <c r="C295" s="1" t="s">
        <v>21</v>
      </c>
      <c r="D295" s="7">
        <f>1094739.314-927.00006</f>
        <v>1093812.31394</v>
      </c>
      <c r="E295" s="7">
        <v>326127.40700000001</v>
      </c>
      <c r="F295" s="7">
        <v>71859.845000000001</v>
      </c>
      <c r="G295" s="7">
        <f>SUM(D295:F295)</f>
        <v>1491799.5659399999</v>
      </c>
      <c r="I295" s="7">
        <f>1723652.836-14696.191</f>
        <v>1708956.6449999998</v>
      </c>
      <c r="J295" s="7">
        <v>319725.37699999998</v>
      </c>
      <c r="K295" s="7">
        <f>554972.521+82344.924-66.00024</f>
        <v>637251.44475999998</v>
      </c>
      <c r="L295" s="7">
        <f>SUM(I295:K295)</f>
        <v>2665933.4667599997</v>
      </c>
      <c r="N295" s="7">
        <f>G295+L295</f>
        <v>4157733.0326999994</v>
      </c>
    </row>
    <row r="296" spans="1:14" x14ac:dyDescent="0.2">
      <c r="C296" s="1" t="s">
        <v>22</v>
      </c>
      <c r="D296" s="7">
        <v>1008995.93</v>
      </c>
      <c r="E296" s="7">
        <v>247521.057</v>
      </c>
      <c r="F296" s="7">
        <v>62542.741000000002</v>
      </c>
      <c r="G296" s="7">
        <f>SUM(D296:F296)</f>
        <v>1319059.7279999999</v>
      </c>
      <c r="I296" s="7">
        <v>1633244.0079999999</v>
      </c>
      <c r="J296" s="7">
        <v>250239.49900000001</v>
      </c>
      <c r="K296" s="7">
        <v>591408.098</v>
      </c>
      <c r="L296" s="7">
        <f>SUM(I296:K296)</f>
        <v>2474891.605</v>
      </c>
      <c r="N296" s="7">
        <f>G296+L296</f>
        <v>3793951.3329999996</v>
      </c>
    </row>
    <row r="297" spans="1:14" x14ac:dyDescent="0.2">
      <c r="A297" s="11"/>
      <c r="B297" s="11"/>
      <c r="C297" s="11" t="s">
        <v>23</v>
      </c>
      <c r="D297" s="11">
        <f>(D295/D296)-1</f>
        <v>8.4060184405302829E-2</v>
      </c>
      <c r="E297" s="11">
        <f>(E295/E296)-1</f>
        <v>0.31757439529680087</v>
      </c>
      <c r="F297" s="11">
        <f>(F295/F296)-1</f>
        <v>0.14897178874843364</v>
      </c>
      <c r="G297" s="11">
        <f>(G295/G296)-1</f>
        <v>0.13095679768945234</v>
      </c>
      <c r="H297" s="11"/>
      <c r="I297" s="11">
        <f>(I295/I296)-1</f>
        <v>4.6357210942848726E-2</v>
      </c>
      <c r="J297" s="11">
        <f>(J295/J296)-1</f>
        <v>0.27767749806756115</v>
      </c>
      <c r="K297" s="11">
        <f>(K295/K296)-1</f>
        <v>7.7515588499770471E-2</v>
      </c>
      <c r="L297" s="11">
        <f>(L295/L296)-1</f>
        <v>7.7192011712367448E-2</v>
      </c>
      <c r="N297" s="11">
        <f>(N295/N296)-1</f>
        <v>9.5884651059123138E-2</v>
      </c>
    </row>
    <row r="299" spans="1:14" x14ac:dyDescent="0.2">
      <c r="A299" s="1" t="s">
        <v>14</v>
      </c>
      <c r="C299" s="1" t="s">
        <v>21</v>
      </c>
      <c r="D299" s="7">
        <f>1133675.508-917.999997</f>
        <v>1132757.5080029999</v>
      </c>
      <c r="E299" s="7">
        <v>362436.99599999998</v>
      </c>
      <c r="F299" s="7">
        <v>84565.998999999996</v>
      </c>
      <c r="G299" s="7">
        <f>SUM(D299:F299)</f>
        <v>1579760.503003</v>
      </c>
      <c r="I299" s="7">
        <f>1786027.177-15459.334</f>
        <v>1770567.8429999999</v>
      </c>
      <c r="J299" s="7">
        <v>420470.511</v>
      </c>
      <c r="K299" s="7">
        <f>550738.651+77938.786-70.99992</f>
        <v>628606.43707999995</v>
      </c>
      <c r="L299" s="7">
        <f>SUM(I299:K299)</f>
        <v>2819644.7910799999</v>
      </c>
      <c r="N299" s="7">
        <f>G299+L299</f>
        <v>4399405.2940830002</v>
      </c>
    </row>
    <row r="300" spans="1:14" x14ac:dyDescent="0.2">
      <c r="C300" s="1" t="s">
        <v>22</v>
      </c>
      <c r="D300" s="7">
        <v>1334269.561</v>
      </c>
      <c r="E300" s="7">
        <v>426916.63199999998</v>
      </c>
      <c r="F300" s="7">
        <v>96868.156000000003</v>
      </c>
      <c r="G300" s="7">
        <f>SUM(D300:F300)</f>
        <v>1858054.3489999999</v>
      </c>
      <c r="I300" s="7">
        <v>1387740.784</v>
      </c>
      <c r="J300" s="7">
        <v>350941.17499999999</v>
      </c>
      <c r="K300" s="7">
        <v>576758.65899999999</v>
      </c>
      <c r="L300" s="7">
        <f>SUM(I300:K300)</f>
        <v>2315440.6179999998</v>
      </c>
      <c r="N300" s="7">
        <f>G300+L300</f>
        <v>4173494.9669999997</v>
      </c>
    </row>
    <row r="301" spans="1:14" x14ac:dyDescent="0.2">
      <c r="A301" s="11"/>
      <c r="B301" s="11"/>
      <c r="C301" s="11" t="s">
        <v>23</v>
      </c>
      <c r="D301" s="11">
        <f>(D299/D300)-1</f>
        <v>-0.15102799230911934</v>
      </c>
      <c r="E301" s="11">
        <f>(E299/E300)-1</f>
        <v>-0.15103566168862681</v>
      </c>
      <c r="F301" s="11">
        <f>(F299/F300)-1</f>
        <v>-0.12699897993309595</v>
      </c>
      <c r="G301" s="11">
        <f>(G299/G300)-1</f>
        <v>-0.14977702140240245</v>
      </c>
      <c r="H301" s="11"/>
      <c r="I301" s="11">
        <f>(I299/I300)-1</f>
        <v>0.27586352106518475</v>
      </c>
      <c r="J301" s="11">
        <f>(J299/J300)-1</f>
        <v>0.1981224802133863</v>
      </c>
      <c r="K301" s="11">
        <f>(K299/K300)-1</f>
        <v>8.9895101306142644E-2</v>
      </c>
      <c r="L301" s="11">
        <f>(L299/L300)-1</f>
        <v>0.21775733273415354</v>
      </c>
      <c r="N301" s="11">
        <f>(N299/N300)-1</f>
        <v>5.4129771059814979E-2</v>
      </c>
    </row>
    <row r="303" spans="1:14" x14ac:dyDescent="0.2">
      <c r="A303" s="1" t="s">
        <v>15</v>
      </c>
      <c r="C303" s="1" t="s">
        <v>21</v>
      </c>
      <c r="D303" s="7">
        <f>1261904.645-918.999912</f>
        <v>1260985.645088</v>
      </c>
      <c r="E303" s="7">
        <v>407480.55200000003</v>
      </c>
      <c r="F303" s="7">
        <v>91770.751000000004</v>
      </c>
      <c r="G303" s="7">
        <f>SUM(D303:F303)</f>
        <v>1760236.9480879998</v>
      </c>
      <c r="I303" s="7">
        <f>2162288.702-19019.864</f>
        <v>2143268.838</v>
      </c>
      <c r="J303" s="7">
        <v>452907.196</v>
      </c>
      <c r="K303" s="7">
        <f>616214.117+81811.652-59.99988</f>
        <v>697965.76911999995</v>
      </c>
      <c r="L303" s="7">
        <f>SUM(I303:K303)</f>
        <v>3294141.8031199998</v>
      </c>
      <c r="N303" s="7">
        <f>G303+L303</f>
        <v>5054378.7512079999</v>
      </c>
    </row>
    <row r="304" spans="1:14" x14ac:dyDescent="0.2">
      <c r="C304" s="1" t="s">
        <v>22</v>
      </c>
      <c r="D304" s="7">
        <v>1169716.5419999999</v>
      </c>
      <c r="E304" s="7">
        <v>353564.23200000002</v>
      </c>
      <c r="F304" s="7">
        <v>82703.263000000006</v>
      </c>
      <c r="G304" s="7">
        <f>SUM(D304:F304)</f>
        <v>1605984.037</v>
      </c>
      <c r="I304" s="7">
        <v>2076309.7760000001</v>
      </c>
      <c r="J304" s="7">
        <v>390642.03700000001</v>
      </c>
      <c r="K304" s="7">
        <v>639070.10900000005</v>
      </c>
      <c r="L304" s="7">
        <f>SUM(I304:K304)</f>
        <v>3106021.9220000003</v>
      </c>
      <c r="N304" s="7">
        <f>G304+L304</f>
        <v>4712005.9590000007</v>
      </c>
    </row>
    <row r="305" spans="1:14" x14ac:dyDescent="0.2">
      <c r="A305" s="11"/>
      <c r="B305" s="11"/>
      <c r="C305" s="11" t="s">
        <v>23</v>
      </c>
      <c r="D305" s="11">
        <f>(D303/D304)-1</f>
        <v>7.8026684081894615E-2</v>
      </c>
      <c r="E305" s="11">
        <f>(E303/E304)-1</f>
        <v>0.15249370586784927</v>
      </c>
      <c r="F305" s="11">
        <f>(F303/F304)-1</f>
        <v>0.10963881799923669</v>
      </c>
      <c r="G305" s="11">
        <f>(G303/G304)-1</f>
        <v>9.6048844530326916E-2</v>
      </c>
      <c r="H305" s="11"/>
      <c r="I305" s="11">
        <f>(I303/I304)-1</f>
        <v>3.224907129657506E-2</v>
      </c>
      <c r="J305" s="11">
        <f>(J303/J304)-1</f>
        <v>0.15939185520886467</v>
      </c>
      <c r="K305" s="11">
        <f>(K303/K304)-1</f>
        <v>9.2158370874454221E-2</v>
      </c>
      <c r="L305" s="11">
        <f>(L303/L304)-1</f>
        <v>6.0566179455316727E-2</v>
      </c>
      <c r="N305" s="11">
        <f>(N303/N304)-1</f>
        <v>7.2659668766772656E-2</v>
      </c>
    </row>
    <row r="307" spans="1:14" x14ac:dyDescent="0.2">
      <c r="A307" s="1" t="s">
        <v>16</v>
      </c>
      <c r="C307" s="1" t="s">
        <v>21</v>
      </c>
      <c r="D307" s="7">
        <f>1200766.627-919.999933</f>
        <v>1199846.6270670001</v>
      </c>
      <c r="E307" s="7">
        <v>389806.375</v>
      </c>
      <c r="F307" s="7">
        <v>83327.236000000004</v>
      </c>
      <c r="G307" s="7">
        <f>SUM(D307:F307)</f>
        <v>1672980.2380670002</v>
      </c>
      <c r="I307" s="7">
        <f>2058106.179-18469.814</f>
        <v>2039636.365</v>
      </c>
      <c r="J307" s="7">
        <v>365517.45500000002</v>
      </c>
      <c r="K307" s="7">
        <f>607871.687+85657.546-73.999728</f>
        <v>693455.23327199998</v>
      </c>
      <c r="L307" s="7">
        <f>SUM(I307:K307)</f>
        <v>3098609.0532719996</v>
      </c>
      <c r="N307" s="7">
        <f>G307+L307</f>
        <v>4771589.2913389998</v>
      </c>
    </row>
    <row r="308" spans="1:14" x14ac:dyDescent="0.2">
      <c r="C308" s="1" t="s">
        <v>22</v>
      </c>
      <c r="D308" s="7">
        <v>1080159.1470000001</v>
      </c>
      <c r="E308" s="7">
        <v>359874.16700000002</v>
      </c>
      <c r="F308" s="7">
        <v>75129.573999999993</v>
      </c>
      <c r="G308" s="7">
        <f>SUM(D308:F308)</f>
        <v>1515162.8880000003</v>
      </c>
      <c r="I308" s="7">
        <v>1843037.327</v>
      </c>
      <c r="J308" s="7">
        <v>335709.80200000003</v>
      </c>
      <c r="K308" s="7">
        <v>648745.57999999996</v>
      </c>
      <c r="L308" s="7">
        <f>SUM(I308:K308)</f>
        <v>2827492.7090000003</v>
      </c>
      <c r="N308" s="7">
        <f>G308+L308</f>
        <v>4342655.597000001</v>
      </c>
    </row>
    <row r="309" spans="1:14" x14ac:dyDescent="0.2">
      <c r="A309" s="11"/>
      <c r="B309" s="11"/>
      <c r="C309" s="11" t="s">
        <v>23</v>
      </c>
      <c r="D309" s="11">
        <f>(D307/D308)-1</f>
        <v>0.11080541270183764</v>
      </c>
      <c r="E309" s="11">
        <f>(E307/E308)-1</f>
        <v>8.3174094571784041E-2</v>
      </c>
      <c r="F309" s="11">
        <f>(F307/F308)-1</f>
        <v>0.10911364943983326</v>
      </c>
      <c r="G309" s="11">
        <f>(G307/G308)-1</f>
        <v>0.10415866922091599</v>
      </c>
      <c r="H309" s="11"/>
      <c r="I309" s="11">
        <f>(I307/I308)-1</f>
        <v>0.10667121881899888</v>
      </c>
      <c r="J309" s="11">
        <f>(J307/J308)-1</f>
        <v>8.878993947278313E-2</v>
      </c>
      <c r="K309" s="11">
        <f>(K307/K308)-1</f>
        <v>6.8917083445870997E-2</v>
      </c>
      <c r="L309" s="11">
        <f>(L307/L308)-1</f>
        <v>9.5885780150388067E-2</v>
      </c>
      <c r="N309" s="11">
        <f>(N307/N308)-1</f>
        <v>9.8772210864549237E-2</v>
      </c>
    </row>
    <row r="311" spans="1:14" x14ac:dyDescent="0.2">
      <c r="A311" s="1" t="s">
        <v>17</v>
      </c>
      <c r="C311" s="1" t="s">
        <v>21</v>
      </c>
      <c r="D311" s="7">
        <f>1106068.544-915.000241</f>
        <v>1105153.543759</v>
      </c>
      <c r="E311" s="7">
        <v>365278.495</v>
      </c>
      <c r="F311" s="7">
        <v>67037.241999999998</v>
      </c>
      <c r="G311" s="7">
        <f>SUM(D311:F311)</f>
        <v>1537469.2807590002</v>
      </c>
      <c r="I311" s="7">
        <f>1671456.035-14547.559</f>
        <v>1656908.476</v>
      </c>
      <c r="J311" s="7">
        <v>271008.11700000003</v>
      </c>
      <c r="K311" s="7">
        <f>563826.583+81470.022-82.00008</f>
        <v>645214.60491999995</v>
      </c>
      <c r="L311" s="7">
        <f>SUM(I311:K311)</f>
        <v>2573131.1979200002</v>
      </c>
      <c r="N311" s="7">
        <f>G311+L311</f>
        <v>4110600.4786790004</v>
      </c>
    </row>
    <row r="312" spans="1:14" x14ac:dyDescent="0.2">
      <c r="C312" s="1" t="s">
        <v>22</v>
      </c>
      <c r="D312" s="7">
        <v>1022113.419</v>
      </c>
      <c r="E312" s="7">
        <v>337312.799</v>
      </c>
      <c r="F312" s="7">
        <v>70751.442999999999</v>
      </c>
      <c r="G312" s="7">
        <f>SUM(D312:F312)</f>
        <v>1430177.6609999998</v>
      </c>
      <c r="I312" s="7">
        <v>1466206.8659999999</v>
      </c>
      <c r="J312" s="7">
        <v>285961.65000000002</v>
      </c>
      <c r="K312" s="7">
        <v>587228.89800000004</v>
      </c>
      <c r="L312" s="7">
        <f>SUM(I312:K312)</f>
        <v>2339397.4139999999</v>
      </c>
      <c r="N312" s="7">
        <f>G312+L312</f>
        <v>3769575.0749999997</v>
      </c>
    </row>
    <row r="313" spans="1:14" x14ac:dyDescent="0.2">
      <c r="A313" s="11"/>
      <c r="B313" s="11"/>
      <c r="C313" s="11" t="s">
        <v>23</v>
      </c>
      <c r="D313" s="11">
        <f>(D311/D312)-1</f>
        <v>8.1243552051438295E-2</v>
      </c>
      <c r="E313" s="11">
        <f>(E311/E312)-1</f>
        <v>8.2907307647107631E-2</v>
      </c>
      <c r="F313" s="11">
        <f>(F311/F312)-1</f>
        <v>-5.2496469930655709E-2</v>
      </c>
      <c r="G313" s="11">
        <f>(G311/G312)-1</f>
        <v>7.5019784383976829E-2</v>
      </c>
      <c r="H313" s="11"/>
      <c r="I313" s="11">
        <f>(I311/I312)-1</f>
        <v>0.13006460031131795</v>
      </c>
      <c r="J313" s="11">
        <f>(J311/J312)-1</f>
        <v>-5.2292092313777072E-2</v>
      </c>
      <c r="K313" s="11">
        <f>(K311/K312)-1</f>
        <v>9.8744641344268302E-2</v>
      </c>
      <c r="L313" s="11">
        <f>(L311/L312)-1</f>
        <v>9.9911961311589303E-2</v>
      </c>
      <c r="N313" s="11">
        <f>(N311/N312)-1</f>
        <v>9.0467863590434128E-2</v>
      </c>
    </row>
    <row r="315" spans="1:14" x14ac:dyDescent="0.2">
      <c r="A315" s="1" t="s">
        <v>18</v>
      </c>
      <c r="C315" s="1" t="s">
        <v>21</v>
      </c>
      <c r="D315" s="7">
        <f>1120859.543-921.999795</f>
        <v>1119937.543205</v>
      </c>
      <c r="E315" s="7">
        <v>361434.27899999998</v>
      </c>
      <c r="F315" s="7">
        <v>63368.082999999999</v>
      </c>
      <c r="G315" s="7">
        <f>SUM(D315:F315)</f>
        <v>1544739.9052050002</v>
      </c>
      <c r="I315" s="7">
        <f>1638259.879-14861.117</f>
        <v>1623398.7619999999</v>
      </c>
      <c r="J315" s="7">
        <v>274702.783</v>
      </c>
      <c r="K315" s="7">
        <f>587997.359+84946.179-63.99997</f>
        <v>672879.53803000005</v>
      </c>
      <c r="L315" s="7">
        <f>SUM(I315:K315)</f>
        <v>2570981.0830299999</v>
      </c>
      <c r="N315" s="7">
        <f>G315+L315</f>
        <v>4115720.9882350001</v>
      </c>
    </row>
    <row r="316" spans="1:14" x14ac:dyDescent="0.2">
      <c r="C316" s="1" t="s">
        <v>22</v>
      </c>
      <c r="D316" s="7">
        <v>991601.902</v>
      </c>
      <c r="E316" s="7">
        <v>340738.48200000002</v>
      </c>
      <c r="F316" s="7">
        <v>54497.580999999998</v>
      </c>
      <c r="G316" s="7">
        <f>SUM(D316:F316)</f>
        <v>1386837.9650000001</v>
      </c>
      <c r="I316" s="7">
        <v>1509473.2009999999</v>
      </c>
      <c r="J316" s="7">
        <v>248964.86199999999</v>
      </c>
      <c r="K316" s="7">
        <v>619464.45799999998</v>
      </c>
      <c r="L316" s="7">
        <f>SUM(I316:K316)</f>
        <v>2377902.5209999997</v>
      </c>
      <c r="N316" s="7">
        <f>G316+L316</f>
        <v>3764740.4859999996</v>
      </c>
    </row>
    <row r="317" spans="1:14" x14ac:dyDescent="0.2">
      <c r="A317" s="11"/>
      <c r="B317" s="11"/>
      <c r="C317" s="11" t="s">
        <v>23</v>
      </c>
      <c r="D317" s="11">
        <f>(D315/D316)-1</f>
        <v>0.12942254441641832</v>
      </c>
      <c r="E317" s="11">
        <f>(E315/E316)-1</f>
        <v>6.0738067736064938E-2</v>
      </c>
      <c r="F317" s="11">
        <f>(F315/F316)-1</f>
        <v>0.1627687291294635</v>
      </c>
      <c r="G317" s="11">
        <f>(G315/G316)-1</f>
        <v>0.11385752639458513</v>
      </c>
      <c r="H317" s="11"/>
      <c r="I317" s="11">
        <f>(I315/I316)-1</f>
        <v>7.5473722173090785E-2</v>
      </c>
      <c r="J317" s="11">
        <f>(J315/J316)-1</f>
        <v>0.10337973316089877</v>
      </c>
      <c r="K317" s="11">
        <f>(K315/K316)-1</f>
        <v>8.6227836545224479E-2</v>
      </c>
      <c r="L317" s="11">
        <f>(L315/L316)-1</f>
        <v>8.1197004639535608E-2</v>
      </c>
      <c r="N317" s="11">
        <f>(N315/N316)-1</f>
        <v>9.3228338989153947E-2</v>
      </c>
    </row>
    <row r="319" spans="1:14" x14ac:dyDescent="0.2">
      <c r="A319" s="1" t="s">
        <v>19</v>
      </c>
      <c r="C319" s="1" t="s">
        <v>21</v>
      </c>
      <c r="D319" s="7">
        <f>1237461.09-920.000326</f>
        <v>1236541.0896740002</v>
      </c>
      <c r="E319" s="7">
        <v>393441.49800000002</v>
      </c>
      <c r="F319" s="7">
        <v>67981.562999999995</v>
      </c>
      <c r="G319" s="7">
        <f>SUM(D319:F319)</f>
        <v>1697964.1506740004</v>
      </c>
      <c r="I319" s="7">
        <f>1729551.546-14435.622</f>
        <v>1715115.9240000001</v>
      </c>
      <c r="J319" s="7">
        <v>261256.891</v>
      </c>
      <c r="K319" s="7">
        <f>614323.427+100227.763-73.00008</f>
        <v>714478.18992000003</v>
      </c>
      <c r="L319" s="7">
        <f>SUM(I319:K319)</f>
        <v>2690851.0049200002</v>
      </c>
      <c r="N319" s="7">
        <f>G319+L319</f>
        <v>4388815.1555940006</v>
      </c>
    </row>
    <row r="320" spans="1:14" x14ac:dyDescent="0.2">
      <c r="C320" s="1" t="s">
        <v>22</v>
      </c>
      <c r="D320" s="7">
        <v>1144577.0379999999</v>
      </c>
      <c r="E320" s="7">
        <v>351816.2</v>
      </c>
      <c r="F320" s="7">
        <v>61401.665999999997</v>
      </c>
      <c r="G320" s="7">
        <f>SUM(D320:F320)</f>
        <v>1557794.9039999999</v>
      </c>
      <c r="I320" s="7">
        <v>1615645.6969999999</v>
      </c>
      <c r="J320" s="7">
        <v>228339.796</v>
      </c>
      <c r="K320" s="7">
        <v>637623.89799999993</v>
      </c>
      <c r="L320" s="7">
        <f>SUM(I320:K320)</f>
        <v>2481609.3909999998</v>
      </c>
      <c r="N320" s="7">
        <f>G320+L320</f>
        <v>4039404.2949999999</v>
      </c>
    </row>
    <row r="321" spans="1:14" x14ac:dyDescent="0.2">
      <c r="A321" s="11"/>
      <c r="B321" s="11"/>
      <c r="C321" s="11" t="s">
        <v>23</v>
      </c>
      <c r="D321" s="11">
        <f>(D319/D320)-1</f>
        <v>8.0347629404391663E-2</v>
      </c>
      <c r="E321" s="11">
        <f>(E319/E320)-1</f>
        <v>0.11831546699668749</v>
      </c>
      <c r="F321" s="11">
        <f>(F319/F320)-1</f>
        <v>0.10716153858105404</v>
      </c>
      <c r="G321" s="11">
        <f>(G319/G320)-1</f>
        <v>8.9979268974422322E-2</v>
      </c>
      <c r="H321" s="11"/>
      <c r="I321" s="11">
        <f>(I319/I320)-1</f>
        <v>6.1566856634905021E-2</v>
      </c>
      <c r="J321" s="11">
        <f>(J319/J320)-1</f>
        <v>0.14415837964574507</v>
      </c>
      <c r="K321" s="11">
        <f>(K319/K320)-1</f>
        <v>0.12053232659733237</v>
      </c>
      <c r="L321" s="11">
        <f>(L319/L320)-1</f>
        <v>8.4316901233067787E-2</v>
      </c>
      <c r="N321" s="11">
        <f>(N319/N320)-1</f>
        <v>8.6500591442778774E-2</v>
      </c>
    </row>
    <row r="323" spans="1:14" x14ac:dyDescent="0.2">
      <c r="A323" s="1" t="s">
        <v>20</v>
      </c>
      <c r="C323" s="1" t="s">
        <v>21</v>
      </c>
      <c r="D323" s="7">
        <f>1328679.511-929.081893</f>
        <v>1327750.4291069999</v>
      </c>
      <c r="E323" s="7">
        <v>437754.73499999999</v>
      </c>
      <c r="F323" s="7">
        <v>79364.710000000006</v>
      </c>
      <c r="G323" s="7">
        <f>SUM(D323:F323)</f>
        <v>1844869.874107</v>
      </c>
      <c r="I323" s="7">
        <f>1857446.988-15852.557</f>
        <v>1841594.4309999999</v>
      </c>
      <c r="J323" s="7">
        <v>277023.67</v>
      </c>
      <c r="K323" s="7">
        <f>647056.13+105217.828-100.000296</f>
        <v>752173.95770399994</v>
      </c>
      <c r="L323" s="7">
        <f>SUM(I323:K323)</f>
        <v>2870792.058704</v>
      </c>
      <c r="N323" s="7">
        <f>G323+L323</f>
        <v>4715661.9328109995</v>
      </c>
    </row>
    <row r="324" spans="1:14" x14ac:dyDescent="0.2">
      <c r="C324" s="1" t="s">
        <v>22</v>
      </c>
      <c r="D324" s="7">
        <v>1193953.6640000001</v>
      </c>
      <c r="E324" s="7">
        <v>400463.18</v>
      </c>
      <c r="F324" s="7">
        <v>77685.998000000007</v>
      </c>
      <c r="G324" s="7">
        <f>SUM(D324:F324)</f>
        <v>1672102.8419999999</v>
      </c>
      <c r="I324" s="7">
        <v>1638306.8929999999</v>
      </c>
      <c r="J324" s="7">
        <v>253045.33199999999</v>
      </c>
      <c r="K324" s="7">
        <v>677912.98800000001</v>
      </c>
      <c r="L324" s="7">
        <f>SUM(I324:K324)</f>
        <v>2569265.213</v>
      </c>
      <c r="N324" s="7">
        <f>G324+L324</f>
        <v>4241368.0549999997</v>
      </c>
    </row>
    <row r="325" spans="1:14" x14ac:dyDescent="0.2">
      <c r="A325" s="11"/>
      <c r="B325" s="11"/>
      <c r="C325" s="11" t="s">
        <v>23</v>
      </c>
      <c r="D325" s="11">
        <f>(D323/D324)-1</f>
        <v>0.11206194104614742</v>
      </c>
      <c r="E325" s="11">
        <f>(E323/E324)-1</f>
        <v>9.3121057970922516E-2</v>
      </c>
      <c r="F325" s="11">
        <f>(F323/F324)-1</f>
        <v>2.1608939103801017E-2</v>
      </c>
      <c r="G325" s="11">
        <f>(G323/G324)-1</f>
        <v>0.10332320941477113</v>
      </c>
      <c r="H325" s="11"/>
      <c r="I325" s="11">
        <f>(I323/I324)-1</f>
        <v>0.12408391789632778</v>
      </c>
      <c r="J325" s="11">
        <f>(J323/J324)-1</f>
        <v>9.4759060799430195E-2</v>
      </c>
      <c r="K325" s="11">
        <f>(K323/K324)-1</f>
        <v>0.10954351224791692</v>
      </c>
      <c r="L325" s="11">
        <f>(L323/L324)-1</f>
        <v>0.11735917498058623</v>
      </c>
      <c r="N325" s="11">
        <f>(N323/N324)-1</f>
        <v>0.1118256825770807</v>
      </c>
    </row>
    <row r="327" spans="1:14" x14ac:dyDescent="0.2">
      <c r="A327" s="1" t="s">
        <v>48</v>
      </c>
      <c r="C327" s="1" t="s">
        <v>21</v>
      </c>
      <c r="D327" s="7">
        <f t="shared" ref="D327:G328" si="37">D279+D283+D287+D291+D295+D299+D303+D307+D311+D315+D319+D323</f>
        <v>14260636.477134999</v>
      </c>
      <c r="E327" s="7">
        <f t="shared" si="37"/>
        <v>4469641.29</v>
      </c>
      <c r="F327" s="7">
        <f t="shared" si="37"/>
        <v>892687.39599999995</v>
      </c>
      <c r="G327" s="7">
        <f t="shared" si="37"/>
        <v>19622965.163135</v>
      </c>
      <c r="I327" s="7">
        <f t="shared" ref="I327:L328" si="38">I279+I283+I287+I291+I295+I299+I303+I307+I311+I315+I319+I323</f>
        <v>20948719.353999995</v>
      </c>
      <c r="J327" s="7">
        <f t="shared" si="38"/>
        <v>3636800.0589999999</v>
      </c>
      <c r="K327" s="7">
        <f t="shared" si="38"/>
        <v>8180919.1151950005</v>
      </c>
      <c r="L327" s="7">
        <f t="shared" si="38"/>
        <v>32766438.528194997</v>
      </c>
      <c r="N327" s="7">
        <f>N279+N283+N287+N291+N295+N299+N303+N307+N311+N315+N319+N323</f>
        <v>52389403.691329993</v>
      </c>
    </row>
    <row r="328" spans="1:14" x14ac:dyDescent="0.2">
      <c r="C328" s="1" t="s">
        <v>22</v>
      </c>
      <c r="D328" s="7">
        <f t="shared" si="37"/>
        <v>13227343.939000001</v>
      </c>
      <c r="E328" s="7">
        <f t="shared" si="37"/>
        <v>4144731.7110000001</v>
      </c>
      <c r="F328" s="7">
        <f t="shared" si="37"/>
        <v>834702.41899999999</v>
      </c>
      <c r="G328" s="7">
        <f t="shared" si="37"/>
        <v>18206778.068999998</v>
      </c>
      <c r="I328" s="7">
        <f t="shared" si="38"/>
        <v>19204334.198999997</v>
      </c>
      <c r="J328" s="7">
        <f t="shared" si="38"/>
        <v>3280360.5100000002</v>
      </c>
      <c r="K328" s="7">
        <f t="shared" si="38"/>
        <v>7647088.5609999998</v>
      </c>
      <c r="L328" s="7">
        <f t="shared" si="38"/>
        <v>30131783.27</v>
      </c>
      <c r="N328" s="7">
        <f>N280+N284+N288+N292+N296+N300+N304+N308+N312+N316+N320+N324</f>
        <v>48338561.339000009</v>
      </c>
    </row>
    <row r="329" spans="1:14" x14ac:dyDescent="0.2">
      <c r="C329" s="1" t="s">
        <v>23</v>
      </c>
      <c r="D329" s="11">
        <f>(D327/D328)-1</f>
        <v>7.8117915652620162E-2</v>
      </c>
      <c r="E329" s="11">
        <f>(E327/E328)-1</f>
        <v>7.8390979598920607E-2</v>
      </c>
      <c r="F329" s="11">
        <f>(F327/F328)-1</f>
        <v>6.9467843485427672E-2</v>
      </c>
      <c r="G329" s="11">
        <f>(G327/G328)-1</f>
        <v>7.7783509458287492E-2</v>
      </c>
      <c r="I329" s="11">
        <f>(I327/I328)-1</f>
        <v>9.08328889158172E-2</v>
      </c>
      <c r="J329" s="11">
        <f>(J327/J328)-1</f>
        <v>0.10865865136268194</v>
      </c>
      <c r="K329" s="11">
        <f>(K327/K328)-1</f>
        <v>6.9808339466280733E-2</v>
      </c>
      <c r="L329" s="11">
        <f>(L327/L328)-1</f>
        <v>8.7437747530134668E-2</v>
      </c>
      <c r="N329" s="11">
        <f>(N327/N328)-1</f>
        <v>8.3801466988669526E-2</v>
      </c>
    </row>
    <row r="331" spans="1:14" x14ac:dyDescent="0.2">
      <c r="D331" s="19" t="s">
        <v>7</v>
      </c>
      <c r="E331" s="19"/>
      <c r="F331" s="19"/>
      <c r="G331" s="19"/>
      <c r="H331" s="10"/>
      <c r="I331" s="19" t="s">
        <v>8</v>
      </c>
      <c r="J331" s="19"/>
      <c r="K331" s="19"/>
      <c r="L331" s="19"/>
      <c r="N331" s="6" t="s">
        <v>24</v>
      </c>
    </row>
    <row r="332" spans="1:14" x14ac:dyDescent="0.2">
      <c r="D332" s="10" t="s">
        <v>0</v>
      </c>
      <c r="E332" s="10" t="s">
        <v>1</v>
      </c>
      <c r="F332" s="10" t="s">
        <v>2</v>
      </c>
      <c r="G332" s="10" t="s">
        <v>24</v>
      </c>
      <c r="H332" s="10"/>
      <c r="I332" s="10" t="s">
        <v>3</v>
      </c>
      <c r="J332" s="10" t="s">
        <v>4</v>
      </c>
      <c r="K332" s="10" t="s">
        <v>25</v>
      </c>
      <c r="L332" s="10" t="s">
        <v>24</v>
      </c>
      <c r="N332" s="10" t="s">
        <v>49</v>
      </c>
    </row>
    <row r="333" spans="1:14" x14ac:dyDescent="0.2">
      <c r="A333" s="1">
        <v>2002</v>
      </c>
    </row>
    <row r="334" spans="1:14" x14ac:dyDescent="0.2">
      <c r="A334" s="1" t="s">
        <v>9</v>
      </c>
      <c r="C334" s="1" t="s">
        <v>21</v>
      </c>
      <c r="D334" s="7">
        <f>1409715.772-953.9196035</f>
        <v>1408761.8523965001</v>
      </c>
      <c r="E334" s="7">
        <v>408084.09600000002</v>
      </c>
      <c r="F334" s="7">
        <v>82136.198999999993</v>
      </c>
      <c r="G334" s="7">
        <f>SUM(D334:F334)</f>
        <v>1898982.1473965002</v>
      </c>
      <c r="I334" s="7">
        <f>1760110.032-16625.381</f>
        <v>1743484.6509999998</v>
      </c>
      <c r="J334" s="7">
        <v>274117.02100000001</v>
      </c>
      <c r="K334" s="7">
        <f>561416.998+98061.263-92</f>
        <v>659386.26100000006</v>
      </c>
      <c r="L334" s="7">
        <f>SUM(I334:K334)</f>
        <v>2676987.9329999997</v>
      </c>
      <c r="N334" s="7">
        <f>G334+L334</f>
        <v>4575970.0803964995</v>
      </c>
    </row>
    <row r="335" spans="1:14" x14ac:dyDescent="0.2">
      <c r="C335" s="1" t="s">
        <v>22</v>
      </c>
      <c r="D335" s="7">
        <v>1236902.111</v>
      </c>
      <c r="E335" s="7">
        <v>389221.79499999998</v>
      </c>
      <c r="F335" s="7">
        <v>70647.937999999995</v>
      </c>
      <c r="G335" s="7">
        <f>SUM(D335:F335)</f>
        <v>1696771.844</v>
      </c>
      <c r="I335" s="7">
        <v>1585680.9269999999</v>
      </c>
      <c r="J335" s="7">
        <v>277229.239</v>
      </c>
      <c r="K335" s="7">
        <v>684028.09700000007</v>
      </c>
      <c r="L335" s="7">
        <f>SUM(I335:K335)</f>
        <v>2546938.2630000003</v>
      </c>
      <c r="N335" s="7">
        <f>G335+L335</f>
        <v>4243710.1070000008</v>
      </c>
    </row>
    <row r="336" spans="1:14" x14ac:dyDescent="0.2">
      <c r="A336" s="11"/>
      <c r="B336" s="11"/>
      <c r="C336" s="11" t="s">
        <v>23</v>
      </c>
      <c r="D336" s="11">
        <f>(D334/D335)-1</f>
        <v>0.1389436883227213</v>
      </c>
      <c r="E336" s="11">
        <f>(E334/E335)-1</f>
        <v>4.8461574460392232E-2</v>
      </c>
      <c r="F336" s="11">
        <f>(F334/F335)-1</f>
        <v>0.16261282813378086</v>
      </c>
      <c r="G336" s="11">
        <f>(G334/G335)-1</f>
        <v>0.11917353774553807</v>
      </c>
      <c r="H336" s="11"/>
      <c r="I336" s="11">
        <f>(I334/I335)-1</f>
        <v>9.9517955543902303E-2</v>
      </c>
      <c r="J336" s="11">
        <f>(J334/J335)-1</f>
        <v>-1.1226153529931171E-2</v>
      </c>
      <c r="K336" s="11">
        <f>(K334/K335)-1</f>
        <v>-3.6024596223567129E-2</v>
      </c>
      <c r="L336" s="11">
        <f>(L334/L335)-1</f>
        <v>5.1061178784449934E-2</v>
      </c>
      <c r="N336" s="11">
        <f>(N334/N335)-1</f>
        <v>7.8294691441914477E-2</v>
      </c>
    </row>
    <row r="338" spans="1:14" x14ac:dyDescent="0.2">
      <c r="A338" s="1" t="s">
        <v>10</v>
      </c>
      <c r="C338" s="1" t="s">
        <v>21</v>
      </c>
      <c r="D338" s="7">
        <f>1188634.6-936.4023217</f>
        <v>1187698.1976783001</v>
      </c>
      <c r="E338" s="7">
        <v>350852.788</v>
      </c>
      <c r="F338" s="7">
        <v>63630.665000000001</v>
      </c>
      <c r="G338" s="7">
        <f>SUM(D338:F338)</f>
        <v>1602181.6506783001</v>
      </c>
      <c r="I338" s="7">
        <f>1610957.535-15324.048</f>
        <v>1595633.487</v>
      </c>
      <c r="J338" s="7">
        <v>248918.022</v>
      </c>
      <c r="K338" s="7">
        <f>505022.104+85994.811-94</f>
        <v>590922.91500000004</v>
      </c>
      <c r="L338" s="7">
        <f>SUM(I338:K338)</f>
        <v>2435474.4240000001</v>
      </c>
      <c r="N338" s="7">
        <f>G338+L338</f>
        <v>4037656.0746782999</v>
      </c>
    </row>
    <row r="339" spans="1:14" x14ac:dyDescent="0.2">
      <c r="C339" s="1" t="s">
        <v>22</v>
      </c>
      <c r="D339" s="7">
        <v>1087113.274</v>
      </c>
      <c r="E339" s="7">
        <v>295794.326</v>
      </c>
      <c r="F339" s="7">
        <v>62744.737000000001</v>
      </c>
      <c r="G339" s="7">
        <f>SUM(D339:F339)</f>
        <v>1445652.3370000001</v>
      </c>
      <c r="I339" s="7">
        <v>1466785.159</v>
      </c>
      <c r="J339" s="7">
        <v>237050.549</v>
      </c>
      <c r="K339" s="7">
        <v>565539.85199999996</v>
      </c>
      <c r="L339" s="7">
        <f>SUM(I339:K339)</f>
        <v>2269375.56</v>
      </c>
      <c r="N339" s="7">
        <f>G339+L339</f>
        <v>3715027.8969999999</v>
      </c>
    </row>
    <row r="340" spans="1:14" x14ac:dyDescent="0.2">
      <c r="A340" s="11"/>
      <c r="B340" s="11"/>
      <c r="C340" s="11" t="s">
        <v>23</v>
      </c>
      <c r="D340" s="11">
        <f>(D338/D339)-1</f>
        <v>9.2524786592110164E-2</v>
      </c>
      <c r="E340" s="11">
        <f>(E338/E339)-1</f>
        <v>0.18613765431051577</v>
      </c>
      <c r="F340" s="11">
        <f>(F338/F339)-1</f>
        <v>1.4119558744823513E-2</v>
      </c>
      <c r="G340" s="11">
        <f>(G338/G339)-1</f>
        <v>0.10827590401377396</v>
      </c>
      <c r="H340" s="11"/>
      <c r="I340" s="11">
        <f>(I338/I339)-1</f>
        <v>8.7844035787656871E-2</v>
      </c>
      <c r="J340" s="11">
        <f>(J338/J339)-1</f>
        <v>5.0063047945102968E-2</v>
      </c>
      <c r="K340" s="11">
        <f>(K338/K339)-1</f>
        <v>4.4882890056703095E-2</v>
      </c>
      <c r="L340" s="11">
        <f>(L338/L339)-1</f>
        <v>7.3191439498890176E-2</v>
      </c>
      <c r="N340" s="11">
        <f>(N338/N339)-1</f>
        <v>8.6844079404849728E-2</v>
      </c>
    </row>
    <row r="342" spans="1:14" x14ac:dyDescent="0.2">
      <c r="A342" s="1" t="s">
        <v>11</v>
      </c>
      <c r="C342" s="1" t="s">
        <v>21</v>
      </c>
      <c r="D342" s="7">
        <f>1302679.669-944.1723685</f>
        <v>1301735.4966315001</v>
      </c>
      <c r="E342" s="7">
        <v>369252.28899999999</v>
      </c>
      <c r="F342" s="7">
        <v>69064.922000000006</v>
      </c>
      <c r="G342" s="7">
        <f>SUM(D342:F342)</f>
        <v>1740052.7076315002</v>
      </c>
      <c r="I342" s="7">
        <f>1592825.775-15806.738</f>
        <v>1577019.037</v>
      </c>
      <c r="J342" s="7">
        <v>257393.82500000001</v>
      </c>
      <c r="K342" s="7">
        <f>559577.188+102410.735-81</f>
        <v>661906.92299999995</v>
      </c>
      <c r="L342" s="7">
        <f>SUM(I342:K342)</f>
        <v>2496319.7850000001</v>
      </c>
      <c r="N342" s="7">
        <f>G342+L342</f>
        <v>4236372.4926315006</v>
      </c>
    </row>
    <row r="343" spans="1:14" x14ac:dyDescent="0.2">
      <c r="C343" s="1" t="s">
        <v>22</v>
      </c>
      <c r="D343" s="7">
        <v>1120703.558</v>
      </c>
      <c r="E343" s="7">
        <v>331634.88900000002</v>
      </c>
      <c r="F343" s="7">
        <v>66448.331999999995</v>
      </c>
      <c r="G343" s="7">
        <f>SUM(D343:F343)</f>
        <v>1518786.7789999999</v>
      </c>
      <c r="I343" s="7">
        <v>1584563.841</v>
      </c>
      <c r="J343" s="7">
        <v>219795.46400000001</v>
      </c>
      <c r="K343" s="7">
        <v>635773.20399999991</v>
      </c>
      <c r="L343" s="7">
        <f>SUM(I343:K343)</f>
        <v>2440132.5089999996</v>
      </c>
      <c r="N343" s="7">
        <f>G343+L343</f>
        <v>3958919.2879999997</v>
      </c>
    </row>
    <row r="344" spans="1:14" x14ac:dyDescent="0.2">
      <c r="A344" s="11"/>
      <c r="B344" s="11"/>
      <c r="C344" s="11" t="s">
        <v>23</v>
      </c>
      <c r="D344" s="11">
        <f>(D342/D343)-1</f>
        <v>0.16153418746574566</v>
      </c>
      <c r="E344" s="11">
        <f>(E342/E343)-1</f>
        <v>0.11343016446016918</v>
      </c>
      <c r="F344" s="11">
        <f>(F342/F343)-1</f>
        <v>3.9377813125542671E-2</v>
      </c>
      <c r="G344" s="11">
        <f>(G342/G343)-1</f>
        <v>0.14568597231086411</v>
      </c>
      <c r="H344" s="11"/>
      <c r="I344" s="11">
        <f>(I342/I343)-1</f>
        <v>-4.7614389554910819E-3</v>
      </c>
      <c r="J344" s="11">
        <f>(J342/J343)-1</f>
        <v>0.17106067757613053</v>
      </c>
      <c r="K344" s="11">
        <f>(K342/K343)-1</f>
        <v>4.1105411230889288E-2</v>
      </c>
      <c r="L344" s="11">
        <f>(L342/L343)-1</f>
        <v>2.302632164145324E-2</v>
      </c>
      <c r="N344" s="11">
        <f>(N342/N343)-1</f>
        <v>7.0083066727957277E-2</v>
      </c>
    </row>
    <row r="346" spans="1:14" x14ac:dyDescent="0.2">
      <c r="A346" s="1" t="s">
        <v>12</v>
      </c>
      <c r="C346" s="1" t="s">
        <v>21</v>
      </c>
      <c r="D346" s="7">
        <f>1126378.875-935.7964209</f>
        <v>1125443.0785791001</v>
      </c>
      <c r="E346" s="7">
        <v>315574.45699999999</v>
      </c>
      <c r="F346" s="7">
        <v>72308.775999999998</v>
      </c>
      <c r="G346" s="7">
        <f>SUM(D346:F346)</f>
        <v>1513326.3115791001</v>
      </c>
      <c r="I346" s="7">
        <f>1480270.397-14210.138</f>
        <v>1466060.2590000001</v>
      </c>
      <c r="J346" s="7">
        <v>225828.03099999999</v>
      </c>
      <c r="K346" s="7">
        <f>557138.069+87513.585-75</f>
        <v>644576.65399999998</v>
      </c>
      <c r="L346" s="7">
        <f>SUM(I346:K346)</f>
        <v>2336464.9440000001</v>
      </c>
      <c r="N346" s="7">
        <f>G346+L346</f>
        <v>3849791.2555791</v>
      </c>
    </row>
    <row r="347" spans="1:14" x14ac:dyDescent="0.2">
      <c r="C347" s="1" t="s">
        <v>22</v>
      </c>
      <c r="D347" s="7">
        <v>1006427.224</v>
      </c>
      <c r="E347" s="7">
        <v>293035.05800000002</v>
      </c>
      <c r="F347" s="7">
        <v>54025.851000000002</v>
      </c>
      <c r="G347" s="7">
        <f>SUM(D347:F347)</f>
        <v>1353488.1330000001</v>
      </c>
      <c r="I347" s="7">
        <v>1330039.629</v>
      </c>
      <c r="J347" s="7">
        <v>221093.946</v>
      </c>
      <c r="K347" s="7">
        <v>595534.93099999998</v>
      </c>
      <c r="L347" s="7">
        <f>SUM(I347:K347)</f>
        <v>2146668.5060000001</v>
      </c>
      <c r="N347" s="7">
        <f>G347+L347</f>
        <v>3500156.6390000004</v>
      </c>
    </row>
    <row r="348" spans="1:14" x14ac:dyDescent="0.2">
      <c r="A348" s="11"/>
      <c r="B348" s="11"/>
      <c r="C348" s="11" t="s">
        <v>23</v>
      </c>
      <c r="D348" s="11">
        <f>(D346/D347)-1</f>
        <v>0.11825579807556963</v>
      </c>
      <c r="E348" s="11">
        <f>(E346/E347)-1</f>
        <v>7.6917073178322415E-2</v>
      </c>
      <c r="F348" s="11">
        <f>(F346/F347)-1</f>
        <v>0.33841068047220579</v>
      </c>
      <c r="G348" s="11">
        <f>(G346/G347)-1</f>
        <v>0.11809352049863886</v>
      </c>
      <c r="H348" s="11"/>
      <c r="I348" s="11">
        <f>(I346/I347)-1</f>
        <v>0.10226810317093205</v>
      </c>
      <c r="J348" s="11">
        <f>(J346/J347)-1</f>
        <v>2.1412096919198209E-2</v>
      </c>
      <c r="K348" s="11">
        <f>(K346/K347)-1</f>
        <v>8.2349028490488418E-2</v>
      </c>
      <c r="L348" s="11">
        <f>(L346/L347)-1</f>
        <v>8.8414413995227203E-2</v>
      </c>
      <c r="N348" s="11">
        <f>(N346/N347)-1</f>
        <v>9.9891134209065147E-2</v>
      </c>
    </row>
    <row r="350" spans="1:14" x14ac:dyDescent="0.2">
      <c r="A350" s="1" t="s">
        <v>13</v>
      </c>
      <c r="C350" s="1" t="s">
        <v>21</v>
      </c>
      <c r="D350" s="7">
        <f>1147955.003-935.7889355</f>
        <v>1147019.2140645001</v>
      </c>
      <c r="E350" s="7">
        <v>320972.15999999997</v>
      </c>
      <c r="F350" s="7">
        <v>77912.914000000004</v>
      </c>
      <c r="G350" s="7">
        <f>SUM(D350:F350)</f>
        <v>1545904.2880645001</v>
      </c>
      <c r="I350" s="7">
        <f>1591661.15-15044.525</f>
        <v>1576616.625</v>
      </c>
      <c r="J350" s="7">
        <v>306639.28200000001</v>
      </c>
      <c r="K350" s="7">
        <f>579552.282+88155.773-69</f>
        <v>667639.05500000005</v>
      </c>
      <c r="L350" s="7">
        <f>SUM(I350:K350)</f>
        <v>2550894.9620000003</v>
      </c>
      <c r="N350" s="7">
        <f>G350+L350</f>
        <v>4096799.2500645006</v>
      </c>
    </row>
    <row r="351" spans="1:14" x14ac:dyDescent="0.2">
      <c r="C351" s="1" t="s">
        <v>22</v>
      </c>
      <c r="D351" s="7">
        <v>1013249.224</v>
      </c>
      <c r="E351" s="7">
        <v>287772.19799999997</v>
      </c>
      <c r="F351" s="7">
        <v>68933.745999999999</v>
      </c>
      <c r="G351" s="7">
        <f>SUM(D351:F351)</f>
        <v>1369955.1680000001</v>
      </c>
      <c r="I351" s="7">
        <v>1496654.791</v>
      </c>
      <c r="J351" s="7">
        <v>248839.57800000001</v>
      </c>
      <c r="K351" s="7">
        <v>602925.26500000001</v>
      </c>
      <c r="L351" s="7">
        <f>SUM(I351:K351)</f>
        <v>2348419.6340000001</v>
      </c>
      <c r="N351" s="7">
        <f>G351+L351</f>
        <v>3718374.8020000001</v>
      </c>
    </row>
    <row r="352" spans="1:14" x14ac:dyDescent="0.2">
      <c r="A352" s="11"/>
      <c r="B352" s="11"/>
      <c r="C352" s="11" t="s">
        <v>23</v>
      </c>
      <c r="D352" s="11">
        <f>(D350/D351)-1</f>
        <v>0.13202081669149157</v>
      </c>
      <c r="E352" s="11">
        <f>(E350/E351)-1</f>
        <v>0.11536890022989654</v>
      </c>
      <c r="F352" s="11">
        <f>(F350/F351)-1</f>
        <v>0.1302579436202409</v>
      </c>
      <c r="G352" s="11">
        <f>(G350/G351)-1</f>
        <v>0.12843421753820494</v>
      </c>
      <c r="H352" s="11"/>
      <c r="I352" s="11">
        <f>(I350/I351)-1</f>
        <v>5.3427039074637195E-2</v>
      </c>
      <c r="J352" s="11">
        <f>(J350/J351)-1</f>
        <v>0.23227697323936147</v>
      </c>
      <c r="K352" s="11">
        <f>(K350/K351)-1</f>
        <v>0.10733302078492279</v>
      </c>
      <c r="L352" s="11">
        <f>(L350/L351)-1</f>
        <v>8.6217695112320802E-2</v>
      </c>
      <c r="N352" s="11">
        <f>(N350/N351)-1</f>
        <v>0.1017714642055334</v>
      </c>
    </row>
    <row r="354" spans="1:14" x14ac:dyDescent="0.2">
      <c r="A354" s="1" t="s">
        <v>14</v>
      </c>
      <c r="C354" s="1" t="s">
        <v>21</v>
      </c>
      <c r="D354" s="7">
        <f>1077978.277-866.8996753</f>
        <v>1077111.3773246999</v>
      </c>
      <c r="E354" s="7">
        <v>334519.12099999998</v>
      </c>
      <c r="F354" s="7">
        <v>86951.513000000006</v>
      </c>
      <c r="G354" s="7">
        <f>SUM(D354:F354)</f>
        <v>1498582.0113247</v>
      </c>
      <c r="I354" s="7">
        <f>1745940.893-16514.977</f>
        <v>1729425.916</v>
      </c>
      <c r="J354" s="7">
        <v>383211.14199999999</v>
      </c>
      <c r="K354" s="7">
        <f>564270.285+84662.294-65</f>
        <v>648867.57900000003</v>
      </c>
      <c r="L354" s="7">
        <f>SUM(I354:K354)</f>
        <v>2761504.6370000001</v>
      </c>
      <c r="N354" s="7">
        <f>G354+L354</f>
        <v>4260086.6483247001</v>
      </c>
    </row>
    <row r="355" spans="1:14" x14ac:dyDescent="0.2">
      <c r="C355" s="1" t="s">
        <v>22</v>
      </c>
      <c r="D355" s="7">
        <v>999213.35900000005</v>
      </c>
      <c r="E355" s="7">
        <v>288753.75099999999</v>
      </c>
      <c r="F355" s="7">
        <v>73881.320999999996</v>
      </c>
      <c r="G355" s="7">
        <f>SUM(D355:F355)</f>
        <v>1361848.4310000001</v>
      </c>
      <c r="I355" s="7">
        <v>1602219.5589999999</v>
      </c>
      <c r="J355" s="7">
        <v>322584.00699999998</v>
      </c>
      <c r="K355" s="7">
        <v>597304.58600000001</v>
      </c>
      <c r="L355" s="7">
        <f>SUM(I355:K355)</f>
        <v>2522108.1519999998</v>
      </c>
      <c r="N355" s="7">
        <f>G355+L355</f>
        <v>3883956.5829999996</v>
      </c>
    </row>
    <row r="356" spans="1:14" x14ac:dyDescent="0.2">
      <c r="A356" s="11"/>
      <c r="B356" s="11"/>
      <c r="C356" s="11" t="s">
        <v>23</v>
      </c>
      <c r="D356" s="11">
        <f>(D354/D355)-1</f>
        <v>7.7959344341291814E-2</v>
      </c>
      <c r="E356" s="11">
        <f>(E354/E355)-1</f>
        <v>0.15849272898276556</v>
      </c>
      <c r="F356" s="11">
        <f>(F354/F355)-1</f>
        <v>0.1769079359043948</v>
      </c>
      <c r="G356" s="11">
        <f>(G354/G355)-1</f>
        <v>0.10040293560737656</v>
      </c>
      <c r="H356" s="11"/>
      <c r="I356" s="11">
        <f>(I354/I355)-1</f>
        <v>7.9393836060392298E-2</v>
      </c>
      <c r="J356" s="11">
        <f>(J354/J355)-1</f>
        <v>0.18794215982319296</v>
      </c>
      <c r="K356" s="11">
        <f>(K354/K355)-1</f>
        <v>8.6326129429717735E-2</v>
      </c>
      <c r="L356" s="11">
        <f>(L354/L355)-1</f>
        <v>9.4919198770346824E-2</v>
      </c>
      <c r="N356" s="11">
        <f>(N354/N355)-1</f>
        <v>9.68419850445843E-2</v>
      </c>
    </row>
    <row r="358" spans="1:14" x14ac:dyDescent="0.2">
      <c r="A358" s="1" t="s">
        <v>15</v>
      </c>
      <c r="C358" s="1" t="s">
        <v>21</v>
      </c>
      <c r="D358" s="7">
        <f>1195783.523-936.0440722</f>
        <v>1194847.4789278</v>
      </c>
      <c r="E358" s="7">
        <v>387050.00799999997</v>
      </c>
      <c r="F358" s="7">
        <v>90989.175000000003</v>
      </c>
      <c r="G358" s="7">
        <f>SUM(D358:F358)</f>
        <v>1672886.6619277999</v>
      </c>
      <c r="I358" s="7">
        <f>2053657.308-19061.885</f>
        <v>2034595.423</v>
      </c>
      <c r="J358" s="7">
        <v>426952.223</v>
      </c>
      <c r="K358" s="7">
        <f>593899.294+90546.307-68</f>
        <v>684377.60100000002</v>
      </c>
      <c r="L358" s="7">
        <f>SUM(I358:K358)</f>
        <v>3145925.2469999995</v>
      </c>
      <c r="N358" s="7">
        <f>G358+L358</f>
        <v>4818811.9089277992</v>
      </c>
    </row>
    <row r="359" spans="1:14" x14ac:dyDescent="0.2">
      <c r="C359" s="1" t="s">
        <v>22</v>
      </c>
      <c r="D359" s="7">
        <v>1099251.9240000001</v>
      </c>
      <c r="E359" s="7">
        <v>351258.83899999998</v>
      </c>
      <c r="F359" s="7">
        <v>82931.725999999995</v>
      </c>
      <c r="G359" s="7">
        <f>SUM(D359:F359)</f>
        <v>1533442.4890000001</v>
      </c>
      <c r="I359" s="7">
        <v>1865827.923</v>
      </c>
      <c r="J359" s="7">
        <v>376339.31900000002</v>
      </c>
      <c r="K359" s="7">
        <v>619379.85199999996</v>
      </c>
      <c r="L359" s="7">
        <f>SUM(I359:K359)</f>
        <v>2861547.094</v>
      </c>
      <c r="N359" s="7">
        <f>G359+L359</f>
        <v>4394989.5830000006</v>
      </c>
    </row>
    <row r="360" spans="1:14" x14ac:dyDescent="0.2">
      <c r="A360" s="11"/>
      <c r="B360" s="11"/>
      <c r="C360" s="11" t="s">
        <v>23</v>
      </c>
      <c r="D360" s="11">
        <f>(D358/D359)-1</f>
        <v>8.6964191593081885E-2</v>
      </c>
      <c r="E360" s="11">
        <f>(E358/E359)-1</f>
        <v>0.10189400244530211</v>
      </c>
      <c r="F360" s="11">
        <f>(F358/F359)-1</f>
        <v>9.7157618545163471E-2</v>
      </c>
      <c r="G360" s="11">
        <f>(G358/G359)-1</f>
        <v>9.0935378358229402E-2</v>
      </c>
      <c r="H360" s="11"/>
      <c r="I360" s="11">
        <f>(I358/I359)-1</f>
        <v>9.0451803148408505E-2</v>
      </c>
      <c r="J360" s="11">
        <f>(J358/J359)-1</f>
        <v>0.13448741984889434</v>
      </c>
      <c r="K360" s="11">
        <f>(K358/K359)-1</f>
        <v>0.10494004412658886</v>
      </c>
      <c r="L360" s="11">
        <f>(L358/L359)-1</f>
        <v>9.9379162270743171E-2</v>
      </c>
      <c r="N360" s="11">
        <f>(N358/N359)-1</f>
        <v>9.6433067228910208E-2</v>
      </c>
    </row>
    <row r="362" spans="1:14" x14ac:dyDescent="0.2">
      <c r="A362" s="1" t="s">
        <v>16</v>
      </c>
      <c r="C362" s="1" t="s">
        <v>21</v>
      </c>
      <c r="D362" s="7">
        <f>1176602.947-933.1625755</f>
        <v>1175669.7844244998</v>
      </c>
      <c r="E362" s="7">
        <v>375756.47</v>
      </c>
      <c r="F362" s="7">
        <v>89870.290999999997</v>
      </c>
      <c r="G362" s="7">
        <f>SUM(D362:F362)</f>
        <v>1641296.5454244998</v>
      </c>
      <c r="I362" s="7">
        <f>1904589.59-17568.149</f>
        <v>1887021.4410000001</v>
      </c>
      <c r="J362" s="7">
        <v>356421.87699999998</v>
      </c>
      <c r="K362" s="7">
        <f>571456.27+87521.749-64</f>
        <v>658914.01899999997</v>
      </c>
      <c r="L362" s="7">
        <f>SUM(I362:K362)</f>
        <v>2902357.3369999998</v>
      </c>
      <c r="N362" s="7">
        <f>G362+L362</f>
        <v>4543653.8824244998</v>
      </c>
    </row>
    <row r="363" spans="1:14" x14ac:dyDescent="0.2">
      <c r="C363" s="1" t="s">
        <v>22</v>
      </c>
      <c r="D363" s="7">
        <v>1084584.6599999999</v>
      </c>
      <c r="E363" s="7">
        <v>314045.76699999999</v>
      </c>
      <c r="F363" s="7">
        <v>67213.538</v>
      </c>
      <c r="G363" s="7">
        <f>SUM(D363:F363)</f>
        <v>1465843.9649999999</v>
      </c>
      <c r="I363" s="7">
        <v>1698344.507</v>
      </c>
      <c r="J363" s="7">
        <v>350943.41899999999</v>
      </c>
      <c r="K363" s="7">
        <v>608632.52</v>
      </c>
      <c r="L363" s="7">
        <f>SUM(I363:K363)</f>
        <v>2657920.446</v>
      </c>
      <c r="N363" s="7">
        <f>G363+L363</f>
        <v>4123764.4109999998</v>
      </c>
    </row>
    <row r="364" spans="1:14" x14ac:dyDescent="0.2">
      <c r="A364" s="11"/>
      <c r="B364" s="11"/>
      <c r="C364" s="11" t="s">
        <v>23</v>
      </c>
      <c r="D364" s="11">
        <f>(D362/D363)-1</f>
        <v>8.3981571733183102E-2</v>
      </c>
      <c r="E364" s="11">
        <f>(E362/E363)-1</f>
        <v>0.19650226013076622</v>
      </c>
      <c r="F364" s="11">
        <f>(F362/F363)-1</f>
        <v>0.33708615368528871</v>
      </c>
      <c r="G364" s="11">
        <f>(G362/G363)-1</f>
        <v>0.11969389963310317</v>
      </c>
      <c r="H364" s="11"/>
      <c r="I364" s="11">
        <f>(I362/I363)-1</f>
        <v>0.11109461786012065</v>
      </c>
      <c r="J364" s="11">
        <f>(J362/J363)-1</f>
        <v>1.5610658879458894E-2</v>
      </c>
      <c r="K364" s="11">
        <f>(K362/K363)-1</f>
        <v>8.2613888262164981E-2</v>
      </c>
      <c r="L364" s="11">
        <f>(L362/L363)-1</f>
        <v>9.1965465470519092E-2</v>
      </c>
      <c r="N364" s="11">
        <f>(N362/N363)-1</f>
        <v>0.10182188640661893</v>
      </c>
    </row>
    <row r="366" spans="1:14" x14ac:dyDescent="0.2">
      <c r="A366" s="1" t="s">
        <v>17</v>
      </c>
      <c r="C366" s="1" t="s">
        <v>21</v>
      </c>
      <c r="D366" s="7">
        <f>1096994.592-922.1811589</f>
        <v>1096072.4108410999</v>
      </c>
      <c r="E366" s="7">
        <v>348440.39899999998</v>
      </c>
      <c r="F366" s="7">
        <v>70027.955000000002</v>
      </c>
      <c r="G366" s="7">
        <f>SUM(D366:F366)</f>
        <v>1514540.7648411</v>
      </c>
      <c r="I366" s="7">
        <f>1603414.861-15261.501</f>
        <v>1588153.36</v>
      </c>
      <c r="J366" s="7">
        <v>279653.99300000002</v>
      </c>
      <c r="K366" s="7">
        <f>579822.24+82762.164-71</f>
        <v>662513.40399999998</v>
      </c>
      <c r="L366" s="7">
        <f>SUM(I366:K366)</f>
        <v>2530320.7570000002</v>
      </c>
      <c r="N366" s="7">
        <f>G366+L366</f>
        <v>4044861.5218411004</v>
      </c>
    </row>
    <row r="367" spans="1:14" x14ac:dyDescent="0.2">
      <c r="C367" s="1" t="s">
        <v>22</v>
      </c>
      <c r="D367" s="7">
        <v>987106.65</v>
      </c>
      <c r="E367" s="7">
        <v>321746.08199999999</v>
      </c>
      <c r="F367" s="7">
        <v>68170.228000000003</v>
      </c>
      <c r="G367" s="7">
        <f>SUM(D367:F367)</f>
        <v>1377022.96</v>
      </c>
      <c r="I367" s="7">
        <v>1490312.4790000001</v>
      </c>
      <c r="J367" s="7">
        <v>238123.954</v>
      </c>
      <c r="K367" s="7">
        <v>583383.24899999995</v>
      </c>
      <c r="L367" s="7">
        <f>SUM(I367:K367)</f>
        <v>2311819.682</v>
      </c>
      <c r="N367" s="7">
        <f>G367+L367</f>
        <v>3688842.642</v>
      </c>
    </row>
    <row r="368" spans="1:14" x14ac:dyDescent="0.2">
      <c r="A368" s="11"/>
      <c r="B368" s="11"/>
      <c r="C368" s="11" t="s">
        <v>23</v>
      </c>
      <c r="D368" s="11">
        <f>(D366/D367)-1</f>
        <v>0.11038904544012529</v>
      </c>
      <c r="E368" s="11">
        <f>(E366/E367)-1</f>
        <v>8.2967030504508044E-2</v>
      </c>
      <c r="F368" s="11">
        <f>(F366/F367)-1</f>
        <v>2.7251295096152539E-2</v>
      </c>
      <c r="G368" s="11">
        <f>(G366/G367)-1</f>
        <v>9.9866021726391585E-2</v>
      </c>
      <c r="H368" s="11"/>
      <c r="I368" s="11">
        <f>(I366/I367)-1</f>
        <v>6.5651252592108245E-2</v>
      </c>
      <c r="J368" s="11">
        <f>(J366/J367)-1</f>
        <v>0.17440512935544494</v>
      </c>
      <c r="K368" s="11">
        <f>(K366/K367)-1</f>
        <v>0.13564008760217261</v>
      </c>
      <c r="L368" s="11">
        <f>(L366/L367)-1</f>
        <v>9.4514756795811561E-2</v>
      </c>
      <c r="N368" s="11">
        <f>(N366/N367)-1</f>
        <v>9.6512352082352759E-2</v>
      </c>
    </row>
    <row r="370" spans="1:14" x14ac:dyDescent="0.2">
      <c r="A370" s="1" t="s">
        <v>18</v>
      </c>
      <c r="C370" s="1" t="s">
        <v>21</v>
      </c>
      <c r="D370" s="7">
        <f>1152534.201-946.1739682</f>
        <v>1151588.0270317998</v>
      </c>
      <c r="E370" s="7">
        <v>373352.81</v>
      </c>
      <c r="F370" s="7">
        <v>66633.047000000006</v>
      </c>
      <c r="G370" s="7">
        <f>SUM(D370:F370)</f>
        <v>1591573.8840317999</v>
      </c>
      <c r="I370" s="7">
        <f>1567049.444-12443.188</f>
        <v>1554606.2559999998</v>
      </c>
      <c r="J370" s="7">
        <v>263810.19300000003</v>
      </c>
      <c r="K370" s="7">
        <f>602859.575+87652.524-66</f>
        <v>690446.09899999993</v>
      </c>
      <c r="L370" s="7">
        <f>SUM(I370:K370)</f>
        <v>2508862.5479999995</v>
      </c>
      <c r="N370" s="7">
        <f>G370+L370</f>
        <v>4100436.4320317991</v>
      </c>
    </row>
    <row r="371" spans="1:14" x14ac:dyDescent="0.2">
      <c r="C371" s="1" t="s">
        <v>22</v>
      </c>
      <c r="D371" s="7">
        <v>1024529.606</v>
      </c>
      <c r="E371" s="7">
        <v>334541.01500000001</v>
      </c>
      <c r="F371" s="7">
        <v>66670.353000000003</v>
      </c>
      <c r="G371" s="7">
        <f>SUM(D371:F371)</f>
        <v>1425740.9739999999</v>
      </c>
      <c r="I371" s="7">
        <v>1415693.4240000001</v>
      </c>
      <c r="J371" s="7">
        <v>232395.19399999999</v>
      </c>
      <c r="K371" s="7">
        <v>619376.41700000002</v>
      </c>
      <c r="L371" s="7">
        <f>SUM(I371:K371)</f>
        <v>2267465.0350000001</v>
      </c>
      <c r="N371" s="7">
        <f>G371+L371</f>
        <v>3693206.0090000001</v>
      </c>
    </row>
    <row r="372" spans="1:14" x14ac:dyDescent="0.2">
      <c r="A372" s="11"/>
      <c r="B372" s="11"/>
      <c r="C372" s="11" t="s">
        <v>23</v>
      </c>
      <c r="D372" s="11">
        <f>(D370/D371)-1</f>
        <v>0.12401634885678425</v>
      </c>
      <c r="E372" s="11">
        <f>(E370/E371)-1</f>
        <v>0.1160150572269889</v>
      </c>
      <c r="F372" s="11">
        <f>(F370/F371)-1</f>
        <v>-5.5955905918181337E-4</v>
      </c>
      <c r="G372" s="11">
        <f>(G370/G371)-1</f>
        <v>0.11631349105900068</v>
      </c>
      <c r="H372" s="11"/>
      <c r="I372" s="11">
        <f>(I370/I371)-1</f>
        <v>9.8123527061039439E-2</v>
      </c>
      <c r="J372" s="11">
        <f>(J370/J371)-1</f>
        <v>0.13517921115012399</v>
      </c>
      <c r="K372" s="11">
        <f>(K370/K371)-1</f>
        <v>0.11474392639008069</v>
      </c>
      <c r="L372" s="11">
        <f>(L370/L371)-1</f>
        <v>0.10646140481720789</v>
      </c>
      <c r="N372" s="11">
        <f>(N370/N371)-1</f>
        <v>0.11026474614181181</v>
      </c>
    </row>
    <row r="374" spans="1:14" x14ac:dyDescent="0.2">
      <c r="A374" s="1" t="s">
        <v>19</v>
      </c>
      <c r="C374" s="1" t="s">
        <v>21</v>
      </c>
      <c r="D374" s="7">
        <f>1162644.474-932.1460568</f>
        <v>1161712.3279432</v>
      </c>
      <c r="E374" s="7">
        <v>383624.788</v>
      </c>
      <c r="F374" s="7">
        <v>65655.771999999997</v>
      </c>
      <c r="G374" s="7">
        <f>SUM(D374:F374)</f>
        <v>1610992.8879431998</v>
      </c>
      <c r="I374" s="7">
        <f>1665198.681-12215.713</f>
        <v>1652982.9680000001</v>
      </c>
      <c r="J374" s="7">
        <v>256437.41099999999</v>
      </c>
      <c r="K374" s="7">
        <f>613531.447+88485.233-77</f>
        <v>701939.68</v>
      </c>
      <c r="L374" s="7">
        <f>SUM(I374:K374)</f>
        <v>2611360.0590000004</v>
      </c>
      <c r="N374" s="7">
        <f>G374+L374</f>
        <v>4222352.9469432002</v>
      </c>
    </row>
    <row r="375" spans="1:14" x14ac:dyDescent="0.2">
      <c r="C375" s="1" t="s">
        <v>22</v>
      </c>
      <c r="D375" s="7">
        <v>1028812.754</v>
      </c>
      <c r="E375" s="7">
        <v>380029.99900000001</v>
      </c>
      <c r="F375" s="7">
        <v>63171.313000000002</v>
      </c>
      <c r="G375" s="7">
        <f>SUM(D375:F375)</f>
        <v>1472014.0660000001</v>
      </c>
      <c r="I375" s="7">
        <v>1497001.7420000001</v>
      </c>
      <c r="J375" s="7">
        <v>257700.03599999999</v>
      </c>
      <c r="K375" s="7">
        <v>618212.14199999999</v>
      </c>
      <c r="L375" s="7">
        <f>SUM(I375:K375)</f>
        <v>2372913.92</v>
      </c>
      <c r="N375" s="7">
        <f>G375+L375</f>
        <v>3844927.986</v>
      </c>
    </row>
    <row r="376" spans="1:14" x14ac:dyDescent="0.2">
      <c r="A376" s="11"/>
      <c r="B376" s="11"/>
      <c r="C376" s="11" t="s">
        <v>23</v>
      </c>
      <c r="D376" s="11">
        <f>(D374/D375)-1</f>
        <v>0.12917761120912385</v>
      </c>
      <c r="E376" s="11">
        <f>(E374/E375)-1</f>
        <v>9.4592242966586859E-3</v>
      </c>
      <c r="F376" s="11">
        <f>(F374/F375)-1</f>
        <v>3.9328911843260261E-2</v>
      </c>
      <c r="G376" s="11">
        <f>(G374/G375)-1</f>
        <v>9.4414058366205644E-2</v>
      </c>
      <c r="H376" s="11"/>
      <c r="I376" s="11">
        <f>(I374/I375)-1</f>
        <v>0.10419575450300322</v>
      </c>
      <c r="J376" s="11">
        <f>(J374/J375)-1</f>
        <v>-4.8995918650163173E-3</v>
      </c>
      <c r="K376" s="11">
        <f>(K374/K375)-1</f>
        <v>0.13543496206517425</v>
      </c>
      <c r="L376" s="11">
        <f>(L374/L375)-1</f>
        <v>0.10048663670024771</v>
      </c>
      <c r="N376" s="11">
        <f>(N374/N375)-1</f>
        <v>9.8161776323890892E-2</v>
      </c>
    </row>
    <row r="378" spans="1:14" x14ac:dyDescent="0.2">
      <c r="A378" s="1" t="s">
        <v>20</v>
      </c>
      <c r="C378" s="1" t="s">
        <v>21</v>
      </c>
      <c r="D378" s="7">
        <f>1274933.394-997.7185299</f>
        <v>1273935.6754701</v>
      </c>
      <c r="E378" s="7">
        <v>417449.90500000003</v>
      </c>
      <c r="F378" s="7">
        <v>76376.099000000002</v>
      </c>
      <c r="G378" s="7">
        <f>SUM(D378:F378)</f>
        <v>1767761.6794701</v>
      </c>
      <c r="I378" s="7">
        <f>1793618.28-13080.816</f>
        <v>1780537.4639999999</v>
      </c>
      <c r="J378" s="7">
        <v>273034.81699999998</v>
      </c>
      <c r="K378" s="7">
        <f>651722.874+91919.791-99</f>
        <v>743543.66499999992</v>
      </c>
      <c r="L378" s="7">
        <f>SUM(I378:K378)</f>
        <v>2797115.946</v>
      </c>
      <c r="N378" s="7">
        <f>G378+L378</f>
        <v>4564877.6254701</v>
      </c>
    </row>
    <row r="379" spans="1:14" x14ac:dyDescent="0.2">
      <c r="C379" s="1" t="s">
        <v>22</v>
      </c>
      <c r="D379" s="7">
        <v>1293220.0759999999</v>
      </c>
      <c r="E379" s="7">
        <v>353424.26799999998</v>
      </c>
      <c r="F379" s="7">
        <v>68472.805999999997</v>
      </c>
      <c r="G379" s="7">
        <f>SUM(D379:F379)</f>
        <v>1715117.15</v>
      </c>
      <c r="I379" s="7">
        <v>1686743.0930000001</v>
      </c>
      <c r="J379" s="7">
        <v>243274.299</v>
      </c>
      <c r="K379" s="7">
        <v>618899.80200000003</v>
      </c>
      <c r="L379" s="7">
        <f>SUM(I379:K379)</f>
        <v>2548917.1940000001</v>
      </c>
      <c r="N379" s="7">
        <f>G379+L379</f>
        <v>4264034.3440000005</v>
      </c>
    </row>
    <row r="380" spans="1:14" x14ac:dyDescent="0.2">
      <c r="A380" s="11"/>
      <c r="B380" s="11"/>
      <c r="C380" s="11" t="s">
        <v>23</v>
      </c>
      <c r="D380" s="11">
        <f>(D378/D379)-1</f>
        <v>-1.4911924805209975E-2</v>
      </c>
      <c r="E380" s="11">
        <f>(E378/E379)-1</f>
        <v>0.18115800978330121</v>
      </c>
      <c r="F380" s="11">
        <f>(F378/F379)-1</f>
        <v>0.11542236198119293</v>
      </c>
      <c r="G380" s="11">
        <f>(G378/G379)-1</f>
        <v>3.0694421935026472E-2</v>
      </c>
      <c r="H380" s="11"/>
      <c r="I380" s="11">
        <f>(I378/I379)-1</f>
        <v>5.5606791211564754E-2</v>
      </c>
      <c r="J380" s="11">
        <f>(J378/J379)-1</f>
        <v>0.12233317749689609</v>
      </c>
      <c r="K380" s="11">
        <f>(K378/K379)-1</f>
        <v>0.2013958682765904</v>
      </c>
      <c r="L380" s="11">
        <f>(L378/L379)-1</f>
        <v>9.7374191905584384E-2</v>
      </c>
      <c r="N380" s="11">
        <f>(N378/N379)-1</f>
        <v>7.0553672226730813E-2</v>
      </c>
    </row>
    <row r="382" spans="1:14" x14ac:dyDescent="0.2">
      <c r="A382" s="1" t="s">
        <v>50</v>
      </c>
      <c r="C382" s="1" t="s">
        <v>21</v>
      </c>
      <c r="D382" s="7">
        <f t="shared" ref="D382:G383" si="39">D334+D338+D342+D346+D350+D354+D358+D362+D366+D370+D374+D378</f>
        <v>14301594.921313101</v>
      </c>
      <c r="E382" s="7">
        <f t="shared" si="39"/>
        <v>4384929.2910000002</v>
      </c>
      <c r="F382" s="7">
        <f t="shared" si="39"/>
        <v>911557.3280000001</v>
      </c>
      <c r="G382" s="7">
        <f t="shared" si="39"/>
        <v>19598081.540313102</v>
      </c>
      <c r="I382" s="7">
        <f t="shared" ref="I382:L383" si="40">I334+I338+I342+I346+I350+I354+I358+I362+I366+I370+I374+I378</f>
        <v>20186136.886999998</v>
      </c>
      <c r="J382" s="7">
        <f t="shared" si="40"/>
        <v>3552417.8369999998</v>
      </c>
      <c r="K382" s="7">
        <f t="shared" si="40"/>
        <v>8015033.8549999995</v>
      </c>
      <c r="L382" s="7">
        <f t="shared" si="40"/>
        <v>31753588.579</v>
      </c>
      <c r="N382" s="7">
        <f>N334+N338+N342+N346+N350+N354+N358+N362+N366+N370+N374+N378</f>
        <v>51351670.119313098</v>
      </c>
    </row>
    <row r="383" spans="1:14" x14ac:dyDescent="0.2">
      <c r="C383" s="1" t="s">
        <v>22</v>
      </c>
      <c r="D383" s="7">
        <f t="shared" si="39"/>
        <v>12981114.420000002</v>
      </c>
      <c r="E383" s="7">
        <f t="shared" si="39"/>
        <v>3941257.9869999997</v>
      </c>
      <c r="F383" s="7">
        <f t="shared" si="39"/>
        <v>813311.88899999997</v>
      </c>
      <c r="G383" s="7">
        <f t="shared" si="39"/>
        <v>17735684.295999996</v>
      </c>
      <c r="I383" s="7">
        <f t="shared" si="40"/>
        <v>18719867.073999997</v>
      </c>
      <c r="J383" s="7">
        <f t="shared" si="40"/>
        <v>3225369.0039999997</v>
      </c>
      <c r="K383" s="7">
        <f t="shared" si="40"/>
        <v>7348989.9170000004</v>
      </c>
      <c r="L383" s="7">
        <f t="shared" si="40"/>
        <v>29294225.994999997</v>
      </c>
      <c r="N383" s="7">
        <f>N335+N339+N343+N347+N351+N355+N359+N363+N367+N371+N375+N379</f>
        <v>47029910.291000009</v>
      </c>
    </row>
    <row r="384" spans="1:14" x14ac:dyDescent="0.2">
      <c r="C384" s="1" t="s">
        <v>23</v>
      </c>
      <c r="D384" s="11">
        <f>(D382/D383)-1</f>
        <v>0.10172320022683379</v>
      </c>
      <c r="E384" s="11">
        <f>(E382/E383)-1</f>
        <v>0.11257098760431905</v>
      </c>
      <c r="F384" s="11">
        <f>(F382/F383)-1</f>
        <v>0.12079675746631091</v>
      </c>
      <c r="G384" s="11">
        <f>(G382/G383)-1</f>
        <v>0.10500847969723615</v>
      </c>
      <c r="I384" s="11">
        <f>(I382/I383)-1</f>
        <v>7.8326935079389592E-2</v>
      </c>
      <c r="J384" s="11">
        <f>(J382/J383)-1</f>
        <v>0.10139888880757653</v>
      </c>
      <c r="K384" s="11">
        <f>(K382/K383)-1</f>
        <v>9.06306778921111E-2</v>
      </c>
      <c r="L384" s="11">
        <f>(L382/L383)-1</f>
        <v>8.3953833920028309E-2</v>
      </c>
      <c r="N384" s="11">
        <f>(N382/N383)-1</f>
        <v>9.1893856517522021E-2</v>
      </c>
    </row>
  </sheetData>
  <mergeCells count="14">
    <mergeCell ref="D331:G331"/>
    <mergeCell ref="I331:L331"/>
    <mergeCell ref="D276:G276"/>
    <mergeCell ref="I276:L276"/>
    <mergeCell ref="D1:G1"/>
    <mergeCell ref="I1:L1"/>
    <mergeCell ref="D56:G56"/>
    <mergeCell ref="I56:L56"/>
    <mergeCell ref="D221:G221"/>
    <mergeCell ref="I221:L221"/>
    <mergeCell ref="D111:G111"/>
    <mergeCell ref="I111:L111"/>
    <mergeCell ref="D166:G166"/>
    <mergeCell ref="I166:L166"/>
  </mergeCells>
  <phoneticPr fontId="1" type="noConversion"/>
  <printOptions horizontalCentered="1"/>
  <pageMargins left="0.25" right="0.25" top="0.75" bottom="0.5" header="0.5" footer="0.5"/>
  <pageSetup scale="37" fitToHeight="4" orientation="landscape" r:id="rId1"/>
  <headerFooter alignWithMargins="0"/>
  <rowBreaks count="3" manualBreakCount="3">
    <brk id="110" max="16383" man="1"/>
    <brk id="165" max="16383" man="1"/>
    <brk id="22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305"/>
  <sheetViews>
    <sheetView zoomScaleNormal="100" workbookViewId="0"/>
  </sheetViews>
  <sheetFormatPr defaultRowHeight="12.75" x14ac:dyDescent="0.2"/>
  <cols>
    <col min="1" max="1" width="10.7109375" style="1" customWidth="1"/>
    <col min="2" max="2" width="2.7109375" style="1" customWidth="1"/>
    <col min="3" max="3" width="12.7109375" style="1" customWidth="1"/>
    <col min="4" max="8" width="15.7109375" style="7" customWidth="1"/>
    <col min="9" max="9" width="2.7109375" style="7" customWidth="1"/>
    <col min="10" max="12" width="15.7109375" style="7" customWidth="1"/>
    <col min="13" max="13" width="15.7109375" style="1" customWidth="1"/>
    <col min="14" max="16384" width="9.140625" style="1"/>
  </cols>
  <sheetData>
    <row r="1" spans="1:12" x14ac:dyDescent="0.2">
      <c r="D1" s="19" t="s">
        <v>7</v>
      </c>
      <c r="E1" s="19"/>
      <c r="F1" s="19"/>
      <c r="G1" s="19"/>
      <c r="H1" s="10"/>
      <c r="I1" s="10"/>
      <c r="J1" s="19" t="s">
        <v>8</v>
      </c>
      <c r="K1" s="19"/>
      <c r="L1" s="19"/>
    </row>
    <row r="2" spans="1:12" x14ac:dyDescent="0.2">
      <c r="D2" s="10" t="s">
        <v>0</v>
      </c>
      <c r="E2" s="10" t="s">
        <v>1</v>
      </c>
      <c r="F2" s="10" t="s">
        <v>2</v>
      </c>
      <c r="G2" s="10" t="s">
        <v>5</v>
      </c>
      <c r="H2" s="10"/>
      <c r="I2" s="10"/>
      <c r="J2" s="10" t="s">
        <v>3</v>
      </c>
      <c r="K2" s="10" t="s">
        <v>4</v>
      </c>
      <c r="L2" s="10" t="s">
        <v>6</v>
      </c>
    </row>
    <row r="3" spans="1:12" x14ac:dyDescent="0.2">
      <c r="A3" s="1">
        <v>2007</v>
      </c>
    </row>
    <row r="4" spans="1:12" x14ac:dyDescent="0.2">
      <c r="A4" s="1" t="s">
        <v>9</v>
      </c>
      <c r="C4" s="1" t="s">
        <v>21</v>
      </c>
    </row>
    <row r="5" spans="1:12" x14ac:dyDescent="0.2">
      <c r="C5" s="1" t="s">
        <v>22</v>
      </c>
    </row>
    <row r="6" spans="1:12" x14ac:dyDescent="0.2">
      <c r="C6" s="1" t="s">
        <v>23</v>
      </c>
    </row>
    <row r="8" spans="1:12" x14ac:dyDescent="0.2">
      <c r="A8" s="1" t="s">
        <v>10</v>
      </c>
      <c r="C8" s="1" t="s">
        <v>21</v>
      </c>
    </row>
    <row r="9" spans="1:12" x14ac:dyDescent="0.2">
      <c r="C9" s="1" t="s">
        <v>22</v>
      </c>
    </row>
    <row r="10" spans="1:12" x14ac:dyDescent="0.2">
      <c r="C10" s="1" t="s">
        <v>23</v>
      </c>
    </row>
    <row r="12" spans="1:12" x14ac:dyDescent="0.2">
      <c r="A12" s="1" t="s">
        <v>11</v>
      </c>
      <c r="C12" s="1" t="s">
        <v>21</v>
      </c>
    </row>
    <row r="13" spans="1:12" x14ac:dyDescent="0.2">
      <c r="C13" s="1" t="s">
        <v>22</v>
      </c>
    </row>
    <row r="14" spans="1:12" x14ac:dyDescent="0.2">
      <c r="C14" s="1" t="s">
        <v>23</v>
      </c>
    </row>
    <row r="16" spans="1:12" x14ac:dyDescent="0.2">
      <c r="A16" s="1" t="s">
        <v>12</v>
      </c>
      <c r="C16" s="1" t="s">
        <v>21</v>
      </c>
    </row>
    <row r="17" spans="1:3" x14ac:dyDescent="0.2">
      <c r="C17" s="1" t="s">
        <v>22</v>
      </c>
    </row>
    <row r="18" spans="1:3" x14ac:dyDescent="0.2">
      <c r="C18" s="1" t="s">
        <v>23</v>
      </c>
    </row>
    <row r="20" spans="1:3" x14ac:dyDescent="0.2">
      <c r="A20" s="1" t="s">
        <v>13</v>
      </c>
      <c r="C20" s="1" t="s">
        <v>21</v>
      </c>
    </row>
    <row r="21" spans="1:3" x14ac:dyDescent="0.2">
      <c r="C21" s="1" t="s">
        <v>22</v>
      </c>
    </row>
    <row r="22" spans="1:3" x14ac:dyDescent="0.2">
      <c r="C22" s="1" t="s">
        <v>23</v>
      </c>
    </row>
    <row r="24" spans="1:3" x14ac:dyDescent="0.2">
      <c r="A24" s="1" t="s">
        <v>14</v>
      </c>
      <c r="C24" s="1" t="s">
        <v>21</v>
      </c>
    </row>
    <row r="25" spans="1:3" x14ac:dyDescent="0.2">
      <c r="C25" s="1" t="s">
        <v>22</v>
      </c>
    </row>
    <row r="26" spans="1:3" x14ac:dyDescent="0.2">
      <c r="C26" s="1" t="s">
        <v>23</v>
      </c>
    </row>
    <row r="28" spans="1:3" x14ac:dyDescent="0.2">
      <c r="A28" s="1" t="s">
        <v>15</v>
      </c>
      <c r="C28" s="1" t="s">
        <v>21</v>
      </c>
    </row>
    <row r="29" spans="1:3" x14ac:dyDescent="0.2">
      <c r="C29" s="1" t="s">
        <v>22</v>
      </c>
    </row>
    <row r="30" spans="1:3" x14ac:dyDescent="0.2">
      <c r="C30" s="1" t="s">
        <v>23</v>
      </c>
    </row>
    <row r="32" spans="1:3" x14ac:dyDescent="0.2">
      <c r="A32" s="1" t="s">
        <v>16</v>
      </c>
      <c r="C32" s="1" t="s">
        <v>21</v>
      </c>
    </row>
    <row r="33" spans="1:3" x14ac:dyDescent="0.2">
      <c r="C33" s="1" t="s">
        <v>22</v>
      </c>
    </row>
    <row r="34" spans="1:3" x14ac:dyDescent="0.2">
      <c r="C34" s="1" t="s">
        <v>23</v>
      </c>
    </row>
    <row r="36" spans="1:3" x14ac:dyDescent="0.2">
      <c r="A36" s="1" t="s">
        <v>17</v>
      </c>
      <c r="C36" s="1" t="s">
        <v>21</v>
      </c>
    </row>
    <row r="37" spans="1:3" x14ac:dyDescent="0.2">
      <c r="C37" s="1" t="s">
        <v>22</v>
      </c>
    </row>
    <row r="38" spans="1:3" x14ac:dyDescent="0.2">
      <c r="C38" s="1" t="s">
        <v>23</v>
      </c>
    </row>
    <row r="40" spans="1:3" x14ac:dyDescent="0.2">
      <c r="A40" s="1" t="s">
        <v>18</v>
      </c>
      <c r="C40" s="1" t="s">
        <v>21</v>
      </c>
    </row>
    <row r="41" spans="1:3" x14ac:dyDescent="0.2">
      <c r="C41" s="1" t="s">
        <v>22</v>
      </c>
    </row>
    <row r="42" spans="1:3" x14ac:dyDescent="0.2">
      <c r="C42" s="1" t="s">
        <v>23</v>
      </c>
    </row>
    <row r="44" spans="1:3" x14ac:dyDescent="0.2">
      <c r="A44" s="1" t="s">
        <v>19</v>
      </c>
      <c r="C44" s="1" t="s">
        <v>21</v>
      </c>
    </row>
    <row r="45" spans="1:3" x14ac:dyDescent="0.2">
      <c r="C45" s="1" t="s">
        <v>22</v>
      </c>
    </row>
    <row r="46" spans="1:3" x14ac:dyDescent="0.2">
      <c r="C46" s="1" t="s">
        <v>23</v>
      </c>
    </row>
    <row r="48" spans="1:3" x14ac:dyDescent="0.2">
      <c r="A48" s="1" t="s">
        <v>20</v>
      </c>
      <c r="C48" s="1" t="s">
        <v>21</v>
      </c>
    </row>
    <row r="49" spans="1:13" x14ac:dyDescent="0.2">
      <c r="C49" s="1" t="s">
        <v>22</v>
      </c>
    </row>
    <row r="50" spans="1:13" x14ac:dyDescent="0.2">
      <c r="C50" s="1" t="s">
        <v>23</v>
      </c>
    </row>
    <row r="52" spans="1:13" x14ac:dyDescent="0.2">
      <c r="D52" s="19" t="s">
        <v>7</v>
      </c>
      <c r="E52" s="19"/>
      <c r="F52" s="19"/>
      <c r="G52" s="19"/>
      <c r="H52" s="19"/>
      <c r="I52" s="10"/>
      <c r="J52" s="19" t="s">
        <v>8</v>
      </c>
      <c r="K52" s="19"/>
      <c r="L52" s="19"/>
      <c r="M52" s="19"/>
    </row>
    <row r="53" spans="1:13" x14ac:dyDescent="0.2">
      <c r="D53" s="10" t="s">
        <v>0</v>
      </c>
      <c r="E53" s="10" t="s">
        <v>1</v>
      </c>
      <c r="F53" s="10" t="s">
        <v>2</v>
      </c>
      <c r="G53" s="10" t="s">
        <v>5</v>
      </c>
      <c r="H53" s="10" t="s">
        <v>24</v>
      </c>
      <c r="I53" s="10"/>
      <c r="J53" s="10" t="s">
        <v>3</v>
      </c>
      <c r="K53" s="10" t="s">
        <v>4</v>
      </c>
      <c r="L53" s="10" t="s">
        <v>6</v>
      </c>
      <c r="M53" s="10" t="s">
        <v>24</v>
      </c>
    </row>
    <row r="54" spans="1:13" x14ac:dyDescent="0.2">
      <c r="A54" s="1">
        <v>2006</v>
      </c>
      <c r="D54" s="10"/>
      <c r="E54" s="10"/>
      <c r="F54" s="10"/>
      <c r="G54" s="10"/>
      <c r="H54" s="10"/>
      <c r="I54" s="10"/>
      <c r="J54" s="10"/>
      <c r="K54" s="10"/>
      <c r="L54" s="10"/>
    </row>
    <row r="55" spans="1:13" x14ac:dyDescent="0.2">
      <c r="A55" s="1" t="s">
        <v>9</v>
      </c>
      <c r="C55" s="1" t="s">
        <v>21</v>
      </c>
      <c r="D55" s="7">
        <v>1421283.8329621013</v>
      </c>
      <c r="E55" s="7">
        <v>434428.91138150019</v>
      </c>
      <c r="F55" s="7">
        <v>87819.113620099888</v>
      </c>
      <c r="G55" s="7">
        <v>681887.24093250372</v>
      </c>
      <c r="H55" s="7">
        <f>SUM(D55:G55)</f>
        <v>2625419.0988962054</v>
      </c>
      <c r="J55" s="7">
        <v>1930167.5709471474</v>
      </c>
      <c r="K55" s="7">
        <v>290581.77657739999</v>
      </c>
      <c r="L55" s="7">
        <v>94619.390779200083</v>
      </c>
      <c r="M55" s="7">
        <f>SUM(J55:L55)</f>
        <v>2315368.7383037475</v>
      </c>
    </row>
    <row r="56" spans="1:13" x14ac:dyDescent="0.2">
      <c r="C56" s="1" t="s">
        <v>22</v>
      </c>
      <c r="H56" s="7">
        <f>SUM(D56:G56)</f>
        <v>0</v>
      </c>
      <c r="M56" s="7">
        <f>SUM(J56:L56)</f>
        <v>0</v>
      </c>
    </row>
    <row r="57" spans="1:13" s="11" customFormat="1" x14ac:dyDescent="0.2">
      <c r="C57" s="11" t="s">
        <v>23</v>
      </c>
    </row>
    <row r="59" spans="1:13" x14ac:dyDescent="0.2">
      <c r="A59" s="1" t="s">
        <v>10</v>
      </c>
      <c r="C59" s="1" t="s">
        <v>21</v>
      </c>
      <c r="D59" s="7">
        <v>1281272.2498914003</v>
      </c>
      <c r="E59" s="7">
        <v>393053.70058220014</v>
      </c>
      <c r="F59" s="7">
        <v>74663.745100999935</v>
      </c>
      <c r="G59" s="7">
        <v>610945.96926944004</v>
      </c>
      <c r="H59" s="7">
        <f>SUM(D59:G59)</f>
        <v>2359935.6648440408</v>
      </c>
      <c r="J59" s="7">
        <v>1734164.4506834613</v>
      </c>
      <c r="K59" s="7">
        <v>264602.87703969999</v>
      </c>
      <c r="L59" s="7">
        <v>89047.677202599982</v>
      </c>
      <c r="M59" s="7">
        <f>SUM(J59:L59)</f>
        <v>2087815.0049257614</v>
      </c>
    </row>
    <row r="60" spans="1:13" x14ac:dyDescent="0.2">
      <c r="C60" s="1" t="s">
        <v>22</v>
      </c>
      <c r="H60" s="7">
        <f>SUM(D60:G60)</f>
        <v>0</v>
      </c>
      <c r="M60" s="7">
        <f>SUM(J60:L60)</f>
        <v>0</v>
      </c>
    </row>
    <row r="61" spans="1:13" s="11" customFormat="1" x14ac:dyDescent="0.2">
      <c r="C61" s="11" t="s">
        <v>23</v>
      </c>
    </row>
    <row r="63" spans="1:13" x14ac:dyDescent="0.2">
      <c r="A63" s="1" t="s">
        <v>11</v>
      </c>
      <c r="C63" s="1" t="s">
        <v>21</v>
      </c>
      <c r="D63" s="7">
        <v>1374586.2633422001</v>
      </c>
      <c r="E63" s="7">
        <v>380868.45788320003</v>
      </c>
      <c r="F63" s="7">
        <v>83851.584260600037</v>
      </c>
      <c r="G63" s="7">
        <v>653830.30655721156</v>
      </c>
      <c r="H63" s="7">
        <f>SUM(D63:G63)</f>
        <v>2493136.6120432117</v>
      </c>
      <c r="J63" s="7">
        <v>1777492.302303215</v>
      </c>
      <c r="K63" s="7">
        <v>273089.0615875998</v>
      </c>
      <c r="L63" s="7">
        <v>94032.062131300103</v>
      </c>
      <c r="M63" s="7">
        <f>SUM(J63:L63)</f>
        <v>2144613.4260221152</v>
      </c>
    </row>
    <row r="64" spans="1:13" x14ac:dyDescent="0.2">
      <c r="C64" s="1" t="s">
        <v>22</v>
      </c>
      <c r="H64" s="7">
        <f>SUM(D64:G64)</f>
        <v>0</v>
      </c>
      <c r="M64" s="7">
        <f>SUM(J64:L64)</f>
        <v>0</v>
      </c>
    </row>
    <row r="65" spans="1:13" s="11" customFormat="1" x14ac:dyDescent="0.2">
      <c r="C65" s="11" t="s">
        <v>23</v>
      </c>
    </row>
    <row r="67" spans="1:13" x14ac:dyDescent="0.2">
      <c r="A67" s="1" t="s">
        <v>12</v>
      </c>
      <c r="C67" s="1" t="s">
        <v>21</v>
      </c>
      <c r="D67" s="7">
        <v>1138459.290584744</v>
      </c>
      <c r="E67" s="7">
        <v>329004.95919899992</v>
      </c>
      <c r="F67" s="7">
        <v>76888.188168299981</v>
      </c>
      <c r="G67" s="7">
        <v>616481.86325163208</v>
      </c>
      <c r="H67" s="7">
        <f>SUM(D67:G67)</f>
        <v>2160834.301203676</v>
      </c>
      <c r="J67" s="7">
        <v>1629719.94399886</v>
      </c>
      <c r="K67" s="7">
        <v>248772.72364249983</v>
      </c>
      <c r="L67" s="7">
        <v>81743.066519000044</v>
      </c>
      <c r="M67" s="7">
        <f>SUM(J67:L67)</f>
        <v>1960235.7341603599</v>
      </c>
    </row>
    <row r="68" spans="1:13" x14ac:dyDescent="0.2">
      <c r="C68" s="1" t="s">
        <v>22</v>
      </c>
      <c r="H68" s="7">
        <f>SUM(D68:G68)</f>
        <v>0</v>
      </c>
      <c r="M68" s="7">
        <f>SUM(J68:L68)</f>
        <v>0</v>
      </c>
    </row>
    <row r="69" spans="1:13" s="11" customFormat="1" x14ac:dyDescent="0.2">
      <c r="C69" s="11" t="s">
        <v>23</v>
      </c>
    </row>
    <row r="71" spans="1:13" x14ac:dyDescent="0.2">
      <c r="A71" s="1" t="s">
        <v>13</v>
      </c>
      <c r="C71" s="1" t="s">
        <v>21</v>
      </c>
      <c r="D71" s="7">
        <v>1151017.8257674484</v>
      </c>
      <c r="E71" s="7">
        <v>338908.9780730994</v>
      </c>
      <c r="F71" s="7">
        <v>86426.961722199921</v>
      </c>
      <c r="G71" s="7">
        <v>613705.1201230766</v>
      </c>
      <c r="H71" s="7">
        <f>SUM(D71:G71)</f>
        <v>2190058.8856858243</v>
      </c>
      <c r="J71" s="7">
        <v>1823956.3235547389</v>
      </c>
      <c r="K71" s="7">
        <v>311230.15851850022</v>
      </c>
      <c r="L71" s="7">
        <v>88036.812407100093</v>
      </c>
      <c r="M71" s="7">
        <f>SUM(J71:L71)</f>
        <v>2223223.2944803392</v>
      </c>
    </row>
    <row r="72" spans="1:13" x14ac:dyDescent="0.2">
      <c r="C72" s="1" t="s">
        <v>22</v>
      </c>
      <c r="H72" s="7">
        <f>SUM(D72:G72)</f>
        <v>0</v>
      </c>
      <c r="M72" s="7">
        <f>SUM(J72:L72)</f>
        <v>0</v>
      </c>
    </row>
    <row r="73" spans="1:13" s="11" customFormat="1" x14ac:dyDescent="0.2">
      <c r="C73" s="11" t="s">
        <v>23</v>
      </c>
    </row>
    <row r="75" spans="1:13" x14ac:dyDescent="0.2">
      <c r="A75" s="1" t="s">
        <v>14</v>
      </c>
      <c r="C75" s="1" t="s">
        <v>21</v>
      </c>
      <c r="D75" s="7">
        <v>1155906.0567414011</v>
      </c>
      <c r="E75" s="7">
        <v>350401.52836619964</v>
      </c>
      <c r="F75" s="7">
        <v>92700.005194300087</v>
      </c>
      <c r="G75" s="7">
        <v>609371.86357766809</v>
      </c>
      <c r="H75" s="7">
        <f>SUM(D75:G75)</f>
        <v>2208379.4538795687</v>
      </c>
      <c r="J75" s="7">
        <v>1999409.9848197238</v>
      </c>
      <c r="K75" s="7">
        <v>386311.55624090013</v>
      </c>
      <c r="L75" s="7">
        <v>86618.824905000074</v>
      </c>
      <c r="M75" s="7">
        <f>SUM(J75:L75)</f>
        <v>2472340.3659656239</v>
      </c>
    </row>
    <row r="76" spans="1:13" x14ac:dyDescent="0.2">
      <c r="C76" s="1" t="s">
        <v>22</v>
      </c>
      <c r="H76" s="7">
        <f>SUM(D76:G76)</f>
        <v>0</v>
      </c>
      <c r="M76" s="7">
        <f>SUM(J76:L76)</f>
        <v>0</v>
      </c>
    </row>
    <row r="77" spans="1:13" s="11" customFormat="1" x14ac:dyDescent="0.2">
      <c r="C77" s="11" t="s">
        <v>23</v>
      </c>
    </row>
    <row r="79" spans="1:13" x14ac:dyDescent="0.2">
      <c r="A79" s="1" t="s">
        <v>15</v>
      </c>
      <c r="C79" s="1" t="s">
        <v>21</v>
      </c>
      <c r="D79" s="7">
        <v>1330745.4924914585</v>
      </c>
      <c r="E79" s="7">
        <v>413215.74455649994</v>
      </c>
      <c r="F79" s="7">
        <v>92227.950450300006</v>
      </c>
      <c r="G79" s="7">
        <v>663306.57330460066</v>
      </c>
      <c r="H79" s="7">
        <f>SUM(D79:G79)</f>
        <v>2499495.760802859</v>
      </c>
      <c r="J79" s="7">
        <v>2325592.1947676186</v>
      </c>
      <c r="K79" s="7">
        <v>451549.00322369993</v>
      </c>
      <c r="L79" s="7">
        <v>88578.885016899934</v>
      </c>
      <c r="M79" s="7">
        <f>SUM(J79:L79)</f>
        <v>2865720.0830082186</v>
      </c>
    </row>
    <row r="80" spans="1:13" x14ac:dyDescent="0.2">
      <c r="C80" s="1" t="s">
        <v>22</v>
      </c>
      <c r="H80" s="7">
        <f>SUM(D80:G80)</f>
        <v>0</v>
      </c>
      <c r="M80" s="7">
        <f>SUM(J80:L80)</f>
        <v>0</v>
      </c>
    </row>
    <row r="81" spans="1:13" s="11" customFormat="1" x14ac:dyDescent="0.2">
      <c r="C81" s="11" t="s">
        <v>23</v>
      </c>
    </row>
    <row r="83" spans="1:13" x14ac:dyDescent="0.2">
      <c r="A83" s="1" t="s">
        <v>16</v>
      </c>
      <c r="C83" s="1" t="s">
        <v>21</v>
      </c>
      <c r="D83" s="7">
        <v>1302141.0590983003</v>
      </c>
      <c r="E83" s="7">
        <v>392338.05398749956</v>
      </c>
      <c r="F83" s="7">
        <v>82536.07905719991</v>
      </c>
      <c r="G83" s="7">
        <v>660340.19764906005</v>
      </c>
      <c r="H83" s="7">
        <f>SUM(D83:G83)</f>
        <v>2437355.3897920595</v>
      </c>
      <c r="J83" s="7">
        <v>2191124.1191443871</v>
      </c>
      <c r="K83" s="7">
        <v>373430.26973340032</v>
      </c>
      <c r="L83" s="7">
        <v>89674.205611499987</v>
      </c>
      <c r="M83" s="7">
        <f>SUM(J83:L83)</f>
        <v>2654228.5944892876</v>
      </c>
    </row>
    <row r="84" spans="1:13" x14ac:dyDescent="0.2">
      <c r="C84" s="1" t="s">
        <v>22</v>
      </c>
      <c r="H84" s="7">
        <f>SUM(D84:G84)</f>
        <v>0</v>
      </c>
      <c r="M84" s="7">
        <f>SUM(J84:L84)</f>
        <v>0</v>
      </c>
    </row>
    <row r="85" spans="1:13" s="11" customFormat="1" x14ac:dyDescent="0.2">
      <c r="C85" s="11" t="s">
        <v>23</v>
      </c>
    </row>
    <row r="87" spans="1:13" x14ac:dyDescent="0.2">
      <c r="A87" s="1" t="s">
        <v>17</v>
      </c>
      <c r="C87" s="1" t="s">
        <v>21</v>
      </c>
      <c r="D87" s="7">
        <v>1197335.5619001014</v>
      </c>
      <c r="E87" s="7">
        <v>360833.69025609957</v>
      </c>
      <c r="F87" s="7">
        <v>70077.873257400002</v>
      </c>
      <c r="G87" s="7">
        <v>598622.95627712354</v>
      </c>
      <c r="H87" s="7">
        <f>SUM(D87:G87)</f>
        <v>2226870.0816907245</v>
      </c>
      <c r="J87" s="7">
        <v>1817284.1498722937</v>
      </c>
      <c r="K87" s="7">
        <v>286305.63561409991</v>
      </c>
      <c r="L87" s="7">
        <v>87149.403058000084</v>
      </c>
      <c r="M87" s="7">
        <f>SUM(J87:L87)</f>
        <v>2190739.1885443935</v>
      </c>
    </row>
    <row r="88" spans="1:13" x14ac:dyDescent="0.2">
      <c r="C88" s="1" t="s">
        <v>22</v>
      </c>
      <c r="H88" s="7">
        <f>SUM(D88:G88)</f>
        <v>0</v>
      </c>
      <c r="M88" s="7">
        <f>SUM(J88:L88)</f>
        <v>0</v>
      </c>
    </row>
    <row r="89" spans="1:13" s="11" customFormat="1" x14ac:dyDescent="0.2">
      <c r="C89" s="11" t="s">
        <v>23</v>
      </c>
    </row>
    <row r="91" spans="1:13" x14ac:dyDescent="0.2">
      <c r="A91" s="1" t="s">
        <v>18</v>
      </c>
      <c r="C91" s="1" t="s">
        <v>21</v>
      </c>
      <c r="D91" s="7">
        <v>1233242.1468720015</v>
      </c>
      <c r="E91" s="7">
        <v>375092.26105749968</v>
      </c>
      <c r="F91" s="7">
        <v>74519.716020200096</v>
      </c>
      <c r="G91" s="7">
        <v>670286.24577154079</v>
      </c>
      <c r="H91" s="7">
        <f>SUM(D91:G91)</f>
        <v>2353140.3697212422</v>
      </c>
      <c r="J91" s="7">
        <v>1759336.3312617075</v>
      </c>
      <c r="K91" s="7">
        <v>258105.90314059993</v>
      </c>
      <c r="L91" s="7">
        <v>89501.11215120001</v>
      </c>
      <c r="M91" s="7">
        <f>SUM(J91:L91)</f>
        <v>2106943.3465535073</v>
      </c>
    </row>
    <row r="92" spans="1:13" x14ac:dyDescent="0.2">
      <c r="C92" s="1" t="s">
        <v>22</v>
      </c>
      <c r="H92" s="7">
        <f>SUM(D92:G92)</f>
        <v>0</v>
      </c>
      <c r="M92" s="7">
        <f>SUM(J92:L92)</f>
        <v>0</v>
      </c>
    </row>
    <row r="93" spans="1:13" s="11" customFormat="1" x14ac:dyDescent="0.2">
      <c r="C93" s="11" t="s">
        <v>23</v>
      </c>
    </row>
    <row r="95" spans="1:13" x14ac:dyDescent="0.2">
      <c r="A95" s="1" t="s">
        <v>19</v>
      </c>
      <c r="C95" s="1" t="s">
        <v>21</v>
      </c>
      <c r="D95" s="7">
        <v>1324952.3268379997</v>
      </c>
      <c r="E95" s="7">
        <v>403362.26972120034</v>
      </c>
      <c r="F95" s="7">
        <v>79344.251174899982</v>
      </c>
      <c r="G95" s="7">
        <v>653763.40037233231</v>
      </c>
      <c r="H95" s="7">
        <f>SUM(D95:G95)</f>
        <v>2461422.2481064321</v>
      </c>
      <c r="J95" s="7">
        <v>1878664.6403719196</v>
      </c>
      <c r="K95" s="7">
        <v>237261.47704909989</v>
      </c>
      <c r="L95" s="7">
        <v>87542.112033399899</v>
      </c>
      <c r="M95" s="7">
        <f>SUM(J95:L95)</f>
        <v>2203468.2294544191</v>
      </c>
    </row>
    <row r="96" spans="1:13" x14ac:dyDescent="0.2">
      <c r="C96" s="1" t="s">
        <v>22</v>
      </c>
      <c r="H96" s="7">
        <f>SUM(D96:G96)</f>
        <v>0</v>
      </c>
      <c r="M96" s="7">
        <f>SUM(J96:L96)</f>
        <v>0</v>
      </c>
    </row>
    <row r="97" spans="1:13" s="11" customFormat="1" x14ac:dyDescent="0.2">
      <c r="C97" s="11" t="s">
        <v>23</v>
      </c>
    </row>
    <row r="99" spans="1:13" x14ac:dyDescent="0.2">
      <c r="A99" s="1" t="s">
        <v>20</v>
      </c>
      <c r="C99" s="1" t="s">
        <v>21</v>
      </c>
      <c r="D99" s="7">
        <v>1477569.6474829994</v>
      </c>
      <c r="E99" s="7">
        <v>465709.7524509005</v>
      </c>
      <c r="F99" s="7">
        <v>90290.793495999955</v>
      </c>
      <c r="G99" s="7">
        <v>707915.16890404036</v>
      </c>
      <c r="H99" s="7">
        <f>SUM(D99:G99)</f>
        <v>2741485.3623339399</v>
      </c>
      <c r="J99" s="7">
        <v>2091210.7881142714</v>
      </c>
      <c r="K99" s="7">
        <v>296754.70140980021</v>
      </c>
      <c r="L99" s="7">
        <v>101395.61118829992</v>
      </c>
      <c r="M99" s="7">
        <f>SUM(J99:L99)</f>
        <v>2489361.1007123715</v>
      </c>
    </row>
    <row r="100" spans="1:13" x14ac:dyDescent="0.2">
      <c r="C100" s="1" t="s">
        <v>22</v>
      </c>
      <c r="H100" s="7">
        <f>SUM(D100:G100)</f>
        <v>0</v>
      </c>
      <c r="M100" s="7">
        <f>SUM(J100:L100)</f>
        <v>0</v>
      </c>
    </row>
    <row r="101" spans="1:13" s="11" customFormat="1" x14ac:dyDescent="0.2">
      <c r="C101" s="11" t="s">
        <v>23</v>
      </c>
    </row>
    <row r="103" spans="1:13" x14ac:dyDescent="0.2">
      <c r="D103" s="19" t="s">
        <v>7</v>
      </c>
      <c r="E103" s="19"/>
      <c r="F103" s="19"/>
      <c r="G103" s="19"/>
      <c r="H103" s="19"/>
      <c r="I103" s="10"/>
      <c r="J103" s="19" t="s">
        <v>8</v>
      </c>
      <c r="K103" s="19"/>
      <c r="L103" s="19"/>
      <c r="M103" s="19"/>
    </row>
    <row r="104" spans="1:13" x14ac:dyDescent="0.2">
      <c r="D104" s="10" t="s">
        <v>0</v>
      </c>
      <c r="E104" s="10" t="s">
        <v>1</v>
      </c>
      <c r="F104" s="10" t="s">
        <v>2</v>
      </c>
      <c r="G104" s="10" t="s">
        <v>5</v>
      </c>
      <c r="H104" s="10" t="s">
        <v>24</v>
      </c>
      <c r="I104" s="10"/>
      <c r="J104" s="10" t="s">
        <v>3</v>
      </c>
      <c r="K104" s="10" t="s">
        <v>4</v>
      </c>
      <c r="L104" s="10" t="s">
        <v>6</v>
      </c>
      <c r="M104" s="10" t="s">
        <v>24</v>
      </c>
    </row>
    <row r="105" spans="1:13" x14ac:dyDescent="0.2">
      <c r="A105" s="1">
        <v>2005</v>
      </c>
    </row>
    <row r="106" spans="1:13" x14ac:dyDescent="0.2">
      <c r="A106" s="1" t="s">
        <v>9</v>
      </c>
      <c r="C106" s="1" t="s">
        <v>21</v>
      </c>
      <c r="D106" s="7">
        <v>1368206.5942479009</v>
      </c>
      <c r="E106" s="7">
        <v>442586.23097129987</v>
      </c>
      <c r="F106" s="7">
        <v>88372.842168300063</v>
      </c>
      <c r="G106" s="7">
        <v>640434.2616427968</v>
      </c>
      <c r="H106" s="7">
        <f>SUM(D106:G106)</f>
        <v>2539599.9290302978</v>
      </c>
      <c r="J106" s="7">
        <v>1887851.2373804427</v>
      </c>
      <c r="K106" s="7">
        <v>282026.16632760008</v>
      </c>
      <c r="L106" s="7">
        <v>101389.83366320001</v>
      </c>
      <c r="M106" s="7">
        <f>SUM(J106:L106)</f>
        <v>2271267.2373712426</v>
      </c>
    </row>
    <row r="107" spans="1:13" x14ac:dyDescent="0.2">
      <c r="C107" s="1" t="s">
        <v>22</v>
      </c>
      <c r="H107" s="7">
        <f>SUM(D107:G107)</f>
        <v>0</v>
      </c>
      <c r="M107" s="7">
        <f>SUM(J107:L107)</f>
        <v>0</v>
      </c>
    </row>
    <row r="108" spans="1:13" s="11" customFormat="1" x14ac:dyDescent="0.2">
      <c r="C108" s="11" t="s">
        <v>23</v>
      </c>
    </row>
    <row r="110" spans="1:13" x14ac:dyDescent="0.2">
      <c r="A110" s="1" t="s">
        <v>10</v>
      </c>
      <c r="C110" s="1" t="s">
        <v>21</v>
      </c>
      <c r="D110" s="7">
        <v>1172982.8992942993</v>
      </c>
      <c r="E110" s="7">
        <v>368360.87133830012</v>
      </c>
      <c r="F110" s="7">
        <v>69599.847748699947</v>
      </c>
      <c r="G110" s="7">
        <v>593580.46317892452</v>
      </c>
      <c r="H110" s="7">
        <f>SUM(D110:G110)</f>
        <v>2204524.0815602243</v>
      </c>
      <c r="J110" s="7">
        <v>1686613.5502222239</v>
      </c>
      <c r="K110" s="7">
        <v>251888.55461779973</v>
      </c>
      <c r="L110" s="7">
        <v>91685.438073099984</v>
      </c>
      <c r="M110" s="7">
        <f>SUM(J110:L110)</f>
        <v>2030187.5429131237</v>
      </c>
    </row>
    <row r="111" spans="1:13" x14ac:dyDescent="0.2">
      <c r="C111" s="1" t="s">
        <v>22</v>
      </c>
      <c r="H111" s="7">
        <f>SUM(D111:G111)</f>
        <v>0</v>
      </c>
      <c r="M111" s="7">
        <f>SUM(J111:L111)</f>
        <v>0</v>
      </c>
    </row>
    <row r="112" spans="1:13" s="11" customFormat="1" x14ac:dyDescent="0.2">
      <c r="C112" s="11" t="s">
        <v>23</v>
      </c>
    </row>
    <row r="114" spans="1:13" x14ac:dyDescent="0.2">
      <c r="A114" s="1" t="s">
        <v>11</v>
      </c>
      <c r="C114" s="1" t="s">
        <v>21</v>
      </c>
      <c r="D114" s="7">
        <v>1195726.5891082</v>
      </c>
      <c r="E114" s="7">
        <v>360237.14354339993</v>
      </c>
      <c r="F114" s="7">
        <v>69870.278709599996</v>
      </c>
      <c r="G114" s="7">
        <v>645248.93228355015</v>
      </c>
      <c r="H114" s="7">
        <f>SUM(D114:G114)</f>
        <v>2271082.9436447499</v>
      </c>
      <c r="J114" s="7">
        <v>1688564.385722247</v>
      </c>
      <c r="K114" s="7">
        <v>265524.22178639978</v>
      </c>
      <c r="L114" s="7">
        <v>95583.983330800009</v>
      </c>
      <c r="M114" s="7">
        <f>SUM(J114:L114)</f>
        <v>2049672.5908394468</v>
      </c>
    </row>
    <row r="115" spans="1:13" x14ac:dyDescent="0.2">
      <c r="C115" s="1" t="s">
        <v>22</v>
      </c>
      <c r="H115" s="7">
        <f>SUM(D115:G115)</f>
        <v>0</v>
      </c>
      <c r="M115" s="7">
        <f>SUM(J115:L115)</f>
        <v>0</v>
      </c>
    </row>
    <row r="116" spans="1:13" s="11" customFormat="1" x14ac:dyDescent="0.2">
      <c r="C116" s="11" t="s">
        <v>23</v>
      </c>
    </row>
    <row r="118" spans="1:13" x14ac:dyDescent="0.2">
      <c r="A118" s="1" t="s">
        <v>12</v>
      </c>
      <c r="C118" s="1" t="s">
        <v>21</v>
      </c>
      <c r="D118" s="7">
        <v>1114620.2492172008</v>
      </c>
      <c r="E118" s="7">
        <v>336257.76518009993</v>
      </c>
      <c r="F118" s="7">
        <v>68486.976105900001</v>
      </c>
      <c r="G118" s="7">
        <v>606110.76500742964</v>
      </c>
      <c r="H118" s="7">
        <f>SUM(D118:G118)</f>
        <v>2125475.7555106306</v>
      </c>
      <c r="J118" s="7">
        <v>1628442.8032477812</v>
      </c>
      <c r="K118" s="7">
        <v>224777.58092869993</v>
      </c>
      <c r="L118" s="7">
        <v>84449.048699900013</v>
      </c>
      <c r="M118" s="7">
        <f>SUM(J118:L118)</f>
        <v>1937669.4328763811</v>
      </c>
    </row>
    <row r="119" spans="1:13" x14ac:dyDescent="0.2">
      <c r="C119" s="1" t="s">
        <v>22</v>
      </c>
      <c r="H119" s="7">
        <f>SUM(D119:G119)</f>
        <v>0</v>
      </c>
      <c r="M119" s="7">
        <f>SUM(J119:L119)</f>
        <v>0</v>
      </c>
    </row>
    <row r="120" spans="1:13" s="11" customFormat="1" x14ac:dyDescent="0.2">
      <c r="C120" s="11" t="s">
        <v>23</v>
      </c>
    </row>
    <row r="122" spans="1:13" x14ac:dyDescent="0.2">
      <c r="A122" s="1" t="s">
        <v>13</v>
      </c>
      <c r="C122" s="1" t="s">
        <v>21</v>
      </c>
      <c r="D122" s="7">
        <v>1079502.2250167001</v>
      </c>
      <c r="E122" s="7">
        <v>336753.02678899973</v>
      </c>
      <c r="F122" s="7">
        <v>66493.100822000066</v>
      </c>
      <c r="G122" s="7">
        <v>604774.96420736879</v>
      </c>
      <c r="H122" s="7">
        <f>SUM(D122:G122)</f>
        <v>2087523.3168350686</v>
      </c>
      <c r="J122" s="7">
        <v>1719555.6493207938</v>
      </c>
      <c r="K122" s="7">
        <v>275274.1157509</v>
      </c>
      <c r="L122" s="7">
        <v>90559.139234800052</v>
      </c>
      <c r="M122" s="7">
        <f>SUM(J122:L122)</f>
        <v>2085388.9043064939</v>
      </c>
    </row>
    <row r="123" spans="1:13" x14ac:dyDescent="0.2">
      <c r="C123" s="1" t="s">
        <v>22</v>
      </c>
      <c r="H123" s="7">
        <f>SUM(D123:G123)</f>
        <v>0</v>
      </c>
      <c r="M123" s="7">
        <f>SUM(J123:L123)</f>
        <v>0</v>
      </c>
    </row>
    <row r="124" spans="1:13" s="11" customFormat="1" x14ac:dyDescent="0.2">
      <c r="C124" s="11" t="s">
        <v>23</v>
      </c>
    </row>
    <row r="126" spans="1:13" x14ac:dyDescent="0.2">
      <c r="A126" s="1" t="s">
        <v>14</v>
      </c>
      <c r="C126" s="1" t="s">
        <v>21</v>
      </c>
      <c r="D126" s="7">
        <v>1110676.8072167991</v>
      </c>
      <c r="E126" s="7">
        <v>351784.09680800018</v>
      </c>
      <c r="F126" s="7">
        <v>75396.154196800024</v>
      </c>
      <c r="G126" s="7">
        <v>612418.77662710065</v>
      </c>
      <c r="H126" s="7">
        <f>SUM(D126:G126)</f>
        <v>2150275.8348487001</v>
      </c>
      <c r="J126" s="7">
        <v>1785756.7595122524</v>
      </c>
      <c r="K126" s="7">
        <v>335368.3375231002</v>
      </c>
      <c r="L126" s="7">
        <v>87528.174383300109</v>
      </c>
      <c r="M126" s="7">
        <f>SUM(J126:L126)</f>
        <v>2208653.2714186525</v>
      </c>
    </row>
    <row r="127" spans="1:13" x14ac:dyDescent="0.2">
      <c r="C127" s="1" t="s">
        <v>22</v>
      </c>
      <c r="H127" s="7">
        <f>SUM(D127:G127)</f>
        <v>0</v>
      </c>
      <c r="M127" s="7">
        <f>SUM(J127:L127)</f>
        <v>0</v>
      </c>
    </row>
    <row r="128" spans="1:13" s="11" customFormat="1" x14ac:dyDescent="0.2">
      <c r="C128" s="11" t="s">
        <v>23</v>
      </c>
    </row>
    <row r="130" spans="1:13" x14ac:dyDescent="0.2">
      <c r="A130" s="1" t="s">
        <v>15</v>
      </c>
      <c r="C130" s="1" t="s">
        <v>21</v>
      </c>
      <c r="D130" s="7">
        <v>1240979.5038222002</v>
      </c>
      <c r="E130" s="7">
        <v>397101.35070279997</v>
      </c>
      <c r="F130" s="7">
        <v>97510.740552300078</v>
      </c>
      <c r="G130" s="7">
        <v>648253.83219970495</v>
      </c>
      <c r="H130" s="7">
        <f>SUM(D130:G130)</f>
        <v>2383845.4272770053</v>
      </c>
      <c r="J130" s="7">
        <v>2191104.4595214147</v>
      </c>
      <c r="K130" s="7">
        <v>469576.52463230013</v>
      </c>
      <c r="L130" s="7">
        <v>92497.226047999982</v>
      </c>
      <c r="M130" s="7">
        <f>SUM(J130:L130)</f>
        <v>2753178.2102017151</v>
      </c>
    </row>
    <row r="131" spans="1:13" x14ac:dyDescent="0.2">
      <c r="C131" s="1" t="s">
        <v>22</v>
      </c>
      <c r="H131" s="7">
        <f>SUM(D131:G131)</f>
        <v>0</v>
      </c>
      <c r="M131" s="7">
        <f>SUM(J131:L131)</f>
        <v>0</v>
      </c>
    </row>
    <row r="132" spans="1:13" s="11" customFormat="1" x14ac:dyDescent="0.2">
      <c r="C132" s="11" t="s">
        <v>23</v>
      </c>
    </row>
    <row r="134" spans="1:13" x14ac:dyDescent="0.2">
      <c r="A134" s="1" t="s">
        <v>16</v>
      </c>
      <c r="C134" s="1" t="s">
        <v>21</v>
      </c>
      <c r="D134" s="7">
        <v>1266095.8847190982</v>
      </c>
      <c r="E134" s="7">
        <v>421840.7703965003</v>
      </c>
      <c r="F134" s="7">
        <v>95319.275594099992</v>
      </c>
      <c r="G134" s="7">
        <v>643347.9235301856</v>
      </c>
      <c r="H134" s="7">
        <f>SUM(D134:G134)</f>
        <v>2426603.8542398838</v>
      </c>
      <c r="J134" s="7">
        <v>2099546.2989793522</v>
      </c>
      <c r="K134" s="7">
        <v>359597.66596279992</v>
      </c>
      <c r="L134" s="7">
        <v>90792.736326600017</v>
      </c>
      <c r="M134" s="7">
        <f>SUM(J134:L134)</f>
        <v>2549936.7012687521</v>
      </c>
    </row>
    <row r="135" spans="1:13" x14ac:dyDescent="0.2">
      <c r="C135" s="1" t="s">
        <v>22</v>
      </c>
      <c r="H135" s="7">
        <f>SUM(D135:G135)</f>
        <v>0</v>
      </c>
      <c r="M135" s="7">
        <f>SUM(J135:L135)</f>
        <v>0</v>
      </c>
    </row>
    <row r="136" spans="1:13" s="11" customFormat="1" x14ac:dyDescent="0.2">
      <c r="C136" s="11" t="s">
        <v>23</v>
      </c>
    </row>
    <row r="138" spans="1:13" x14ac:dyDescent="0.2">
      <c r="A138" s="1" t="s">
        <v>17</v>
      </c>
      <c r="C138" s="1" t="s">
        <v>21</v>
      </c>
      <c r="D138" s="7">
        <v>1097035.8303415</v>
      </c>
      <c r="E138" s="7">
        <v>372014.09035060013</v>
      </c>
      <c r="F138" s="7">
        <v>77430.545544799999</v>
      </c>
      <c r="G138" s="7">
        <v>614313.4151096195</v>
      </c>
      <c r="H138" s="7">
        <f>SUM(D138:G138)</f>
        <v>2160793.8813465196</v>
      </c>
      <c r="J138" s="7">
        <v>1746874.6448407895</v>
      </c>
      <c r="K138" s="7">
        <v>269790.35436109989</v>
      </c>
      <c r="L138" s="7">
        <v>85956.444900099974</v>
      </c>
      <c r="M138" s="7">
        <f>SUM(J138:L138)</f>
        <v>2102621.4441019893</v>
      </c>
    </row>
    <row r="139" spans="1:13" x14ac:dyDescent="0.2">
      <c r="C139" s="1" t="s">
        <v>22</v>
      </c>
      <c r="H139" s="7">
        <f>SUM(D139:G139)</f>
        <v>0</v>
      </c>
      <c r="M139" s="7">
        <f>SUM(J139:L139)</f>
        <v>0</v>
      </c>
    </row>
    <row r="140" spans="1:13" s="11" customFormat="1" x14ac:dyDescent="0.2">
      <c r="C140" s="11" t="s">
        <v>23</v>
      </c>
    </row>
    <row r="142" spans="1:13" x14ac:dyDescent="0.2">
      <c r="A142" s="1" t="s">
        <v>18</v>
      </c>
      <c r="C142" s="1" t="s">
        <v>21</v>
      </c>
      <c r="D142" s="7">
        <v>1130323.0157343003</v>
      </c>
      <c r="E142" s="7">
        <v>368071.33282069996</v>
      </c>
      <c r="F142" s="7">
        <v>69834.725662299883</v>
      </c>
      <c r="G142" s="7">
        <v>649696.79423294042</v>
      </c>
      <c r="H142" s="7">
        <f>SUM(D142:G142)</f>
        <v>2217925.8684502407</v>
      </c>
      <c r="J142" s="7">
        <v>1694042.2007999318</v>
      </c>
      <c r="K142" s="7">
        <v>260451.84396370011</v>
      </c>
      <c r="L142" s="7">
        <v>87083.841885600064</v>
      </c>
      <c r="M142" s="7">
        <f>SUM(J142:L142)</f>
        <v>2041577.8866492319</v>
      </c>
    </row>
    <row r="143" spans="1:13" x14ac:dyDescent="0.2">
      <c r="C143" s="1" t="s">
        <v>22</v>
      </c>
      <c r="H143" s="7">
        <f>SUM(D143:G143)</f>
        <v>0</v>
      </c>
      <c r="M143" s="7">
        <f>SUM(J143:L143)</f>
        <v>0</v>
      </c>
    </row>
    <row r="144" spans="1:13" s="11" customFormat="1" x14ac:dyDescent="0.2">
      <c r="C144" s="11" t="s">
        <v>23</v>
      </c>
    </row>
    <row r="146" spans="1:13" x14ac:dyDescent="0.2">
      <c r="A146" s="1" t="s">
        <v>19</v>
      </c>
      <c r="C146" s="1" t="s">
        <v>21</v>
      </c>
      <c r="D146" s="7">
        <v>1287010.1931780002</v>
      </c>
      <c r="E146" s="7">
        <v>409723.40129570023</v>
      </c>
      <c r="F146" s="7">
        <v>76257.846508100076</v>
      </c>
      <c r="G146" s="7">
        <v>652055.43020245247</v>
      </c>
      <c r="H146" s="7">
        <f>SUM(D146:G146)</f>
        <v>2425046.8711842531</v>
      </c>
      <c r="J146" s="7">
        <v>1787058.1753911816</v>
      </c>
      <c r="K146" s="7">
        <v>244689.49816029976</v>
      </c>
      <c r="L146" s="7">
        <v>91318.731123100093</v>
      </c>
      <c r="M146" s="7">
        <f>SUM(J146:L146)</f>
        <v>2123066.4046745817</v>
      </c>
    </row>
    <row r="147" spans="1:13" x14ac:dyDescent="0.2">
      <c r="C147" s="1" t="s">
        <v>22</v>
      </c>
      <c r="H147" s="7">
        <f>SUM(D147:G147)</f>
        <v>0</v>
      </c>
      <c r="M147" s="7">
        <f>SUM(J147:L147)</f>
        <v>0</v>
      </c>
    </row>
    <row r="148" spans="1:13" s="11" customFormat="1" x14ac:dyDescent="0.2">
      <c r="C148" s="11" t="s">
        <v>23</v>
      </c>
    </row>
    <row r="150" spans="1:13" x14ac:dyDescent="0.2">
      <c r="A150" s="1" t="s">
        <v>20</v>
      </c>
      <c r="C150" s="1" t="s">
        <v>21</v>
      </c>
      <c r="D150" s="7">
        <v>1440562.4572498016</v>
      </c>
      <c r="E150" s="7">
        <v>483222.33214250003</v>
      </c>
      <c r="F150" s="7">
        <v>90535.437333400012</v>
      </c>
      <c r="G150" s="7">
        <v>707287.61353388778</v>
      </c>
      <c r="H150" s="7">
        <f>SUM(D150:G150)</f>
        <v>2721607.8402595893</v>
      </c>
      <c r="J150" s="7">
        <v>1986765.3973225304</v>
      </c>
      <c r="K150" s="7">
        <v>280755.14490190014</v>
      </c>
      <c r="L150" s="7">
        <v>98733.007928300169</v>
      </c>
      <c r="M150" s="7">
        <f>SUM(J150:L150)</f>
        <v>2366253.5501527307</v>
      </c>
    </row>
    <row r="151" spans="1:13" x14ac:dyDescent="0.2">
      <c r="C151" s="1" t="s">
        <v>22</v>
      </c>
      <c r="H151" s="7">
        <f>SUM(D151:G151)</f>
        <v>0</v>
      </c>
      <c r="M151" s="7">
        <f>SUM(J151:L151)</f>
        <v>0</v>
      </c>
    </row>
    <row r="152" spans="1:13" s="11" customFormat="1" x14ac:dyDescent="0.2">
      <c r="C152" s="11" t="s">
        <v>23</v>
      </c>
    </row>
    <row r="154" spans="1:13" x14ac:dyDescent="0.2">
      <c r="D154" s="19" t="s">
        <v>7</v>
      </c>
      <c r="E154" s="19"/>
      <c r="F154" s="19"/>
      <c r="G154" s="19"/>
      <c r="H154" s="19"/>
      <c r="I154" s="10"/>
      <c r="J154" s="19" t="s">
        <v>8</v>
      </c>
      <c r="K154" s="19"/>
      <c r="L154" s="19"/>
      <c r="M154" s="19"/>
    </row>
    <row r="155" spans="1:13" x14ac:dyDescent="0.2">
      <c r="D155" s="10" t="s">
        <v>0</v>
      </c>
      <c r="E155" s="10" t="s">
        <v>1</v>
      </c>
      <c r="F155" s="10" t="s">
        <v>2</v>
      </c>
      <c r="G155" s="10" t="s">
        <v>5</v>
      </c>
      <c r="H155" s="10" t="s">
        <v>24</v>
      </c>
      <c r="I155" s="10"/>
      <c r="J155" s="10" t="s">
        <v>3</v>
      </c>
      <c r="K155" s="10" t="s">
        <v>4</v>
      </c>
      <c r="L155" s="10" t="s">
        <v>6</v>
      </c>
      <c r="M155" s="10" t="s">
        <v>24</v>
      </c>
    </row>
    <row r="156" spans="1:13" x14ac:dyDescent="0.2">
      <c r="A156" s="1">
        <v>2004</v>
      </c>
    </row>
    <row r="157" spans="1:13" x14ac:dyDescent="0.2">
      <c r="A157" s="1" t="s">
        <v>9</v>
      </c>
      <c r="C157" s="1" t="s">
        <v>21</v>
      </c>
      <c r="D157" s="7">
        <v>1366898</v>
      </c>
      <c r="E157" s="7">
        <v>454880</v>
      </c>
      <c r="F157" s="7">
        <v>78376</v>
      </c>
      <c r="G157" s="7">
        <v>636828</v>
      </c>
      <c r="H157" s="7">
        <f>SUM(D157:G157)</f>
        <v>2536982</v>
      </c>
      <c r="J157" s="7">
        <v>1889190</v>
      </c>
      <c r="K157" s="7">
        <v>283133</v>
      </c>
      <c r="L157" s="7">
        <v>108017</v>
      </c>
      <c r="M157" s="7">
        <f>SUM(J157:L157)</f>
        <v>2280340</v>
      </c>
    </row>
    <row r="158" spans="1:13" x14ac:dyDescent="0.2">
      <c r="C158" s="1" t="s">
        <v>22</v>
      </c>
      <c r="H158" s="7">
        <f>SUM(D158:G158)</f>
        <v>0</v>
      </c>
      <c r="M158" s="7">
        <f>SUM(J158:L158)</f>
        <v>0</v>
      </c>
    </row>
    <row r="159" spans="1:13" s="11" customFormat="1" x14ac:dyDescent="0.2">
      <c r="C159" s="11" t="s">
        <v>23</v>
      </c>
    </row>
    <row r="161" spans="1:13" x14ac:dyDescent="0.2">
      <c r="A161" s="1" t="s">
        <v>10</v>
      </c>
      <c r="C161" s="1" t="s">
        <v>21</v>
      </c>
      <c r="D161" s="7">
        <v>1218112</v>
      </c>
      <c r="E161" s="7">
        <v>375434</v>
      </c>
      <c r="F161" s="7">
        <v>70821</v>
      </c>
      <c r="G161" s="7">
        <v>603546</v>
      </c>
      <c r="H161" s="7">
        <f>SUM(D161:G161)</f>
        <v>2267913</v>
      </c>
      <c r="J161" s="7">
        <v>1718916</v>
      </c>
      <c r="K161" s="7">
        <v>257192</v>
      </c>
      <c r="L161" s="7">
        <v>99037</v>
      </c>
      <c r="M161" s="7">
        <f>SUM(J161:L161)</f>
        <v>2075145</v>
      </c>
    </row>
    <row r="162" spans="1:13" x14ac:dyDescent="0.2">
      <c r="C162" s="1" t="s">
        <v>22</v>
      </c>
      <c r="H162" s="7">
        <f>SUM(D162:G162)</f>
        <v>0</v>
      </c>
      <c r="M162" s="7">
        <f>SUM(J162:L162)</f>
        <v>0</v>
      </c>
    </row>
    <row r="163" spans="1:13" s="11" customFormat="1" x14ac:dyDescent="0.2">
      <c r="C163" s="11" t="s">
        <v>23</v>
      </c>
    </row>
    <row r="165" spans="1:13" x14ac:dyDescent="0.2">
      <c r="A165" s="1" t="s">
        <v>11</v>
      </c>
      <c r="C165" s="1" t="s">
        <v>21</v>
      </c>
      <c r="D165" s="7">
        <v>1178547</v>
      </c>
      <c r="E165" s="7">
        <v>344338</v>
      </c>
      <c r="F165" s="7">
        <v>68112</v>
      </c>
      <c r="G165" s="7">
        <v>615621</v>
      </c>
      <c r="H165" s="7">
        <f>SUM(D165:G165)</f>
        <v>2206618</v>
      </c>
      <c r="J165" s="7">
        <v>1652169</v>
      </c>
      <c r="K165" s="7">
        <v>258796</v>
      </c>
      <c r="L165" s="7">
        <v>101435</v>
      </c>
      <c r="M165" s="7">
        <f>SUM(J165:L165)</f>
        <v>2012400</v>
      </c>
    </row>
    <row r="166" spans="1:13" x14ac:dyDescent="0.2">
      <c r="C166" s="1" t="s">
        <v>22</v>
      </c>
      <c r="H166" s="7">
        <f>SUM(D166:G166)</f>
        <v>0</v>
      </c>
      <c r="M166" s="7">
        <f>SUM(J166:L166)</f>
        <v>0</v>
      </c>
    </row>
    <row r="167" spans="1:13" s="11" customFormat="1" x14ac:dyDescent="0.2">
      <c r="C167" s="11" t="s">
        <v>23</v>
      </c>
    </row>
    <row r="169" spans="1:13" x14ac:dyDescent="0.2">
      <c r="A169" s="1" t="s">
        <v>12</v>
      </c>
      <c r="C169" s="1" t="s">
        <v>21</v>
      </c>
      <c r="D169" s="7">
        <v>1086378</v>
      </c>
      <c r="E169" s="7">
        <v>316112</v>
      </c>
      <c r="F169" s="7">
        <v>67305</v>
      </c>
      <c r="G169" s="7">
        <v>576898</v>
      </c>
      <c r="H169" s="7">
        <f>SUM(D169:G169)</f>
        <v>2046693</v>
      </c>
      <c r="J169" s="7">
        <v>1550376</v>
      </c>
      <c r="K169" s="7">
        <v>259553</v>
      </c>
      <c r="L169" s="7">
        <v>94911</v>
      </c>
      <c r="M169" s="7">
        <f>SUM(J169:L169)</f>
        <v>1904840</v>
      </c>
    </row>
    <row r="170" spans="1:13" x14ac:dyDescent="0.2">
      <c r="C170" s="1" t="s">
        <v>22</v>
      </c>
      <c r="H170" s="7">
        <f>SUM(D170:G170)</f>
        <v>0</v>
      </c>
      <c r="M170" s="7">
        <f>SUM(J170:L170)</f>
        <v>0</v>
      </c>
    </row>
    <row r="171" spans="1:13" s="11" customFormat="1" x14ac:dyDescent="0.2">
      <c r="C171" s="11" t="s">
        <v>23</v>
      </c>
    </row>
    <row r="173" spans="1:13" x14ac:dyDescent="0.2">
      <c r="A173" s="1" t="s">
        <v>13</v>
      </c>
      <c r="C173" s="1" t="s">
        <v>21</v>
      </c>
      <c r="D173" s="7">
        <v>1059450</v>
      </c>
      <c r="E173" s="7">
        <v>313236</v>
      </c>
      <c r="F173" s="7">
        <v>88314</v>
      </c>
      <c r="G173" s="7">
        <v>588958</v>
      </c>
      <c r="H173" s="7">
        <f>SUM(D173:G173)</f>
        <v>2049958</v>
      </c>
      <c r="J173" s="7">
        <v>1693481</v>
      </c>
      <c r="K173" s="7">
        <v>316259</v>
      </c>
      <c r="L173" s="7">
        <v>96376</v>
      </c>
      <c r="M173" s="7">
        <f>SUM(J173:L173)</f>
        <v>2106116</v>
      </c>
    </row>
    <row r="174" spans="1:13" x14ac:dyDescent="0.2">
      <c r="C174" s="1" t="s">
        <v>22</v>
      </c>
      <c r="H174" s="7">
        <f>SUM(D174:G174)</f>
        <v>0</v>
      </c>
      <c r="M174" s="7">
        <f>SUM(J174:L174)</f>
        <v>0</v>
      </c>
    </row>
    <row r="175" spans="1:13" s="11" customFormat="1" x14ac:dyDescent="0.2">
      <c r="C175" s="11" t="s">
        <v>23</v>
      </c>
    </row>
    <row r="177" spans="1:13" x14ac:dyDescent="0.2">
      <c r="A177" s="1" t="s">
        <v>14</v>
      </c>
      <c r="C177" s="1" t="s">
        <v>21</v>
      </c>
      <c r="D177" s="7">
        <v>1107384</v>
      </c>
      <c r="E177" s="7">
        <v>357830</v>
      </c>
      <c r="F177" s="7">
        <v>88850</v>
      </c>
      <c r="G177" s="7">
        <v>592730</v>
      </c>
      <c r="H177" s="7">
        <f>SUM(D177:G177)</f>
        <v>2146794</v>
      </c>
      <c r="J177" s="7">
        <v>1845652</v>
      </c>
      <c r="K177" s="7">
        <v>391259</v>
      </c>
      <c r="L177" s="7">
        <v>93871</v>
      </c>
      <c r="M177" s="7">
        <f>SUM(J177:L177)</f>
        <v>2330782</v>
      </c>
    </row>
    <row r="178" spans="1:13" x14ac:dyDescent="0.2">
      <c r="C178" s="1" t="s">
        <v>22</v>
      </c>
      <c r="H178" s="7">
        <f>SUM(D178:G178)</f>
        <v>0</v>
      </c>
      <c r="M178" s="7">
        <f>SUM(J178:L178)</f>
        <v>0</v>
      </c>
    </row>
    <row r="179" spans="1:13" s="11" customFormat="1" x14ac:dyDescent="0.2">
      <c r="C179" s="11" t="s">
        <v>23</v>
      </c>
    </row>
    <row r="181" spans="1:13" x14ac:dyDescent="0.2">
      <c r="A181" s="1" t="s">
        <v>15</v>
      </c>
      <c r="C181" s="1" t="s">
        <v>21</v>
      </c>
      <c r="D181" s="7">
        <v>1245159</v>
      </c>
      <c r="E181" s="7">
        <v>402880</v>
      </c>
      <c r="F181" s="7">
        <v>91606</v>
      </c>
      <c r="G181" s="7">
        <v>630436</v>
      </c>
      <c r="H181" s="7">
        <f>SUM(D181:G181)</f>
        <v>2370081</v>
      </c>
      <c r="J181" s="7">
        <v>2111123</v>
      </c>
      <c r="K181" s="7">
        <v>425870</v>
      </c>
      <c r="L181" s="7">
        <v>96943</v>
      </c>
      <c r="M181" s="7">
        <f>SUM(J181:L181)</f>
        <v>2633936</v>
      </c>
    </row>
    <row r="182" spans="1:13" x14ac:dyDescent="0.2">
      <c r="C182" s="1" t="s">
        <v>22</v>
      </c>
      <c r="H182" s="7">
        <f>SUM(D182:G182)</f>
        <v>0</v>
      </c>
      <c r="M182" s="7">
        <f>SUM(J182:L182)</f>
        <v>0</v>
      </c>
    </row>
    <row r="183" spans="1:13" s="11" customFormat="1" x14ac:dyDescent="0.2">
      <c r="C183" s="11" t="s">
        <v>23</v>
      </c>
    </row>
    <row r="185" spans="1:13" x14ac:dyDescent="0.2">
      <c r="A185" s="1" t="s">
        <v>16</v>
      </c>
      <c r="C185" s="1" t="s">
        <v>21</v>
      </c>
      <c r="D185" s="7">
        <v>1228153</v>
      </c>
      <c r="E185" s="7">
        <v>402209</v>
      </c>
      <c r="F185" s="7">
        <v>90174</v>
      </c>
      <c r="G185" s="7">
        <v>610865</v>
      </c>
      <c r="H185" s="7">
        <f>SUM(D185:G185)</f>
        <v>2331401</v>
      </c>
      <c r="J185" s="7">
        <v>1990804</v>
      </c>
      <c r="K185" s="7">
        <v>317840</v>
      </c>
      <c r="L185" s="7">
        <v>93936</v>
      </c>
      <c r="M185" s="7">
        <f>SUM(J185:L185)</f>
        <v>2402580</v>
      </c>
    </row>
    <row r="186" spans="1:13" x14ac:dyDescent="0.2">
      <c r="C186" s="1" t="s">
        <v>22</v>
      </c>
      <c r="H186" s="7">
        <f>SUM(D186:G186)</f>
        <v>0</v>
      </c>
      <c r="M186" s="7">
        <f>SUM(J186:L186)</f>
        <v>0</v>
      </c>
    </row>
    <row r="187" spans="1:13" s="11" customFormat="1" x14ac:dyDescent="0.2">
      <c r="C187" s="11" t="s">
        <v>23</v>
      </c>
    </row>
    <row r="189" spans="1:13" x14ac:dyDescent="0.2">
      <c r="A189" s="1" t="s">
        <v>17</v>
      </c>
      <c r="C189" s="1" t="s">
        <v>21</v>
      </c>
      <c r="D189" s="7">
        <v>1077332</v>
      </c>
      <c r="E189" s="7">
        <v>356308</v>
      </c>
      <c r="F189" s="7">
        <v>74386</v>
      </c>
      <c r="G189" s="7">
        <v>564375</v>
      </c>
      <c r="H189" s="7">
        <f>SUM(D189:G189)</f>
        <v>2072401</v>
      </c>
      <c r="J189" s="7">
        <v>1684069</v>
      </c>
      <c r="K189" s="7">
        <v>265290</v>
      </c>
      <c r="L189" s="7">
        <v>89690</v>
      </c>
      <c r="M189" s="7">
        <f>SUM(J189:L189)</f>
        <v>2039049</v>
      </c>
    </row>
    <row r="190" spans="1:13" x14ac:dyDescent="0.2">
      <c r="C190" s="1" t="s">
        <v>22</v>
      </c>
      <c r="H190" s="7">
        <f>SUM(D190:G190)</f>
        <v>0</v>
      </c>
      <c r="M190" s="7">
        <f>SUM(J190:L190)</f>
        <v>0</v>
      </c>
    </row>
    <row r="191" spans="1:13" s="11" customFormat="1" x14ac:dyDescent="0.2">
      <c r="C191" s="11" t="s">
        <v>23</v>
      </c>
    </row>
    <row r="193" spans="1:13" x14ac:dyDescent="0.2">
      <c r="A193" s="1" t="s">
        <v>18</v>
      </c>
      <c r="C193" s="1" t="s">
        <v>21</v>
      </c>
      <c r="D193" s="7">
        <v>1141816</v>
      </c>
      <c r="E193" s="7">
        <v>372159</v>
      </c>
      <c r="F193" s="7">
        <v>69578</v>
      </c>
      <c r="G193" s="7">
        <v>615239</v>
      </c>
      <c r="H193" s="7">
        <f>SUM(D193:G193)</f>
        <v>2198792</v>
      </c>
      <c r="J193" s="7">
        <v>1662192</v>
      </c>
      <c r="K193" s="7">
        <v>268914</v>
      </c>
      <c r="L193" s="7">
        <v>94990</v>
      </c>
      <c r="M193" s="7">
        <f>SUM(J193:L193)</f>
        <v>2026096</v>
      </c>
    </row>
    <row r="194" spans="1:13" x14ac:dyDescent="0.2">
      <c r="C194" s="1" t="s">
        <v>22</v>
      </c>
      <c r="H194" s="7">
        <f>SUM(D194:G194)</f>
        <v>0</v>
      </c>
      <c r="M194" s="7">
        <f>SUM(J194:L194)</f>
        <v>0</v>
      </c>
    </row>
    <row r="195" spans="1:13" s="11" customFormat="1" x14ac:dyDescent="0.2">
      <c r="C195" s="11" t="s">
        <v>23</v>
      </c>
    </row>
    <row r="197" spans="1:13" x14ac:dyDescent="0.2">
      <c r="A197" s="1" t="s">
        <v>19</v>
      </c>
      <c r="C197" s="1" t="s">
        <v>21</v>
      </c>
      <c r="D197" s="7">
        <v>1254339</v>
      </c>
      <c r="E197" s="7">
        <v>397005</v>
      </c>
      <c r="F197" s="7">
        <v>82305</v>
      </c>
      <c r="G197" s="7">
        <v>608630</v>
      </c>
      <c r="H197" s="7">
        <f>SUM(D197:G197)</f>
        <v>2342279</v>
      </c>
      <c r="J197" s="7">
        <v>1756834</v>
      </c>
      <c r="K197" s="7">
        <v>255115</v>
      </c>
      <c r="L197" s="7">
        <v>94522</v>
      </c>
      <c r="M197" s="7">
        <f>SUM(J197:L197)</f>
        <v>2106471</v>
      </c>
    </row>
    <row r="198" spans="1:13" x14ac:dyDescent="0.2">
      <c r="C198" s="1" t="s">
        <v>22</v>
      </c>
      <c r="H198" s="7">
        <f>SUM(D198:G198)</f>
        <v>0</v>
      </c>
      <c r="M198" s="7">
        <f>SUM(J198:L198)</f>
        <v>0</v>
      </c>
    </row>
    <row r="199" spans="1:13" s="11" customFormat="1" x14ac:dyDescent="0.2">
      <c r="C199" s="11" t="s">
        <v>23</v>
      </c>
    </row>
    <row r="201" spans="1:13" x14ac:dyDescent="0.2">
      <c r="A201" s="1" t="s">
        <v>20</v>
      </c>
      <c r="C201" s="1" t="s">
        <v>21</v>
      </c>
      <c r="D201" s="7">
        <v>1360296</v>
      </c>
      <c r="E201" s="7">
        <v>433868</v>
      </c>
      <c r="F201" s="7">
        <v>94085</v>
      </c>
      <c r="G201" s="7">
        <v>636121</v>
      </c>
      <c r="H201" s="7">
        <f>SUM(D201:G201)</f>
        <v>2524370</v>
      </c>
      <c r="J201" s="7">
        <v>1929232</v>
      </c>
      <c r="K201" s="7">
        <v>278368</v>
      </c>
      <c r="L201" s="7">
        <v>101674</v>
      </c>
      <c r="M201" s="7">
        <f>SUM(J201:L201)</f>
        <v>2309274</v>
      </c>
    </row>
    <row r="202" spans="1:13" x14ac:dyDescent="0.2">
      <c r="C202" s="1" t="s">
        <v>22</v>
      </c>
      <c r="H202" s="7">
        <f>SUM(D202:G202)</f>
        <v>0</v>
      </c>
      <c r="M202" s="7">
        <f>SUM(J202:L202)</f>
        <v>0</v>
      </c>
    </row>
    <row r="203" spans="1:13" s="11" customFormat="1" x14ac:dyDescent="0.2">
      <c r="C203" s="11" t="s">
        <v>23</v>
      </c>
    </row>
    <row r="205" spans="1:13" x14ac:dyDescent="0.2">
      <c r="D205" s="19" t="s">
        <v>7</v>
      </c>
      <c r="E205" s="19"/>
      <c r="F205" s="19"/>
      <c r="G205" s="19"/>
      <c r="H205" s="19"/>
      <c r="I205" s="10"/>
      <c r="J205" s="19" t="s">
        <v>8</v>
      </c>
      <c r="K205" s="19"/>
      <c r="L205" s="19"/>
      <c r="M205" s="19"/>
    </row>
    <row r="206" spans="1:13" x14ac:dyDescent="0.2">
      <c r="D206" s="10" t="s">
        <v>0</v>
      </c>
      <c r="E206" s="10" t="s">
        <v>1</v>
      </c>
      <c r="F206" s="10" t="s">
        <v>2</v>
      </c>
      <c r="G206" s="10" t="s">
        <v>5</v>
      </c>
      <c r="H206" s="10" t="s">
        <v>24</v>
      </c>
      <c r="I206" s="10"/>
      <c r="J206" s="10" t="s">
        <v>3</v>
      </c>
      <c r="K206" s="10" t="s">
        <v>4</v>
      </c>
      <c r="L206" s="10" t="s">
        <v>6</v>
      </c>
      <c r="M206" s="10" t="s">
        <v>24</v>
      </c>
    </row>
    <row r="207" spans="1:13" x14ac:dyDescent="0.2">
      <c r="A207" s="1">
        <v>2003</v>
      </c>
    </row>
    <row r="208" spans="1:13" x14ac:dyDescent="0.2">
      <c r="A208" s="1" t="s">
        <v>9</v>
      </c>
      <c r="C208" s="1" t="s">
        <v>21</v>
      </c>
      <c r="D208" s="7">
        <v>1277408.1189999999</v>
      </c>
      <c r="E208" s="7">
        <v>409814.75099999999</v>
      </c>
      <c r="F208" s="7">
        <v>72765.597999999998</v>
      </c>
      <c r="G208" s="7">
        <v>633648.93200000003</v>
      </c>
      <c r="H208" s="7">
        <f>SUM(D208:G208)</f>
        <v>2393637.4</v>
      </c>
      <c r="J208" s="7">
        <v>1757177.2339999999</v>
      </c>
      <c r="K208" s="7">
        <v>268300.72200000001</v>
      </c>
      <c r="L208" s="7">
        <v>90660.459000000003</v>
      </c>
      <c r="M208" s="7">
        <f>SUM(J208:L208)</f>
        <v>2116138.415</v>
      </c>
    </row>
    <row r="209" spans="1:13" x14ac:dyDescent="0.2">
      <c r="C209" s="1" t="s">
        <v>22</v>
      </c>
      <c r="H209" s="7">
        <f>SUM(D209:G209)</f>
        <v>0</v>
      </c>
      <c r="M209" s="7">
        <f>SUM(J209:L209)</f>
        <v>0</v>
      </c>
    </row>
    <row r="210" spans="1:13" x14ac:dyDescent="0.2">
      <c r="A210" s="11"/>
      <c r="B210" s="11"/>
      <c r="C210" s="11" t="s">
        <v>23</v>
      </c>
      <c r="D210" s="11"/>
      <c r="E210" s="11"/>
      <c r="F210" s="11"/>
      <c r="G210" s="11"/>
      <c r="H210" s="11"/>
      <c r="I210" s="11"/>
      <c r="J210" s="11"/>
      <c r="K210" s="11"/>
      <c r="L210" s="11"/>
      <c r="M210" s="11"/>
    </row>
    <row r="212" spans="1:13" x14ac:dyDescent="0.2">
      <c r="A212" s="1" t="s">
        <v>10</v>
      </c>
      <c r="C212" s="1" t="s">
        <v>21</v>
      </c>
      <c r="D212" s="7">
        <v>1178813.5220000001</v>
      </c>
      <c r="E212" s="7">
        <v>356924.49599999998</v>
      </c>
      <c r="F212" s="7">
        <v>67934.679999999993</v>
      </c>
      <c r="G212" s="7">
        <v>583046.31900000002</v>
      </c>
      <c r="H212" s="7">
        <f>SUM(D212:G212)</f>
        <v>2186719.017</v>
      </c>
      <c r="J212" s="7">
        <v>1594347.024</v>
      </c>
      <c r="K212" s="7">
        <v>219904.48699999999</v>
      </c>
      <c r="L212" s="7">
        <v>81078.467999999993</v>
      </c>
      <c r="M212" s="7">
        <f>SUM(J212:L212)</f>
        <v>1895329.9789999998</v>
      </c>
    </row>
    <row r="213" spans="1:13" x14ac:dyDescent="0.2">
      <c r="C213" s="1" t="s">
        <v>22</v>
      </c>
      <c r="H213" s="7">
        <f>SUM(D213:G213)</f>
        <v>0</v>
      </c>
      <c r="M213" s="7">
        <f>SUM(J213:L213)</f>
        <v>0</v>
      </c>
    </row>
    <row r="214" spans="1:13" x14ac:dyDescent="0.2">
      <c r="A214" s="11"/>
      <c r="B214" s="11"/>
      <c r="C214" s="11" t="s">
        <v>23</v>
      </c>
      <c r="D214" s="11"/>
      <c r="E214" s="11"/>
      <c r="F214" s="11"/>
      <c r="G214" s="11"/>
      <c r="H214" s="11"/>
      <c r="I214" s="11"/>
      <c r="J214" s="11"/>
      <c r="K214" s="11"/>
      <c r="L214" s="11"/>
      <c r="M214" s="11"/>
    </row>
    <row r="216" spans="1:13" x14ac:dyDescent="0.2">
      <c r="A216" s="1" t="s">
        <v>11</v>
      </c>
      <c r="C216" s="1" t="s">
        <v>21</v>
      </c>
      <c r="D216" s="7">
        <v>1196646.0819999999</v>
      </c>
      <c r="E216" s="7">
        <v>351575.27799999999</v>
      </c>
      <c r="F216" s="7">
        <v>70636.269</v>
      </c>
      <c r="G216" s="7">
        <v>618995.69400000002</v>
      </c>
      <c r="H216" s="7">
        <f>SUM(D216:G216)</f>
        <v>2237853.3229999999</v>
      </c>
      <c r="J216" s="7">
        <v>1598314.047</v>
      </c>
      <c r="K216" s="7">
        <v>259378.53899999999</v>
      </c>
      <c r="L216" s="7">
        <v>86161.782000000007</v>
      </c>
      <c r="M216" s="7">
        <f>SUM(J216:L216)</f>
        <v>1943854.3680000002</v>
      </c>
    </row>
    <row r="217" spans="1:13" x14ac:dyDescent="0.2">
      <c r="C217" s="1" t="s">
        <v>22</v>
      </c>
      <c r="H217" s="7">
        <f>SUM(D217:G217)</f>
        <v>0</v>
      </c>
      <c r="M217" s="7">
        <f>SUM(J217:L217)</f>
        <v>0</v>
      </c>
    </row>
    <row r="218" spans="1:13" x14ac:dyDescent="0.2">
      <c r="A218" s="11"/>
      <c r="B218" s="11"/>
      <c r="C218" s="11" t="s">
        <v>23</v>
      </c>
      <c r="D218" s="11"/>
      <c r="E218" s="11"/>
      <c r="F218" s="11"/>
      <c r="G218" s="11"/>
      <c r="H218" s="11"/>
      <c r="I218" s="11"/>
      <c r="J218" s="11"/>
      <c r="K218" s="11"/>
      <c r="L218" s="11"/>
      <c r="M218" s="11"/>
    </row>
    <row r="220" spans="1:13" x14ac:dyDescent="0.2">
      <c r="A220" s="1" t="s">
        <v>12</v>
      </c>
      <c r="C220" s="1" t="s">
        <v>21</v>
      </c>
      <c r="D220" s="7">
        <v>1134694.054</v>
      </c>
      <c r="E220" s="7">
        <v>307566.42800000001</v>
      </c>
      <c r="F220" s="7">
        <v>72075.42</v>
      </c>
      <c r="G220" s="7">
        <v>564689.89899999998</v>
      </c>
      <c r="H220" s="7">
        <f>SUM(D220:G220)</f>
        <v>2079025.801</v>
      </c>
      <c r="J220" s="7">
        <v>1549501.757</v>
      </c>
      <c r="K220" s="7">
        <v>246604.31099999999</v>
      </c>
      <c r="L220" s="7">
        <v>80963.387000000002</v>
      </c>
      <c r="M220" s="7">
        <f>SUM(J220:L220)</f>
        <v>1877069.4550000001</v>
      </c>
    </row>
    <row r="221" spans="1:13" x14ac:dyDescent="0.2">
      <c r="C221" s="1" t="s">
        <v>22</v>
      </c>
      <c r="H221" s="7">
        <f>SUM(D221:G221)</f>
        <v>0</v>
      </c>
      <c r="M221" s="7">
        <f>SUM(J221:L221)</f>
        <v>0</v>
      </c>
    </row>
    <row r="222" spans="1:13" x14ac:dyDescent="0.2">
      <c r="A222" s="11"/>
      <c r="B222" s="11"/>
      <c r="C222" s="11" t="s">
        <v>23</v>
      </c>
      <c r="D222" s="11"/>
      <c r="E222" s="11"/>
      <c r="F222" s="11"/>
      <c r="G222" s="11"/>
      <c r="H222" s="11"/>
      <c r="I222" s="11"/>
      <c r="J222" s="11"/>
      <c r="K222" s="11"/>
      <c r="L222" s="11"/>
      <c r="M222" s="11"/>
    </row>
    <row r="224" spans="1:13" x14ac:dyDescent="0.2">
      <c r="A224" s="1" t="s">
        <v>13</v>
      </c>
      <c r="C224" s="1" t="s">
        <v>21</v>
      </c>
      <c r="D224" s="7">
        <v>1094739.314</v>
      </c>
      <c r="E224" s="7">
        <v>326127.40700000001</v>
      </c>
      <c r="F224" s="7">
        <v>71859.845000000001</v>
      </c>
      <c r="G224" s="7">
        <v>554972.52099999995</v>
      </c>
      <c r="H224" s="7">
        <f>SUM(D224:G224)</f>
        <v>2047699.0869999998</v>
      </c>
      <c r="J224" s="7">
        <v>1723652.8359999999</v>
      </c>
      <c r="K224" s="7">
        <v>319725.37699999998</v>
      </c>
      <c r="L224" s="7">
        <v>82344.923999999999</v>
      </c>
      <c r="M224" s="7">
        <f>SUM(J224:L224)</f>
        <v>2125723.1370000001</v>
      </c>
    </row>
    <row r="225" spans="1:13" x14ac:dyDescent="0.2">
      <c r="C225" s="1" t="s">
        <v>22</v>
      </c>
      <c r="H225" s="7">
        <f>SUM(D225:G225)</f>
        <v>0</v>
      </c>
      <c r="M225" s="7">
        <f>SUM(J225:L225)</f>
        <v>0</v>
      </c>
    </row>
    <row r="226" spans="1:13" x14ac:dyDescent="0.2">
      <c r="A226" s="11"/>
      <c r="B226" s="11"/>
      <c r="C226" s="11" t="s">
        <v>23</v>
      </c>
      <c r="D226" s="11"/>
      <c r="E226" s="11"/>
      <c r="F226" s="11"/>
      <c r="G226" s="11"/>
      <c r="H226" s="11"/>
      <c r="I226" s="11"/>
      <c r="J226" s="11"/>
      <c r="K226" s="11"/>
      <c r="L226" s="11"/>
      <c r="M226" s="11"/>
    </row>
    <row r="228" spans="1:13" x14ac:dyDescent="0.2">
      <c r="A228" s="1" t="s">
        <v>14</v>
      </c>
      <c r="C228" s="1" t="s">
        <v>21</v>
      </c>
      <c r="D228" s="7">
        <v>1133675.5079999999</v>
      </c>
      <c r="E228" s="7">
        <v>362436.99599999998</v>
      </c>
      <c r="F228" s="7">
        <v>84565.998999999996</v>
      </c>
      <c r="G228" s="7">
        <v>550738.65099999995</v>
      </c>
      <c r="H228" s="7">
        <f>SUM(D228:G228)</f>
        <v>2131417.1540000001</v>
      </c>
      <c r="J228" s="7">
        <v>1786027.1769999999</v>
      </c>
      <c r="K228" s="7">
        <v>420470.511</v>
      </c>
      <c r="L228" s="7">
        <v>77938.785999999993</v>
      </c>
      <c r="M228" s="7">
        <f>SUM(J228:L228)</f>
        <v>2284436.4739999999</v>
      </c>
    </row>
    <row r="229" spans="1:13" x14ac:dyDescent="0.2">
      <c r="C229" s="1" t="s">
        <v>22</v>
      </c>
      <c r="H229" s="7">
        <f>SUM(D229:G229)</f>
        <v>0</v>
      </c>
      <c r="M229" s="7">
        <f>SUM(J229:L229)</f>
        <v>0</v>
      </c>
    </row>
    <row r="230" spans="1:13" x14ac:dyDescent="0.2">
      <c r="A230" s="11"/>
      <c r="B230" s="11"/>
      <c r="C230" s="11" t="s">
        <v>23</v>
      </c>
      <c r="D230" s="11"/>
      <c r="E230" s="11"/>
      <c r="F230" s="11"/>
      <c r="G230" s="11"/>
      <c r="H230" s="11"/>
      <c r="I230" s="11"/>
      <c r="J230" s="11"/>
      <c r="K230" s="11"/>
      <c r="L230" s="11"/>
      <c r="M230" s="11"/>
    </row>
    <row r="232" spans="1:13" x14ac:dyDescent="0.2">
      <c r="A232" s="1" t="s">
        <v>15</v>
      </c>
      <c r="C232" s="1" t="s">
        <v>21</v>
      </c>
      <c r="D232" s="7">
        <v>1261904.645</v>
      </c>
      <c r="E232" s="7">
        <v>407480.55200000003</v>
      </c>
      <c r="F232" s="7">
        <v>91770.751000000004</v>
      </c>
      <c r="G232" s="7">
        <v>616214.11699999997</v>
      </c>
      <c r="H232" s="7">
        <f>SUM(D232:G232)</f>
        <v>2377370.0649999999</v>
      </c>
      <c r="J232" s="7">
        <v>2162288.702</v>
      </c>
      <c r="K232" s="7">
        <v>452907.196</v>
      </c>
      <c r="L232" s="7">
        <v>81811.652000000002</v>
      </c>
      <c r="M232" s="7">
        <f>SUM(J232:L232)</f>
        <v>2697007.55</v>
      </c>
    </row>
    <row r="233" spans="1:13" x14ac:dyDescent="0.2">
      <c r="C233" s="1" t="s">
        <v>22</v>
      </c>
      <c r="H233" s="7">
        <f>SUM(D233:G233)</f>
        <v>0</v>
      </c>
      <c r="M233" s="7">
        <f>SUM(J233:L233)</f>
        <v>0</v>
      </c>
    </row>
    <row r="234" spans="1:13" x14ac:dyDescent="0.2">
      <c r="A234" s="11"/>
      <c r="B234" s="11"/>
      <c r="C234" s="11" t="s">
        <v>23</v>
      </c>
      <c r="D234" s="11"/>
      <c r="E234" s="11"/>
      <c r="F234" s="11"/>
      <c r="G234" s="11"/>
      <c r="H234" s="11"/>
      <c r="I234" s="11"/>
      <c r="J234" s="11"/>
      <c r="K234" s="11"/>
      <c r="L234" s="11"/>
      <c r="M234" s="11"/>
    </row>
    <row r="236" spans="1:13" x14ac:dyDescent="0.2">
      <c r="A236" s="1" t="s">
        <v>16</v>
      </c>
      <c r="C236" s="1" t="s">
        <v>21</v>
      </c>
      <c r="D236" s="7">
        <v>1200766.6270000001</v>
      </c>
      <c r="E236" s="7">
        <v>389806.375</v>
      </c>
      <c r="F236" s="7">
        <v>83327.236000000004</v>
      </c>
      <c r="G236" s="7">
        <v>607871.68700000003</v>
      </c>
      <c r="H236" s="7">
        <f>SUM(D236:G236)</f>
        <v>2281771.9250000003</v>
      </c>
      <c r="J236" s="7">
        <v>2058106.179</v>
      </c>
      <c r="K236" s="7">
        <v>365517.45500000002</v>
      </c>
      <c r="L236" s="7">
        <v>85657.546000000002</v>
      </c>
      <c r="M236" s="7">
        <f>SUM(J236:L236)</f>
        <v>2509281.1800000002</v>
      </c>
    </row>
    <row r="237" spans="1:13" x14ac:dyDescent="0.2">
      <c r="C237" s="1" t="s">
        <v>22</v>
      </c>
      <c r="H237" s="7">
        <f>SUM(D237:G237)</f>
        <v>0</v>
      </c>
      <c r="M237" s="7">
        <f>SUM(J237:L237)</f>
        <v>0</v>
      </c>
    </row>
    <row r="238" spans="1:13" x14ac:dyDescent="0.2">
      <c r="A238" s="11"/>
      <c r="B238" s="11"/>
      <c r="C238" s="11" t="s">
        <v>23</v>
      </c>
      <c r="D238" s="11"/>
      <c r="E238" s="11"/>
      <c r="F238" s="11"/>
      <c r="G238" s="11"/>
      <c r="H238" s="11"/>
      <c r="I238" s="11"/>
      <c r="J238" s="11"/>
      <c r="K238" s="11"/>
      <c r="L238" s="11"/>
      <c r="M238" s="11"/>
    </row>
    <row r="240" spans="1:13" x14ac:dyDescent="0.2">
      <c r="A240" s="1" t="s">
        <v>17</v>
      </c>
      <c r="C240" s="1" t="s">
        <v>21</v>
      </c>
      <c r="D240" s="7">
        <v>1106068.544</v>
      </c>
      <c r="E240" s="7">
        <v>365278.495</v>
      </c>
      <c r="F240" s="7">
        <v>67037.241999999998</v>
      </c>
      <c r="G240" s="7">
        <v>563826.58299999998</v>
      </c>
      <c r="H240" s="7">
        <f>SUM(D240:G240)</f>
        <v>2102210.8640000001</v>
      </c>
      <c r="J240" s="7">
        <v>1671456.0349999999</v>
      </c>
      <c r="K240" s="7">
        <v>271008.11700000003</v>
      </c>
      <c r="L240" s="7">
        <v>81470.021999999997</v>
      </c>
      <c r="M240" s="7">
        <f>SUM(J240:L240)</f>
        <v>2023934.1740000001</v>
      </c>
    </row>
    <row r="241" spans="1:13" x14ac:dyDescent="0.2">
      <c r="C241" s="1" t="s">
        <v>22</v>
      </c>
      <c r="H241" s="7">
        <f>SUM(D241:G241)</f>
        <v>0</v>
      </c>
      <c r="M241" s="7">
        <f>SUM(J241:L241)</f>
        <v>0</v>
      </c>
    </row>
    <row r="242" spans="1:13" x14ac:dyDescent="0.2">
      <c r="A242" s="11"/>
      <c r="B242" s="11"/>
      <c r="C242" s="11" t="s">
        <v>23</v>
      </c>
      <c r="D242" s="11"/>
      <c r="E242" s="11"/>
      <c r="F242" s="11"/>
      <c r="G242" s="11"/>
      <c r="H242" s="11"/>
      <c r="I242" s="11"/>
      <c r="J242" s="11"/>
      <c r="K242" s="11"/>
      <c r="L242" s="11"/>
      <c r="M242" s="11"/>
    </row>
    <row r="244" spans="1:13" x14ac:dyDescent="0.2">
      <c r="A244" s="1" t="s">
        <v>18</v>
      </c>
      <c r="C244" s="1" t="s">
        <v>21</v>
      </c>
      <c r="D244" s="7">
        <v>1120859.5430000001</v>
      </c>
      <c r="E244" s="7">
        <v>361434.27899999998</v>
      </c>
      <c r="F244" s="7">
        <v>63368.082999999999</v>
      </c>
      <c r="G244" s="7">
        <v>587997.35900000005</v>
      </c>
      <c r="H244" s="7">
        <f>SUM(D244:G244)</f>
        <v>2133659.2640000004</v>
      </c>
      <c r="J244" s="7">
        <v>1638259.879</v>
      </c>
      <c r="K244" s="7">
        <v>274702.783</v>
      </c>
      <c r="L244" s="7">
        <v>84946.179000000004</v>
      </c>
      <c r="M244" s="7">
        <f>SUM(J244:L244)</f>
        <v>1997908.841</v>
      </c>
    </row>
    <row r="245" spans="1:13" x14ac:dyDescent="0.2">
      <c r="C245" s="1" t="s">
        <v>22</v>
      </c>
      <c r="H245" s="7">
        <f>SUM(D245:G245)</f>
        <v>0</v>
      </c>
      <c r="M245" s="7">
        <f>SUM(J245:L245)</f>
        <v>0</v>
      </c>
    </row>
    <row r="246" spans="1:13" x14ac:dyDescent="0.2">
      <c r="A246" s="11"/>
      <c r="B246" s="11"/>
      <c r="C246" s="11" t="s">
        <v>23</v>
      </c>
      <c r="D246" s="11"/>
      <c r="E246" s="11"/>
      <c r="F246" s="11"/>
      <c r="G246" s="11"/>
      <c r="H246" s="11"/>
      <c r="I246" s="11"/>
      <c r="J246" s="11"/>
      <c r="K246" s="11"/>
      <c r="L246" s="11"/>
      <c r="M246" s="11"/>
    </row>
    <row r="248" spans="1:13" x14ac:dyDescent="0.2">
      <c r="A248" s="1" t="s">
        <v>19</v>
      </c>
      <c r="C248" s="1" t="s">
        <v>21</v>
      </c>
      <c r="D248" s="7">
        <v>1237461.0900000001</v>
      </c>
      <c r="E248" s="7">
        <v>393441.49800000002</v>
      </c>
      <c r="F248" s="7">
        <v>67981.562999999995</v>
      </c>
      <c r="G248" s="7">
        <v>614323.42700000003</v>
      </c>
      <c r="H248" s="7">
        <f>SUM(D248:G248)</f>
        <v>2313207.5780000002</v>
      </c>
      <c r="J248" s="7">
        <v>1729551.5460000001</v>
      </c>
      <c r="K248" s="7">
        <v>261256.891</v>
      </c>
      <c r="L248" s="7">
        <v>100227.76300000001</v>
      </c>
      <c r="M248" s="7">
        <f>SUM(J248:L248)</f>
        <v>2091036.2000000002</v>
      </c>
    </row>
    <row r="249" spans="1:13" x14ac:dyDescent="0.2">
      <c r="C249" s="1" t="s">
        <v>22</v>
      </c>
      <c r="H249" s="7">
        <f>SUM(D249:G249)</f>
        <v>0</v>
      </c>
      <c r="M249" s="7">
        <f>SUM(J249:L249)</f>
        <v>0</v>
      </c>
    </row>
    <row r="250" spans="1:13" x14ac:dyDescent="0.2">
      <c r="A250" s="11"/>
      <c r="B250" s="11"/>
      <c r="C250" s="11" t="s">
        <v>23</v>
      </c>
      <c r="D250" s="11"/>
      <c r="E250" s="11"/>
      <c r="F250" s="11"/>
      <c r="G250" s="11"/>
      <c r="H250" s="11"/>
      <c r="I250" s="11"/>
      <c r="J250" s="11"/>
      <c r="K250" s="11"/>
      <c r="L250" s="11"/>
      <c r="M250" s="11"/>
    </row>
    <row r="252" spans="1:13" x14ac:dyDescent="0.2">
      <c r="A252" s="1" t="s">
        <v>20</v>
      </c>
      <c r="C252" s="1" t="s">
        <v>21</v>
      </c>
      <c r="D252" s="7">
        <v>1328679.5109999999</v>
      </c>
      <c r="E252" s="7">
        <v>437754.73499999999</v>
      </c>
      <c r="F252" s="7">
        <v>79364.710000000006</v>
      </c>
      <c r="G252" s="7">
        <v>647056.13</v>
      </c>
      <c r="H252" s="7">
        <f>SUM(D252:G252)</f>
        <v>2492855.0859999997</v>
      </c>
      <c r="J252" s="7">
        <v>1857446.9879999999</v>
      </c>
      <c r="K252" s="7">
        <v>277023.67</v>
      </c>
      <c r="L252" s="7">
        <v>105217.82799999999</v>
      </c>
      <c r="M252" s="7">
        <f>SUM(J252:L252)</f>
        <v>2239688.486</v>
      </c>
    </row>
    <row r="253" spans="1:13" x14ac:dyDescent="0.2">
      <c r="C253" s="1" t="s">
        <v>22</v>
      </c>
      <c r="H253" s="7">
        <f>SUM(D253:G253)</f>
        <v>0</v>
      </c>
      <c r="M253" s="7">
        <f>SUM(J253:L253)</f>
        <v>0</v>
      </c>
    </row>
    <row r="254" spans="1:13" x14ac:dyDescent="0.2">
      <c r="A254" s="11"/>
      <c r="B254" s="11"/>
      <c r="C254" s="11" t="s">
        <v>23</v>
      </c>
      <c r="D254" s="11"/>
      <c r="E254" s="11"/>
      <c r="F254" s="11"/>
      <c r="G254" s="11"/>
      <c r="H254" s="11"/>
      <c r="I254" s="11"/>
      <c r="J254" s="11"/>
      <c r="K254" s="11"/>
      <c r="L254" s="11"/>
      <c r="M254" s="11"/>
    </row>
    <row r="256" spans="1:13" x14ac:dyDescent="0.2">
      <c r="D256" s="19" t="s">
        <v>7</v>
      </c>
      <c r="E256" s="19"/>
      <c r="F256" s="19"/>
      <c r="G256" s="19"/>
      <c r="H256" s="19"/>
      <c r="I256" s="10"/>
      <c r="J256" s="19" t="s">
        <v>8</v>
      </c>
      <c r="K256" s="19"/>
      <c r="L256" s="19"/>
      <c r="M256" s="19"/>
    </row>
    <row r="257" spans="1:13" x14ac:dyDescent="0.2">
      <c r="D257" s="10" t="s">
        <v>0</v>
      </c>
      <c r="E257" s="10" t="s">
        <v>1</v>
      </c>
      <c r="F257" s="10" t="s">
        <v>2</v>
      </c>
      <c r="G257" s="10" t="s">
        <v>5</v>
      </c>
      <c r="H257" s="10" t="s">
        <v>24</v>
      </c>
      <c r="I257" s="10"/>
      <c r="J257" s="10" t="s">
        <v>3</v>
      </c>
      <c r="K257" s="10" t="s">
        <v>4</v>
      </c>
      <c r="L257" s="10" t="s">
        <v>6</v>
      </c>
      <c r="M257" s="10" t="s">
        <v>24</v>
      </c>
    </row>
    <row r="258" spans="1:13" x14ac:dyDescent="0.2">
      <c r="A258" s="1">
        <v>2003</v>
      </c>
    </row>
    <row r="259" spans="1:13" x14ac:dyDescent="0.2">
      <c r="A259" s="1" t="s">
        <v>9</v>
      </c>
      <c r="C259" s="1" t="s">
        <v>21</v>
      </c>
      <c r="D259" s="7">
        <v>1409715.7720000001</v>
      </c>
      <c r="E259" s="7">
        <v>408084.09600000002</v>
      </c>
      <c r="F259" s="7">
        <v>82136.198999999993</v>
      </c>
      <c r="G259" s="7">
        <v>561416.99800000002</v>
      </c>
      <c r="H259" s="7">
        <f>SUM(D259:G259)</f>
        <v>2461353.0650000004</v>
      </c>
      <c r="J259" s="7">
        <v>1760110.0319999999</v>
      </c>
      <c r="K259" s="7">
        <v>274117.02100000001</v>
      </c>
      <c r="L259" s="7">
        <v>98061.263000000006</v>
      </c>
      <c r="M259" s="7">
        <f>SUM(J259:L259)</f>
        <v>2132288.3159999996</v>
      </c>
    </row>
    <row r="260" spans="1:13" x14ac:dyDescent="0.2">
      <c r="C260" s="1" t="s">
        <v>22</v>
      </c>
      <c r="H260" s="7">
        <f>SUM(D260:G260)</f>
        <v>0</v>
      </c>
      <c r="M260" s="7">
        <f>SUM(J260:L260)</f>
        <v>0</v>
      </c>
    </row>
    <row r="261" spans="1:13" x14ac:dyDescent="0.2">
      <c r="A261" s="11"/>
      <c r="B261" s="11"/>
      <c r="C261" s="11" t="s">
        <v>23</v>
      </c>
      <c r="D261" s="11"/>
      <c r="E261" s="11"/>
      <c r="F261" s="11"/>
      <c r="G261" s="11"/>
      <c r="H261" s="11"/>
      <c r="I261" s="11"/>
      <c r="J261" s="11"/>
      <c r="K261" s="11"/>
      <c r="L261" s="11"/>
      <c r="M261" s="11"/>
    </row>
    <row r="263" spans="1:13" x14ac:dyDescent="0.2">
      <c r="A263" s="1" t="s">
        <v>10</v>
      </c>
      <c r="C263" s="1" t="s">
        <v>21</v>
      </c>
      <c r="D263" s="7">
        <v>1188634.6000000001</v>
      </c>
      <c r="E263" s="7">
        <v>350852.788</v>
      </c>
      <c r="F263" s="7">
        <v>63630.665000000001</v>
      </c>
      <c r="G263" s="7">
        <v>505022.10399999999</v>
      </c>
      <c r="H263" s="7">
        <f>SUM(D263:G263)</f>
        <v>2108140.1570000001</v>
      </c>
      <c r="J263" s="7">
        <v>1610957.5349999999</v>
      </c>
      <c r="K263" s="7">
        <v>248918.022</v>
      </c>
      <c r="L263" s="7">
        <v>85994.811000000002</v>
      </c>
      <c r="M263" s="7">
        <f>SUM(J263:L263)</f>
        <v>1945870.368</v>
      </c>
    </row>
    <row r="264" spans="1:13" x14ac:dyDescent="0.2">
      <c r="C264" s="1" t="s">
        <v>22</v>
      </c>
      <c r="H264" s="7">
        <f>SUM(D264:G264)</f>
        <v>0</v>
      </c>
      <c r="M264" s="7">
        <f>SUM(J264:L264)</f>
        <v>0</v>
      </c>
    </row>
    <row r="265" spans="1:13" x14ac:dyDescent="0.2">
      <c r="A265" s="11"/>
      <c r="B265" s="11"/>
      <c r="C265" s="11" t="s">
        <v>23</v>
      </c>
      <c r="D265" s="11"/>
      <c r="E265" s="11"/>
      <c r="F265" s="11"/>
      <c r="G265" s="11"/>
      <c r="H265" s="11"/>
      <c r="I265" s="11"/>
      <c r="J265" s="11"/>
      <c r="K265" s="11"/>
      <c r="L265" s="11"/>
      <c r="M265" s="11"/>
    </row>
    <row r="267" spans="1:13" x14ac:dyDescent="0.2">
      <c r="A267" s="1" t="s">
        <v>11</v>
      </c>
      <c r="C267" s="1" t="s">
        <v>21</v>
      </c>
      <c r="D267" s="7">
        <v>1302679.669</v>
      </c>
      <c r="E267" s="7">
        <v>369252.28899999999</v>
      </c>
      <c r="F267" s="7">
        <v>69064.922000000006</v>
      </c>
      <c r="G267" s="7">
        <v>559577.18799999997</v>
      </c>
      <c r="H267" s="7">
        <f>SUM(D267:G267)</f>
        <v>2300574.068</v>
      </c>
      <c r="J267" s="7">
        <v>1592825.7749999999</v>
      </c>
      <c r="K267" s="7">
        <v>257393.82500000001</v>
      </c>
      <c r="L267" s="7">
        <v>102410.735</v>
      </c>
      <c r="M267" s="7">
        <f>SUM(J267:L267)</f>
        <v>1952630.335</v>
      </c>
    </row>
    <row r="268" spans="1:13" x14ac:dyDescent="0.2">
      <c r="C268" s="1" t="s">
        <v>22</v>
      </c>
      <c r="H268" s="7">
        <f>SUM(D268:G268)</f>
        <v>0</v>
      </c>
      <c r="M268" s="7">
        <f>SUM(J268:L268)</f>
        <v>0</v>
      </c>
    </row>
    <row r="269" spans="1:13" x14ac:dyDescent="0.2">
      <c r="A269" s="11"/>
      <c r="B269" s="11"/>
      <c r="C269" s="11" t="s">
        <v>23</v>
      </c>
      <c r="D269" s="11"/>
      <c r="E269" s="11"/>
      <c r="F269" s="11"/>
      <c r="G269" s="11"/>
      <c r="H269" s="11"/>
      <c r="I269" s="11"/>
      <c r="J269" s="11"/>
      <c r="K269" s="11"/>
      <c r="L269" s="11"/>
      <c r="M269" s="11"/>
    </row>
    <row r="271" spans="1:13" x14ac:dyDescent="0.2">
      <c r="A271" s="1" t="s">
        <v>12</v>
      </c>
      <c r="C271" s="1" t="s">
        <v>21</v>
      </c>
      <c r="D271" s="7">
        <v>1126378.875</v>
      </c>
      <c r="E271" s="7">
        <v>315574.45699999999</v>
      </c>
      <c r="F271" s="7">
        <v>72308.775999999998</v>
      </c>
      <c r="G271" s="7">
        <v>557138.06900000002</v>
      </c>
      <c r="H271" s="7">
        <f>SUM(D271:G271)</f>
        <v>2071400.1770000001</v>
      </c>
      <c r="J271" s="7">
        <v>1480270.3970000001</v>
      </c>
      <c r="K271" s="7">
        <v>225828.03099999999</v>
      </c>
      <c r="L271" s="7">
        <v>87513.585000000006</v>
      </c>
      <c r="M271" s="7">
        <f>SUM(J271:L271)</f>
        <v>1793612.013</v>
      </c>
    </row>
    <row r="272" spans="1:13" x14ac:dyDescent="0.2">
      <c r="C272" s="1" t="s">
        <v>22</v>
      </c>
      <c r="H272" s="7">
        <f>SUM(D272:G272)</f>
        <v>0</v>
      </c>
      <c r="M272" s="7">
        <f>SUM(J272:L272)</f>
        <v>0</v>
      </c>
    </row>
    <row r="273" spans="1:13" x14ac:dyDescent="0.2">
      <c r="A273" s="11"/>
      <c r="B273" s="11"/>
      <c r="C273" s="11" t="s">
        <v>23</v>
      </c>
      <c r="D273" s="11"/>
      <c r="E273" s="11"/>
      <c r="F273" s="11"/>
      <c r="G273" s="11"/>
      <c r="H273" s="11"/>
      <c r="I273" s="11"/>
      <c r="J273" s="11"/>
      <c r="K273" s="11"/>
      <c r="L273" s="11"/>
      <c r="M273" s="11"/>
    </row>
    <row r="275" spans="1:13" x14ac:dyDescent="0.2">
      <c r="A275" s="1" t="s">
        <v>13</v>
      </c>
      <c r="C275" s="1" t="s">
        <v>21</v>
      </c>
      <c r="D275" s="7">
        <v>1147955.003</v>
      </c>
      <c r="E275" s="7">
        <v>320972.15999999997</v>
      </c>
      <c r="F275" s="7">
        <v>77912.914000000004</v>
      </c>
      <c r="G275" s="7">
        <v>579552.28200000001</v>
      </c>
      <c r="H275" s="7">
        <f>SUM(D275:G275)</f>
        <v>2126392.3590000002</v>
      </c>
      <c r="J275" s="7">
        <v>1591661.15</v>
      </c>
      <c r="K275" s="7">
        <v>306639.28200000001</v>
      </c>
      <c r="L275" s="7">
        <v>88155.773000000001</v>
      </c>
      <c r="M275" s="7">
        <f>SUM(J275:L275)</f>
        <v>1986456.2050000001</v>
      </c>
    </row>
    <row r="276" spans="1:13" x14ac:dyDescent="0.2">
      <c r="C276" s="1" t="s">
        <v>22</v>
      </c>
      <c r="H276" s="7">
        <f>SUM(D276:G276)</f>
        <v>0</v>
      </c>
      <c r="M276" s="7">
        <f>SUM(J276:L276)</f>
        <v>0</v>
      </c>
    </row>
    <row r="277" spans="1:13" x14ac:dyDescent="0.2">
      <c r="A277" s="11"/>
      <c r="B277" s="11"/>
      <c r="C277" s="11" t="s">
        <v>23</v>
      </c>
      <c r="D277" s="11"/>
      <c r="E277" s="11"/>
      <c r="F277" s="11"/>
      <c r="G277" s="11"/>
      <c r="H277" s="11"/>
      <c r="I277" s="11"/>
      <c r="J277" s="11"/>
      <c r="K277" s="11"/>
      <c r="L277" s="11"/>
      <c r="M277" s="11"/>
    </row>
    <row r="279" spans="1:13" x14ac:dyDescent="0.2">
      <c r="A279" s="1" t="s">
        <v>14</v>
      </c>
      <c r="C279" s="1" t="s">
        <v>21</v>
      </c>
      <c r="D279" s="7">
        <v>1077978.277</v>
      </c>
      <c r="E279" s="7">
        <v>334519.12099999998</v>
      </c>
      <c r="F279" s="7">
        <v>86951.513000000006</v>
      </c>
      <c r="G279" s="7">
        <v>564270.28500000003</v>
      </c>
      <c r="H279" s="7">
        <f>SUM(D279:G279)</f>
        <v>2063719.196</v>
      </c>
      <c r="J279" s="7">
        <v>1745940.8929999999</v>
      </c>
      <c r="K279" s="7">
        <v>383211.14199999999</v>
      </c>
      <c r="L279" s="7">
        <v>84662.293999999994</v>
      </c>
      <c r="M279" s="7">
        <f>SUM(J279:L279)</f>
        <v>2213814.3289999999</v>
      </c>
    </row>
    <row r="280" spans="1:13" x14ac:dyDescent="0.2">
      <c r="C280" s="1" t="s">
        <v>22</v>
      </c>
      <c r="H280" s="7">
        <f>SUM(D280:G280)</f>
        <v>0</v>
      </c>
      <c r="M280" s="7">
        <f>SUM(J280:L280)</f>
        <v>0</v>
      </c>
    </row>
    <row r="281" spans="1:13" x14ac:dyDescent="0.2">
      <c r="A281" s="11"/>
      <c r="B281" s="11"/>
      <c r="C281" s="11" t="s">
        <v>23</v>
      </c>
      <c r="D281" s="11"/>
      <c r="E281" s="11"/>
      <c r="F281" s="11"/>
      <c r="G281" s="11"/>
      <c r="H281" s="11"/>
      <c r="I281" s="11"/>
      <c r="J281" s="11"/>
      <c r="K281" s="11"/>
      <c r="L281" s="11"/>
      <c r="M281" s="11"/>
    </row>
    <row r="283" spans="1:13" x14ac:dyDescent="0.2">
      <c r="A283" s="1" t="s">
        <v>15</v>
      </c>
      <c r="C283" s="1" t="s">
        <v>21</v>
      </c>
      <c r="D283" s="7">
        <v>1195783.523</v>
      </c>
      <c r="E283" s="7">
        <v>387050.00799999997</v>
      </c>
      <c r="F283" s="7">
        <v>90989.175000000003</v>
      </c>
      <c r="G283" s="7">
        <v>593899.29399999999</v>
      </c>
      <c r="H283" s="7">
        <f>SUM(D283:G283)</f>
        <v>2267722</v>
      </c>
      <c r="J283" s="7">
        <v>2053657.308</v>
      </c>
      <c r="K283" s="7">
        <v>426952.223</v>
      </c>
      <c r="L283" s="7">
        <v>90546.307000000001</v>
      </c>
      <c r="M283" s="7">
        <f>SUM(J283:L283)</f>
        <v>2571155.838</v>
      </c>
    </row>
    <row r="284" spans="1:13" x14ac:dyDescent="0.2">
      <c r="C284" s="1" t="s">
        <v>22</v>
      </c>
      <c r="H284" s="7">
        <f>SUM(D284:G284)</f>
        <v>0</v>
      </c>
      <c r="M284" s="7">
        <f>SUM(J284:L284)</f>
        <v>0</v>
      </c>
    </row>
    <row r="285" spans="1:13" x14ac:dyDescent="0.2">
      <c r="A285" s="11"/>
      <c r="B285" s="11"/>
      <c r="C285" s="11" t="s">
        <v>23</v>
      </c>
      <c r="D285" s="11"/>
      <c r="E285" s="11"/>
      <c r="F285" s="11"/>
      <c r="G285" s="11"/>
      <c r="H285" s="11"/>
      <c r="I285" s="11"/>
      <c r="J285" s="11"/>
      <c r="K285" s="11"/>
      <c r="L285" s="11"/>
      <c r="M285" s="11"/>
    </row>
    <row r="287" spans="1:13" x14ac:dyDescent="0.2">
      <c r="A287" s="1" t="s">
        <v>16</v>
      </c>
      <c r="C287" s="1" t="s">
        <v>21</v>
      </c>
      <c r="D287" s="7">
        <v>1176602.9469999999</v>
      </c>
      <c r="E287" s="7">
        <v>375756.47</v>
      </c>
      <c r="F287" s="7">
        <v>89870.290999999997</v>
      </c>
      <c r="G287" s="7">
        <v>571456.27</v>
      </c>
      <c r="H287" s="7">
        <f>SUM(D287:G287)</f>
        <v>2213685.9780000001</v>
      </c>
      <c r="J287" s="7">
        <v>1904589.59</v>
      </c>
      <c r="K287" s="7">
        <v>356421.87699999998</v>
      </c>
      <c r="L287" s="7">
        <v>87521.748999999996</v>
      </c>
      <c r="M287" s="7">
        <f>SUM(J287:L287)</f>
        <v>2348533.216</v>
      </c>
    </row>
    <row r="288" spans="1:13" x14ac:dyDescent="0.2">
      <c r="C288" s="1" t="s">
        <v>22</v>
      </c>
      <c r="H288" s="7">
        <f>SUM(D288:G288)</f>
        <v>0</v>
      </c>
      <c r="M288" s="7">
        <f>SUM(J288:L288)</f>
        <v>0</v>
      </c>
    </row>
    <row r="289" spans="1:13" x14ac:dyDescent="0.2">
      <c r="A289" s="11"/>
      <c r="B289" s="11"/>
      <c r="C289" s="11" t="s">
        <v>23</v>
      </c>
      <c r="D289" s="11"/>
      <c r="E289" s="11"/>
      <c r="F289" s="11"/>
      <c r="G289" s="11"/>
      <c r="H289" s="11"/>
      <c r="I289" s="11"/>
      <c r="J289" s="11"/>
      <c r="K289" s="11"/>
      <c r="L289" s="11"/>
      <c r="M289" s="11"/>
    </row>
    <row r="291" spans="1:13" x14ac:dyDescent="0.2">
      <c r="A291" s="1" t="s">
        <v>17</v>
      </c>
      <c r="C291" s="1" t="s">
        <v>21</v>
      </c>
      <c r="D291" s="7">
        <v>1096994.5919999999</v>
      </c>
      <c r="E291" s="7">
        <v>348440.39899999998</v>
      </c>
      <c r="F291" s="7">
        <v>70027.955000000002</v>
      </c>
      <c r="G291" s="7">
        <v>579822.24</v>
      </c>
      <c r="H291" s="7">
        <f>SUM(D291:G291)</f>
        <v>2095285.186</v>
      </c>
      <c r="J291" s="7">
        <v>1603414.861</v>
      </c>
      <c r="K291" s="7">
        <v>279653.99300000002</v>
      </c>
      <c r="L291" s="7">
        <v>82762.164000000004</v>
      </c>
      <c r="M291" s="7">
        <f>SUM(J291:L291)</f>
        <v>1965831.0180000002</v>
      </c>
    </row>
    <row r="292" spans="1:13" x14ac:dyDescent="0.2">
      <c r="C292" s="1" t="s">
        <v>22</v>
      </c>
      <c r="H292" s="7">
        <f>SUM(D292:G292)</f>
        <v>0</v>
      </c>
      <c r="M292" s="7">
        <f>SUM(J292:L292)</f>
        <v>0</v>
      </c>
    </row>
    <row r="293" spans="1:13" x14ac:dyDescent="0.2">
      <c r="A293" s="11"/>
      <c r="B293" s="11"/>
      <c r="C293" s="11" t="s">
        <v>23</v>
      </c>
      <c r="D293" s="11"/>
      <c r="E293" s="11"/>
      <c r="F293" s="11"/>
      <c r="G293" s="11"/>
      <c r="H293" s="11"/>
      <c r="I293" s="11"/>
      <c r="J293" s="11"/>
      <c r="K293" s="11"/>
      <c r="L293" s="11"/>
      <c r="M293" s="11"/>
    </row>
    <row r="295" spans="1:13" x14ac:dyDescent="0.2">
      <c r="A295" s="1" t="s">
        <v>18</v>
      </c>
      <c r="C295" s="1" t="s">
        <v>21</v>
      </c>
      <c r="D295" s="7">
        <v>1152534.2009999999</v>
      </c>
      <c r="E295" s="7">
        <v>373352.81</v>
      </c>
      <c r="F295" s="7">
        <v>66633.047000000006</v>
      </c>
      <c r="G295" s="7">
        <v>602859.57499999995</v>
      </c>
      <c r="H295" s="7">
        <f>SUM(D295:G295)</f>
        <v>2195379.6329999999</v>
      </c>
      <c r="J295" s="7">
        <v>1567049.4439999999</v>
      </c>
      <c r="K295" s="7">
        <v>263810.19300000003</v>
      </c>
      <c r="L295" s="7">
        <v>87652.524000000005</v>
      </c>
      <c r="M295" s="7">
        <f>SUM(J295:L295)</f>
        <v>1918512.1609999998</v>
      </c>
    </row>
    <row r="296" spans="1:13" x14ac:dyDescent="0.2">
      <c r="C296" s="1" t="s">
        <v>22</v>
      </c>
      <c r="H296" s="7">
        <f>SUM(D296:G296)</f>
        <v>0</v>
      </c>
      <c r="M296" s="7">
        <f>SUM(J296:L296)</f>
        <v>0</v>
      </c>
    </row>
    <row r="297" spans="1:13" x14ac:dyDescent="0.2">
      <c r="A297" s="11"/>
      <c r="B297" s="11"/>
      <c r="C297" s="11" t="s">
        <v>23</v>
      </c>
      <c r="D297" s="11"/>
      <c r="E297" s="11"/>
      <c r="F297" s="11"/>
      <c r="G297" s="11"/>
      <c r="H297" s="11"/>
      <c r="I297" s="11"/>
      <c r="J297" s="11"/>
      <c r="K297" s="11"/>
      <c r="L297" s="11"/>
      <c r="M297" s="11"/>
    </row>
    <row r="299" spans="1:13" x14ac:dyDescent="0.2">
      <c r="A299" s="1" t="s">
        <v>19</v>
      </c>
      <c r="C299" s="1" t="s">
        <v>21</v>
      </c>
      <c r="D299" s="7">
        <v>1162644.4739999999</v>
      </c>
      <c r="E299" s="7">
        <v>383624.788</v>
      </c>
      <c r="F299" s="7">
        <v>65655.771999999997</v>
      </c>
      <c r="G299" s="7">
        <v>613531.44700000004</v>
      </c>
      <c r="H299" s="7">
        <f>SUM(D299:G299)</f>
        <v>2225456.4810000001</v>
      </c>
      <c r="J299" s="7">
        <v>1665198.6810000001</v>
      </c>
      <c r="K299" s="7">
        <v>256437.41099999999</v>
      </c>
      <c r="L299" s="7">
        <v>88485.232999999993</v>
      </c>
      <c r="M299" s="7">
        <f>SUM(J299:L299)</f>
        <v>2010121.3250000002</v>
      </c>
    </row>
    <row r="300" spans="1:13" x14ac:dyDescent="0.2">
      <c r="C300" s="1" t="s">
        <v>22</v>
      </c>
      <c r="H300" s="7">
        <f>SUM(D300:G300)</f>
        <v>0</v>
      </c>
      <c r="M300" s="7">
        <f>SUM(J300:L300)</f>
        <v>0</v>
      </c>
    </row>
    <row r="301" spans="1:13" x14ac:dyDescent="0.2">
      <c r="A301" s="11"/>
      <c r="B301" s="11"/>
      <c r="C301" s="11" t="s">
        <v>23</v>
      </c>
      <c r="D301" s="11"/>
      <c r="E301" s="11"/>
      <c r="F301" s="11"/>
      <c r="G301" s="11"/>
      <c r="H301" s="11"/>
      <c r="I301" s="11"/>
      <c r="J301" s="11"/>
      <c r="K301" s="11"/>
      <c r="L301" s="11"/>
      <c r="M301" s="11"/>
    </row>
    <row r="303" spans="1:13" x14ac:dyDescent="0.2">
      <c r="A303" s="1" t="s">
        <v>20</v>
      </c>
      <c r="C303" s="1" t="s">
        <v>21</v>
      </c>
      <c r="D303" s="7">
        <v>1274933.3940000001</v>
      </c>
      <c r="E303" s="7">
        <v>417449.90500000003</v>
      </c>
      <c r="F303" s="7">
        <v>76376.099000000002</v>
      </c>
      <c r="G303" s="7">
        <v>651722.87399999995</v>
      </c>
      <c r="H303" s="7">
        <f>SUM(D303:G303)</f>
        <v>2420482.2719999999</v>
      </c>
      <c r="J303" s="7">
        <v>1793618.28</v>
      </c>
      <c r="K303" s="7">
        <v>273034.81699999998</v>
      </c>
      <c r="L303" s="7">
        <v>91919.790999999997</v>
      </c>
      <c r="M303" s="7">
        <f>SUM(J303:L303)</f>
        <v>2158572.8880000003</v>
      </c>
    </row>
    <row r="304" spans="1:13" x14ac:dyDescent="0.2">
      <c r="C304" s="1" t="s">
        <v>22</v>
      </c>
      <c r="H304" s="7">
        <f>SUM(D304:G304)</f>
        <v>0</v>
      </c>
      <c r="M304" s="7">
        <f>SUM(J304:L304)</f>
        <v>0</v>
      </c>
    </row>
    <row r="305" spans="1:13" x14ac:dyDescent="0.2">
      <c r="A305" s="11"/>
      <c r="B305" s="11"/>
      <c r="C305" s="11" t="s">
        <v>23</v>
      </c>
      <c r="D305" s="11"/>
      <c r="E305" s="11"/>
      <c r="F305" s="11"/>
      <c r="G305" s="11"/>
      <c r="H305" s="11"/>
      <c r="I305" s="11"/>
      <c r="J305" s="11"/>
      <c r="K305" s="11"/>
      <c r="L305" s="11"/>
      <c r="M305" s="11"/>
    </row>
  </sheetData>
  <mergeCells count="12">
    <mergeCell ref="D256:H256"/>
    <mergeCell ref="J256:M256"/>
    <mergeCell ref="D205:H205"/>
    <mergeCell ref="J205:M205"/>
    <mergeCell ref="D1:G1"/>
    <mergeCell ref="J1:L1"/>
    <mergeCell ref="D154:H154"/>
    <mergeCell ref="J154:M154"/>
    <mergeCell ref="D52:H52"/>
    <mergeCell ref="J52:M52"/>
    <mergeCell ref="D103:H103"/>
    <mergeCell ref="J103:M103"/>
  </mergeCells>
  <phoneticPr fontId="1" type="noConversion"/>
  <printOptions horizontalCentered="1"/>
  <pageMargins left="0.25" right="0.25" top="0.75" bottom="0.5" header="0.5" footer="0.5"/>
  <pageSetup scale="65" fitToHeight="4" orientation="landscape" r:id="rId1"/>
  <headerFooter alignWithMargins="0"/>
  <rowBreaks count="3" manualBreakCount="3">
    <brk id="51" max="16383" man="1"/>
    <brk id="102" max="16383" man="1"/>
    <brk id="1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Annual</vt:lpstr>
      <vt:lpstr>Line Losses</vt:lpstr>
      <vt:lpstr>Quarter</vt:lpstr>
      <vt:lpstr>Line Losses_Alt</vt:lpstr>
      <vt:lpstr>Sheet1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McCoy</dc:creator>
  <cp:lastModifiedBy>Fred Nass</cp:lastModifiedBy>
  <cp:lastPrinted>2008-06-24T21:37:29Z</cp:lastPrinted>
  <dcterms:created xsi:type="dcterms:W3CDTF">2007-12-10T19:42:38Z</dcterms:created>
  <dcterms:modified xsi:type="dcterms:W3CDTF">2019-10-25T22:20:44Z</dcterms:modified>
</cp:coreProperties>
</file>