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9docs\1903527\"/>
    </mc:Choice>
  </mc:AlternateContent>
  <bookViews>
    <workbookView xWindow="0" yWindow="0" windowWidth="28800" windowHeight="12435"/>
  </bookViews>
  <sheets>
    <sheet name="TOTAL FUNCFAC" sheetId="1" r:id="rId1"/>
    <sheet name="TAX DEPR" sheetId="2" r:id="rId2"/>
    <sheet name="GROSS PLANT" sheetId="3" r:id="rId3"/>
    <sheet name="FORM 1" sheetId="4" r:id="rId4"/>
    <sheet name="BOOKDPR" sheetId="5" r:id="rId5"/>
    <sheet name="ELEC OPS" sheetId="6" r:id="rId6"/>
    <sheet name="GP" sheetId="7" r:id="rId7"/>
    <sheet name="IP" sheetId="8" r:id="rId8"/>
    <sheet name="SCH M" sheetId="9" r:id="rId9"/>
    <sheet name="REGASS&amp;DDS" sheetId="10" r:id="rId10"/>
    <sheet name="ACCUMDIT" sheetId="11" r:id="rId11"/>
  </sheets>
  <definedNames>
    <definedName name="Z_20A63875_964B_11D5_AAED_0004762A99E9_.wvu.PrintArea" localSheetId="5" hidden="1">'ELEC OPS'!$A$7:$I$38</definedName>
    <definedName name="Z_20A63875_964B_11D5_AAED_0004762A99E9_.wvu.PrintArea" localSheetId="9" hidden="1">'REGASS&amp;DDS'!$B$6:$J$83</definedName>
    <definedName name="Z_20A63875_964B_11D5_AAED_0004762A99E9_.wvu.PrintArea" localSheetId="8" hidden="1">'SCH M'!$B$6:$J$152</definedName>
    <definedName name="Z_20A63875_964B_11D5_AAED_0004762A99E9_.wvu.PrintArea" localSheetId="0" hidden="1">'TOTAL FUNCFAC'!$A$7:$H$63</definedName>
    <definedName name="Z_20A63875_964B_11D5_AAED_0004762A99E9_.wvu.PrintTitles" localSheetId="5" hidden="1">'ELEC OPS'!$1:$6</definedName>
    <definedName name="Z_20A63875_964B_11D5_AAED_0004762A99E9_.wvu.PrintTitles" localSheetId="9" hidden="1">'REGASS&amp;DDS'!$1:$5</definedName>
    <definedName name="Z_20A63875_964B_11D5_AAED_0004762A99E9_.wvu.PrintTitles" localSheetId="8" hidden="1">'SCH M'!$1:$5</definedName>
    <definedName name="Z_20A63875_964B_11D5_AAED_0004762A99E9_.wvu.PrintTitles" localSheetId="0" hidden="1">'TOTAL FUNCFAC'!$1:$6</definedName>
  </definedNames>
  <calcPr calcId="152511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1" l="1"/>
  <c r="G72" i="11"/>
  <c r="D72" i="11"/>
  <c r="C70" i="11"/>
  <c r="H68" i="11"/>
  <c r="G68" i="11"/>
  <c r="F68" i="11"/>
  <c r="C67" i="11"/>
  <c r="C63" i="11"/>
  <c r="C62" i="11"/>
  <c r="C60" i="11"/>
  <c r="C59" i="11"/>
  <c r="C54" i="11"/>
  <c r="C46" i="11"/>
  <c r="H44" i="11"/>
  <c r="G44" i="11"/>
  <c r="F44" i="11"/>
  <c r="E44" i="11"/>
  <c r="D44" i="11"/>
  <c r="H43" i="11"/>
  <c r="G43" i="11"/>
  <c r="F43" i="11"/>
  <c r="E43" i="11"/>
  <c r="D43" i="11"/>
  <c r="H41" i="11"/>
  <c r="G41" i="11"/>
  <c r="F41" i="11"/>
  <c r="E41" i="11"/>
  <c r="D41" i="11"/>
  <c r="H40" i="11"/>
  <c r="G40" i="11"/>
  <c r="F40" i="11"/>
  <c r="E40" i="11"/>
  <c r="D40" i="11"/>
  <c r="G39" i="11"/>
  <c r="F39" i="11"/>
  <c r="G38" i="11"/>
  <c r="F38" i="11"/>
  <c r="H37" i="11"/>
  <c r="G37" i="11"/>
  <c r="F37" i="11"/>
  <c r="E37" i="11"/>
  <c r="D37" i="11"/>
  <c r="H36" i="11"/>
  <c r="G36" i="11"/>
  <c r="F36" i="11"/>
  <c r="E36" i="11"/>
  <c r="D36" i="11"/>
  <c r="H34" i="11"/>
  <c r="G34" i="11"/>
  <c r="F34" i="11"/>
  <c r="E34" i="11"/>
  <c r="D34" i="11"/>
  <c r="H33" i="11"/>
  <c r="G33" i="11"/>
  <c r="F33" i="11"/>
  <c r="E33" i="11"/>
  <c r="D33" i="11"/>
  <c r="H32" i="11"/>
  <c r="G32" i="11"/>
  <c r="F32" i="11"/>
  <c r="E32" i="11"/>
  <c r="D32" i="11"/>
  <c r="H31" i="11"/>
  <c r="G31" i="11"/>
  <c r="F31" i="11"/>
  <c r="E31" i="11"/>
  <c r="D31" i="11"/>
  <c r="H30" i="11"/>
  <c r="G30" i="11"/>
  <c r="F30" i="11"/>
  <c r="E30" i="11"/>
  <c r="D30" i="11"/>
  <c r="H29" i="11"/>
  <c r="G29" i="11"/>
  <c r="F29" i="11"/>
  <c r="E29" i="11"/>
  <c r="D29" i="11"/>
  <c r="H28" i="11"/>
  <c r="G28" i="11"/>
  <c r="F28" i="11"/>
  <c r="E28" i="11"/>
  <c r="D28" i="11"/>
  <c r="C25" i="11"/>
  <c r="H23" i="11"/>
  <c r="G23" i="11"/>
  <c r="F23" i="11"/>
  <c r="E23" i="11"/>
  <c r="D23" i="11"/>
  <c r="H21" i="11"/>
  <c r="G21" i="11"/>
  <c r="F21" i="11"/>
  <c r="E21" i="11"/>
  <c r="D21" i="11"/>
  <c r="H20" i="11"/>
  <c r="G20" i="11"/>
  <c r="F20" i="11"/>
  <c r="E20" i="11"/>
  <c r="D20" i="11"/>
  <c r="H19" i="11"/>
  <c r="G19" i="11"/>
  <c r="F19" i="11"/>
  <c r="E19" i="11"/>
  <c r="D19" i="11"/>
  <c r="C16" i="11"/>
  <c r="C48" i="11" s="1"/>
  <c r="H14" i="11"/>
  <c r="G14" i="11"/>
  <c r="F14" i="11"/>
  <c r="E14" i="11"/>
  <c r="D14" i="11"/>
  <c r="H12" i="11"/>
  <c r="G12" i="11"/>
  <c r="F12" i="11"/>
  <c r="E12" i="11"/>
  <c r="D12" i="11"/>
  <c r="H11" i="11"/>
  <c r="G11" i="11"/>
  <c r="F11" i="11"/>
  <c r="E11" i="11"/>
  <c r="D11" i="11"/>
  <c r="H10" i="11"/>
  <c r="G10" i="11"/>
  <c r="F10" i="11"/>
  <c r="E10" i="11"/>
  <c r="D10" i="11"/>
  <c r="A2" i="11"/>
  <c r="A1" i="11"/>
  <c r="J84" i="10"/>
  <c r="I84" i="10"/>
  <c r="F84" i="10"/>
  <c r="J82" i="10"/>
  <c r="I82" i="10"/>
  <c r="H82" i="10"/>
  <c r="F82" i="10"/>
  <c r="J80" i="10"/>
  <c r="I80" i="10"/>
  <c r="H80" i="10"/>
  <c r="J79" i="10"/>
  <c r="I79" i="10"/>
  <c r="H79" i="10"/>
  <c r="G79" i="10"/>
  <c r="E77" i="10"/>
  <c r="E75" i="10"/>
  <c r="E74" i="10"/>
  <c r="E73" i="10"/>
  <c r="E72" i="10"/>
  <c r="E63" i="10"/>
  <c r="J61" i="10"/>
  <c r="I61" i="10"/>
  <c r="H61" i="10"/>
  <c r="G61" i="10"/>
  <c r="F61" i="10"/>
  <c r="A48" i="10"/>
  <c r="J47" i="10"/>
  <c r="I47" i="10"/>
  <c r="H47" i="10"/>
  <c r="F47" i="10"/>
  <c r="A47" i="10"/>
  <c r="J46" i="10"/>
  <c r="I46" i="10"/>
  <c r="F46" i="10"/>
  <c r="I44" i="10"/>
  <c r="H44" i="10"/>
  <c r="G44" i="10"/>
  <c r="J42" i="10"/>
  <c r="I42" i="10"/>
  <c r="H42" i="10"/>
  <c r="G42" i="10"/>
  <c r="F42" i="10"/>
  <c r="J40" i="10"/>
  <c r="I40" i="10"/>
  <c r="H40" i="10"/>
  <c r="G40" i="10"/>
  <c r="F40" i="10"/>
  <c r="A40" i="10"/>
  <c r="J39" i="10"/>
  <c r="I39" i="10"/>
  <c r="F39" i="10"/>
  <c r="A39" i="10"/>
  <c r="I38" i="10"/>
  <c r="H38" i="10"/>
  <c r="G38" i="10"/>
  <c r="A38" i="10"/>
  <c r="I37" i="10"/>
  <c r="H37" i="10"/>
  <c r="G37" i="10"/>
  <c r="A37" i="10"/>
  <c r="J29" i="10"/>
  <c r="I29" i="10"/>
  <c r="H29" i="10"/>
  <c r="G29" i="10"/>
  <c r="F29" i="10"/>
  <c r="A29" i="10"/>
  <c r="J28" i="10"/>
  <c r="I28" i="10"/>
  <c r="H28" i="10"/>
  <c r="G28" i="10"/>
  <c r="F28" i="10"/>
  <c r="A28" i="10"/>
  <c r="A27" i="10"/>
  <c r="I26" i="10"/>
  <c r="H26" i="10"/>
  <c r="G26" i="10"/>
  <c r="A26" i="10"/>
  <c r="A25" i="10"/>
  <c r="J24" i="10"/>
  <c r="I24" i="10"/>
  <c r="H24" i="10"/>
  <c r="G24" i="10"/>
  <c r="F24" i="10"/>
  <c r="A24" i="10"/>
  <c r="I23" i="10"/>
  <c r="H23" i="10"/>
  <c r="G23" i="10"/>
  <c r="A23" i="10"/>
  <c r="I22" i="10"/>
  <c r="H22" i="10"/>
  <c r="G22" i="10"/>
  <c r="A22" i="10"/>
  <c r="J21" i="10"/>
  <c r="I21" i="10"/>
  <c r="H21" i="10"/>
  <c r="G21" i="10"/>
  <c r="F21" i="10"/>
  <c r="A21" i="10"/>
  <c r="A20" i="10"/>
  <c r="J19" i="10"/>
  <c r="I19" i="10"/>
  <c r="H19" i="10"/>
  <c r="G19" i="10"/>
  <c r="F19" i="10"/>
  <c r="A19" i="10"/>
  <c r="I18" i="10"/>
  <c r="H18" i="10"/>
  <c r="G18" i="10"/>
  <c r="A18" i="10"/>
  <c r="A17" i="10"/>
  <c r="J16" i="10"/>
  <c r="I16" i="10"/>
  <c r="H16" i="10"/>
  <c r="G16" i="10"/>
  <c r="F16" i="10"/>
  <c r="A16" i="10"/>
  <c r="J15" i="10"/>
  <c r="I15" i="10"/>
  <c r="H15" i="10"/>
  <c r="G15" i="10"/>
  <c r="F15" i="10"/>
  <c r="A15" i="10"/>
  <c r="J14" i="10"/>
  <c r="I14" i="10"/>
  <c r="F14" i="10"/>
  <c r="A14" i="10"/>
  <c r="I13" i="10"/>
  <c r="H13" i="10"/>
  <c r="G13" i="10"/>
  <c r="A13" i="10"/>
  <c r="J12" i="10"/>
  <c r="I12" i="10"/>
  <c r="H12" i="10"/>
  <c r="G12" i="10"/>
  <c r="F12" i="10"/>
  <c r="A12" i="10"/>
  <c r="A11" i="10"/>
  <c r="J10" i="10"/>
  <c r="I10" i="10"/>
  <c r="H10" i="10"/>
  <c r="G10" i="10"/>
  <c r="F10" i="10"/>
  <c r="A10" i="10"/>
  <c r="I9" i="10"/>
  <c r="H9" i="10"/>
  <c r="G9" i="10"/>
  <c r="A9" i="10"/>
  <c r="J8" i="10"/>
  <c r="I8" i="10"/>
  <c r="H8" i="10"/>
  <c r="G8" i="10"/>
  <c r="A8" i="10"/>
  <c r="J7" i="10"/>
  <c r="I7" i="10"/>
  <c r="H7" i="10"/>
  <c r="G7" i="10"/>
  <c r="A7" i="10"/>
  <c r="J6" i="10"/>
  <c r="I6" i="10"/>
  <c r="H6" i="10"/>
  <c r="G6" i="10"/>
  <c r="A6" i="10"/>
  <c r="B2" i="10"/>
  <c r="B1" i="10"/>
  <c r="J152" i="9"/>
  <c r="I152" i="9"/>
  <c r="F152" i="9"/>
  <c r="J150" i="9"/>
  <c r="I150" i="9"/>
  <c r="H150" i="9"/>
  <c r="F150" i="9"/>
  <c r="J147" i="9"/>
  <c r="I147" i="9"/>
  <c r="H147" i="9"/>
  <c r="G147" i="9"/>
  <c r="E144" i="9"/>
  <c r="E143" i="9"/>
  <c r="E141" i="9"/>
  <c r="E140" i="9"/>
  <c r="A138" i="9"/>
  <c r="A137" i="9"/>
  <c r="A135" i="9"/>
  <c r="A134" i="9"/>
  <c r="A132" i="9"/>
  <c r="A131" i="9"/>
  <c r="J130" i="9"/>
  <c r="I130" i="9"/>
  <c r="G130" i="9"/>
  <c r="A130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J107" i="9"/>
  <c r="I107" i="9"/>
  <c r="G107" i="9"/>
  <c r="A107" i="9"/>
  <c r="A106" i="9"/>
  <c r="A105" i="9"/>
  <c r="A104" i="9"/>
  <c r="J103" i="9"/>
  <c r="I103" i="9"/>
  <c r="H103" i="9"/>
  <c r="G103" i="9"/>
  <c r="F103" i="9"/>
  <c r="A103" i="9"/>
  <c r="A102" i="9"/>
  <c r="A101" i="9"/>
  <c r="J100" i="9"/>
  <c r="I100" i="9"/>
  <c r="H100" i="9"/>
  <c r="A100" i="9"/>
  <c r="J99" i="9"/>
  <c r="I99" i="9"/>
  <c r="G99" i="9"/>
  <c r="A99" i="9"/>
  <c r="A98" i="9"/>
  <c r="J97" i="9"/>
  <c r="I97" i="9"/>
  <c r="H97" i="9"/>
  <c r="G97" i="9"/>
  <c r="F97" i="9"/>
  <c r="A97" i="9"/>
  <c r="J96" i="9"/>
  <c r="I96" i="9"/>
  <c r="H96" i="9"/>
  <c r="G96" i="9"/>
  <c r="F96" i="9"/>
  <c r="A96" i="9"/>
  <c r="A95" i="9"/>
  <c r="J94" i="9"/>
  <c r="I94" i="9"/>
  <c r="H94" i="9"/>
  <c r="G94" i="9"/>
  <c r="F94" i="9"/>
  <c r="A94" i="9"/>
  <c r="A93" i="9"/>
  <c r="A92" i="9"/>
  <c r="A91" i="9"/>
  <c r="J90" i="9"/>
  <c r="I90" i="9"/>
  <c r="H90" i="9"/>
  <c r="G90" i="9"/>
  <c r="F90" i="9"/>
  <c r="A90" i="9"/>
  <c r="A89" i="9"/>
  <c r="J88" i="9"/>
  <c r="I88" i="9"/>
  <c r="H88" i="9"/>
  <c r="G88" i="9"/>
  <c r="A88" i="9"/>
  <c r="J87" i="9"/>
  <c r="I87" i="9"/>
  <c r="H87" i="9"/>
  <c r="G87" i="9"/>
  <c r="F87" i="9"/>
  <c r="A87" i="9"/>
  <c r="J86" i="9"/>
  <c r="I86" i="9"/>
  <c r="H86" i="9"/>
  <c r="G86" i="9"/>
  <c r="A86" i="9"/>
  <c r="J85" i="9"/>
  <c r="I85" i="9"/>
  <c r="H85" i="9"/>
  <c r="F85" i="9"/>
  <c r="A85" i="9"/>
  <c r="J84" i="9"/>
  <c r="I84" i="9"/>
  <c r="H84" i="9"/>
  <c r="G84" i="9"/>
  <c r="A84" i="9"/>
  <c r="A83" i="9"/>
  <c r="J82" i="9"/>
  <c r="I82" i="9"/>
  <c r="H82" i="9"/>
  <c r="G82" i="9"/>
  <c r="A82" i="9"/>
  <c r="A81" i="9"/>
  <c r="J80" i="9"/>
  <c r="I80" i="9"/>
  <c r="H80" i="9"/>
  <c r="G80" i="9"/>
  <c r="F80" i="9"/>
  <c r="A80" i="9"/>
  <c r="J79" i="9"/>
  <c r="I79" i="9"/>
  <c r="H79" i="9"/>
  <c r="G79" i="9"/>
  <c r="F79" i="9"/>
  <c r="A79" i="9"/>
  <c r="A77" i="9"/>
  <c r="A76" i="9"/>
  <c r="A75" i="9"/>
  <c r="A73" i="9"/>
  <c r="A72" i="9"/>
  <c r="A71" i="9"/>
  <c r="J70" i="9"/>
  <c r="I70" i="9"/>
  <c r="H70" i="9"/>
  <c r="G70" i="9"/>
  <c r="A70" i="9"/>
  <c r="J69" i="9"/>
  <c r="I69" i="9"/>
  <c r="H69" i="9"/>
  <c r="G69" i="9"/>
  <c r="A69" i="9"/>
  <c r="A68" i="9"/>
  <c r="A67" i="9"/>
  <c r="A65" i="9"/>
  <c r="A64" i="9"/>
  <c r="A62" i="9"/>
  <c r="A61" i="9"/>
  <c r="J60" i="9"/>
  <c r="I60" i="9"/>
  <c r="H60" i="9"/>
  <c r="G60" i="9"/>
  <c r="A60" i="9"/>
  <c r="J59" i="9"/>
  <c r="I59" i="9"/>
  <c r="H59" i="9"/>
  <c r="G59" i="9"/>
  <c r="A59" i="9"/>
  <c r="A57" i="9"/>
  <c r="A55" i="9"/>
  <c r="A54" i="9"/>
  <c r="E52" i="9"/>
  <c r="A52" i="9"/>
  <c r="A50" i="9"/>
  <c r="A49" i="9"/>
  <c r="J47" i="9"/>
  <c r="I47" i="9"/>
  <c r="H47" i="9"/>
  <c r="F47" i="9"/>
  <c r="A47" i="9"/>
  <c r="A46" i="9"/>
  <c r="J45" i="9"/>
  <c r="I45" i="9"/>
  <c r="H45" i="9"/>
  <c r="G45" i="9"/>
  <c r="A45" i="9"/>
  <c r="A44" i="9"/>
  <c r="A43" i="9"/>
  <c r="J42" i="9"/>
  <c r="I42" i="9"/>
  <c r="H42" i="9"/>
  <c r="G42" i="9"/>
  <c r="F42" i="9"/>
  <c r="A42" i="9"/>
  <c r="J41" i="9"/>
  <c r="I41" i="9"/>
  <c r="H41" i="9"/>
  <c r="G41" i="9"/>
  <c r="F41" i="9"/>
  <c r="A41" i="9"/>
  <c r="J40" i="9"/>
  <c r="I40" i="9"/>
  <c r="H40" i="9"/>
  <c r="G40" i="9"/>
  <c r="F40" i="9"/>
  <c r="A40" i="9"/>
  <c r="J39" i="9"/>
  <c r="I39" i="9"/>
  <c r="H39" i="9"/>
  <c r="G39" i="9"/>
  <c r="A39" i="9"/>
  <c r="J38" i="9"/>
  <c r="I38" i="9"/>
  <c r="H38" i="9"/>
  <c r="G38" i="9"/>
  <c r="F38" i="9"/>
  <c r="A38" i="9"/>
  <c r="A37" i="9"/>
  <c r="J36" i="9"/>
  <c r="I36" i="9"/>
  <c r="H36" i="9"/>
  <c r="G36" i="9"/>
  <c r="A36" i="9"/>
  <c r="A35" i="9"/>
  <c r="J34" i="9"/>
  <c r="I34" i="9"/>
  <c r="H34" i="9"/>
  <c r="G34" i="9"/>
  <c r="F34" i="9"/>
  <c r="A34" i="9"/>
  <c r="A33" i="9"/>
  <c r="A32" i="9"/>
  <c r="J31" i="9"/>
  <c r="I31" i="9"/>
  <c r="H31" i="9"/>
  <c r="G31" i="9"/>
  <c r="F31" i="9"/>
  <c r="A31" i="9"/>
  <c r="J30" i="9"/>
  <c r="I30" i="9"/>
  <c r="H30" i="9"/>
  <c r="G30" i="9"/>
  <c r="F30" i="9"/>
  <c r="A30" i="9"/>
  <c r="A29" i="9"/>
  <c r="A28" i="9"/>
  <c r="J27" i="9"/>
  <c r="I27" i="9"/>
  <c r="H27" i="9"/>
  <c r="G27" i="9"/>
  <c r="A27" i="9"/>
  <c r="J26" i="9"/>
  <c r="I26" i="9"/>
  <c r="H26" i="9"/>
  <c r="F26" i="9"/>
  <c r="A26" i="9"/>
  <c r="J25" i="9"/>
  <c r="I25" i="9"/>
  <c r="H25" i="9"/>
  <c r="G25" i="9"/>
  <c r="A25" i="9"/>
  <c r="J24" i="9"/>
  <c r="I24" i="9"/>
  <c r="H24" i="9"/>
  <c r="G24" i="9"/>
  <c r="F24" i="9"/>
  <c r="A24" i="9"/>
  <c r="J23" i="9"/>
  <c r="I23" i="9"/>
  <c r="H23" i="9"/>
  <c r="G23" i="9"/>
  <c r="A23" i="9"/>
  <c r="A22" i="9"/>
  <c r="A21" i="9"/>
  <c r="A20" i="9"/>
  <c r="J19" i="9"/>
  <c r="I19" i="9"/>
  <c r="H19" i="9"/>
  <c r="G19" i="9"/>
  <c r="F19" i="9"/>
  <c r="A19" i="9"/>
  <c r="J18" i="9"/>
  <c r="I18" i="9"/>
  <c r="H18" i="9"/>
  <c r="G18" i="9"/>
  <c r="F18" i="9"/>
  <c r="A18" i="9"/>
  <c r="A16" i="9"/>
  <c r="A15" i="9"/>
  <c r="A14" i="9"/>
  <c r="A13" i="9"/>
  <c r="A11" i="9"/>
  <c r="A10" i="9"/>
  <c r="J9" i="9"/>
  <c r="I9" i="9"/>
  <c r="H9" i="9"/>
  <c r="G9" i="9"/>
  <c r="A9" i="9"/>
  <c r="J8" i="9"/>
  <c r="I8" i="9"/>
  <c r="H8" i="9"/>
  <c r="G8" i="9"/>
  <c r="A8" i="9"/>
  <c r="A7" i="9"/>
  <c r="B2" i="9"/>
  <c r="B1" i="9"/>
  <c r="H45" i="8"/>
  <c r="G45" i="8"/>
  <c r="F45" i="8"/>
  <c r="E45" i="8"/>
  <c r="D45" i="8"/>
  <c r="C43" i="8"/>
  <c r="C42" i="8"/>
  <c r="H41" i="8"/>
  <c r="G41" i="8"/>
  <c r="D41" i="8"/>
  <c r="H40" i="8"/>
  <c r="G40" i="8"/>
  <c r="F40" i="8"/>
  <c r="F24" i="8" s="1"/>
  <c r="D40" i="8"/>
  <c r="H39" i="8"/>
  <c r="H22" i="8" s="1"/>
  <c r="G39" i="8"/>
  <c r="F39" i="8"/>
  <c r="E39" i="8"/>
  <c r="E22" i="8" s="1"/>
  <c r="H32" i="8"/>
  <c r="G32" i="8"/>
  <c r="F32" i="8"/>
  <c r="E32" i="8"/>
  <c r="D32" i="8"/>
  <c r="C32" i="8" s="1"/>
  <c r="H31" i="8"/>
  <c r="G31" i="8"/>
  <c r="F31" i="8"/>
  <c r="E31" i="8"/>
  <c r="D31" i="8"/>
  <c r="C31" i="8"/>
  <c r="C30" i="8"/>
  <c r="G25" i="8"/>
  <c r="H24" i="8"/>
  <c r="G24" i="8"/>
  <c r="D24" i="8"/>
  <c r="G22" i="8"/>
  <c r="F22" i="8"/>
  <c r="H21" i="8"/>
  <c r="G21" i="8"/>
  <c r="F21" i="8"/>
  <c r="E21" i="8"/>
  <c r="D21" i="8"/>
  <c r="H20" i="8"/>
  <c r="G20" i="8"/>
  <c r="E20" i="8"/>
  <c r="D20" i="8"/>
  <c r="G18" i="8"/>
  <c r="H17" i="8"/>
  <c r="G17" i="8"/>
  <c r="F17" i="8"/>
  <c r="D17" i="8"/>
  <c r="H15" i="8"/>
  <c r="G15" i="8"/>
  <c r="F15" i="8"/>
  <c r="E15" i="8"/>
  <c r="H14" i="8"/>
  <c r="G14" i="8"/>
  <c r="F14" i="8"/>
  <c r="E14" i="8"/>
  <c r="D14" i="8"/>
  <c r="H13" i="8"/>
  <c r="G13" i="8"/>
  <c r="F13" i="8"/>
  <c r="E13" i="8"/>
  <c r="D13" i="8"/>
  <c r="H12" i="8"/>
  <c r="G12" i="8"/>
  <c r="F12" i="8"/>
  <c r="E12" i="8"/>
  <c r="H11" i="8"/>
  <c r="G11" i="8"/>
  <c r="F11" i="8"/>
  <c r="E11" i="8"/>
  <c r="H10" i="8"/>
  <c r="G10" i="8"/>
  <c r="F10" i="8"/>
  <c r="D10" i="8"/>
  <c r="H9" i="8"/>
  <c r="G9" i="8"/>
  <c r="F9" i="8"/>
  <c r="E9" i="8"/>
  <c r="H8" i="8"/>
  <c r="G8" i="8"/>
  <c r="F8" i="8"/>
  <c r="E8" i="8"/>
  <c r="H7" i="8"/>
  <c r="G7" i="8"/>
  <c r="F7" i="8"/>
  <c r="E7" i="8"/>
  <c r="D7" i="8"/>
  <c r="A2" i="8"/>
  <c r="A1" i="8"/>
  <c r="C49" i="7"/>
  <c r="C48" i="7"/>
  <c r="H47" i="7"/>
  <c r="G47" i="7"/>
  <c r="D47" i="7"/>
  <c r="H46" i="7"/>
  <c r="G46" i="7"/>
  <c r="F46" i="7"/>
  <c r="D46" i="7"/>
  <c r="H45" i="7"/>
  <c r="G45" i="7"/>
  <c r="F45" i="7"/>
  <c r="E45" i="7"/>
  <c r="D40" i="7"/>
  <c r="F40" i="7" s="1"/>
  <c r="D32" i="7"/>
  <c r="D39" i="7" s="1"/>
  <c r="D41" i="7" s="1"/>
  <c r="D31" i="7"/>
  <c r="D30" i="7"/>
  <c r="G29" i="7"/>
  <c r="G35" i="7" s="1"/>
  <c r="D29" i="7"/>
  <c r="E40" i="7" s="1"/>
  <c r="I28" i="7"/>
  <c r="I34" i="7" s="1"/>
  <c r="D28" i="7"/>
  <c r="D27" i="7"/>
  <c r="I26" i="7"/>
  <c r="D26" i="7"/>
  <c r="I21" i="7"/>
  <c r="E21" i="7"/>
  <c r="I20" i="7"/>
  <c r="H20" i="7"/>
  <c r="G20" i="7"/>
  <c r="F20" i="7"/>
  <c r="I19" i="7"/>
  <c r="I30" i="7" s="1"/>
  <c r="I36" i="7" s="1"/>
  <c r="G25" i="1" s="1"/>
  <c r="H19" i="7"/>
  <c r="G19" i="7"/>
  <c r="F19" i="7"/>
  <c r="E19" i="7"/>
  <c r="I18" i="7"/>
  <c r="G18" i="7"/>
  <c r="F18" i="7"/>
  <c r="I17" i="7"/>
  <c r="I27" i="7" s="1"/>
  <c r="H17" i="7"/>
  <c r="G17" i="7"/>
  <c r="G27" i="7" s="1"/>
  <c r="F17" i="7"/>
  <c r="F27" i="7" s="1"/>
  <c r="E17" i="7"/>
  <c r="I16" i="7"/>
  <c r="H16" i="7"/>
  <c r="H26" i="7" s="1"/>
  <c r="G16" i="7"/>
  <c r="G26" i="7" s="1"/>
  <c r="F16" i="7"/>
  <c r="F26" i="7" s="1"/>
  <c r="I15" i="7"/>
  <c r="G15" i="7"/>
  <c r="F15" i="7"/>
  <c r="I14" i="7"/>
  <c r="E14" i="7"/>
  <c r="I12" i="7"/>
  <c r="H12" i="7"/>
  <c r="G12" i="7"/>
  <c r="F12" i="7"/>
  <c r="E12" i="7"/>
  <c r="I11" i="7"/>
  <c r="E11" i="7"/>
  <c r="I10" i="7"/>
  <c r="H10" i="7"/>
  <c r="G10" i="7"/>
  <c r="E10" i="7"/>
  <c r="I9" i="7"/>
  <c r="G9" i="7"/>
  <c r="F9" i="7"/>
  <c r="I8" i="7"/>
  <c r="I29" i="7" s="1"/>
  <c r="I35" i="7" s="1"/>
  <c r="H8" i="7"/>
  <c r="H29" i="7" s="1"/>
  <c r="H35" i="7" s="1"/>
  <c r="G8" i="7"/>
  <c r="F8" i="7"/>
  <c r="F29" i="7" s="1"/>
  <c r="F35" i="7" s="1"/>
  <c r="I7" i="7"/>
  <c r="H7" i="7"/>
  <c r="G7" i="7"/>
  <c r="F7" i="7"/>
  <c r="E7" i="7"/>
  <c r="A2" i="7"/>
  <c r="A1" i="7"/>
  <c r="D37" i="6"/>
  <c r="D35" i="6"/>
  <c r="D34" i="6"/>
  <c r="I33" i="6"/>
  <c r="H33" i="6"/>
  <c r="E33" i="6"/>
  <c r="I32" i="6"/>
  <c r="H32" i="6"/>
  <c r="G32" i="6"/>
  <c r="G10" i="6" s="1"/>
  <c r="E32" i="6"/>
  <c r="I31" i="6"/>
  <c r="H31" i="6"/>
  <c r="G31" i="6"/>
  <c r="F31" i="6"/>
  <c r="E31" i="6"/>
  <c r="D22" i="6"/>
  <c r="I21" i="6"/>
  <c r="I27" i="6" s="1"/>
  <c r="G39" i="1" s="1"/>
  <c r="E21" i="6"/>
  <c r="E27" i="6" s="1"/>
  <c r="D21" i="6"/>
  <c r="D20" i="6"/>
  <c r="D19" i="6"/>
  <c r="I18" i="6"/>
  <c r="I24" i="6" s="1"/>
  <c r="H18" i="6"/>
  <c r="H24" i="6" s="1"/>
  <c r="G18" i="6"/>
  <c r="G24" i="6" s="1"/>
  <c r="F18" i="6"/>
  <c r="F24" i="6" s="1"/>
  <c r="E18" i="6"/>
  <c r="E24" i="6" s="1"/>
  <c r="D18" i="6"/>
  <c r="D17" i="6"/>
  <c r="I16" i="6"/>
  <c r="H16" i="6"/>
  <c r="G16" i="6"/>
  <c r="E16" i="6"/>
  <c r="H15" i="6"/>
  <c r="G15" i="6"/>
  <c r="F15" i="6"/>
  <c r="I14" i="6"/>
  <c r="H14" i="6"/>
  <c r="H17" i="6" s="1"/>
  <c r="H23" i="6" s="1"/>
  <c r="G14" i="6"/>
  <c r="G17" i="6" s="1"/>
  <c r="G23" i="6" s="1"/>
  <c r="F14" i="6"/>
  <c r="E14" i="6"/>
  <c r="I13" i="6"/>
  <c r="H13" i="6"/>
  <c r="H21" i="6" s="1"/>
  <c r="H27" i="6" s="1"/>
  <c r="G13" i="6"/>
  <c r="G21" i="6" s="1"/>
  <c r="G27" i="6" s="1"/>
  <c r="F13" i="6"/>
  <c r="F21" i="6" s="1"/>
  <c r="F27" i="6" s="1"/>
  <c r="E13" i="6"/>
  <c r="I12" i="6"/>
  <c r="H12" i="6"/>
  <c r="G12" i="6"/>
  <c r="G20" i="6" s="1"/>
  <c r="G26" i="6" s="1"/>
  <c r="E36" i="1" s="1"/>
  <c r="E37" i="1" s="1"/>
  <c r="E12" i="6"/>
  <c r="H11" i="6"/>
  <c r="H20" i="6" s="1"/>
  <c r="H26" i="6" s="1"/>
  <c r="G11" i="6"/>
  <c r="F11" i="6"/>
  <c r="I10" i="6"/>
  <c r="H10" i="6"/>
  <c r="E10" i="6"/>
  <c r="H9" i="6"/>
  <c r="H19" i="6" s="1"/>
  <c r="H25" i="6" s="1"/>
  <c r="G9" i="6"/>
  <c r="G19" i="6" s="1"/>
  <c r="G25" i="6" s="1"/>
  <c r="E35" i="1" s="1"/>
  <c r="F9" i="6"/>
  <c r="I8" i="6"/>
  <c r="H8" i="6"/>
  <c r="G8" i="6"/>
  <c r="G22" i="6" s="1"/>
  <c r="G28" i="6" s="1"/>
  <c r="E8" i="6"/>
  <c r="H7" i="6"/>
  <c r="G7" i="6"/>
  <c r="F7" i="6"/>
  <c r="A2" i="6"/>
  <c r="A1" i="6"/>
  <c r="G21" i="5"/>
  <c r="F21" i="5"/>
  <c r="C21" i="5"/>
  <c r="G18" i="5"/>
  <c r="G8" i="5" s="1"/>
  <c r="F18" i="5"/>
  <c r="D18" i="5"/>
  <c r="D8" i="5" s="1"/>
  <c r="C18" i="5"/>
  <c r="C8" i="5" s="1"/>
  <c r="G17" i="5"/>
  <c r="F17" i="5"/>
  <c r="E17" i="5"/>
  <c r="C17" i="5"/>
  <c r="G16" i="5"/>
  <c r="F16" i="5"/>
  <c r="E16" i="5"/>
  <c r="D16" i="5"/>
  <c r="B13" i="5"/>
  <c r="B12" i="5"/>
  <c r="G11" i="5"/>
  <c r="F11" i="5"/>
  <c r="E11" i="5"/>
  <c r="C11" i="5"/>
  <c r="G9" i="5"/>
  <c r="F9" i="5"/>
  <c r="E9" i="5"/>
  <c r="D9" i="5"/>
  <c r="F8" i="5"/>
  <c r="G7" i="5"/>
  <c r="F7" i="5"/>
  <c r="E7" i="5"/>
  <c r="D7" i="5"/>
  <c r="C7" i="5"/>
  <c r="A2" i="5"/>
  <c r="A1" i="5"/>
  <c r="G39" i="4"/>
  <c r="F39" i="4"/>
  <c r="E39" i="4"/>
  <c r="D39" i="4"/>
  <c r="B39" i="4"/>
  <c r="C37" i="4"/>
  <c r="C39" i="4" s="1"/>
  <c r="G32" i="4"/>
  <c r="D32" i="4"/>
  <c r="D32" i="1" s="1"/>
  <c r="C32" i="4"/>
  <c r="B30" i="4"/>
  <c r="F32" i="4" s="1"/>
  <c r="G25" i="4"/>
  <c r="F25" i="4"/>
  <c r="C25" i="4"/>
  <c r="B25" i="4"/>
  <c r="F23" i="4"/>
  <c r="B23" i="4"/>
  <c r="E25" i="4" s="1"/>
  <c r="C13" i="4"/>
  <c r="C10" i="4"/>
  <c r="B9" i="4"/>
  <c r="E8" i="4"/>
  <c r="E10" i="4" s="1"/>
  <c r="E18" i="4" s="1"/>
  <c r="D8" i="4"/>
  <c r="D10" i="4" s="1"/>
  <c r="C8" i="4"/>
  <c r="A1" i="4"/>
  <c r="D50" i="3"/>
  <c r="D49" i="3"/>
  <c r="I48" i="3"/>
  <c r="H48" i="3"/>
  <c r="E48" i="3"/>
  <c r="I47" i="3"/>
  <c r="I10" i="3" s="1"/>
  <c r="H47" i="3"/>
  <c r="G47" i="3"/>
  <c r="E47" i="3"/>
  <c r="E17" i="3" s="1"/>
  <c r="I46" i="3"/>
  <c r="H46" i="3"/>
  <c r="G46" i="3"/>
  <c r="G9" i="3" s="1"/>
  <c r="F46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F33" i="3" s="1"/>
  <c r="B33" i="3"/>
  <c r="D32" i="3"/>
  <c r="C32" i="3"/>
  <c r="F32" i="3" s="1"/>
  <c r="B32" i="3"/>
  <c r="D31" i="3"/>
  <c r="C31" i="3"/>
  <c r="F31" i="3" s="1"/>
  <c r="B31" i="3"/>
  <c r="D30" i="3"/>
  <c r="C30" i="3"/>
  <c r="G30" i="3" s="1"/>
  <c r="B30" i="3"/>
  <c r="D29" i="3"/>
  <c r="C29" i="3"/>
  <c r="F29" i="3" s="1"/>
  <c r="B29" i="3"/>
  <c r="D28" i="3"/>
  <c r="C28" i="3"/>
  <c r="F28" i="3" s="1"/>
  <c r="B28" i="3"/>
  <c r="D27" i="3"/>
  <c r="D38" i="3" s="1"/>
  <c r="C27" i="3"/>
  <c r="F27" i="3" s="1"/>
  <c r="B27" i="3"/>
  <c r="I23" i="3"/>
  <c r="E23" i="3"/>
  <c r="D23" i="3"/>
  <c r="H23" i="3" s="1"/>
  <c r="C23" i="3"/>
  <c r="B23" i="3"/>
  <c r="I22" i="3"/>
  <c r="D22" i="3"/>
  <c r="H22" i="3" s="1"/>
  <c r="C22" i="3"/>
  <c r="B22" i="3"/>
  <c r="I21" i="3"/>
  <c r="E21" i="3"/>
  <c r="D21" i="3"/>
  <c r="H21" i="3" s="1"/>
  <c r="C21" i="3"/>
  <c r="B21" i="3"/>
  <c r="I20" i="3"/>
  <c r="D20" i="3"/>
  <c r="H20" i="3" s="1"/>
  <c r="C20" i="3"/>
  <c r="B20" i="3"/>
  <c r="I19" i="3"/>
  <c r="E19" i="3"/>
  <c r="D19" i="3"/>
  <c r="H19" i="3" s="1"/>
  <c r="C19" i="3"/>
  <c r="B19" i="3"/>
  <c r="I18" i="3"/>
  <c r="E18" i="3"/>
  <c r="D18" i="3"/>
  <c r="H18" i="3" s="1"/>
  <c r="C18" i="3"/>
  <c r="B18" i="3"/>
  <c r="I17" i="3"/>
  <c r="D17" i="3"/>
  <c r="H17" i="3" s="1"/>
  <c r="C17" i="3"/>
  <c r="B17" i="3"/>
  <c r="I16" i="3"/>
  <c r="D16" i="3"/>
  <c r="H16" i="3" s="1"/>
  <c r="C16" i="3"/>
  <c r="B16" i="3"/>
  <c r="I15" i="3"/>
  <c r="D15" i="3"/>
  <c r="H15" i="3" s="1"/>
  <c r="C15" i="3"/>
  <c r="B15" i="3"/>
  <c r="I14" i="3"/>
  <c r="I24" i="3" s="1"/>
  <c r="E14" i="3"/>
  <c r="D14" i="3"/>
  <c r="H14" i="3" s="1"/>
  <c r="C14" i="3"/>
  <c r="B14" i="3"/>
  <c r="I12" i="3"/>
  <c r="D12" i="3"/>
  <c r="H12" i="3" s="1"/>
  <c r="I11" i="3"/>
  <c r="H11" i="3"/>
  <c r="G11" i="3"/>
  <c r="F11" i="3"/>
  <c r="E11" i="3"/>
  <c r="H10" i="3"/>
  <c r="G10" i="3"/>
  <c r="I9" i="3"/>
  <c r="H9" i="3"/>
  <c r="F9" i="3"/>
  <c r="A2" i="3"/>
  <c r="G330" i="2"/>
  <c r="F330" i="2"/>
  <c r="E330" i="2"/>
  <c r="D330" i="2"/>
  <c r="C330" i="2"/>
  <c r="C19" i="2"/>
  <c r="B19" i="2"/>
  <c r="B14" i="2"/>
  <c r="F8" i="2"/>
  <c r="D18" i="2" s="1"/>
  <c r="D21" i="2" s="1"/>
  <c r="D8" i="2"/>
  <c r="C8" i="2"/>
  <c r="A2" i="2"/>
  <c r="A1" i="2"/>
  <c r="H73" i="1"/>
  <c r="H72" i="1"/>
  <c r="H71" i="1"/>
  <c r="H70" i="1"/>
  <c r="H69" i="1"/>
  <c r="H68" i="1"/>
  <c r="H67" i="1"/>
  <c r="H66" i="1"/>
  <c r="H65" i="1"/>
  <c r="H64" i="1"/>
  <c r="G63" i="1"/>
  <c r="F63" i="1"/>
  <c r="C63" i="1"/>
  <c r="G61" i="1"/>
  <c r="F61" i="1"/>
  <c r="E61" i="1"/>
  <c r="C61" i="1"/>
  <c r="H52" i="1"/>
  <c r="H42" i="1"/>
  <c r="G40" i="1"/>
  <c r="F40" i="1"/>
  <c r="E40" i="1"/>
  <c r="D40" i="1"/>
  <c r="C40" i="1"/>
  <c r="H40" i="1" s="1"/>
  <c r="F39" i="1"/>
  <c r="E39" i="1"/>
  <c r="D39" i="1"/>
  <c r="F38" i="1"/>
  <c r="E38" i="1"/>
  <c r="F36" i="1"/>
  <c r="F37" i="1" s="1"/>
  <c r="F35" i="1"/>
  <c r="G32" i="1"/>
  <c r="F32" i="1"/>
  <c r="C32" i="1"/>
  <c r="F31" i="1"/>
  <c r="C31" i="1"/>
  <c r="H28" i="1"/>
  <c r="H27" i="1"/>
  <c r="G24" i="1"/>
  <c r="E22" i="1"/>
  <c r="D22" i="1"/>
  <c r="G21" i="1"/>
  <c r="G22" i="1" s="1"/>
  <c r="F21" i="1"/>
  <c r="F22" i="1" s="1"/>
  <c r="E21" i="1"/>
  <c r="D21" i="1"/>
  <c r="C21" i="1"/>
  <c r="C22" i="1" s="1"/>
  <c r="G19" i="1"/>
  <c r="F19" i="1"/>
  <c r="E19" i="1"/>
  <c r="D19" i="1"/>
  <c r="C19" i="1"/>
  <c r="H19" i="1" s="1"/>
  <c r="H18" i="1"/>
  <c r="G17" i="1"/>
  <c r="F17" i="1"/>
  <c r="D17" i="1"/>
  <c r="C17" i="1"/>
  <c r="H16" i="1"/>
  <c r="H12" i="1"/>
  <c r="H10" i="1"/>
  <c r="H9" i="1"/>
  <c r="H22" i="1" l="1"/>
  <c r="F34" i="1"/>
  <c r="F33" i="1"/>
  <c r="D27" i="6"/>
  <c r="C39" i="1"/>
  <c r="H39" i="1" s="1"/>
  <c r="F72" i="11"/>
  <c r="H84" i="10"/>
  <c r="H14" i="10" s="1"/>
  <c r="H152" i="9"/>
  <c r="F41" i="8"/>
  <c r="F47" i="7"/>
  <c r="G33" i="6"/>
  <c r="E21" i="5"/>
  <c r="E63" i="1"/>
  <c r="G48" i="3"/>
  <c r="E34" i="1"/>
  <c r="E33" i="1"/>
  <c r="E17" i="6"/>
  <c r="E23" i="6" s="1"/>
  <c r="F66" i="11"/>
  <c r="H146" i="9"/>
  <c r="H78" i="10"/>
  <c r="H11" i="7"/>
  <c r="H14" i="7"/>
  <c r="H21" i="7"/>
  <c r="E31" i="1"/>
  <c r="I29" i="3"/>
  <c r="I30" i="3"/>
  <c r="I32" i="3"/>
  <c r="I33" i="3"/>
  <c r="I35" i="3"/>
  <c r="E16" i="4"/>
  <c r="J78" i="10"/>
  <c r="H66" i="11"/>
  <c r="J146" i="9"/>
  <c r="D24" i="6"/>
  <c r="D31" i="6"/>
  <c r="E9" i="6"/>
  <c r="E19" i="6" s="1"/>
  <c r="E25" i="6" s="1"/>
  <c r="E15" i="6"/>
  <c r="E11" i="6"/>
  <c r="E20" i="6" s="1"/>
  <c r="E26" i="6" s="1"/>
  <c r="E7" i="6"/>
  <c r="I9" i="6"/>
  <c r="I19" i="6" s="1"/>
  <c r="I25" i="6" s="1"/>
  <c r="G35" i="1" s="1"/>
  <c r="I15" i="6"/>
  <c r="I17" i="6" s="1"/>
  <c r="I23" i="6" s="1"/>
  <c r="G38" i="1" s="1"/>
  <c r="I11" i="6"/>
  <c r="I20" i="6" s="1"/>
  <c r="I26" i="6" s="1"/>
  <c r="G36" i="1" s="1"/>
  <c r="G37" i="1" s="1"/>
  <c r="I7" i="6"/>
  <c r="D18" i="8"/>
  <c r="D25" i="8"/>
  <c r="F20" i="8"/>
  <c r="C45" i="8"/>
  <c r="E74" i="9"/>
  <c r="E61" i="9"/>
  <c r="E113" i="9"/>
  <c r="E49" i="9"/>
  <c r="I28" i="3"/>
  <c r="I37" i="3"/>
  <c r="H21" i="1"/>
  <c r="H24" i="3"/>
  <c r="G27" i="3"/>
  <c r="G28" i="3"/>
  <c r="G29" i="3"/>
  <c r="G31" i="3"/>
  <c r="G32" i="3"/>
  <c r="G33" i="3"/>
  <c r="G35" i="3"/>
  <c r="G37" i="3"/>
  <c r="B8" i="4"/>
  <c r="B10" i="4"/>
  <c r="C16" i="4"/>
  <c r="C17" i="4"/>
  <c r="H22" i="6"/>
  <c r="H28" i="6" s="1"/>
  <c r="E10" i="3"/>
  <c r="E15" i="4"/>
  <c r="B8" i="2"/>
  <c r="I31" i="3"/>
  <c r="G31" i="1"/>
  <c r="G18" i="2"/>
  <c r="G21" i="2" s="1"/>
  <c r="C18" i="2"/>
  <c r="E18" i="2"/>
  <c r="E21" i="2" s="1"/>
  <c r="F18" i="2"/>
  <c r="F21" i="2" s="1"/>
  <c r="D18" i="4"/>
  <c r="D16" i="4"/>
  <c r="D14" i="4"/>
  <c r="D17" i="4"/>
  <c r="F79" i="10"/>
  <c r="F147" i="9"/>
  <c r="C16" i="5"/>
  <c r="C9" i="5" s="1"/>
  <c r="B13" i="4"/>
  <c r="B16" i="5" s="1"/>
  <c r="D39" i="8"/>
  <c r="E46" i="3"/>
  <c r="D45" i="7"/>
  <c r="F78" i="10"/>
  <c r="D66" i="11"/>
  <c r="F146" i="9"/>
  <c r="H27" i="7"/>
  <c r="H30" i="7"/>
  <c r="H36" i="7" s="1"/>
  <c r="F25" i="1" s="1"/>
  <c r="H15" i="7"/>
  <c r="H18" i="7"/>
  <c r="H9" i="7"/>
  <c r="H28" i="7" s="1"/>
  <c r="H34" i="7" s="1"/>
  <c r="F24" i="1" s="1"/>
  <c r="G28" i="8"/>
  <c r="G33" i="8" s="1"/>
  <c r="F29" i="1" s="1"/>
  <c r="C28" i="8"/>
  <c r="F28" i="8"/>
  <c r="F33" i="8" s="1"/>
  <c r="E29" i="1" s="1"/>
  <c r="C29" i="8"/>
  <c r="H28" i="8"/>
  <c r="H33" i="8" s="1"/>
  <c r="G29" i="1" s="1"/>
  <c r="I61" i="9"/>
  <c r="F12" i="3"/>
  <c r="F14" i="3"/>
  <c r="F15" i="3"/>
  <c r="F16" i="3"/>
  <c r="F18" i="3"/>
  <c r="F19" i="3"/>
  <c r="F20" i="3"/>
  <c r="F21" i="3"/>
  <c r="F22" i="3"/>
  <c r="D24" i="3"/>
  <c r="H27" i="3"/>
  <c r="H28" i="3"/>
  <c r="H29" i="3"/>
  <c r="H30" i="3"/>
  <c r="H31" i="3"/>
  <c r="H32" i="3"/>
  <c r="H33" i="3"/>
  <c r="H35" i="3"/>
  <c r="H37" i="3"/>
  <c r="D40" i="3"/>
  <c r="D25" i="4"/>
  <c r="E32" i="4"/>
  <c r="E32" i="1" s="1"/>
  <c r="H32" i="1" s="1"/>
  <c r="G12" i="3"/>
  <c r="G14" i="3"/>
  <c r="G15" i="3"/>
  <c r="G16" i="3"/>
  <c r="G17" i="3"/>
  <c r="G18" i="3"/>
  <c r="G19" i="3"/>
  <c r="G20" i="3"/>
  <c r="G21" i="3"/>
  <c r="G22" i="3"/>
  <c r="G23" i="3"/>
  <c r="E27" i="3"/>
  <c r="I27" i="3"/>
  <c r="E28" i="3"/>
  <c r="E29" i="3"/>
  <c r="E30" i="3"/>
  <c r="E31" i="3"/>
  <c r="E32" i="3"/>
  <c r="E33" i="3"/>
  <c r="E35" i="3"/>
  <c r="E37" i="3"/>
  <c r="B32" i="4"/>
  <c r="I78" i="10"/>
  <c r="I146" i="9"/>
  <c r="G66" i="11"/>
  <c r="H18" i="8"/>
  <c r="H25" i="8"/>
  <c r="E117" i="9"/>
  <c r="E118" i="9"/>
  <c r="E14" i="9"/>
  <c r="E48" i="9"/>
  <c r="E51" i="9"/>
  <c r="F61" i="9"/>
  <c r="J61" i="9"/>
  <c r="F110" i="9"/>
  <c r="G131" i="9"/>
  <c r="H130" i="9"/>
  <c r="H107" i="9"/>
  <c r="H99" i="9"/>
  <c r="E13" i="9"/>
  <c r="G61" i="9"/>
  <c r="E109" i="9"/>
  <c r="J110" i="9"/>
  <c r="H112" i="9"/>
  <c r="H122" i="9" s="1"/>
  <c r="G51" i="10"/>
  <c r="I50" i="10"/>
  <c r="I54" i="10" s="1"/>
  <c r="F15" i="1" s="1"/>
  <c r="E50" i="10"/>
  <c r="J51" i="10"/>
  <c r="F51" i="10"/>
  <c r="E31" i="10"/>
  <c r="I51" i="10"/>
  <c r="E51" i="10"/>
  <c r="E65" i="10" s="1"/>
  <c r="E49" i="10"/>
  <c r="E30" i="10"/>
  <c r="H51" i="10"/>
  <c r="E32" i="10"/>
  <c r="J131" i="9"/>
  <c r="F131" i="9"/>
  <c r="E114" i="9"/>
  <c r="G112" i="9"/>
  <c r="G122" i="9" s="1"/>
  <c r="J111" i="9"/>
  <c r="J121" i="9" s="1"/>
  <c r="G57" i="1" s="1"/>
  <c r="I110" i="9"/>
  <c r="E110" i="9"/>
  <c r="I131" i="9"/>
  <c r="E131" i="9"/>
  <c r="E115" i="9"/>
  <c r="J112" i="9"/>
  <c r="I111" i="9"/>
  <c r="I121" i="9" s="1"/>
  <c r="F57" i="1" s="1"/>
  <c r="E111" i="9"/>
  <c r="H110" i="9"/>
  <c r="H131" i="9"/>
  <c r="E116" i="9"/>
  <c r="I112" i="9"/>
  <c r="I122" i="9" s="1"/>
  <c r="E112" i="9"/>
  <c r="H111" i="9"/>
  <c r="H121" i="9" s="1"/>
  <c r="E57" i="1" s="1"/>
  <c r="G110" i="9"/>
  <c r="G120" i="9" s="1"/>
  <c r="E50" i="9"/>
  <c r="H61" i="9"/>
  <c r="E75" i="9"/>
  <c r="H39" i="10"/>
  <c r="H50" i="10" s="1"/>
  <c r="H54" i="10" s="1"/>
  <c r="E15" i="1" s="1"/>
  <c r="H46" i="10"/>
  <c r="E52" i="10"/>
  <c r="E67" i="10" s="1"/>
  <c r="E33" i="10"/>
  <c r="J38" i="10"/>
  <c r="J50" i="10" s="1"/>
  <c r="J54" i="10" s="1"/>
  <c r="G15" i="1" s="1"/>
  <c r="J23" i="10"/>
  <c r="J13" i="10"/>
  <c r="J9" i="10"/>
  <c r="J44" i="10"/>
  <c r="J37" i="10"/>
  <c r="J26" i="10"/>
  <c r="J22" i="10"/>
  <c r="J18" i="10"/>
  <c r="H39" i="11"/>
  <c r="H38" i="11"/>
  <c r="H62" i="9" l="1"/>
  <c r="H132" i="9"/>
  <c r="F55" i="10"/>
  <c r="F62" i="9"/>
  <c r="I59" i="10"/>
  <c r="I48" i="10"/>
  <c r="I49" i="10" s="1"/>
  <c r="I53" i="10" s="1"/>
  <c r="I58" i="10"/>
  <c r="I25" i="10"/>
  <c r="I17" i="10"/>
  <c r="I11" i="10"/>
  <c r="I43" i="10"/>
  <c r="D69" i="11"/>
  <c r="F149" i="9"/>
  <c r="F81" i="10"/>
  <c r="D44" i="8"/>
  <c r="C20" i="5"/>
  <c r="C10" i="5" s="1"/>
  <c r="C12" i="5" s="1"/>
  <c r="C13" i="5" s="1"/>
  <c r="C8" i="1" s="1"/>
  <c r="E51" i="3"/>
  <c r="D50" i="7"/>
  <c r="E36" i="6"/>
  <c r="C38" i="1"/>
  <c r="F132" i="9"/>
  <c r="H55" i="10"/>
  <c r="E14" i="1" s="1"/>
  <c r="J55" i="10"/>
  <c r="G14" i="1" s="1"/>
  <c r="G55" i="10"/>
  <c r="D14" i="1" s="1"/>
  <c r="J120" i="9"/>
  <c r="G62" i="9"/>
  <c r="F58" i="10"/>
  <c r="F25" i="10"/>
  <c r="F17" i="10"/>
  <c r="F11" i="10"/>
  <c r="E78" i="10"/>
  <c r="F43" i="10"/>
  <c r="F59" i="10"/>
  <c r="F48" i="10"/>
  <c r="F49" i="10" s="1"/>
  <c r="F53" i="10" s="1"/>
  <c r="G80" i="10"/>
  <c r="E68" i="11"/>
  <c r="G148" i="9"/>
  <c r="G100" i="9" s="1"/>
  <c r="B18" i="2"/>
  <c r="G16" i="4"/>
  <c r="F16" i="4"/>
  <c r="E64" i="9"/>
  <c r="I22" i="6"/>
  <c r="I28" i="6" s="1"/>
  <c r="E22" i="6"/>
  <c r="E28" i="6" s="1"/>
  <c r="J106" i="9"/>
  <c r="J98" i="9"/>
  <c r="J92" i="9"/>
  <c r="J44" i="9"/>
  <c r="J32" i="9"/>
  <c r="J22" i="9"/>
  <c r="J48" i="9" s="1"/>
  <c r="J53" i="9" s="1"/>
  <c r="G47" i="1" s="1"/>
  <c r="J10" i="9"/>
  <c r="J72" i="9"/>
  <c r="J74" i="9" s="1"/>
  <c r="J76" i="9" s="1"/>
  <c r="G54" i="1" s="1"/>
  <c r="J68" i="9"/>
  <c r="J7" i="9"/>
  <c r="H46" i="8"/>
  <c r="H19" i="8" s="1"/>
  <c r="I52" i="3"/>
  <c r="I36" i="3" s="1"/>
  <c r="H43" i="10"/>
  <c r="H59" i="10"/>
  <c r="H48" i="10"/>
  <c r="H49" i="10" s="1"/>
  <c r="H53" i="10" s="1"/>
  <c r="H58" i="10"/>
  <c r="H25" i="10"/>
  <c r="H17" i="10"/>
  <c r="H11" i="10"/>
  <c r="I55" i="10"/>
  <c r="F14" i="1" s="1"/>
  <c r="G132" i="9"/>
  <c r="I62" i="9"/>
  <c r="G84" i="10"/>
  <c r="G152" i="9"/>
  <c r="E152" i="9" s="1"/>
  <c r="E72" i="11"/>
  <c r="C72" i="11" s="1"/>
  <c r="F48" i="3"/>
  <c r="E47" i="7"/>
  <c r="B18" i="4"/>
  <c r="B21" i="5" s="1"/>
  <c r="E41" i="8"/>
  <c r="F33" i="6"/>
  <c r="D33" i="6" s="1"/>
  <c r="D21" i="5"/>
  <c r="D63" i="1"/>
  <c r="H63" i="1" s="1"/>
  <c r="C35" i="1"/>
  <c r="H120" i="9"/>
  <c r="J122" i="9"/>
  <c r="E134" i="9"/>
  <c r="I120" i="9"/>
  <c r="J132" i="9"/>
  <c r="E18" i="7"/>
  <c r="E27" i="7" s="1"/>
  <c r="E9" i="7"/>
  <c r="E28" i="7" s="1"/>
  <c r="E34" i="7" s="1"/>
  <c r="E20" i="7"/>
  <c r="E30" i="7" s="1"/>
  <c r="E36" i="7" s="1"/>
  <c r="E16" i="7"/>
  <c r="E26" i="7" s="1"/>
  <c r="E8" i="7"/>
  <c r="E15" i="7"/>
  <c r="C45" i="7"/>
  <c r="G82" i="10"/>
  <c r="G150" i="9"/>
  <c r="E40" i="8"/>
  <c r="F32" i="6"/>
  <c r="D17" i="5"/>
  <c r="D11" i="5" s="1"/>
  <c r="B14" i="4"/>
  <c r="B17" i="5" s="1"/>
  <c r="F47" i="3"/>
  <c r="D61" i="1"/>
  <c r="H61" i="1" s="1"/>
  <c r="E46" i="7"/>
  <c r="C21" i="2"/>
  <c r="G33" i="1"/>
  <c r="G34" i="1"/>
  <c r="C36" i="1"/>
  <c r="H72" i="9"/>
  <c r="H74" i="9" s="1"/>
  <c r="H76" i="9" s="1"/>
  <c r="E54" i="1" s="1"/>
  <c r="H68" i="9"/>
  <c r="H98" i="9"/>
  <c r="H7" i="9"/>
  <c r="F46" i="8"/>
  <c r="F19" i="8" s="1"/>
  <c r="H106" i="9"/>
  <c r="H92" i="9"/>
  <c r="H32" i="9"/>
  <c r="H22" i="9"/>
  <c r="H48" i="9" s="1"/>
  <c r="H53" i="9" s="1"/>
  <c r="E47" i="1" s="1"/>
  <c r="H10" i="9"/>
  <c r="G52" i="3"/>
  <c r="G36" i="3" s="1"/>
  <c r="H44" i="9"/>
  <c r="G40" i="3"/>
  <c r="G42" i="3" s="1"/>
  <c r="G78" i="10"/>
  <c r="E66" i="11"/>
  <c r="C66" i="11" s="1"/>
  <c r="G146" i="9"/>
  <c r="D31" i="1"/>
  <c r="H31" i="1" s="1"/>
  <c r="C39" i="8"/>
  <c r="D22" i="8"/>
  <c r="D12" i="8"/>
  <c r="D8" i="8"/>
  <c r="D15" i="8"/>
  <c r="D11" i="8"/>
  <c r="D9" i="8"/>
  <c r="E79" i="10"/>
  <c r="F38" i="10"/>
  <c r="F50" i="10" s="1"/>
  <c r="F54" i="10" s="1"/>
  <c r="F23" i="10"/>
  <c r="F13" i="10"/>
  <c r="F9" i="10"/>
  <c r="F44" i="10"/>
  <c r="F37" i="10"/>
  <c r="F26" i="10"/>
  <c r="F22" i="10"/>
  <c r="F18" i="10"/>
  <c r="F7" i="10"/>
  <c r="F8" i="10"/>
  <c r="F6" i="10"/>
  <c r="B15" i="4"/>
  <c r="E18" i="5"/>
  <c r="E8" i="5" s="1"/>
  <c r="E12" i="5" s="1"/>
  <c r="E13" i="5" s="1"/>
  <c r="E8" i="1" s="1"/>
  <c r="E17" i="1"/>
  <c r="H17" i="1" s="1"/>
  <c r="H81" i="10"/>
  <c r="H149" i="9"/>
  <c r="F69" i="11"/>
  <c r="F44" i="8"/>
  <c r="F50" i="7"/>
  <c r="G13" i="7" s="1"/>
  <c r="G36" i="6"/>
  <c r="G51" i="3"/>
  <c r="G34" i="3" s="1"/>
  <c r="E20" i="5"/>
  <c r="E10" i="5" s="1"/>
  <c r="F25" i="8"/>
  <c r="F18" i="8"/>
  <c r="I132" i="9"/>
  <c r="F120" i="9"/>
  <c r="E120" i="9" s="1"/>
  <c r="J62" i="9"/>
  <c r="I106" i="9"/>
  <c r="I98" i="9"/>
  <c r="I7" i="9"/>
  <c r="G46" i="8"/>
  <c r="G19" i="8" s="1"/>
  <c r="I92" i="9"/>
  <c r="I44" i="9"/>
  <c r="I32" i="9"/>
  <c r="I22" i="9"/>
  <c r="I48" i="9" s="1"/>
  <c r="I53" i="9" s="1"/>
  <c r="F47" i="1" s="1"/>
  <c r="I10" i="9"/>
  <c r="H52" i="3"/>
  <c r="H36" i="3" s="1"/>
  <c r="I68" i="9"/>
  <c r="I72" i="9"/>
  <c r="I74" i="9" s="1"/>
  <c r="I76" i="9" s="1"/>
  <c r="F54" i="1" s="1"/>
  <c r="G24" i="3"/>
  <c r="E146" i="9"/>
  <c r="F106" i="9"/>
  <c r="F98" i="9"/>
  <c r="F92" i="9"/>
  <c r="F44" i="9"/>
  <c r="F32" i="9"/>
  <c r="F22" i="9"/>
  <c r="F10" i="9"/>
  <c r="F72" i="9"/>
  <c r="F74" i="9" s="1"/>
  <c r="F76" i="9" s="1"/>
  <c r="F68" i="9"/>
  <c r="D46" i="8"/>
  <c r="E52" i="3"/>
  <c r="F7" i="9"/>
  <c r="D46" i="3"/>
  <c r="E22" i="3"/>
  <c r="E15" i="3"/>
  <c r="E24" i="3" s="1"/>
  <c r="E12" i="3"/>
  <c r="E9" i="3"/>
  <c r="E16" i="3"/>
  <c r="E20" i="3"/>
  <c r="E147" i="9"/>
  <c r="F107" i="9"/>
  <c r="F69" i="9"/>
  <c r="F88" i="9"/>
  <c r="F86" i="9"/>
  <c r="F112" i="9" s="1"/>
  <c r="F122" i="9" s="1"/>
  <c r="E122" i="9" s="1"/>
  <c r="F84" i="9"/>
  <c r="F111" i="9" s="1"/>
  <c r="F121" i="9" s="1"/>
  <c r="F82" i="9"/>
  <c r="F60" i="9"/>
  <c r="F36" i="9"/>
  <c r="F8" i="9"/>
  <c r="F70" i="9"/>
  <c r="F45" i="9"/>
  <c r="F27" i="9"/>
  <c r="F130" i="9"/>
  <c r="F39" i="9"/>
  <c r="F99" i="9"/>
  <c r="F9" i="9"/>
  <c r="F59" i="9"/>
  <c r="F25" i="9"/>
  <c r="F23" i="9"/>
  <c r="E69" i="11"/>
  <c r="G81" i="10"/>
  <c r="G149" i="9"/>
  <c r="E44" i="8"/>
  <c r="D20" i="5"/>
  <c r="D10" i="5" s="1"/>
  <c r="D12" i="5" s="1"/>
  <c r="D13" i="5" s="1"/>
  <c r="D8" i="1" s="1"/>
  <c r="F51" i="3"/>
  <c r="F34" i="3" s="1"/>
  <c r="E50" i="7"/>
  <c r="F13" i="7" s="1"/>
  <c r="F36" i="6"/>
  <c r="F80" i="10"/>
  <c r="E80" i="10" s="1"/>
  <c r="D68" i="11"/>
  <c r="B17" i="4"/>
  <c r="F148" i="9"/>
  <c r="G38" i="3"/>
  <c r="J58" i="10"/>
  <c r="J25" i="10"/>
  <c r="J17" i="10"/>
  <c r="J11" i="10"/>
  <c r="J30" i="10" s="1"/>
  <c r="J34" i="10" s="1"/>
  <c r="G13" i="1" s="1"/>
  <c r="J43" i="10"/>
  <c r="J59" i="10"/>
  <c r="J48" i="10"/>
  <c r="J49" i="10" s="1"/>
  <c r="J53" i="10" s="1"/>
  <c r="G11" i="7"/>
  <c r="G14" i="7"/>
  <c r="G21" i="7"/>
  <c r="G30" i="7" s="1"/>
  <c r="G36" i="7" s="1"/>
  <c r="E25" i="1" s="1"/>
  <c r="E36" i="3" l="1"/>
  <c r="F16" i="6"/>
  <c r="F17" i="6" s="1"/>
  <c r="F23" i="6" s="1"/>
  <c r="F12" i="6"/>
  <c r="F20" i="6" s="1"/>
  <c r="F26" i="6" s="1"/>
  <c r="F8" i="6"/>
  <c r="D32" i="6"/>
  <c r="F10" i="6"/>
  <c r="F19" i="6" s="1"/>
  <c r="F25" i="6" s="1"/>
  <c r="D36" i="7"/>
  <c r="C25" i="1"/>
  <c r="H69" i="11"/>
  <c r="C69" i="11" s="1"/>
  <c r="J81" i="10"/>
  <c r="J149" i="9"/>
  <c r="G20" i="5"/>
  <c r="G10" i="5" s="1"/>
  <c r="G12" i="5" s="1"/>
  <c r="G13" i="5" s="1"/>
  <c r="G8" i="1" s="1"/>
  <c r="I51" i="3"/>
  <c r="I34" i="3" s="1"/>
  <c r="H50" i="7"/>
  <c r="I13" i="7" s="1"/>
  <c r="H44" i="8"/>
  <c r="I36" i="6"/>
  <c r="F63" i="10"/>
  <c r="F65" i="10" s="1"/>
  <c r="E132" i="9"/>
  <c r="B16" i="4"/>
  <c r="B20" i="5" s="1"/>
  <c r="D16" i="8"/>
  <c r="D30" i="8" s="1"/>
  <c r="D35" i="8" s="1"/>
  <c r="D23" i="8"/>
  <c r="I30" i="10"/>
  <c r="I34" i="10" s="1"/>
  <c r="F13" i="1" s="1"/>
  <c r="E55" i="10"/>
  <c r="C14" i="1"/>
  <c r="H14" i="1" s="1"/>
  <c r="G32" i="7"/>
  <c r="G38" i="7" s="1"/>
  <c r="G28" i="7"/>
  <c r="G34" i="7" s="1"/>
  <c r="E24" i="1" s="1"/>
  <c r="C68" i="11"/>
  <c r="D39" i="11"/>
  <c r="D38" i="11"/>
  <c r="G108" i="9"/>
  <c r="G46" i="9"/>
  <c r="G93" i="9"/>
  <c r="G89" i="9"/>
  <c r="G113" i="9" s="1"/>
  <c r="G123" i="9" s="1"/>
  <c r="D59" i="1" s="1"/>
  <c r="G83" i="9"/>
  <c r="G37" i="9"/>
  <c r="G33" i="9"/>
  <c r="G29" i="9"/>
  <c r="G11" i="9"/>
  <c r="G73" i="9"/>
  <c r="G71" i="9"/>
  <c r="D19" i="8"/>
  <c r="F48" i="9"/>
  <c r="F53" i="9" s="1"/>
  <c r="F23" i="8"/>
  <c r="F29" i="8" s="1"/>
  <c r="F34" i="8" s="1"/>
  <c r="E30" i="1" s="1"/>
  <c r="F16" i="8"/>
  <c r="F30" i="8" s="1"/>
  <c r="F35" i="8" s="1"/>
  <c r="E26" i="1" s="1"/>
  <c r="D28" i="8"/>
  <c r="D33" i="8" s="1"/>
  <c r="G106" i="9"/>
  <c r="G98" i="9"/>
  <c r="G92" i="9"/>
  <c r="G44" i="9"/>
  <c r="G32" i="9"/>
  <c r="G51" i="9" s="1"/>
  <c r="G56" i="9" s="1"/>
  <c r="D50" i="1" s="1"/>
  <c r="G22" i="9"/>
  <c r="G48" i="9" s="1"/>
  <c r="G53" i="9" s="1"/>
  <c r="D47" i="1" s="1"/>
  <c r="G10" i="9"/>
  <c r="G13" i="9" s="1"/>
  <c r="G15" i="9" s="1"/>
  <c r="D44" i="1" s="1"/>
  <c r="G72" i="9"/>
  <c r="G74" i="9" s="1"/>
  <c r="G76" i="9" s="1"/>
  <c r="D54" i="1" s="1"/>
  <c r="G68" i="9"/>
  <c r="G7" i="9"/>
  <c r="E46" i="8"/>
  <c r="E19" i="8" s="1"/>
  <c r="F52" i="3"/>
  <c r="F36" i="3" s="1"/>
  <c r="C37" i="1"/>
  <c r="B21" i="2"/>
  <c r="F10" i="3"/>
  <c r="D47" i="3"/>
  <c r="F30" i="3"/>
  <c r="F17" i="3"/>
  <c r="E24" i="8"/>
  <c r="C40" i="8"/>
  <c r="E10" i="8"/>
  <c r="E17" i="8"/>
  <c r="C24" i="1"/>
  <c r="F21" i="7"/>
  <c r="F30" i="7" s="1"/>
  <c r="F36" i="7" s="1"/>
  <c r="D25" i="1" s="1"/>
  <c r="F11" i="7"/>
  <c r="C47" i="7"/>
  <c r="F14" i="7"/>
  <c r="F31" i="7" s="1"/>
  <c r="F37" i="7" s="1"/>
  <c r="G14" i="10"/>
  <c r="E84" i="10"/>
  <c r="H30" i="10"/>
  <c r="H34" i="10" s="1"/>
  <c r="E13" i="1" s="1"/>
  <c r="F30" i="10"/>
  <c r="F34" i="10" s="1"/>
  <c r="E13" i="7"/>
  <c r="F62" i="10"/>
  <c r="F45" i="10"/>
  <c r="F52" i="10" s="1"/>
  <c r="F27" i="10"/>
  <c r="F32" i="10" s="1"/>
  <c r="F35" i="10" s="1"/>
  <c r="F60" i="10"/>
  <c r="F20" i="10"/>
  <c r="G31" i="7"/>
  <c r="G37" i="7" s="1"/>
  <c r="H60" i="10"/>
  <c r="H63" i="10" s="1"/>
  <c r="H65" i="10" s="1"/>
  <c r="H20" i="10"/>
  <c r="H33" i="10" s="1"/>
  <c r="H67" i="10" s="1"/>
  <c r="H62" i="10"/>
  <c r="H45" i="10"/>
  <c r="H27" i="10"/>
  <c r="F65" i="11"/>
  <c r="H76" i="10"/>
  <c r="H145" i="9"/>
  <c r="F51" i="7"/>
  <c r="E23" i="1"/>
  <c r="G60" i="10"/>
  <c r="G20" i="10"/>
  <c r="G45" i="10"/>
  <c r="G62" i="10"/>
  <c r="G27" i="10"/>
  <c r="C57" i="1"/>
  <c r="F75" i="9"/>
  <c r="F77" i="9" s="1"/>
  <c r="D29" i="8"/>
  <c r="D34" i="8" s="1"/>
  <c r="G26" i="9"/>
  <c r="E150" i="9"/>
  <c r="G85" i="9"/>
  <c r="G111" i="9" s="1"/>
  <c r="G121" i="9" s="1"/>
  <c r="D57" i="1" s="1"/>
  <c r="G47" i="9"/>
  <c r="E29" i="7"/>
  <c r="E35" i="7" s="1"/>
  <c r="D35" i="7" s="1"/>
  <c r="E32" i="7"/>
  <c r="E38" i="7" s="1"/>
  <c r="D48" i="3"/>
  <c r="F35" i="3"/>
  <c r="F23" i="3"/>
  <c r="F37" i="3"/>
  <c r="H31" i="10"/>
  <c r="F31" i="10"/>
  <c r="E34" i="3"/>
  <c r="E38" i="3" s="1"/>
  <c r="E40" i="3" s="1"/>
  <c r="E42" i="3" s="1"/>
  <c r="F108" i="9"/>
  <c r="F73" i="9"/>
  <c r="F71" i="9"/>
  <c r="F46" i="9"/>
  <c r="F29" i="9"/>
  <c r="F89" i="9"/>
  <c r="F113" i="9" s="1"/>
  <c r="F123" i="9" s="1"/>
  <c r="F83" i="9"/>
  <c r="F37" i="9"/>
  <c r="F93" i="9"/>
  <c r="F11" i="9"/>
  <c r="F14" i="9" s="1"/>
  <c r="F16" i="9" s="1"/>
  <c r="F33" i="9"/>
  <c r="F51" i="9" s="1"/>
  <c r="F56" i="9" s="1"/>
  <c r="E62" i="9"/>
  <c r="E23" i="8"/>
  <c r="E16" i="8"/>
  <c r="F33" i="10"/>
  <c r="E148" i="9"/>
  <c r="F100" i="9"/>
  <c r="F13" i="9"/>
  <c r="F15" i="9" s="1"/>
  <c r="E76" i="9"/>
  <c r="C54" i="1"/>
  <c r="H54" i="1" s="1"/>
  <c r="H93" i="9"/>
  <c r="H89" i="9"/>
  <c r="H113" i="9" s="1"/>
  <c r="H123" i="9" s="1"/>
  <c r="E59" i="1" s="1"/>
  <c r="H83" i="9"/>
  <c r="H37" i="9"/>
  <c r="H33" i="9"/>
  <c r="H51" i="9" s="1"/>
  <c r="H56" i="9" s="1"/>
  <c r="E50" i="1" s="1"/>
  <c r="H29" i="9"/>
  <c r="H11" i="9"/>
  <c r="H14" i="9" s="1"/>
  <c r="H16" i="9" s="1"/>
  <c r="E43" i="1" s="1"/>
  <c r="H73" i="9"/>
  <c r="H71" i="9"/>
  <c r="H75" i="9" s="1"/>
  <c r="H77" i="9" s="1"/>
  <c r="E53" i="1" s="1"/>
  <c r="H108" i="9"/>
  <c r="H46" i="9"/>
  <c r="B18" i="5"/>
  <c r="B19" i="5"/>
  <c r="C15" i="1"/>
  <c r="G43" i="10"/>
  <c r="G59" i="10"/>
  <c r="G48" i="10"/>
  <c r="G25" i="10"/>
  <c r="G17" i="10"/>
  <c r="G31" i="10" s="1"/>
  <c r="G11" i="10"/>
  <c r="G58" i="10"/>
  <c r="H13" i="9"/>
  <c r="H15" i="9" s="1"/>
  <c r="E44" i="1" s="1"/>
  <c r="F10" i="7"/>
  <c r="C46" i="7"/>
  <c r="G47" i="10"/>
  <c r="G39" i="10"/>
  <c r="E82" i="10"/>
  <c r="G46" i="10"/>
  <c r="E25" i="8"/>
  <c r="E18" i="8"/>
  <c r="C41" i="8"/>
  <c r="H32" i="10"/>
  <c r="H35" i="10" s="1"/>
  <c r="H52" i="10"/>
  <c r="I81" i="10"/>
  <c r="G69" i="11"/>
  <c r="I149" i="9"/>
  <c r="G44" i="8"/>
  <c r="C44" i="8" s="1"/>
  <c r="H36" i="6"/>
  <c r="F20" i="5"/>
  <c r="F10" i="5" s="1"/>
  <c r="F12" i="5" s="1"/>
  <c r="F13" i="5" s="1"/>
  <c r="F8" i="1" s="1"/>
  <c r="H51" i="3"/>
  <c r="H34" i="3" s="1"/>
  <c r="G50" i="7"/>
  <c r="H13" i="7" s="1"/>
  <c r="E39" i="11"/>
  <c r="E38" i="11"/>
  <c r="D36" i="6"/>
  <c r="H8" i="1"/>
  <c r="D61" i="11" l="1"/>
  <c r="F142" i="9"/>
  <c r="C11" i="1"/>
  <c r="C43" i="1"/>
  <c r="C26" i="1"/>
  <c r="D65" i="11"/>
  <c r="F76" i="10"/>
  <c r="F145" i="9"/>
  <c r="D51" i="7"/>
  <c r="C23" i="1"/>
  <c r="E56" i="9"/>
  <c r="C50" i="1"/>
  <c r="F28" i="7"/>
  <c r="F34" i="7" s="1"/>
  <c r="F32" i="7"/>
  <c r="F38" i="7" s="1"/>
  <c r="C53" i="1"/>
  <c r="C50" i="7"/>
  <c r="C33" i="1"/>
  <c r="C34" i="1"/>
  <c r="I38" i="3"/>
  <c r="I40" i="3" s="1"/>
  <c r="I42" i="3" s="1"/>
  <c r="D36" i="1"/>
  <c r="D26" i="6"/>
  <c r="H38" i="3"/>
  <c r="H40" i="3" s="1"/>
  <c r="H42" i="3" s="1"/>
  <c r="I108" i="9"/>
  <c r="I93" i="9"/>
  <c r="I89" i="9"/>
  <c r="I113" i="9" s="1"/>
  <c r="I123" i="9" s="1"/>
  <c r="F59" i="1" s="1"/>
  <c r="I83" i="9"/>
  <c r="I37" i="9"/>
  <c r="I33" i="9"/>
  <c r="I51" i="9" s="1"/>
  <c r="I56" i="9" s="1"/>
  <c r="F50" i="1" s="1"/>
  <c r="I29" i="9"/>
  <c r="I11" i="9"/>
  <c r="I73" i="9"/>
  <c r="I71" i="9"/>
  <c r="I75" i="9" s="1"/>
  <c r="I77" i="9" s="1"/>
  <c r="F53" i="1" s="1"/>
  <c r="I46" i="9"/>
  <c r="G50" i="10"/>
  <c r="G54" i="10" s="1"/>
  <c r="G52" i="10"/>
  <c r="E149" i="9"/>
  <c r="C30" i="1"/>
  <c r="E31" i="7"/>
  <c r="E37" i="7" s="1"/>
  <c r="F24" i="3"/>
  <c r="F40" i="3" s="1"/>
  <c r="F42" i="3" s="1"/>
  <c r="D24" i="2"/>
  <c r="F24" i="2"/>
  <c r="G24" i="2"/>
  <c r="E24" i="2"/>
  <c r="G14" i="9"/>
  <c r="G16" i="9" s="1"/>
  <c r="D43" i="1" s="1"/>
  <c r="C46" i="8"/>
  <c r="F64" i="11"/>
  <c r="E20" i="1"/>
  <c r="E22" i="5"/>
  <c r="D35" i="1"/>
  <c r="H35" i="1" s="1"/>
  <c r="D25" i="6"/>
  <c r="D38" i="1"/>
  <c r="H38" i="1" s="1"/>
  <c r="D23" i="6"/>
  <c r="H32" i="7"/>
  <c r="H38" i="7" s="1"/>
  <c r="H31" i="7"/>
  <c r="H37" i="7" s="1"/>
  <c r="G23" i="8"/>
  <c r="G29" i="8" s="1"/>
  <c r="G34" i="8" s="1"/>
  <c r="F30" i="1" s="1"/>
  <c r="G16" i="8"/>
  <c r="G30" i="10"/>
  <c r="G34" i="10" s="1"/>
  <c r="D13" i="1" s="1"/>
  <c r="G33" i="10"/>
  <c r="G67" i="10" s="1"/>
  <c r="G49" i="10"/>
  <c r="G53" i="10" s="1"/>
  <c r="E53" i="10" s="1"/>
  <c r="G32" i="10"/>
  <c r="G35" i="10" s="1"/>
  <c r="E29" i="8"/>
  <c r="E34" i="8" s="1"/>
  <c r="D30" i="1" s="1"/>
  <c r="E121" i="9"/>
  <c r="E28" i="8"/>
  <c r="E33" i="8" s="1"/>
  <c r="D29" i="1" s="1"/>
  <c r="E30" i="8"/>
  <c r="E35" i="8" s="1"/>
  <c r="D26" i="1" s="1"/>
  <c r="F38" i="3"/>
  <c r="C24" i="2"/>
  <c r="G75" i="9"/>
  <c r="G77" i="9" s="1"/>
  <c r="D53" i="1" s="1"/>
  <c r="H16" i="8"/>
  <c r="H30" i="8" s="1"/>
  <c r="H35" i="8" s="1"/>
  <c r="G26" i="1" s="1"/>
  <c r="H23" i="8"/>
  <c r="H29" i="8" s="1"/>
  <c r="H34" i="8" s="1"/>
  <c r="G30" i="1" s="1"/>
  <c r="J108" i="9"/>
  <c r="J73" i="9"/>
  <c r="J71" i="9"/>
  <c r="J75" i="9" s="1"/>
  <c r="J77" i="9" s="1"/>
  <c r="G53" i="1" s="1"/>
  <c r="J46" i="9"/>
  <c r="J89" i="9"/>
  <c r="J113" i="9" s="1"/>
  <c r="J123" i="9" s="1"/>
  <c r="G59" i="1" s="1"/>
  <c r="J83" i="9"/>
  <c r="J37" i="9"/>
  <c r="J93" i="9"/>
  <c r="J33" i="9"/>
  <c r="J51" i="9" s="1"/>
  <c r="J56" i="9" s="1"/>
  <c r="G50" i="1" s="1"/>
  <c r="J11" i="9"/>
  <c r="J29" i="9"/>
  <c r="F67" i="10"/>
  <c r="I62" i="10"/>
  <c r="I45" i="10"/>
  <c r="I52" i="10" s="1"/>
  <c r="I27" i="10"/>
  <c r="I32" i="10" s="1"/>
  <c r="I35" i="10" s="1"/>
  <c r="I60" i="10"/>
  <c r="I20" i="10"/>
  <c r="F61" i="11"/>
  <c r="H142" i="9"/>
  <c r="E11" i="1"/>
  <c r="G63" i="10"/>
  <c r="G65" i="10" s="1"/>
  <c r="C44" i="1"/>
  <c r="E123" i="9"/>
  <c r="C59" i="1"/>
  <c r="H59" i="1" s="1"/>
  <c r="D51" i="3"/>
  <c r="D64" i="11"/>
  <c r="C22" i="5"/>
  <c r="C20" i="1"/>
  <c r="H57" i="1"/>
  <c r="H105" i="9"/>
  <c r="H101" i="9"/>
  <c r="H91" i="9"/>
  <c r="H114" i="9" s="1"/>
  <c r="H124" i="9" s="1"/>
  <c r="E60" i="1" s="1"/>
  <c r="H81" i="9"/>
  <c r="H43" i="9"/>
  <c r="H50" i="9" s="1"/>
  <c r="H55" i="9" s="1"/>
  <c r="E48" i="1" s="1"/>
  <c r="H35" i="9"/>
  <c r="H21" i="9"/>
  <c r="H28" i="9"/>
  <c r="H49" i="9" s="1"/>
  <c r="H54" i="9" s="1"/>
  <c r="E49" i="1" s="1"/>
  <c r="H20" i="9"/>
  <c r="E81" i="10"/>
  <c r="E34" i="10"/>
  <c r="C13" i="1"/>
  <c r="H13" i="1" s="1"/>
  <c r="C33" i="8"/>
  <c r="C29" i="1"/>
  <c r="H29" i="1" s="1"/>
  <c r="E53" i="9"/>
  <c r="C47" i="1"/>
  <c r="H47" i="1" s="1"/>
  <c r="I32" i="7"/>
  <c r="I38" i="7" s="1"/>
  <c r="I31" i="7"/>
  <c r="I37" i="7" s="1"/>
  <c r="J62" i="10"/>
  <c r="J45" i="10"/>
  <c r="J52" i="10" s="1"/>
  <c r="J27" i="10"/>
  <c r="J32" i="10" s="1"/>
  <c r="J35" i="10" s="1"/>
  <c r="J60" i="10"/>
  <c r="J20" i="10"/>
  <c r="H25" i="1"/>
  <c r="F22" i="6"/>
  <c r="F28" i="6" s="1"/>
  <c r="D28" i="6" s="1"/>
  <c r="D52" i="3"/>
  <c r="G76" i="10" l="1"/>
  <c r="G145" i="9"/>
  <c r="E65" i="11"/>
  <c r="E51" i="7"/>
  <c r="D23" i="1"/>
  <c r="D42" i="3"/>
  <c r="H65" i="11"/>
  <c r="J76" i="10"/>
  <c r="E76" i="10" s="1"/>
  <c r="J145" i="9"/>
  <c r="H51" i="7"/>
  <c r="G23" i="1"/>
  <c r="G65" i="11"/>
  <c r="C65" i="11" s="1"/>
  <c r="I76" i="10"/>
  <c r="I145" i="9"/>
  <c r="G51" i="7"/>
  <c r="F23" i="1"/>
  <c r="H23" i="1" s="1"/>
  <c r="H95" i="9"/>
  <c r="H115" i="9" s="1"/>
  <c r="H125" i="9" s="1"/>
  <c r="H104" i="9"/>
  <c r="H117" i="9" s="1"/>
  <c r="H127" i="9" s="1"/>
  <c r="E58" i="1" s="1"/>
  <c r="D15" i="1"/>
  <c r="H15" i="1" s="1"/>
  <c r="E54" i="10"/>
  <c r="J13" i="9"/>
  <c r="J15" i="9" s="1"/>
  <c r="G44" i="1" s="1"/>
  <c r="J14" i="9"/>
  <c r="J16" i="9" s="1"/>
  <c r="G43" i="1" s="1"/>
  <c r="F71" i="11"/>
  <c r="H83" i="10"/>
  <c r="H151" i="9"/>
  <c r="H102" i="9" s="1"/>
  <c r="H116" i="9" s="1"/>
  <c r="H126" i="9" s="1"/>
  <c r="E62" i="1"/>
  <c r="C34" i="8"/>
  <c r="E64" i="11"/>
  <c r="D22" i="5"/>
  <c r="D20" i="1"/>
  <c r="H20" i="1" s="1"/>
  <c r="F104" i="9"/>
  <c r="F117" i="9" s="1"/>
  <c r="F127" i="9" s="1"/>
  <c r="F95" i="9"/>
  <c r="H61" i="11"/>
  <c r="J142" i="9"/>
  <c r="G11" i="1"/>
  <c r="G61" i="11"/>
  <c r="I142" i="9"/>
  <c r="F11" i="1"/>
  <c r="H30" i="1"/>
  <c r="I13" i="9"/>
  <c r="I15" i="9" s="1"/>
  <c r="I14" i="9"/>
  <c r="I16" i="9" s="1"/>
  <c r="F43" i="1" s="1"/>
  <c r="E77" i="9"/>
  <c r="E145" i="9"/>
  <c r="F105" i="9"/>
  <c r="F28" i="9"/>
  <c r="F49" i="9" s="1"/>
  <c r="F54" i="9" s="1"/>
  <c r="F20" i="9"/>
  <c r="F101" i="9"/>
  <c r="F91" i="9"/>
  <c r="F114" i="9" s="1"/>
  <c r="F124" i="9" s="1"/>
  <c r="F21" i="9"/>
  <c r="F43" i="9"/>
  <c r="F50" i="9" s="1"/>
  <c r="F55" i="9" s="1"/>
  <c r="F81" i="9"/>
  <c r="F35" i="9"/>
  <c r="H11" i="1"/>
  <c r="H52" i="9"/>
  <c r="I33" i="10"/>
  <c r="I67" i="10" s="1"/>
  <c r="I31" i="10"/>
  <c r="G64" i="11"/>
  <c r="F22" i="5"/>
  <c r="F20" i="1"/>
  <c r="F42" i="11"/>
  <c r="F13" i="11"/>
  <c r="F16" i="11" s="1"/>
  <c r="F22" i="11"/>
  <c r="F25" i="11" s="1"/>
  <c r="F35" i="11"/>
  <c r="H71" i="11"/>
  <c r="J151" i="9"/>
  <c r="J102" i="9" s="1"/>
  <c r="J116" i="9" s="1"/>
  <c r="J126" i="9" s="1"/>
  <c r="J83" i="10"/>
  <c r="G62" i="1"/>
  <c r="D37" i="7"/>
  <c r="D24" i="1"/>
  <c r="H24" i="1" s="1"/>
  <c r="D34" i="7"/>
  <c r="H43" i="1"/>
  <c r="H64" i="11"/>
  <c r="G22" i="5"/>
  <c r="G20" i="1"/>
  <c r="D71" i="11"/>
  <c r="F151" i="9"/>
  <c r="F83" i="10"/>
  <c r="C62" i="1"/>
  <c r="H62" i="1" s="1"/>
  <c r="B24" i="2"/>
  <c r="E71" i="11"/>
  <c r="G83" i="10"/>
  <c r="G151" i="9"/>
  <c r="G102" i="9" s="1"/>
  <c r="G116" i="9" s="1"/>
  <c r="G126" i="9" s="1"/>
  <c r="D62" i="1"/>
  <c r="D38" i="7"/>
  <c r="B22" i="5" s="1"/>
  <c r="J33" i="10"/>
  <c r="J67" i="10" s="1"/>
  <c r="J31" i="10"/>
  <c r="J63" i="10"/>
  <c r="J65" i="10" s="1"/>
  <c r="H109" i="9"/>
  <c r="H119" i="9" s="1"/>
  <c r="E56" i="1" s="1"/>
  <c r="H118" i="9"/>
  <c r="D22" i="11"/>
  <c r="D25" i="11" s="1"/>
  <c r="D35" i="11"/>
  <c r="D42" i="11"/>
  <c r="D13" i="11"/>
  <c r="D16" i="11" s="1"/>
  <c r="C64" i="11"/>
  <c r="I63" i="10"/>
  <c r="I65" i="10" s="1"/>
  <c r="E61" i="11"/>
  <c r="C61" i="11" s="1"/>
  <c r="G142" i="9"/>
  <c r="D11" i="1"/>
  <c r="G30" i="8"/>
  <c r="G35" i="8" s="1"/>
  <c r="F26" i="1" s="1"/>
  <c r="H26" i="1" s="1"/>
  <c r="I83" i="10"/>
  <c r="G71" i="11"/>
  <c r="I151" i="9"/>
  <c r="I102" i="9" s="1"/>
  <c r="I116" i="9" s="1"/>
  <c r="I126" i="9" s="1"/>
  <c r="F62" i="1"/>
  <c r="D37" i="1"/>
  <c r="H36" i="1"/>
  <c r="H53" i="1"/>
  <c r="H50" i="1"/>
  <c r="C51" i="7"/>
  <c r="E35" i="10"/>
  <c r="C58" i="1" l="1"/>
  <c r="H128" i="9"/>
  <c r="E55" i="1" s="1"/>
  <c r="H134" i="9"/>
  <c r="H135" i="9" s="1"/>
  <c r="E51" i="1" s="1"/>
  <c r="E83" i="10"/>
  <c r="C60" i="1"/>
  <c r="I104" i="9"/>
  <c r="I117" i="9" s="1"/>
  <c r="I127" i="9" s="1"/>
  <c r="F58" i="1" s="1"/>
  <c r="I95" i="9"/>
  <c r="C35" i="8"/>
  <c r="E24" i="7"/>
  <c r="F25" i="7"/>
  <c r="H24" i="7"/>
  <c r="I22" i="7"/>
  <c r="F23" i="7"/>
  <c r="F22" i="7"/>
  <c r="E25" i="7"/>
  <c r="D23" i="7"/>
  <c r="H22" i="7"/>
  <c r="E22" i="7"/>
  <c r="F24" i="7"/>
  <c r="I25" i="7"/>
  <c r="H23" i="7"/>
  <c r="H25" i="7"/>
  <c r="I24" i="7"/>
  <c r="D22" i="7"/>
  <c r="G22" i="7"/>
  <c r="G23" i="7"/>
  <c r="G104" i="9"/>
  <c r="G95" i="9"/>
  <c r="G13" i="11"/>
  <c r="G16" i="11" s="1"/>
  <c r="G48" i="11" s="1"/>
  <c r="G50" i="11" s="1"/>
  <c r="F7" i="1" s="1"/>
  <c r="G22" i="11"/>
  <c r="G25" i="11" s="1"/>
  <c r="G35" i="11"/>
  <c r="G46" i="11" s="1"/>
  <c r="G42" i="11"/>
  <c r="D34" i="1"/>
  <c r="H34" i="1" s="1"/>
  <c r="D33" i="1"/>
  <c r="H33" i="1" s="1"/>
  <c r="H37" i="1"/>
  <c r="E16" i="9"/>
  <c r="E151" i="9"/>
  <c r="F102" i="9"/>
  <c r="F116" i="9" s="1"/>
  <c r="F126" i="9" s="1"/>
  <c r="E126" i="9" s="1"/>
  <c r="H22" i="11"/>
  <c r="H25" i="11" s="1"/>
  <c r="H35" i="11"/>
  <c r="H46" i="11" s="1"/>
  <c r="H42" i="11"/>
  <c r="H13" i="11"/>
  <c r="H16" i="11" s="1"/>
  <c r="I23" i="7"/>
  <c r="F46" i="11"/>
  <c r="F48" i="11" s="1"/>
  <c r="F50" i="11" s="1"/>
  <c r="E7" i="1" s="1"/>
  <c r="F109" i="9"/>
  <c r="F119" i="9" s="1"/>
  <c r="F118" i="9"/>
  <c r="F44" i="1"/>
  <c r="H44" i="1" s="1"/>
  <c r="E15" i="9"/>
  <c r="F115" i="9"/>
  <c r="F125" i="9" s="1"/>
  <c r="E35" i="11"/>
  <c r="E46" i="11" s="1"/>
  <c r="E42" i="11"/>
  <c r="E13" i="11"/>
  <c r="E16" i="11" s="1"/>
  <c r="E48" i="11" s="1"/>
  <c r="E50" i="11" s="1"/>
  <c r="D7" i="1" s="1"/>
  <c r="E22" i="11"/>
  <c r="E25" i="11" s="1"/>
  <c r="I105" i="9"/>
  <c r="I101" i="9"/>
  <c r="I91" i="9"/>
  <c r="I114" i="9" s="1"/>
  <c r="I124" i="9" s="1"/>
  <c r="F60" i="1" s="1"/>
  <c r="I81" i="9"/>
  <c r="I43" i="9"/>
  <c r="I50" i="9" s="1"/>
  <c r="I55" i="9" s="1"/>
  <c r="F48" i="1" s="1"/>
  <c r="I35" i="9"/>
  <c r="I21" i="9"/>
  <c r="I28" i="9"/>
  <c r="I49" i="9" s="1"/>
  <c r="I54" i="9" s="1"/>
  <c r="F49" i="1" s="1"/>
  <c r="I20" i="9"/>
  <c r="G105" i="9"/>
  <c r="G101" i="9"/>
  <c r="G28" i="9"/>
  <c r="G49" i="9" s="1"/>
  <c r="G54" i="9" s="1"/>
  <c r="D49" i="1" s="1"/>
  <c r="G20" i="9"/>
  <c r="G91" i="9"/>
  <c r="G114" i="9" s="1"/>
  <c r="G124" i="9" s="1"/>
  <c r="D60" i="1" s="1"/>
  <c r="G81" i="9"/>
  <c r="G43" i="9"/>
  <c r="G50" i="9" s="1"/>
  <c r="G55" i="9" s="1"/>
  <c r="D48" i="1" s="1"/>
  <c r="G35" i="9"/>
  <c r="G21" i="9"/>
  <c r="G24" i="7"/>
  <c r="D24" i="7"/>
  <c r="E54" i="9"/>
  <c r="C49" i="1"/>
  <c r="J104" i="9"/>
  <c r="J117" i="9" s="1"/>
  <c r="J127" i="9" s="1"/>
  <c r="G58" i="1" s="1"/>
  <c r="J95" i="9"/>
  <c r="J115" i="9" s="1"/>
  <c r="J125" i="9" s="1"/>
  <c r="E23" i="7"/>
  <c r="D25" i="7"/>
  <c r="D46" i="11"/>
  <c r="D48" i="11" s="1"/>
  <c r="D50" i="11" s="1"/>
  <c r="C7" i="1" s="1"/>
  <c r="C71" i="11"/>
  <c r="G25" i="7"/>
  <c r="H57" i="9"/>
  <c r="E45" i="1" s="1"/>
  <c r="H64" i="9"/>
  <c r="H65" i="9" s="1"/>
  <c r="E41" i="1" s="1"/>
  <c r="C48" i="1"/>
  <c r="F52" i="9"/>
  <c r="E142" i="9"/>
  <c r="J105" i="9"/>
  <c r="J101" i="9"/>
  <c r="J28" i="9"/>
  <c r="J49" i="9" s="1"/>
  <c r="J54" i="9" s="1"/>
  <c r="G49" i="1" s="1"/>
  <c r="J20" i="9"/>
  <c r="J52" i="9" s="1"/>
  <c r="J43" i="9"/>
  <c r="J50" i="9" s="1"/>
  <c r="J55" i="9" s="1"/>
  <c r="G48" i="1" s="1"/>
  <c r="J81" i="9"/>
  <c r="J35" i="9"/>
  <c r="J91" i="9"/>
  <c r="J114" i="9" s="1"/>
  <c r="J124" i="9" s="1"/>
  <c r="G60" i="1" s="1"/>
  <c r="J21" i="9"/>
  <c r="F57" i="9" l="1"/>
  <c r="F64" i="9"/>
  <c r="F65" i="9" s="1"/>
  <c r="H49" i="1"/>
  <c r="H60" i="1"/>
  <c r="G118" i="9"/>
  <c r="G109" i="9"/>
  <c r="G119" i="9" s="1"/>
  <c r="D56" i="1" s="1"/>
  <c r="J109" i="9"/>
  <c r="J119" i="9" s="1"/>
  <c r="G56" i="1" s="1"/>
  <c r="J118" i="9"/>
  <c r="H48" i="1"/>
  <c r="G52" i="9"/>
  <c r="I52" i="9"/>
  <c r="F128" i="9"/>
  <c r="F134" i="9"/>
  <c r="F135" i="9" s="1"/>
  <c r="H48" i="11"/>
  <c r="H50" i="11" s="1"/>
  <c r="G7" i="1" s="1"/>
  <c r="H7" i="1" s="1"/>
  <c r="G115" i="9"/>
  <c r="G125" i="9" s="1"/>
  <c r="E125" i="9" s="1"/>
  <c r="E124" i="9"/>
  <c r="J57" i="9"/>
  <c r="G45" i="1" s="1"/>
  <c r="J64" i="9"/>
  <c r="J65" i="9" s="1"/>
  <c r="G41" i="1" s="1"/>
  <c r="E55" i="9"/>
  <c r="I109" i="9"/>
  <c r="I119" i="9" s="1"/>
  <c r="F56" i="1" s="1"/>
  <c r="I118" i="9"/>
  <c r="C56" i="1"/>
  <c r="G117" i="9"/>
  <c r="G127" i="9" s="1"/>
  <c r="I115" i="9"/>
  <c r="I125" i="9" s="1"/>
  <c r="I57" i="9" l="1"/>
  <c r="F45" i="1" s="1"/>
  <c r="I64" i="9"/>
  <c r="I65" i="9" s="1"/>
  <c r="F41" i="1" s="1"/>
  <c r="G57" i="9"/>
  <c r="D45" i="1" s="1"/>
  <c r="G64" i="9"/>
  <c r="G65" i="9" s="1"/>
  <c r="D41" i="1" s="1"/>
  <c r="C41" i="1"/>
  <c r="I128" i="9"/>
  <c r="F55" i="1" s="1"/>
  <c r="I134" i="9"/>
  <c r="I135" i="9" s="1"/>
  <c r="F51" i="1" s="1"/>
  <c r="H56" i="1"/>
  <c r="C51" i="1"/>
  <c r="G128" i="9"/>
  <c r="D55" i="1" s="1"/>
  <c r="G134" i="9"/>
  <c r="G135" i="9" s="1"/>
  <c r="D51" i="1" s="1"/>
  <c r="C45" i="1"/>
  <c r="H45" i="1" s="1"/>
  <c r="D58" i="1"/>
  <c r="H58" i="1" s="1"/>
  <c r="E127" i="9"/>
  <c r="E119" i="9"/>
  <c r="C55" i="1"/>
  <c r="H55" i="1" s="1"/>
  <c r="J128" i="9"/>
  <c r="G55" i="1" s="1"/>
  <c r="J134" i="9"/>
  <c r="J135" i="9" s="1"/>
  <c r="G51" i="1" s="1"/>
  <c r="H51" i="1" l="1"/>
  <c r="E128" i="9"/>
  <c r="E57" i="9"/>
  <c r="E135" i="9"/>
  <c r="H41" i="1"/>
  <c r="E65" i="9"/>
</calcChain>
</file>

<file path=xl/sharedStrings.xml><?xml version="1.0" encoding="utf-8"?>
<sst xmlns="http://schemas.openxmlformats.org/spreadsheetml/2006/main" count="1046" uniqueCount="345">
  <si>
    <t>PacifiCorp</t>
  </si>
  <si>
    <t>12 Months Ended December 2018</t>
  </si>
  <si>
    <t xml:space="preserve">FUNCTIONAL FACTORS </t>
  </si>
  <si>
    <t>Function</t>
  </si>
  <si>
    <t>Description</t>
  </si>
  <si>
    <t>Production</t>
  </si>
  <si>
    <t>Transmission</t>
  </si>
  <si>
    <t>DPW</t>
  </si>
  <si>
    <t>CUST</t>
  </si>
  <si>
    <t>DMSC</t>
  </si>
  <si>
    <t>Total</t>
  </si>
  <si>
    <t>ACCMDIT</t>
  </si>
  <si>
    <t>Deferred Income Tax</t>
  </si>
  <si>
    <t>BOOKDEPR</t>
  </si>
  <si>
    <t>Book Depreciation</t>
  </si>
  <si>
    <t>COM_EQ</t>
  </si>
  <si>
    <t>Communication Equipment Acct 397</t>
  </si>
  <si>
    <t>Distribution Retail</t>
  </si>
  <si>
    <t>DDS2</t>
  </si>
  <si>
    <t>Deferred Debits - Situs</t>
  </si>
  <si>
    <t>DDS6</t>
  </si>
  <si>
    <t>DDSO2</t>
  </si>
  <si>
    <t>Deferred Debits - System Overhead</t>
  </si>
  <si>
    <t>DDSO6</t>
  </si>
  <si>
    <t>DEFSG</t>
  </si>
  <si>
    <t>Deferred Debit - System Generation</t>
  </si>
  <si>
    <t>Distribution Miscellaneous</t>
  </si>
  <si>
    <t>Distribution Poles &amp; Wires</t>
  </si>
  <si>
    <t>ESD</t>
  </si>
  <si>
    <t>Environmental Services Department</t>
  </si>
  <si>
    <t>FERC</t>
  </si>
  <si>
    <t>FERC Fees</t>
  </si>
  <si>
    <t>G</t>
  </si>
  <si>
    <t>General Plant</t>
  </si>
  <si>
    <t>G-DGP</t>
  </si>
  <si>
    <t>General Plant - DGP Factor</t>
  </si>
  <si>
    <t>G-DGU</t>
  </si>
  <si>
    <t>General Plant - DGU Factor</t>
  </si>
  <si>
    <t>GP</t>
  </si>
  <si>
    <t>Total Plant</t>
  </si>
  <si>
    <t>G-SG</t>
  </si>
  <si>
    <t>General Plant - SG Factor</t>
  </si>
  <si>
    <t>G-SITUS</t>
  </si>
  <si>
    <t>General Plant - SITUS Factor</t>
  </si>
  <si>
    <t>I</t>
  </si>
  <si>
    <t>Intangible Plant</t>
  </si>
  <si>
    <t>I-DGP</t>
  </si>
  <si>
    <t>Intangible Plant - DGP Factor</t>
  </si>
  <si>
    <t>I-DGU</t>
  </si>
  <si>
    <t>Intangible Plant - DGU Factor</t>
  </si>
  <si>
    <t>I-SG</t>
  </si>
  <si>
    <t>Intangible Plant - SG Factor</t>
  </si>
  <si>
    <t>I-SITUS</t>
  </si>
  <si>
    <t>Intangible Plant - SITUS Factor</t>
  </si>
  <si>
    <t>LABOR</t>
  </si>
  <si>
    <t>Direct Labor Expense</t>
  </si>
  <si>
    <t>MSS</t>
  </si>
  <si>
    <t>Materials &amp; Supplies</t>
  </si>
  <si>
    <t>OTHDGP</t>
  </si>
  <si>
    <t>Other Revenues - DGP Factor</t>
  </si>
  <si>
    <t>OTHDGU</t>
  </si>
  <si>
    <t>Other Revenues - DGU Factor</t>
  </si>
  <si>
    <t>OTHSE</t>
  </si>
  <si>
    <t>Other Revenues - SE Factor</t>
  </si>
  <si>
    <t>OTHSG</t>
  </si>
  <si>
    <t>Other Revenues - SG Factor</t>
  </si>
  <si>
    <t>OTHSGR</t>
  </si>
  <si>
    <t>Other Revenues - Rolled-In SG Factor</t>
  </si>
  <si>
    <t>OTHSITUS</t>
  </si>
  <si>
    <t>Other Revenues - SITUS</t>
  </si>
  <si>
    <t>OTHSO</t>
  </si>
  <si>
    <t>Other Revenues - SO Factor</t>
  </si>
  <si>
    <t>P</t>
  </si>
  <si>
    <t>SCHMA</t>
  </si>
  <si>
    <t>Schedule M Additions</t>
  </si>
  <si>
    <t>SCHMAF</t>
  </si>
  <si>
    <t>Schedule M Additions - Flow Through</t>
  </si>
  <si>
    <t>SCHMAP</t>
  </si>
  <si>
    <t>Schedule M Additions - Permanent</t>
  </si>
  <si>
    <t>SCHMAP-SO</t>
  </si>
  <si>
    <t>Schedule M Additions - Permanent-SO</t>
  </si>
  <si>
    <t>SCHMAT</t>
  </si>
  <si>
    <t>Schedule M Additions - Temporary</t>
  </si>
  <si>
    <t>SCHMAT-GPS</t>
  </si>
  <si>
    <t>Schedule M Additions - Temporary-GPS</t>
  </si>
  <si>
    <t>SCHMAT-SE</t>
  </si>
  <si>
    <t>Schedule M Additions - Temporary-SE</t>
  </si>
  <si>
    <t>SCHMAT-SITUS</t>
  </si>
  <si>
    <t>Schedule M Additions - Temporary-SITUS</t>
  </si>
  <si>
    <t>SCHMAT-SNP</t>
  </si>
  <si>
    <t>Schedule M Additions - Temporary-SNP</t>
  </si>
  <si>
    <t>SCHMAT-SO</t>
  </si>
  <si>
    <t>Schedule M Additions - Temporary-SO</t>
  </si>
  <si>
    <t>SCHMD</t>
  </si>
  <si>
    <t>Schedule M Deductions</t>
  </si>
  <si>
    <t>SCHMDF</t>
  </si>
  <si>
    <t>Schedule M Deductions - Flow Through</t>
  </si>
  <si>
    <t>SCHMDP</t>
  </si>
  <si>
    <t>Schedule M Deductions - Permanent</t>
  </si>
  <si>
    <t>SCHMDP-SO</t>
  </si>
  <si>
    <t>Schedule M Deductions - Permanent- SO</t>
  </si>
  <si>
    <t>SCHMDT</t>
  </si>
  <si>
    <t>Schedule M Deductions - Temporary</t>
  </si>
  <si>
    <t>SCHMDT-GPS</t>
  </si>
  <si>
    <t>Schedule M Deductions - Temporary-GPS</t>
  </si>
  <si>
    <t>SCHMDT-SG</t>
  </si>
  <si>
    <t>Schedule M Deductions - Temporary-SG</t>
  </si>
  <si>
    <t>SCHMDT-SITUS</t>
  </si>
  <si>
    <t>Schedule M Deductions - Temporary-SITUS</t>
  </si>
  <si>
    <t>SCHMDT-SNP</t>
  </si>
  <si>
    <t>Schedule M Deductions - Temporary-SNP</t>
  </si>
  <si>
    <t>SCHMDT-SO</t>
  </si>
  <si>
    <t>Schedule M Deductions - Temporary-SO</t>
  </si>
  <si>
    <t>T</t>
  </si>
  <si>
    <t xml:space="preserve">TAXDEPR </t>
  </si>
  <si>
    <t xml:space="preserve">Tax Depreciation </t>
  </si>
  <si>
    <t>TD</t>
  </si>
  <si>
    <t>Transmission / Distribution</t>
  </si>
  <si>
    <t>CWC</t>
  </si>
  <si>
    <t>Cash Working Capital</t>
  </si>
  <si>
    <t>DITEXP</t>
  </si>
  <si>
    <t>Deferred Income Tax - Expense</t>
  </si>
  <si>
    <t>FIT</t>
  </si>
  <si>
    <t>Federal Income Taxes</t>
  </si>
  <si>
    <t>IBT</t>
  </si>
  <si>
    <t>Income Before Taxes</t>
  </si>
  <si>
    <t>NONE</t>
  </si>
  <si>
    <t>Not Functionalized</t>
  </si>
  <si>
    <t>NUTIL</t>
  </si>
  <si>
    <t>Non-Utility</t>
  </si>
  <si>
    <t>PT</t>
  </si>
  <si>
    <t>Production / Transmission</t>
  </si>
  <si>
    <t>PTD</t>
  </si>
  <si>
    <t>Prod, Trans, Dist Plant</t>
  </si>
  <si>
    <t>REVREQ</t>
  </si>
  <si>
    <t>Revenue Requirement</t>
  </si>
  <si>
    <t>SIT</t>
  </si>
  <si>
    <t>State Income Taxes</t>
  </si>
  <si>
    <t>Tax Depreciation</t>
  </si>
  <si>
    <t>Distribution</t>
  </si>
  <si>
    <t>General</t>
  </si>
  <si>
    <t>Mining</t>
  </si>
  <si>
    <t>Conversion to COS Functions</t>
  </si>
  <si>
    <t>Pro</t>
  </si>
  <si>
    <t>Trn</t>
  </si>
  <si>
    <t>Dis</t>
  </si>
  <si>
    <t>Retail</t>
  </si>
  <si>
    <t>Misc</t>
  </si>
  <si>
    <t>Percent of GenPlant in Functions</t>
  </si>
  <si>
    <t>Allocation of GenPlant to Functions</t>
  </si>
  <si>
    <t>Assignment of Mining to Prod Function</t>
  </si>
  <si>
    <t>Adjusted Totals</t>
  </si>
  <si>
    <t>TAXDEPR FACTOR</t>
  </si>
  <si>
    <t>TAXDEPR Factor</t>
  </si>
  <si>
    <t>Gross Plant</t>
  </si>
  <si>
    <t>(In 000's)</t>
  </si>
  <si>
    <t>Alloc.</t>
  </si>
  <si>
    <t>Factor</t>
  </si>
  <si>
    <t>Funct.</t>
  </si>
  <si>
    <t>Amount</t>
  </si>
  <si>
    <t>Transmisssion</t>
  </si>
  <si>
    <t>CUSTOMER</t>
  </si>
  <si>
    <t>DMISC</t>
  </si>
  <si>
    <t>Production Plant</t>
  </si>
  <si>
    <t>Transmission Plant</t>
  </si>
  <si>
    <t>Distribution Plant</t>
  </si>
  <si>
    <t>SE</t>
  </si>
  <si>
    <t>Business Centers</t>
  </si>
  <si>
    <t>Utah Mine</t>
  </si>
  <si>
    <t>Total General Plant</t>
  </si>
  <si>
    <t>Customer Service Sys</t>
  </si>
  <si>
    <t>Washington Hydro</t>
  </si>
  <si>
    <t>Utah Hydro</t>
  </si>
  <si>
    <t>Colorado Steam-UPD</t>
  </si>
  <si>
    <t>Oregon Trans</t>
  </si>
  <si>
    <t>Utah</t>
  </si>
  <si>
    <t>Utah G/O</t>
  </si>
  <si>
    <t>Total Intangible Plant</t>
  </si>
  <si>
    <t>Total Gross Plant</t>
  </si>
  <si>
    <t>GP Factor</t>
  </si>
  <si>
    <t>Functional Allocators:</t>
  </si>
  <si>
    <t>Prod</t>
  </si>
  <si>
    <t>Trans</t>
  </si>
  <si>
    <t>FERC FORM 1 Funtionalization Factors</t>
  </si>
  <si>
    <t>PLANT</t>
  </si>
  <si>
    <t>TOTAL COMPANY</t>
  </si>
  <si>
    <t>UNCLASSIFIED PLANT</t>
  </si>
  <si>
    <t>TOTAL PLANT</t>
  </si>
  <si>
    <t>PLANT %</t>
  </si>
  <si>
    <t>LABOR %</t>
  </si>
  <si>
    <t>Material &amp; Supplies</t>
  </si>
  <si>
    <t>Material &amp; Supplies %</t>
  </si>
  <si>
    <t>FERC (MWh)</t>
  </si>
  <si>
    <t>FERC %</t>
  </si>
  <si>
    <t>Depreciation Expense</t>
  </si>
  <si>
    <t>BookDepr Factor</t>
  </si>
  <si>
    <t>Account 456</t>
  </si>
  <si>
    <t>Main</t>
  </si>
  <si>
    <t>Account</t>
  </si>
  <si>
    <t>Customer</t>
  </si>
  <si>
    <t>456</t>
  </si>
  <si>
    <t>OTHER</t>
  </si>
  <si>
    <t>SG</t>
  </si>
  <si>
    <t>SO</t>
  </si>
  <si>
    <t>SITUS</t>
  </si>
  <si>
    <t>Total Situs Revenues</t>
  </si>
  <si>
    <t>Total CN Revenues</t>
  </si>
  <si>
    <t>Total SE Revenues</t>
  </si>
  <si>
    <t>Total SG Revenues</t>
  </si>
  <si>
    <t>Total SO Revenues</t>
  </si>
  <si>
    <t>Total Operation</t>
  </si>
  <si>
    <t>CN Factor</t>
  </si>
  <si>
    <t>Total Operation Factor</t>
  </si>
  <si>
    <t>CN</t>
  </si>
  <si>
    <t>SSGCH</t>
  </si>
  <si>
    <t>SSGCT</t>
  </si>
  <si>
    <t>Total-CUST</t>
  </si>
  <si>
    <t>Total-TD</t>
  </si>
  <si>
    <t>Total-PTD</t>
  </si>
  <si>
    <t>Total-DPW</t>
  </si>
  <si>
    <t>Total-SSGCH</t>
  </si>
  <si>
    <t>Total-SSGCT</t>
  </si>
  <si>
    <t>Total-G-SG</t>
  </si>
  <si>
    <t>Total-SE</t>
  </si>
  <si>
    <t>Total-G-Situs</t>
  </si>
  <si>
    <t>Total-SO</t>
  </si>
  <si>
    <t>Total-General Plant</t>
  </si>
  <si>
    <t>G-SG Factor</t>
  </si>
  <si>
    <t>.</t>
  </si>
  <si>
    <t>G-SITUS Factor</t>
  </si>
  <si>
    <t>SO Factor</t>
  </si>
  <si>
    <t>G Allocator</t>
  </si>
  <si>
    <t>Total Gen. Plant</t>
  </si>
  <si>
    <t>acct 399 from JAM</t>
  </si>
  <si>
    <t xml:space="preserve">Total </t>
  </si>
  <si>
    <t>SG-P</t>
  </si>
  <si>
    <t>SG-U</t>
  </si>
  <si>
    <t>Total-DGP</t>
  </si>
  <si>
    <t>Total-DGU</t>
  </si>
  <si>
    <t>Total-SG</t>
  </si>
  <si>
    <t>Total-SITUS</t>
  </si>
  <si>
    <t>Total-Intangible</t>
  </si>
  <si>
    <t>I-DGP FACTOR</t>
  </si>
  <si>
    <t>I-DGU FACTOR</t>
  </si>
  <si>
    <t>I-SG FACTOR</t>
  </si>
  <si>
    <t>I-Situs FACTOR</t>
  </si>
  <si>
    <t>I FACTOR</t>
  </si>
  <si>
    <t>Schedule M</t>
  </si>
  <si>
    <t>Primary</t>
  </si>
  <si>
    <t>PITA</t>
  </si>
  <si>
    <t>Poles &amp; Wires</t>
  </si>
  <si>
    <t>Customers</t>
  </si>
  <si>
    <t>Miscellaneous</t>
  </si>
  <si>
    <t>ADDITIONS</t>
  </si>
  <si>
    <t>SCHMDEXP</t>
  </si>
  <si>
    <t>Total SCHMAP</t>
  </si>
  <si>
    <t>SCHMAP FACTOR</t>
  </si>
  <si>
    <t>CIAC</t>
  </si>
  <si>
    <t>BADDEBT</t>
  </si>
  <si>
    <t>GPS</t>
  </si>
  <si>
    <t>SGCT</t>
  </si>
  <si>
    <t>SNP</t>
  </si>
  <si>
    <t>SNPD</t>
  </si>
  <si>
    <t>TROJD</t>
  </si>
  <si>
    <t>Total-SNP</t>
  </si>
  <si>
    <t>Total-SCHMAT</t>
  </si>
  <si>
    <t>SCHMAT FACTOR</t>
  </si>
  <si>
    <t>DGP</t>
  </si>
  <si>
    <t>TROJP</t>
  </si>
  <si>
    <t>Total-SCHMAF</t>
  </si>
  <si>
    <t>SCHMAF FACTOR</t>
  </si>
  <si>
    <t>Total-SCHMA</t>
  </si>
  <si>
    <t>SCHMA FACTOR</t>
  </si>
  <si>
    <t>DEDUCTIONS</t>
  </si>
  <si>
    <t>Total-SCHMDP</t>
  </si>
  <si>
    <t>SCHMDP FACTOR</t>
  </si>
  <si>
    <t>TAXDEPR</t>
  </si>
  <si>
    <t>Total-GPS</t>
  </si>
  <si>
    <t>Total-CN</t>
  </si>
  <si>
    <t>Total SO</t>
  </si>
  <si>
    <t>Total OTHER</t>
  </si>
  <si>
    <t>Total TAXDEPR</t>
  </si>
  <si>
    <t>Total SCHMDT</t>
  </si>
  <si>
    <t>SCHMDT-CN</t>
  </si>
  <si>
    <t>SCHMDT-SE</t>
  </si>
  <si>
    <t>SCHMDT-OTHER</t>
  </si>
  <si>
    <t>SCHMDT-TAXDEPR</t>
  </si>
  <si>
    <t>SCHMDT FACTOR</t>
  </si>
  <si>
    <t>Total-SCHMDF</t>
  </si>
  <si>
    <t>SCHMDF FACTOR</t>
  </si>
  <si>
    <t>Total-SCHMD</t>
  </si>
  <si>
    <t>SCHMD FACTOR</t>
  </si>
  <si>
    <t>Net SCHM</t>
  </si>
  <si>
    <t>Reg Assets / Deferred Debits</t>
  </si>
  <si>
    <t>Pri-Acct</t>
  </si>
  <si>
    <t>182M</t>
  </si>
  <si>
    <t>Total-OTHER</t>
  </si>
  <si>
    <t>Total SITUS</t>
  </si>
  <si>
    <t>Total RA</t>
  </si>
  <si>
    <t>DDSO2 FACTOR</t>
  </si>
  <si>
    <t>DDS2 FACTOR</t>
  </si>
  <si>
    <t>186M</t>
  </si>
  <si>
    <t>DD-OTHER</t>
  </si>
  <si>
    <t>Total SG</t>
  </si>
  <si>
    <t>Total-DD</t>
  </si>
  <si>
    <t>DDS6 FACTOR</t>
  </si>
  <si>
    <t>DEFSG FACTOR</t>
  </si>
  <si>
    <t>DDSO6 FACTOR</t>
  </si>
  <si>
    <t>Major Adjustment</t>
  </si>
  <si>
    <t>1998 Early Retirement</t>
  </si>
  <si>
    <t>1999 Early Retirement</t>
  </si>
  <si>
    <t>Transition Planning</t>
  </si>
  <si>
    <t>Environmental Clean-up</t>
  </si>
  <si>
    <t>Y2K</t>
  </si>
  <si>
    <t>Subtotal Major Adjustments</t>
  </si>
  <si>
    <t>Total 186M SO</t>
  </si>
  <si>
    <t>Total 182 &amp;186</t>
  </si>
  <si>
    <t>RETAIL</t>
  </si>
  <si>
    <t>Deferred Income Tax - Balance</t>
  </si>
  <si>
    <t>DITBALRL</t>
  </si>
  <si>
    <t>Pacific Division</t>
  </si>
  <si>
    <t>Mining Plant</t>
  </si>
  <si>
    <t xml:space="preserve">     Total Pacific Division</t>
  </si>
  <si>
    <t>Utah Division</t>
  </si>
  <si>
    <t xml:space="preserve">     Total Utah Division</t>
  </si>
  <si>
    <t>PACIFICORP</t>
  </si>
  <si>
    <t>Prod / Other Prod</t>
  </si>
  <si>
    <t>Cholla Unit 4</t>
  </si>
  <si>
    <t>Gadsby Unit 4, 5 &amp; 6</t>
  </si>
  <si>
    <t>Hydro-PPL</t>
  </si>
  <si>
    <t>Hydro-UPL</t>
  </si>
  <si>
    <t xml:space="preserve"> </t>
  </si>
  <si>
    <t>General/ Intangibles</t>
  </si>
  <si>
    <t>WCA - CAEE 2007+</t>
  </si>
  <si>
    <t>WCA - CAGE 2007+</t>
  </si>
  <si>
    <t>WCA - CAGW 2007+</t>
  </si>
  <si>
    <t>WCA_CAGW 2007+ -Marengo</t>
  </si>
  <si>
    <t>WCA CAGW 2007+ -Goodnoe</t>
  </si>
  <si>
    <t>WCA - General 2007+</t>
  </si>
  <si>
    <t>WCA - JBG 2007+</t>
  </si>
  <si>
    <t>OREGON EXTRA BOOK DEPR</t>
  </si>
  <si>
    <t xml:space="preserve">     Total PC (Post Merger)</t>
  </si>
  <si>
    <t xml:space="preserve">Total Deferred Taxes </t>
  </si>
  <si>
    <t>ACCMDITRL FACTOR</t>
  </si>
  <si>
    <t>ACCUMDIT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</si>
</sst>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3" formatCode="_(* #,##0.00_);_(* \(#,##0.00\);_(* &quot;-&quot;??_);_(@_)"/>
    <numFmt numFmtId="164" formatCode="0.0000%"/>
    <numFmt numFmtId="165" formatCode="_(* #,##0.000000_);_(* \(#,##0.000000\);_(* &quot;-&quot;??_);_(@_)"/>
    <numFmt numFmtId="166" formatCode="_(* #,##0_);_(* \(#,##0\);_(* &quot;-&quot;??_);_(@_)"/>
    <numFmt numFmtId="167" formatCode="[$-409]mmm\-yy;@"/>
    <numFmt numFmtId="168" formatCode="&quot;$&quot;#,##0"/>
    <numFmt numFmtId="169" formatCode="[$$-409]#,##0.00_);\([$$-409]#,##0.00\)"/>
  </numFmts>
  <fonts count="26">
    <font>
      <sz val="10"/>
      <name val="Arial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10"/>
      <color rgb="FF0000FF"/>
      <name val="Arial"/>
      <family val="2"/>
    </font>
    <font>
      <sz val="12"/>
      <name val="Arial MT"/>
    </font>
    <font>
      <b/>
      <i/>
      <sz val="10"/>
      <color indexed="8"/>
      <name val="Arial"/>
      <family val="2"/>
    </font>
    <font>
      <b/>
      <i/>
      <sz val="10"/>
      <color indexed="14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color indexed="12"/>
      <name val="Arial"/>
      <family val="2"/>
    </font>
    <font>
      <sz val="10"/>
      <color rgb="FFFF0000"/>
      <name val="Arial"/>
      <family val="2"/>
    </font>
    <font>
      <b/>
      <u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sz val="10"/>
      <name val="Arial MT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</cellStyleXfs>
  <cellXfs count="244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165" fontId="5" fillId="0" borderId="0" xfId="2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Alignment="1">
      <alignment horizontal="left"/>
    </xf>
    <xf numFmtId="166" fontId="5" fillId="0" borderId="0" xfId="1" applyNumberFormat="1" applyFont="1" applyAlignment="1">
      <alignment horizontal="left"/>
    </xf>
    <xf numFmtId="0" fontId="9" fillId="0" borderId="0" xfId="0" applyFont="1" applyFill="1" applyAlignment="1">
      <alignment horizontal="center"/>
    </xf>
    <xf numFmtId="9" fontId="0" fillId="0" borderId="0" xfId="2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5" fillId="0" borderId="0" xfId="0" applyFont="1" applyFill="1"/>
    <xf numFmtId="0" fontId="0" fillId="0" borderId="0" xfId="0" applyFill="1"/>
    <xf numFmtId="166" fontId="0" fillId="0" borderId="0" xfId="0" applyNumberFormat="1" applyFill="1" applyBorder="1"/>
    <xf numFmtId="0" fontId="4" fillId="2" borderId="7" xfId="0" applyFont="1" applyFill="1" applyBorder="1"/>
    <xf numFmtId="0" fontId="0" fillId="2" borderId="7" xfId="0" applyFill="1" applyBorder="1"/>
    <xf numFmtId="164" fontId="4" fillId="2" borderId="7" xfId="0" applyNumberFormat="1" applyFont="1" applyFill="1" applyBorder="1"/>
    <xf numFmtId="0" fontId="4" fillId="0" borderId="0" xfId="3" applyFont="1" applyFill="1" applyAlignment="1" applyProtection="1">
      <alignment horizontal="centerContinuous"/>
    </xf>
    <xf numFmtId="0" fontId="6" fillId="0" borderId="0" xfId="4" applyFont="1" applyFill="1" applyAlignment="1" applyProtection="1">
      <alignment horizontal="centerContinuous"/>
    </xf>
    <xf numFmtId="0" fontId="6" fillId="0" borderId="0" xfId="4" applyFont="1" applyFill="1" applyAlignment="1">
      <alignment horizontal="centerContinuous"/>
    </xf>
    <xf numFmtId="0" fontId="6" fillId="0" borderId="0" xfId="4" applyFont="1" applyFill="1"/>
    <xf numFmtId="0" fontId="4" fillId="0" borderId="0" xfId="4" applyFont="1" applyFill="1" applyAlignment="1" applyProtection="1">
      <alignment horizontal="centerContinuous"/>
    </xf>
    <xf numFmtId="0" fontId="14" fillId="0" borderId="0" xfId="0" quotePrefix="1" applyFont="1" applyFill="1" applyAlignment="1">
      <alignment horizontal="centerContinuous"/>
    </xf>
    <xf numFmtId="0" fontId="15" fillId="0" borderId="0" xfId="0" applyFont="1" applyFill="1" applyAlignment="1">
      <alignment horizontal="center"/>
    </xf>
    <xf numFmtId="166" fontId="6" fillId="0" borderId="0" xfId="4" applyNumberFormat="1" applyFont="1" applyFill="1"/>
    <xf numFmtId="0" fontId="4" fillId="0" borderId="0" xfId="4" applyFont="1" applyFill="1" applyAlignment="1">
      <alignment horizontal="center"/>
    </xf>
    <xf numFmtId="0" fontId="4" fillId="0" borderId="8" xfId="4" applyFont="1" applyFill="1" applyBorder="1" applyAlignment="1" applyProtection="1">
      <alignment horizontal="center"/>
    </xf>
    <xf numFmtId="0" fontId="4" fillId="0" borderId="8" xfId="4" applyFont="1" applyFill="1" applyBorder="1" applyAlignment="1">
      <alignment horizontal="center"/>
    </xf>
    <xf numFmtId="0" fontId="4" fillId="0" borderId="0" xfId="4" applyFont="1" applyFill="1" applyBorder="1" applyProtection="1"/>
    <xf numFmtId="0" fontId="4" fillId="0" borderId="0" xfId="4" applyFont="1" applyFill="1" applyBorder="1" applyAlignment="1" applyProtection="1">
      <alignment horizontal="center"/>
    </xf>
    <xf numFmtId="0" fontId="4" fillId="0" borderId="0" xfId="4" applyFont="1" applyFill="1" applyBorder="1"/>
    <xf numFmtId="0" fontId="4" fillId="0" borderId="0" xfId="4" applyFont="1" applyFill="1" applyBorder="1" applyAlignment="1">
      <alignment horizontal="center"/>
    </xf>
    <xf numFmtId="0" fontId="6" fillId="0" borderId="0" xfId="4" applyFont="1" applyFill="1" applyBorder="1" applyProtection="1"/>
    <xf numFmtId="0" fontId="6" fillId="0" borderId="0" xfId="4" applyFont="1" applyFill="1" applyBorder="1" applyAlignment="1" applyProtection="1">
      <alignment horizontal="center"/>
    </xf>
    <xf numFmtId="37" fontId="6" fillId="0" borderId="0" xfId="4" applyNumberFormat="1" applyFont="1" applyFill="1" applyProtection="1"/>
    <xf numFmtId="0" fontId="12" fillId="0" borderId="0" xfId="0" applyFont="1" applyFill="1" applyAlignment="1">
      <alignment horizontal="right"/>
    </xf>
    <xf numFmtId="14" fontId="4" fillId="0" borderId="0" xfId="4" applyNumberFormat="1" applyFont="1" applyFill="1" applyAlignment="1">
      <alignment horizontal="left"/>
    </xf>
    <xf numFmtId="0" fontId="6" fillId="0" borderId="0" xfId="4" applyFont="1" applyFill="1" applyAlignment="1" applyProtection="1">
      <alignment horizontal="center"/>
    </xf>
    <xf numFmtId="0" fontId="6" fillId="0" borderId="0" xfId="4" applyFont="1" applyFill="1" applyProtection="1"/>
    <xf numFmtId="0" fontId="17" fillId="0" borderId="0" xfId="4" applyFont="1" applyFill="1" applyAlignment="1" applyProtection="1">
      <alignment horizontal="center"/>
    </xf>
    <xf numFmtId="166" fontId="17" fillId="0" borderId="0" xfId="1" applyNumberFormat="1" applyFont="1" applyFill="1" applyAlignment="1" applyProtection="1">
      <alignment horizontal="center"/>
    </xf>
    <xf numFmtId="166" fontId="6" fillId="0" borderId="0" xfId="1" applyNumberFormat="1" applyFont="1" applyFill="1"/>
    <xf numFmtId="0" fontId="6" fillId="0" borderId="0" xfId="3" applyFont="1" applyFill="1" applyBorder="1" applyProtection="1"/>
    <xf numFmtId="0" fontId="6" fillId="0" borderId="0" xfId="3" applyFont="1" applyFill="1" applyBorder="1" applyAlignment="1" applyProtection="1">
      <alignment horizontal="center"/>
    </xf>
    <xf numFmtId="37" fontId="6" fillId="0" borderId="0" xfId="4" applyNumberFormat="1" applyFont="1" applyFill="1" applyBorder="1" applyProtection="1"/>
    <xf numFmtId="37" fontId="6" fillId="0" borderId="9" xfId="4" applyNumberFormat="1" applyFont="1" applyFill="1" applyBorder="1" applyProtection="1"/>
    <xf numFmtId="0" fontId="6" fillId="0" borderId="0" xfId="4" applyFont="1" applyFill="1" applyBorder="1" applyAlignment="1" applyProtection="1">
      <alignment horizontal="left"/>
    </xf>
    <xf numFmtId="37" fontId="6" fillId="0" borderId="10" xfId="4" applyNumberFormat="1" applyFont="1" applyFill="1" applyBorder="1" applyProtection="1"/>
    <xf numFmtId="43" fontId="6" fillId="0" borderId="0" xfId="4" applyNumberFormat="1" applyFont="1" applyFill="1"/>
    <xf numFmtId="43" fontId="6" fillId="0" borderId="0" xfId="1" applyFont="1" applyFill="1" applyBorder="1" applyProtection="1"/>
    <xf numFmtId="164" fontId="6" fillId="0" borderId="0" xfId="4" applyNumberFormat="1" applyFont="1" applyFill="1"/>
    <xf numFmtId="43" fontId="6" fillId="0" borderId="0" xfId="1" applyFont="1" applyFill="1"/>
    <xf numFmtId="164" fontId="17" fillId="0" borderId="0" xfId="4" applyNumberFormat="1" applyFont="1" applyFill="1" applyAlignment="1" applyProtection="1">
      <alignment horizontal="center"/>
    </xf>
    <xf numFmtId="164" fontId="17" fillId="0" borderId="0" xfId="4" applyNumberFormat="1" applyFont="1" applyFill="1" applyAlignment="1">
      <alignment horizontal="center"/>
    </xf>
    <xf numFmtId="164" fontId="6" fillId="0" borderId="0" xfId="2" applyNumberFormat="1" applyFont="1" applyFill="1"/>
    <xf numFmtId="0" fontId="18" fillId="0" borderId="0" xfId="4" applyFont="1" applyFill="1"/>
    <xf numFmtId="0" fontId="4" fillId="0" borderId="0" xfId="4" applyFont="1" applyFill="1"/>
    <xf numFmtId="164" fontId="4" fillId="0" borderId="0" xfId="4" applyNumberFormat="1" applyFont="1" applyFill="1"/>
    <xf numFmtId="0" fontId="4" fillId="0" borderId="0" xfId="0" applyFont="1" applyFill="1" applyAlignment="1">
      <alignment horizontal="centerContinuous"/>
    </xf>
    <xf numFmtId="17" fontId="4" fillId="0" borderId="0" xfId="0" quotePrefix="1" applyNumberFormat="1" applyFont="1" applyFill="1" applyAlignment="1">
      <alignment horizontal="centerContinuous"/>
    </xf>
    <xf numFmtId="17" fontId="4" fillId="0" borderId="0" xfId="0" applyNumberFormat="1" applyFont="1" applyFill="1" applyAlignment="1">
      <alignment horizontal="centerContinuous"/>
    </xf>
    <xf numFmtId="0" fontId="4" fillId="0" borderId="0" xfId="0" applyFont="1" applyFill="1"/>
    <xf numFmtId="38" fontId="0" fillId="0" borderId="0" xfId="0" applyNumberFormat="1" applyFill="1"/>
    <xf numFmtId="164" fontId="0" fillId="0" borderId="0" xfId="0" applyNumberFormat="1" applyFill="1"/>
    <xf numFmtId="43" fontId="0" fillId="0" borderId="0" xfId="1" applyFont="1" applyFill="1"/>
    <xf numFmtId="0" fontId="9" fillId="0" borderId="0" xfId="0" quotePrefix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6" fillId="0" borderId="0" xfId="0" applyFont="1" applyFill="1"/>
    <xf numFmtId="167" fontId="0" fillId="0" borderId="0" xfId="0" applyNumberFormat="1" applyFill="1" applyAlignment="1">
      <alignment horizontal="right"/>
    </xf>
    <xf numFmtId="168" fontId="0" fillId="0" borderId="0" xfId="0" applyNumberFormat="1" applyFill="1"/>
    <xf numFmtId="3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 applyBorder="1"/>
    <xf numFmtId="0" fontId="20" fillId="0" borderId="0" xfId="0" applyFont="1" applyFill="1" applyBorder="1" applyAlignment="1">
      <alignment horizontal="centerContinuous"/>
    </xf>
    <xf numFmtId="164" fontId="18" fillId="0" borderId="0" xfId="0" applyNumberFormat="1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9" fontId="8" fillId="0" borderId="0" xfId="1" applyNumberFormat="1" applyFont="1" applyFill="1" applyBorder="1"/>
    <xf numFmtId="169" fontId="22" fillId="0" borderId="0" xfId="1" applyNumberFormat="1" applyFont="1" applyFill="1" applyBorder="1"/>
    <xf numFmtId="169" fontId="4" fillId="0" borderId="0" xfId="1" applyNumberFormat="1" applyFont="1" applyFill="1" applyBorder="1"/>
    <xf numFmtId="0" fontId="2" fillId="0" borderId="0" xfId="0" applyFont="1" applyFill="1" applyAlignment="1">
      <alignment horizontal="centerContinuous"/>
    </xf>
    <xf numFmtId="0" fontId="16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4" fontId="15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43" fontId="0" fillId="0" borderId="0" xfId="0" applyNumberFormat="1" applyFill="1"/>
    <xf numFmtId="0" fontId="0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/>
    <xf numFmtId="4" fontId="0" fillId="0" borderId="0" xfId="0" applyNumberFormat="1" applyFill="1" applyBorder="1"/>
    <xf numFmtId="0" fontId="6" fillId="0" borderId="0" xfId="5" applyFont="1" applyFill="1"/>
    <xf numFmtId="0" fontId="17" fillId="0" borderId="0" xfId="5" applyFont="1" applyFill="1" applyAlignment="1">
      <alignment horizontal="right"/>
    </xf>
    <xf numFmtId="0" fontId="17" fillId="0" borderId="0" xfId="5" applyFont="1" applyFill="1" applyAlignment="1" applyProtection="1">
      <alignment horizontal="right"/>
    </xf>
    <xf numFmtId="10" fontId="6" fillId="0" borderId="0" xfId="2" applyNumberFormat="1" applyFont="1" applyFill="1"/>
    <xf numFmtId="0" fontId="6" fillId="0" borderId="0" xfId="3" applyFont="1" applyFill="1" applyAlignment="1" applyProtection="1">
      <alignment horizontal="centerContinuous"/>
    </xf>
    <xf numFmtId="0" fontId="6" fillId="0" borderId="0" xfId="3" applyFont="1" applyFill="1" applyAlignment="1">
      <alignment horizontal="centerContinuous"/>
    </xf>
    <xf numFmtId="0" fontId="6" fillId="0" borderId="0" xfId="3" applyFont="1" applyFill="1"/>
    <xf numFmtId="0" fontId="4" fillId="0" borderId="0" xfId="3" applyFont="1" applyFill="1" applyAlignment="1">
      <alignment horizontal="center"/>
    </xf>
    <xf numFmtId="0" fontId="4" fillId="0" borderId="0" xfId="3" applyFont="1" applyFill="1" applyBorder="1" applyProtection="1"/>
    <xf numFmtId="0" fontId="4" fillId="0" borderId="8" xfId="3" applyFont="1" applyFill="1" applyBorder="1" applyAlignment="1" applyProtection="1">
      <alignment horizontal="center"/>
    </xf>
    <xf numFmtId="0" fontId="4" fillId="0" borderId="8" xfId="3" applyFont="1" applyFill="1" applyBorder="1" applyAlignment="1">
      <alignment horizontal="center"/>
    </xf>
    <xf numFmtId="0" fontId="6" fillId="0" borderId="3" xfId="3" applyFont="1" applyFill="1" applyBorder="1" applyAlignment="1" applyProtection="1">
      <alignment horizontal="center"/>
    </xf>
    <xf numFmtId="0" fontId="6" fillId="0" borderId="3" xfId="3" applyFont="1" applyFill="1" applyBorder="1" applyAlignment="1" applyProtection="1">
      <alignment horizontal="left"/>
    </xf>
    <xf numFmtId="37" fontId="6" fillId="0" borderId="3" xfId="3" applyNumberFormat="1" applyFont="1" applyFill="1" applyBorder="1" applyProtection="1"/>
    <xf numFmtId="0" fontId="6" fillId="0" borderId="0" xfId="3" applyFont="1" applyFill="1" applyBorder="1"/>
    <xf numFmtId="0" fontId="6" fillId="0" borderId="0" xfId="3" applyFont="1" applyFill="1" applyBorder="1" applyAlignment="1" applyProtection="1">
      <alignment horizontal="left"/>
    </xf>
    <xf numFmtId="37" fontId="6" fillId="0" borderId="0" xfId="3" applyNumberFormat="1" applyFont="1" applyFill="1" applyBorder="1" applyProtection="1"/>
    <xf numFmtId="0" fontId="6" fillId="0" borderId="14" xfId="3" applyFont="1" applyFill="1" applyBorder="1" applyAlignment="1" applyProtection="1">
      <alignment horizontal="center"/>
    </xf>
    <xf numFmtId="0" fontId="6" fillId="0" borderId="14" xfId="3" applyFont="1" applyFill="1" applyBorder="1" applyAlignment="1" applyProtection="1">
      <alignment horizontal="left"/>
    </xf>
    <xf numFmtId="37" fontId="6" fillId="0" borderId="14" xfId="3" applyNumberFormat="1" applyFont="1" applyFill="1" applyBorder="1" applyProtection="1"/>
    <xf numFmtId="0" fontId="3" fillId="0" borderId="0" xfId="3" applyFont="1" applyFill="1" applyBorder="1" applyAlignment="1" applyProtection="1">
      <alignment horizontal="right"/>
    </xf>
    <xf numFmtId="0" fontId="4" fillId="0" borderId="8" xfId="3" applyFont="1" applyFill="1" applyBorder="1" applyProtection="1"/>
    <xf numFmtId="0" fontId="6" fillId="0" borderId="8" xfId="3" applyFont="1" applyFill="1" applyBorder="1" applyProtection="1"/>
    <xf numFmtId="37" fontId="6" fillId="0" borderId="8" xfId="3" applyNumberFormat="1" applyFont="1" applyFill="1" applyBorder="1" applyProtection="1"/>
    <xf numFmtId="166" fontId="6" fillId="0" borderId="0" xfId="1" applyNumberFormat="1" applyFont="1" applyFill="1" applyBorder="1" applyProtection="1"/>
    <xf numFmtId="37" fontId="6" fillId="0" borderId="0" xfId="3" applyNumberFormat="1" applyFont="1" applyFill="1" applyBorder="1"/>
    <xf numFmtId="0" fontId="17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>
      <alignment horizontal="center"/>
    </xf>
    <xf numFmtId="10" fontId="6" fillId="0" borderId="0" xfId="2" applyNumberFormat="1" applyFont="1" applyFill="1" applyBorder="1"/>
    <xf numFmtId="166" fontId="6" fillId="0" borderId="0" xfId="1" applyNumberFormat="1" applyFont="1" applyFill="1" applyBorder="1"/>
    <xf numFmtId="43" fontId="6" fillId="0" borderId="0" xfId="1" applyFont="1" applyFill="1" applyBorder="1"/>
    <xf numFmtId="0" fontId="4" fillId="0" borderId="0" xfId="5" applyFont="1" applyFill="1" applyAlignment="1" applyProtection="1">
      <alignment horizontal="centerContinuous"/>
    </xf>
    <xf numFmtId="0" fontId="6" fillId="0" borderId="0" xfId="5" applyFont="1" applyFill="1" applyAlignment="1" applyProtection="1">
      <alignment horizontal="centerContinuous"/>
    </xf>
    <xf numFmtId="0" fontId="6" fillId="0" borderId="0" xfId="5" applyFont="1" applyFill="1" applyAlignment="1">
      <alignment horizontal="centerContinuous"/>
    </xf>
    <xf numFmtId="0" fontId="6" fillId="0" borderId="0" xfId="5" applyFont="1" applyFill="1" applyAlignment="1">
      <alignment horizontal="center"/>
    </xf>
    <xf numFmtId="0" fontId="6" fillId="0" borderId="8" xfId="5" applyFont="1" applyFill="1" applyBorder="1" applyAlignment="1" applyProtection="1">
      <alignment horizontal="center"/>
    </xf>
    <xf numFmtId="0" fontId="6" fillId="0" borderId="8" xfId="5" applyFont="1" applyFill="1" applyBorder="1" applyAlignment="1">
      <alignment horizontal="center"/>
    </xf>
    <xf numFmtId="0" fontId="6" fillId="0" borderId="0" xfId="5" applyFont="1" applyFill="1" applyBorder="1" applyAlignment="1" applyProtection="1">
      <alignment horizontal="left"/>
    </xf>
    <xf numFmtId="37" fontId="6" fillId="0" borderId="0" xfId="5" applyNumberFormat="1" applyFont="1" applyFill="1" applyProtection="1"/>
    <xf numFmtId="0" fontId="4" fillId="0" borderId="0" xfId="0" applyFont="1" applyFill="1" applyAlignment="1">
      <alignment vertical="center"/>
    </xf>
    <xf numFmtId="0" fontId="6" fillId="0" borderId="0" xfId="0" applyFont="1" applyFill="1" applyBorder="1"/>
    <xf numFmtId="0" fontId="6" fillId="0" borderId="0" xfId="5" applyFont="1" applyFill="1" applyAlignment="1" applyProtection="1">
      <alignment horizontal="center"/>
    </xf>
    <xf numFmtId="0" fontId="6" fillId="0" borderId="0" xfId="5" applyFont="1" applyFill="1" applyBorder="1" applyProtection="1"/>
    <xf numFmtId="37" fontId="6" fillId="0" borderId="0" xfId="5" applyNumberFormat="1" applyFont="1" applyFill="1" applyBorder="1" applyProtection="1"/>
    <xf numFmtId="0" fontId="6" fillId="0" borderId="0" xfId="5" applyFont="1" applyFill="1" applyBorder="1"/>
    <xf numFmtId="0" fontId="17" fillId="0" borderId="0" xfId="5" applyFont="1" applyFill="1" applyAlignment="1" applyProtection="1">
      <alignment horizontal="left"/>
    </xf>
    <xf numFmtId="0" fontId="17" fillId="0" borderId="0" xfId="5" applyFont="1" applyFill="1" applyAlignment="1" applyProtection="1">
      <alignment horizontal="center"/>
    </xf>
    <xf numFmtId="0" fontId="6" fillId="0" borderId="0" xfId="0" applyFont="1" applyFill="1" applyAlignment="1">
      <alignment horizontal="centerContinuous"/>
    </xf>
    <xf numFmtId="0" fontId="4" fillId="0" borderId="0" xfId="0" quotePrefix="1" applyFont="1" applyFill="1" applyAlignment="1">
      <alignment horizontal="centerContinuous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164" fontId="6" fillId="0" borderId="0" xfId="2" applyNumberFormat="1" applyFont="1" applyFill="1" applyBorder="1"/>
    <xf numFmtId="166" fontId="6" fillId="0" borderId="0" xfId="1" applyNumberFormat="1" applyFont="1" applyFill="1" applyBorder="1" applyAlignment="1" applyProtection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/>
    <xf numFmtId="166" fontId="6" fillId="0" borderId="3" xfId="1" applyNumberFormat="1" applyFont="1" applyFill="1" applyBorder="1"/>
    <xf numFmtId="166" fontId="4" fillId="0" borderId="0" xfId="1" applyNumberFormat="1" applyFont="1" applyFill="1" applyBorder="1"/>
    <xf numFmtId="166" fontId="6" fillId="0" borderId="0" xfId="0" applyNumberFormat="1" applyFont="1" applyFill="1" applyBorder="1"/>
    <xf numFmtId="0" fontId="17" fillId="0" borderId="0" xfId="0" applyFont="1" applyFill="1" applyBorder="1" applyAlignment="1">
      <alignment horizontal="right"/>
    </xf>
    <xf numFmtId="8" fontId="6" fillId="0" borderId="0" xfId="0" applyNumberFormat="1" applyFont="1" applyFill="1"/>
    <xf numFmtId="0" fontId="4" fillId="0" borderId="0" xfId="0" applyFont="1" applyFill="1" applyAlignment="1">
      <alignment horizontal="centerContinuous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3" fontId="6" fillId="0" borderId="0" xfId="1" applyNumberFormat="1" applyFont="1" applyFill="1"/>
    <xf numFmtId="37" fontId="8" fillId="0" borderId="0" xfId="1" applyNumberFormat="1" applyFont="1" applyFill="1"/>
    <xf numFmtId="164" fontId="6" fillId="0" borderId="0" xfId="0" applyNumberFormat="1" applyFont="1" applyFill="1"/>
    <xf numFmtId="0" fontId="4" fillId="0" borderId="0" xfId="0" applyFont="1" applyFill="1" applyBorder="1" applyAlignment="1">
      <alignment vertical="center"/>
    </xf>
    <xf numFmtId="10" fontId="4" fillId="0" borderId="0" xfId="2" applyNumberFormat="1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3" fontId="6" fillId="0" borderId="0" xfId="0" applyNumberFormat="1" applyFont="1" applyFill="1" applyBorder="1"/>
    <xf numFmtId="0" fontId="4" fillId="0" borderId="3" xfId="0" applyFont="1" applyFill="1" applyBorder="1" applyAlignment="1">
      <alignment horizontal="right"/>
    </xf>
    <xf numFmtId="43" fontId="6" fillId="0" borderId="0" xfId="0" applyNumberFormat="1" applyFont="1" applyFill="1"/>
    <xf numFmtId="1" fontId="6" fillId="0" borderId="0" xfId="0" applyNumberFormat="1" applyFont="1" applyFill="1"/>
    <xf numFmtId="37" fontId="6" fillId="0" borderId="0" xfId="0" applyNumberFormat="1" applyFont="1" applyFill="1"/>
    <xf numFmtId="0" fontId="4" fillId="0" borderId="0" xfId="0" applyFont="1" applyFill="1" applyAlignment="1">
      <alignment horizontal="left"/>
    </xf>
    <xf numFmtId="10" fontId="4" fillId="0" borderId="0" xfId="2" applyNumberFormat="1" applyFont="1" applyFill="1"/>
    <xf numFmtId="164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6" fontId="6" fillId="0" borderId="5" xfId="1" applyNumberFormat="1" applyFont="1" applyFill="1" applyBorder="1"/>
    <xf numFmtId="0" fontId="21" fillId="0" borderId="0" xfId="0" applyFont="1" applyFill="1" applyAlignment="1">
      <alignment horizontal="center"/>
    </xf>
    <xf numFmtId="164" fontId="21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/>
    <xf numFmtId="166" fontId="6" fillId="0" borderId="3" xfId="0" applyNumberFormat="1" applyFont="1" applyFill="1" applyBorder="1"/>
    <xf numFmtId="164" fontId="6" fillId="0" borderId="3" xfId="2" applyNumberFormat="1" applyFont="1" applyFill="1" applyBorder="1"/>
    <xf numFmtId="0" fontId="4" fillId="0" borderId="0" xfId="0" applyFont="1" applyFill="1" applyAlignment="1">
      <alignment horizontal="center"/>
    </xf>
    <xf numFmtId="164" fontId="4" fillId="0" borderId="7" xfId="0" applyNumberFormat="1" applyFont="1" applyFill="1" applyBorder="1"/>
    <xf numFmtId="17" fontId="2" fillId="0" borderId="0" xfId="0" applyNumberFormat="1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2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6" fontId="6" fillId="0" borderId="2" xfId="1" applyNumberFormat="1" applyFont="1" applyFill="1" applyBorder="1"/>
    <xf numFmtId="166" fontId="6" fillId="0" borderId="6" xfId="1" applyNumberFormat="1" applyFont="1" applyFill="1" applyBorder="1"/>
    <xf numFmtId="0" fontId="16" fillId="0" borderId="0" xfId="0" applyFont="1" applyFill="1" applyAlignment="1">
      <alignment horizontal="left"/>
    </xf>
    <xf numFmtId="0" fontId="6" fillId="0" borderId="0" xfId="4" applyFont="1" applyFill="1" applyAlignment="1">
      <alignment horizontal="left"/>
    </xf>
    <xf numFmtId="0" fontId="4" fillId="0" borderId="11" xfId="4" applyFont="1" applyFill="1" applyBorder="1" applyProtection="1"/>
    <xf numFmtId="0" fontId="4" fillId="0" borderId="12" xfId="4" applyFont="1" applyFill="1" applyBorder="1" applyProtection="1"/>
    <xf numFmtId="164" fontId="4" fillId="0" borderId="12" xfId="4" applyNumberFormat="1" applyFont="1" applyFill="1" applyBorder="1" applyProtection="1"/>
    <xf numFmtId="164" fontId="4" fillId="0" borderId="13" xfId="4" applyNumberFormat="1" applyFont="1" applyFill="1" applyBorder="1" applyProtection="1"/>
    <xf numFmtId="0" fontId="23" fillId="0" borderId="0" xfId="0" quotePrefix="1" applyFont="1" applyFill="1" applyAlignment="1">
      <alignment horizontal="centerContinuous"/>
    </xf>
    <xf numFmtId="0" fontId="23" fillId="0" borderId="0" xfId="0" applyFont="1" applyFill="1" applyAlignment="1">
      <alignment horizontal="center"/>
    </xf>
    <xf numFmtId="0" fontId="4" fillId="0" borderId="0" xfId="4" applyFont="1" applyFill="1" applyAlignment="1" applyProtection="1">
      <alignment horizontal="left"/>
    </xf>
    <xf numFmtId="166" fontId="6" fillId="0" borderId="0" xfId="1" applyNumberFormat="1" applyFont="1" applyFill="1" applyBorder="1" applyAlignment="1" applyProtection="1">
      <alignment horizontal="center"/>
    </xf>
    <xf numFmtId="0" fontId="6" fillId="0" borderId="0" xfId="4" applyFont="1" applyFill="1" applyAlignment="1" applyProtection="1">
      <alignment horizontal="left"/>
    </xf>
    <xf numFmtId="38" fontId="6" fillId="0" borderId="0" xfId="0" applyNumberFormat="1" applyFont="1" applyFill="1"/>
    <xf numFmtId="166" fontId="24" fillId="0" borderId="0" xfId="1" applyNumberFormat="1" applyFont="1" applyFill="1" applyBorder="1" applyAlignment="1" applyProtection="1">
      <alignment horizontal="center"/>
    </xf>
    <xf numFmtId="164" fontId="6" fillId="0" borderId="14" xfId="0" applyNumberFormat="1" applyFont="1" applyFill="1" applyBorder="1"/>
    <xf numFmtId="164" fontId="6" fillId="0" borderId="5" xfId="0" applyNumberFormat="1" applyFont="1" applyFill="1" applyBorder="1"/>
    <xf numFmtId="3" fontId="6" fillId="0" borderId="0" xfId="0" applyNumberFormat="1" applyFont="1" applyFill="1" applyAlignment="1">
      <alignment horizontal="center"/>
    </xf>
    <xf numFmtId="164" fontId="6" fillId="0" borderId="7" xfId="0" applyNumberFormat="1" applyFont="1" applyFill="1" applyBorder="1"/>
    <xf numFmtId="10" fontId="4" fillId="0" borderId="0" xfId="2" applyNumberFormat="1" applyFont="1" applyFill="1" applyBorder="1"/>
    <xf numFmtId="164" fontId="4" fillId="0" borderId="0" xfId="2" applyNumberFormat="1" applyFont="1" applyFill="1" applyBorder="1"/>
    <xf numFmtId="37" fontId="6" fillId="0" borderId="0" xfId="1" applyNumberFormat="1" applyFont="1" applyFill="1" applyBorder="1"/>
    <xf numFmtId="0" fontId="6" fillId="0" borderId="3" xfId="0" applyFont="1" applyFill="1" applyBorder="1" applyAlignment="1">
      <alignment horizontal="center"/>
    </xf>
    <xf numFmtId="37" fontId="6" fillId="0" borderId="0" xfId="0" applyNumberFormat="1" applyFont="1" applyFill="1" applyBorder="1"/>
    <xf numFmtId="0" fontId="4" fillId="0" borderId="0" xfId="5" applyFont="1" applyFill="1"/>
    <xf numFmtId="10" fontId="4" fillId="0" borderId="0" xfId="2" applyNumberFormat="1" applyFont="1" applyFill="1" applyBorder="1" applyProtection="1"/>
    <xf numFmtId="164" fontId="4" fillId="0" borderId="0" xfId="2" applyNumberFormat="1" applyFont="1" applyFill="1" applyBorder="1" applyProtection="1"/>
    <xf numFmtId="164" fontId="4" fillId="0" borderId="0" xfId="3" applyNumberFormat="1" applyFont="1" applyFill="1" applyBorder="1" applyProtection="1"/>
    <xf numFmtId="0" fontId="23" fillId="0" borderId="0" xfId="0" applyFont="1" applyFill="1" applyAlignment="1">
      <alignment horizontal="right"/>
    </xf>
    <xf numFmtId="37" fontId="6" fillId="0" borderId="14" xfId="5" applyNumberFormat="1" applyFont="1" applyFill="1" applyBorder="1" applyProtection="1"/>
    <xf numFmtId="37" fontId="6" fillId="0" borderId="3" xfId="5" applyNumberFormat="1" applyFont="1" applyFill="1" applyBorder="1" applyProtection="1"/>
    <xf numFmtId="0" fontId="4" fillId="0" borderId="0" xfId="5" applyFont="1" applyFill="1" applyBorder="1" applyAlignment="1" applyProtection="1">
      <alignment horizontal="left"/>
    </xf>
    <xf numFmtId="0" fontId="4" fillId="0" borderId="0" xfId="5" applyFont="1" applyFill="1" applyBorder="1" applyAlignment="1">
      <alignment horizontal="left"/>
    </xf>
    <xf numFmtId="37" fontId="6" fillId="0" borderId="0" xfId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Alignment="1">
      <alignment horizontal="centerContinuous"/>
    </xf>
    <xf numFmtId="14" fontId="23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Continuous"/>
    </xf>
    <xf numFmtId="43" fontId="6" fillId="0" borderId="3" xfId="1" applyFont="1" applyFill="1" applyBorder="1"/>
    <xf numFmtId="37" fontId="6" fillId="0" borderId="0" xfId="1" applyNumberFormat="1" applyFont="1" applyFill="1"/>
    <xf numFmtId="37" fontId="6" fillId="0" borderId="3" xfId="0" applyNumberFormat="1" applyFont="1" applyFill="1" applyBorder="1"/>
  </cellXfs>
  <cellStyles count="6">
    <cellStyle name="Comma" xfId="1" builtinId="3"/>
    <cellStyle name="Normal" xfId="0" builtinId="0"/>
    <cellStyle name="Normal_G-FACT" xfId="3"/>
    <cellStyle name="Normal_GP-FACT" xfId="4"/>
    <cellStyle name="Normal_I-FACT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6"/>
  <sheetViews>
    <sheetView tabSelected="1" zoomScale="75" zoomScaleNormal="75" workbookViewId="0"/>
  </sheetViews>
  <sheetFormatPr defaultRowHeight="12.75"/>
  <cols>
    <col min="1" max="1" width="15.5703125" style="4" bestFit="1" customWidth="1"/>
    <col min="2" max="2" width="39.85546875" style="4" bestFit="1" customWidth="1"/>
    <col min="3" max="8" width="13.7109375" style="6" customWidth="1"/>
    <col min="9" max="9" width="10" style="4" bestFit="1" customWidth="1"/>
    <col min="10" max="16384" width="9.140625" style="4"/>
  </cols>
  <sheetData>
    <row r="1" spans="1:12" ht="15" customHeight="1">
      <c r="A1" s="1" t="s">
        <v>0</v>
      </c>
      <c r="B1" s="2"/>
      <c r="C1" s="3"/>
      <c r="D1" s="3"/>
      <c r="E1" s="3"/>
      <c r="F1" s="3"/>
      <c r="G1" s="3"/>
      <c r="H1" s="3"/>
    </row>
    <row r="2" spans="1:12" ht="15" customHeight="1">
      <c r="A2" s="5" t="s">
        <v>1</v>
      </c>
      <c r="B2" s="2"/>
      <c r="C2" s="3"/>
      <c r="D2" s="3"/>
      <c r="E2" s="3"/>
      <c r="F2" s="3"/>
      <c r="G2" s="3"/>
      <c r="H2" s="3"/>
    </row>
    <row r="3" spans="1:12" ht="15" customHeight="1">
      <c r="A3" s="5" t="s">
        <v>2</v>
      </c>
      <c r="B3" s="5"/>
      <c r="C3" s="5"/>
      <c r="D3" s="5"/>
      <c r="E3" s="5"/>
      <c r="F3" s="5"/>
      <c r="G3" s="5"/>
      <c r="H3" s="5"/>
    </row>
    <row r="4" spans="1:12" ht="15" customHeight="1">
      <c r="H4" s="7"/>
    </row>
    <row r="5" spans="1:12" ht="15" customHeight="1">
      <c r="H5" s="7"/>
    </row>
    <row r="6" spans="1:12" ht="15" customHeight="1" thickBot="1">
      <c r="A6" s="8" t="s">
        <v>3</v>
      </c>
      <c r="B6" s="8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</row>
    <row r="7" spans="1:12" s="10" customFormat="1" ht="15" customHeight="1">
      <c r="A7" s="186" t="s">
        <v>11</v>
      </c>
      <c r="B7" s="186" t="s">
        <v>12</v>
      </c>
      <c r="C7" s="185">
        <f>ACCUMDIT!D50</f>
        <v>0.49404444661993241</v>
      </c>
      <c r="D7" s="185">
        <f>ACCUMDIT!E50</f>
        <v>0.25682878851620594</v>
      </c>
      <c r="E7" s="185">
        <f>ACCUMDIT!F50</f>
        <v>0.24833694046221955</v>
      </c>
      <c r="F7" s="185">
        <f>ACCUMDIT!G50</f>
        <v>7.8982440164201409E-4</v>
      </c>
      <c r="G7" s="185">
        <f>ACCUMDIT!H50</f>
        <v>0</v>
      </c>
      <c r="H7" s="187">
        <f t="shared" ref="H7:H32" si="0">ROUND(SUM(C7:G7),4)</f>
        <v>1</v>
      </c>
      <c r="J7" s="11"/>
    </row>
    <row r="8" spans="1:12" s="10" customFormat="1" ht="15" customHeight="1">
      <c r="A8" s="186" t="s">
        <v>13</v>
      </c>
      <c r="B8" s="186" t="s">
        <v>14</v>
      </c>
      <c r="C8" s="185">
        <f>BOOKDPR!C13</f>
        <v>0.60595032658487658</v>
      </c>
      <c r="D8" s="185">
        <f>BOOKDPR!D13</f>
        <v>0.1631725591651304</v>
      </c>
      <c r="E8" s="185">
        <f>BOOKDPR!E13</f>
        <v>0.22918848156939994</v>
      </c>
      <c r="F8" s="185">
        <f>BOOKDPR!F13</f>
        <v>1.6886326805929223E-3</v>
      </c>
      <c r="G8" s="185">
        <f>BOOKDPR!G13</f>
        <v>0</v>
      </c>
      <c r="H8" s="187">
        <f t="shared" si="0"/>
        <v>1</v>
      </c>
      <c r="J8" s="11"/>
    </row>
    <row r="9" spans="1:12" s="10" customFormat="1" ht="15" customHeight="1">
      <c r="A9" s="186" t="s">
        <v>15</v>
      </c>
      <c r="B9" s="186" t="s">
        <v>16</v>
      </c>
      <c r="C9" s="185">
        <v>0</v>
      </c>
      <c r="D9" s="185">
        <v>0</v>
      </c>
      <c r="E9" s="185">
        <v>0</v>
      </c>
      <c r="F9" s="185">
        <v>0</v>
      </c>
      <c r="G9" s="185">
        <v>0</v>
      </c>
      <c r="H9" s="187">
        <f t="shared" si="0"/>
        <v>0</v>
      </c>
      <c r="J9" s="11"/>
    </row>
    <row r="10" spans="1:12" s="10" customFormat="1" ht="15" customHeight="1">
      <c r="A10" s="186" t="s">
        <v>8</v>
      </c>
      <c r="B10" s="186" t="s">
        <v>17</v>
      </c>
      <c r="C10" s="185">
        <v>0</v>
      </c>
      <c r="D10" s="185">
        <v>0</v>
      </c>
      <c r="E10" s="185">
        <v>0</v>
      </c>
      <c r="F10" s="185">
        <v>1</v>
      </c>
      <c r="G10" s="185">
        <v>0</v>
      </c>
      <c r="H10" s="187">
        <f t="shared" si="0"/>
        <v>1</v>
      </c>
      <c r="J10" s="11"/>
    </row>
    <row r="11" spans="1:12" s="10" customFormat="1" ht="15" customHeight="1">
      <c r="A11" s="186" t="s">
        <v>18</v>
      </c>
      <c r="B11" s="186" t="s">
        <v>19</v>
      </c>
      <c r="C11" s="185">
        <f>'REGASS&amp;DDS'!F35</f>
        <v>0.1147733257550423</v>
      </c>
      <c r="D11" s="185">
        <f>'REGASS&amp;DDS'!G35</f>
        <v>-6.7577817827213241E-2</v>
      </c>
      <c r="E11" s="185">
        <f>'REGASS&amp;DDS'!H35</f>
        <v>-0.35552139808919153</v>
      </c>
      <c r="F11" s="185">
        <f>'REGASS&amp;DDS'!I35</f>
        <v>1.3321013874365792</v>
      </c>
      <c r="G11" s="185">
        <f>'REGASS&amp;DDS'!J35</f>
        <v>-2.3775497275216897E-2</v>
      </c>
      <c r="H11" s="187">
        <f t="shared" si="0"/>
        <v>1</v>
      </c>
      <c r="J11" s="11"/>
    </row>
    <row r="12" spans="1:12" s="10" customFormat="1" ht="15" customHeight="1">
      <c r="A12" s="186" t="s">
        <v>20</v>
      </c>
      <c r="B12" s="186" t="s">
        <v>19</v>
      </c>
      <c r="C12" s="185">
        <v>0</v>
      </c>
      <c r="D12" s="185">
        <v>0</v>
      </c>
      <c r="E12" s="185">
        <v>0</v>
      </c>
      <c r="F12" s="185">
        <v>0</v>
      </c>
      <c r="G12" s="185">
        <v>0</v>
      </c>
      <c r="H12" s="187">
        <f t="shared" si="0"/>
        <v>0</v>
      </c>
      <c r="J12" s="11"/>
    </row>
    <row r="13" spans="1:12" s="10" customFormat="1" ht="15" customHeight="1">
      <c r="A13" s="186" t="s">
        <v>21</v>
      </c>
      <c r="B13" s="186" t="s">
        <v>22</v>
      </c>
      <c r="C13" s="185">
        <f>'REGASS&amp;DDS'!F34</f>
        <v>0.44869043693886768</v>
      </c>
      <c r="D13" s="185">
        <f>'REGASS&amp;DDS'!G34</f>
        <v>8.6893735786268259E-2</v>
      </c>
      <c r="E13" s="185">
        <f>'REGASS&amp;DDS'!H34</f>
        <v>0.31880411752905735</v>
      </c>
      <c r="F13" s="185">
        <f>'REGASS&amp;DDS'!I34</f>
        <v>0.13751774195395758</v>
      </c>
      <c r="G13" s="185">
        <f>'REGASS&amp;DDS'!J34</f>
        <v>8.0939677918492256E-3</v>
      </c>
      <c r="H13" s="187">
        <f t="shared" si="0"/>
        <v>1</v>
      </c>
      <c r="J13" s="11"/>
    </row>
    <row r="14" spans="1:12" s="13" customFormat="1" ht="15" customHeight="1">
      <c r="A14" s="186" t="s">
        <v>23</v>
      </c>
      <c r="B14" s="186" t="s">
        <v>22</v>
      </c>
      <c r="C14" s="185">
        <f>IF('REGASS&amp;DDS'!F55=0,0,'REGASS&amp;DDS'!F55)</f>
        <v>0</v>
      </c>
      <c r="D14" s="185">
        <f>'REGASS&amp;DDS'!G55</f>
        <v>0</v>
      </c>
      <c r="E14" s="185">
        <f>'REGASS&amp;DDS'!H55</f>
        <v>0</v>
      </c>
      <c r="F14" s="185">
        <f>'REGASS&amp;DDS'!I55</f>
        <v>0</v>
      </c>
      <c r="G14" s="185">
        <f>'REGASS&amp;DDS'!J55</f>
        <v>1</v>
      </c>
      <c r="H14" s="187">
        <f t="shared" si="0"/>
        <v>1</v>
      </c>
      <c r="I14" s="12"/>
      <c r="J14" s="12"/>
      <c r="K14" s="12"/>
      <c r="L14" s="12"/>
    </row>
    <row r="15" spans="1:12" s="14" customFormat="1" ht="15" customHeight="1">
      <c r="A15" s="186" t="s">
        <v>24</v>
      </c>
      <c r="B15" s="186" t="s">
        <v>25</v>
      </c>
      <c r="C15" s="185">
        <f>'REGASS&amp;DDS'!F54</f>
        <v>0.81968252420584176</v>
      </c>
      <c r="D15" s="185">
        <f>'REGASS&amp;DDS'!G54</f>
        <v>0.18031747579415827</v>
      </c>
      <c r="E15" s="185">
        <f>'REGASS&amp;DDS'!H54</f>
        <v>0</v>
      </c>
      <c r="F15" s="185">
        <f>'REGASS&amp;DDS'!I54</f>
        <v>0</v>
      </c>
      <c r="G15" s="185">
        <f>'REGASS&amp;DDS'!J54</f>
        <v>0</v>
      </c>
      <c r="H15" s="187">
        <f t="shared" si="0"/>
        <v>1</v>
      </c>
      <c r="J15" s="15"/>
    </row>
    <row r="16" spans="1:12" s="13" customFormat="1" ht="15" customHeight="1">
      <c r="A16" s="186" t="s">
        <v>9</v>
      </c>
      <c r="B16" s="186" t="s">
        <v>26</v>
      </c>
      <c r="C16" s="185">
        <v>0</v>
      </c>
      <c r="D16" s="185">
        <v>0</v>
      </c>
      <c r="E16" s="185">
        <v>0</v>
      </c>
      <c r="F16" s="185">
        <v>0</v>
      </c>
      <c r="G16" s="185">
        <v>1</v>
      </c>
      <c r="H16" s="187">
        <f t="shared" si="0"/>
        <v>1</v>
      </c>
      <c r="J16" s="16"/>
    </row>
    <row r="17" spans="1:10" s="13" customFormat="1" ht="15" customHeight="1">
      <c r="A17" s="186" t="s">
        <v>7</v>
      </c>
      <c r="B17" s="186" t="s">
        <v>27</v>
      </c>
      <c r="C17" s="185">
        <f>'FORM 1'!C15</f>
        <v>0</v>
      </c>
      <c r="D17" s="185">
        <f>'FORM 1'!D15</f>
        <v>0</v>
      </c>
      <c r="E17" s="185">
        <f>'FORM 1'!E15</f>
        <v>1</v>
      </c>
      <c r="F17" s="185">
        <f>'FORM 1'!F15</f>
        <v>0</v>
      </c>
      <c r="G17" s="185">
        <f>'FORM 1'!G15</f>
        <v>0</v>
      </c>
      <c r="H17" s="187">
        <f t="shared" si="0"/>
        <v>1</v>
      </c>
      <c r="J17" s="16"/>
    </row>
    <row r="18" spans="1:10" s="13" customFormat="1" ht="15" customHeight="1">
      <c r="A18" s="186" t="s">
        <v>28</v>
      </c>
      <c r="B18" s="186" t="s">
        <v>29</v>
      </c>
      <c r="C18" s="185">
        <v>0.3</v>
      </c>
      <c r="D18" s="185">
        <v>0.1</v>
      </c>
      <c r="E18" s="185">
        <v>0.6</v>
      </c>
      <c r="F18" s="185">
        <v>0</v>
      </c>
      <c r="G18" s="185">
        <v>0</v>
      </c>
      <c r="H18" s="187">
        <f t="shared" si="0"/>
        <v>1</v>
      </c>
      <c r="J18" s="16"/>
    </row>
    <row r="19" spans="1:10" s="13" customFormat="1" ht="15" customHeight="1">
      <c r="A19" s="186" t="s">
        <v>30</v>
      </c>
      <c r="B19" s="186" t="s">
        <v>31</v>
      </c>
      <c r="C19" s="185">
        <f>'FORM 1'!C39</f>
        <v>0.5039659548614267</v>
      </c>
      <c r="D19" s="185">
        <f>'FORM 1'!D39</f>
        <v>0.49603404513857335</v>
      </c>
      <c r="E19" s="185">
        <f>'FORM 1'!E39</f>
        <v>0</v>
      </c>
      <c r="F19" s="185">
        <f>'FORM 1'!F39</f>
        <v>0</v>
      </c>
      <c r="G19" s="185">
        <f>'FORM 1'!G39</f>
        <v>0</v>
      </c>
      <c r="H19" s="187">
        <f t="shared" si="0"/>
        <v>1</v>
      </c>
      <c r="J19" s="16"/>
    </row>
    <row r="20" spans="1:10" s="13" customFormat="1" ht="15" customHeight="1">
      <c r="A20" s="186" t="s">
        <v>32</v>
      </c>
      <c r="B20" s="186" t="s">
        <v>33</v>
      </c>
      <c r="C20" s="185">
        <f>GP!E38</f>
        <v>0.21492690791323191</v>
      </c>
      <c r="D20" s="185">
        <f>GP!F38</f>
        <v>0.35216015843264681</v>
      </c>
      <c r="E20" s="185">
        <f>GP!G38</f>
        <v>0.41790387541605289</v>
      </c>
      <c r="F20" s="185">
        <f>GP!H38</f>
        <v>1.5009058238068314E-2</v>
      </c>
      <c r="G20" s="185">
        <f>GP!I38</f>
        <v>0</v>
      </c>
      <c r="H20" s="187">
        <f t="shared" si="0"/>
        <v>1</v>
      </c>
      <c r="J20" s="16"/>
    </row>
    <row r="21" spans="1:10" s="14" customFormat="1" ht="15" customHeight="1">
      <c r="A21" s="186" t="s">
        <v>34</v>
      </c>
      <c r="B21" s="186" t="s">
        <v>35</v>
      </c>
      <c r="C21" s="185">
        <f>+C70</f>
        <v>0.66413023598824139</v>
      </c>
      <c r="D21" s="185">
        <f>+D70</f>
        <v>0.3358697640117585</v>
      </c>
      <c r="E21" s="185">
        <f>+E70</f>
        <v>0</v>
      </c>
      <c r="F21" s="185">
        <f>+F70</f>
        <v>0</v>
      </c>
      <c r="G21" s="185">
        <f>+G70</f>
        <v>0</v>
      </c>
      <c r="H21" s="187">
        <f t="shared" si="0"/>
        <v>1</v>
      </c>
      <c r="J21" s="15"/>
    </row>
    <row r="22" spans="1:10" s="14" customFormat="1" ht="15" customHeight="1">
      <c r="A22" s="186" t="s">
        <v>36</v>
      </c>
      <c r="B22" s="186" t="s">
        <v>37</v>
      </c>
      <c r="C22" s="185">
        <f>+C21</f>
        <v>0.66413023598824139</v>
      </c>
      <c r="D22" s="185">
        <f>+D21</f>
        <v>0.3358697640117585</v>
      </c>
      <c r="E22" s="185">
        <f>+E21</f>
        <v>0</v>
      </c>
      <c r="F22" s="185">
        <f>+F21</f>
        <v>0</v>
      </c>
      <c r="G22" s="185">
        <f>+G21</f>
        <v>0</v>
      </c>
      <c r="H22" s="187">
        <f t="shared" si="0"/>
        <v>1</v>
      </c>
      <c r="J22" s="15"/>
    </row>
    <row r="23" spans="1:10" s="13" customFormat="1" ht="15" customHeight="1">
      <c r="A23" s="186" t="s">
        <v>38</v>
      </c>
      <c r="B23" s="186" t="s">
        <v>39</v>
      </c>
      <c r="C23" s="185">
        <f>'GROSS PLANT'!E42</f>
        <v>0.47642835102480052</v>
      </c>
      <c r="D23" s="185">
        <f>'GROSS PLANT'!F42</f>
        <v>0.24678815260820858</v>
      </c>
      <c r="E23" s="185">
        <f>'GROSS PLANT'!G42</f>
        <v>0.27019312987812671</v>
      </c>
      <c r="F23" s="185">
        <f>'GROSS PLANT'!H42</f>
        <v>6.5903664888640485E-3</v>
      </c>
      <c r="G23" s="185">
        <f>'GROSS PLANT'!I42</f>
        <v>0</v>
      </c>
      <c r="H23" s="187">
        <f t="shared" si="0"/>
        <v>1</v>
      </c>
      <c r="I23" s="14"/>
      <c r="J23" s="16"/>
    </row>
    <row r="24" spans="1:10" s="13" customFormat="1" ht="15" customHeight="1">
      <c r="A24" s="186" t="s">
        <v>40</v>
      </c>
      <c r="B24" s="186" t="s">
        <v>41</v>
      </c>
      <c r="C24" s="185">
        <f>GP!E34</f>
        <v>0.41569353177058072</v>
      </c>
      <c r="D24" s="185">
        <f>GP!F34</f>
        <v>0.58430646822941923</v>
      </c>
      <c r="E24" s="185">
        <f>GP!G34</f>
        <v>0</v>
      </c>
      <c r="F24" s="185">
        <f>GP!H34</f>
        <v>0</v>
      </c>
      <c r="G24" s="185">
        <f>GP!I34</f>
        <v>0</v>
      </c>
      <c r="H24" s="187">
        <f t="shared" si="0"/>
        <v>1</v>
      </c>
      <c r="I24" s="14"/>
      <c r="J24" s="16"/>
    </row>
    <row r="25" spans="1:10" s="13" customFormat="1" ht="15" customHeight="1">
      <c r="A25" s="186" t="s">
        <v>42</v>
      </c>
      <c r="B25" s="186" t="s">
        <v>43</v>
      </c>
      <c r="C25" s="185">
        <f>GP!E36</f>
        <v>0</v>
      </c>
      <c r="D25" s="185">
        <f>GP!F36</f>
        <v>0.30621625577755751</v>
      </c>
      <c r="E25" s="185">
        <f>GP!G36</f>
        <v>0.69378374422244238</v>
      </c>
      <c r="F25" s="185">
        <f>GP!H36</f>
        <v>0</v>
      </c>
      <c r="G25" s="185">
        <f>GP!I36</f>
        <v>0</v>
      </c>
      <c r="H25" s="187">
        <f t="shared" si="0"/>
        <v>1</v>
      </c>
      <c r="I25" s="14"/>
      <c r="J25" s="16"/>
    </row>
    <row r="26" spans="1:10" s="13" customFormat="1" ht="15" customHeight="1">
      <c r="A26" s="186" t="s">
        <v>44</v>
      </c>
      <c r="B26" s="186" t="s">
        <v>45</v>
      </c>
      <c r="C26" s="185">
        <f>IP!D35</f>
        <v>0.48106502884885249</v>
      </c>
      <c r="D26" s="185">
        <f>IP!E35</f>
        <v>0.17561657817326221</v>
      </c>
      <c r="E26" s="185">
        <f>IP!F35</f>
        <v>0.15154708634978947</v>
      </c>
      <c r="F26" s="185">
        <f>IP!G35</f>
        <v>0.19177130662809566</v>
      </c>
      <c r="G26" s="185">
        <f>IP!H35</f>
        <v>0</v>
      </c>
      <c r="H26" s="187">
        <f t="shared" si="0"/>
        <v>1</v>
      </c>
      <c r="I26" s="14"/>
      <c r="J26" s="16"/>
    </row>
    <row r="27" spans="1:10" s="13" customFormat="1" ht="15" customHeight="1">
      <c r="A27" s="186" t="s">
        <v>46</v>
      </c>
      <c r="B27" s="186" t="s">
        <v>47</v>
      </c>
      <c r="C27" s="185">
        <v>1</v>
      </c>
      <c r="D27" s="185">
        <v>0</v>
      </c>
      <c r="E27" s="185">
        <v>0</v>
      </c>
      <c r="F27" s="185">
        <v>0</v>
      </c>
      <c r="G27" s="185">
        <v>0</v>
      </c>
      <c r="H27" s="187">
        <f t="shared" si="0"/>
        <v>1</v>
      </c>
      <c r="I27" s="14"/>
      <c r="J27" s="16"/>
    </row>
    <row r="28" spans="1:10" s="13" customFormat="1" ht="15" customHeight="1">
      <c r="A28" s="186" t="s">
        <v>48</v>
      </c>
      <c r="B28" s="186" t="s">
        <v>49</v>
      </c>
      <c r="C28" s="185">
        <v>1</v>
      </c>
      <c r="D28" s="185">
        <v>0</v>
      </c>
      <c r="E28" s="185">
        <v>0</v>
      </c>
      <c r="F28" s="185">
        <v>0</v>
      </c>
      <c r="G28" s="185">
        <v>0</v>
      </c>
      <c r="H28" s="187">
        <f t="shared" si="0"/>
        <v>1</v>
      </c>
      <c r="I28" s="14"/>
      <c r="J28" s="16"/>
    </row>
    <row r="29" spans="1:10" s="13" customFormat="1" ht="15" customHeight="1">
      <c r="A29" s="186" t="s">
        <v>50</v>
      </c>
      <c r="B29" s="186" t="s">
        <v>51</v>
      </c>
      <c r="C29" s="185">
        <f>IP!D33</f>
        <v>0.83501291920262399</v>
      </c>
      <c r="D29" s="185">
        <f>IP!E33</f>
        <v>0.16498708079737584</v>
      </c>
      <c r="E29" s="185">
        <f>IP!F33</f>
        <v>0</v>
      </c>
      <c r="F29" s="185">
        <f>IP!G33</f>
        <v>0</v>
      </c>
      <c r="G29" s="185">
        <f>IP!H33</f>
        <v>0</v>
      </c>
      <c r="H29" s="187">
        <f t="shared" si="0"/>
        <v>1</v>
      </c>
      <c r="I29" s="14"/>
      <c r="J29" s="16"/>
    </row>
    <row r="30" spans="1:10" s="13" customFormat="1" ht="15" customHeight="1">
      <c r="A30" s="186" t="s">
        <v>52</v>
      </c>
      <c r="B30" s="186" t="s">
        <v>53</v>
      </c>
      <c r="C30" s="185">
        <f>IP!D34</f>
        <v>2.5194294208963455</v>
      </c>
      <c r="D30" s="185">
        <f>IP!E34</f>
        <v>-0.82810158897169328</v>
      </c>
      <c r="E30" s="185">
        <f>IP!F34</f>
        <v>-0.69132783192465208</v>
      </c>
      <c r="F30" s="185">
        <f>IP!G34</f>
        <v>0</v>
      </c>
      <c r="G30" s="185">
        <f>IP!H34</f>
        <v>0</v>
      </c>
      <c r="H30" s="187">
        <f t="shared" si="0"/>
        <v>1</v>
      </c>
      <c r="I30" s="14"/>
      <c r="J30" s="16"/>
    </row>
    <row r="31" spans="1:10" s="13" customFormat="1" ht="15" customHeight="1">
      <c r="A31" s="186" t="s">
        <v>54</v>
      </c>
      <c r="B31" s="186" t="s">
        <v>55</v>
      </c>
      <c r="C31" s="185">
        <f>'FORM 1'!C25</f>
        <v>0.46137836289269235</v>
      </c>
      <c r="D31" s="185">
        <f>'FORM 1'!D25</f>
        <v>8.6868274473763427E-2</v>
      </c>
      <c r="E31" s="185">
        <f>'FORM 1'!E25</f>
        <v>0.30489927544920509</v>
      </c>
      <c r="F31" s="185">
        <f>'FORM 1'!F25</f>
        <v>0.14685408718433918</v>
      </c>
      <c r="G31" s="185">
        <f>'FORM 1'!G25</f>
        <v>0</v>
      </c>
      <c r="H31" s="187">
        <f t="shared" si="0"/>
        <v>1</v>
      </c>
      <c r="I31" s="14"/>
      <c r="J31" s="16"/>
    </row>
    <row r="32" spans="1:10" s="13" customFormat="1" ht="15" customHeight="1">
      <c r="A32" s="186" t="s">
        <v>56</v>
      </c>
      <c r="B32" s="186" t="s">
        <v>57</v>
      </c>
      <c r="C32" s="185">
        <f>'FORM 1'!C32</f>
        <v>0.86792897872630492</v>
      </c>
      <c r="D32" s="185">
        <f>'FORM 1'!D32</f>
        <v>4.474655146177238E-3</v>
      </c>
      <c r="E32" s="185">
        <f>'FORM 1'!E32</f>
        <v>0.12759636612751779</v>
      </c>
      <c r="F32" s="185">
        <f>'FORM 1'!F32</f>
        <v>0</v>
      </c>
      <c r="G32" s="185">
        <f>'FORM 1'!G32</f>
        <v>0</v>
      </c>
      <c r="H32" s="187">
        <f t="shared" si="0"/>
        <v>1</v>
      </c>
      <c r="I32" s="14"/>
      <c r="J32" s="16"/>
    </row>
    <row r="33" spans="1:10" s="13" customFormat="1" ht="15" customHeight="1">
      <c r="A33" s="186" t="s">
        <v>58</v>
      </c>
      <c r="B33" s="186" t="s">
        <v>59</v>
      </c>
      <c r="C33" s="185">
        <f>C37</f>
        <v>0.19056800357030962</v>
      </c>
      <c r="D33" s="185">
        <f>D37</f>
        <v>0.80943199642969044</v>
      </c>
      <c r="E33" s="185">
        <f>E37</f>
        <v>0</v>
      </c>
      <c r="F33" s="185">
        <f>F37</f>
        <v>0</v>
      </c>
      <c r="G33" s="185">
        <f>G37</f>
        <v>0</v>
      </c>
      <c r="H33" s="187">
        <f t="shared" ref="H33:H60" si="1">ROUND(SUM(C33:G33),4)</f>
        <v>1</v>
      </c>
      <c r="I33" s="14"/>
      <c r="J33" s="16"/>
    </row>
    <row r="34" spans="1:10" s="13" customFormat="1" ht="15" customHeight="1">
      <c r="A34" s="186" t="s">
        <v>60</v>
      </c>
      <c r="B34" s="186" t="s">
        <v>61</v>
      </c>
      <c r="C34" s="185">
        <f>C37</f>
        <v>0.19056800357030962</v>
      </c>
      <c r="D34" s="185">
        <f>D37</f>
        <v>0.80943199642969044</v>
      </c>
      <c r="E34" s="185">
        <f>E37</f>
        <v>0</v>
      </c>
      <c r="F34" s="185">
        <f>F37</f>
        <v>0</v>
      </c>
      <c r="G34" s="185">
        <f>G37</f>
        <v>0</v>
      </c>
      <c r="H34" s="187">
        <f t="shared" si="1"/>
        <v>1</v>
      </c>
      <c r="I34" s="14"/>
      <c r="J34" s="16"/>
    </row>
    <row r="35" spans="1:10" s="13" customFormat="1" ht="15" customHeight="1">
      <c r="A35" s="186" t="s">
        <v>62</v>
      </c>
      <c r="B35" s="186" t="s">
        <v>63</v>
      </c>
      <c r="C35" s="185">
        <f>'ELEC OPS'!E25</f>
        <v>0</v>
      </c>
      <c r="D35" s="185">
        <f>'ELEC OPS'!F25</f>
        <v>1</v>
      </c>
      <c r="E35" s="185">
        <f>'ELEC OPS'!G25</f>
        <v>0</v>
      </c>
      <c r="F35" s="185">
        <f>'ELEC OPS'!H25</f>
        <v>0</v>
      </c>
      <c r="G35" s="185">
        <f>'ELEC OPS'!I25</f>
        <v>0</v>
      </c>
      <c r="H35" s="187">
        <f t="shared" si="1"/>
        <v>1</v>
      </c>
      <c r="I35" s="14"/>
      <c r="J35" s="16"/>
    </row>
    <row r="36" spans="1:10" s="13" customFormat="1" ht="15" customHeight="1">
      <c r="A36" s="186" t="s">
        <v>64</v>
      </c>
      <c r="B36" s="186" t="s">
        <v>65</v>
      </c>
      <c r="C36" s="185">
        <f>'ELEC OPS'!E26</f>
        <v>0.19056800357030962</v>
      </c>
      <c r="D36" s="185">
        <f>'ELEC OPS'!F26</f>
        <v>0.80943199642969044</v>
      </c>
      <c r="E36" s="185">
        <f>'ELEC OPS'!G26</f>
        <v>0</v>
      </c>
      <c r="F36" s="185">
        <f>'ELEC OPS'!H26</f>
        <v>0</v>
      </c>
      <c r="G36" s="185">
        <f>'ELEC OPS'!I26</f>
        <v>0</v>
      </c>
      <c r="H36" s="187">
        <f t="shared" si="1"/>
        <v>1</v>
      </c>
      <c r="I36" s="14"/>
      <c r="J36" s="16"/>
    </row>
    <row r="37" spans="1:10" s="13" customFormat="1" ht="15" customHeight="1">
      <c r="A37" s="186" t="s">
        <v>66</v>
      </c>
      <c r="B37" s="186" t="s">
        <v>67</v>
      </c>
      <c r="C37" s="185">
        <f>+C36</f>
        <v>0.19056800357030962</v>
      </c>
      <c r="D37" s="185">
        <f>+D36</f>
        <v>0.80943199642969044</v>
      </c>
      <c r="E37" s="185">
        <f>+E36</f>
        <v>0</v>
      </c>
      <c r="F37" s="185">
        <f>+F36</f>
        <v>0</v>
      </c>
      <c r="G37" s="185">
        <f>+G36</f>
        <v>0</v>
      </c>
      <c r="H37" s="187">
        <f t="shared" si="1"/>
        <v>1</v>
      </c>
      <c r="I37" s="14"/>
      <c r="J37" s="16"/>
    </row>
    <row r="38" spans="1:10" s="13" customFormat="1" ht="15" customHeight="1">
      <c r="A38" s="186" t="s">
        <v>68</v>
      </c>
      <c r="B38" s="186" t="s">
        <v>69</v>
      </c>
      <c r="C38" s="185">
        <f>'ELEC OPS'!E23</f>
        <v>-2.5343969088013986E-2</v>
      </c>
      <c r="D38" s="185">
        <f>'ELEC OPS'!F23</f>
        <v>0.52910416474448829</v>
      </c>
      <c r="E38" s="185">
        <f>'ELEC OPS'!G23</f>
        <v>0</v>
      </c>
      <c r="F38" s="185">
        <f>'ELEC OPS'!H23</f>
        <v>0</v>
      </c>
      <c r="G38" s="185">
        <f>'ELEC OPS'!I23</f>
        <v>0.49623980434352577</v>
      </c>
      <c r="H38" s="187">
        <f t="shared" si="1"/>
        <v>1</v>
      </c>
      <c r="I38" s="14"/>
      <c r="J38" s="16"/>
    </row>
    <row r="39" spans="1:10" s="13" customFormat="1" ht="15" customHeight="1">
      <c r="A39" s="186" t="s">
        <v>70</v>
      </c>
      <c r="B39" s="186" t="s">
        <v>71</v>
      </c>
      <c r="C39" s="185">
        <f>'ELEC OPS'!E27</f>
        <v>0</v>
      </c>
      <c r="D39" s="185">
        <f>'ELEC OPS'!F27</f>
        <v>0</v>
      </c>
      <c r="E39" s="185">
        <f>'ELEC OPS'!G27</f>
        <v>0</v>
      </c>
      <c r="F39" s="185">
        <f>'ELEC OPS'!H27</f>
        <v>0</v>
      </c>
      <c r="G39" s="185">
        <f>'ELEC OPS'!I27</f>
        <v>1</v>
      </c>
      <c r="H39" s="187">
        <f t="shared" si="1"/>
        <v>1</v>
      </c>
      <c r="I39" s="14"/>
      <c r="J39" s="16"/>
    </row>
    <row r="40" spans="1:10" s="13" customFormat="1" ht="15" customHeight="1">
      <c r="A40" s="186" t="s">
        <v>72</v>
      </c>
      <c r="B40" s="186" t="s">
        <v>5</v>
      </c>
      <c r="C40" s="185">
        <f>'FORM 1'!C13</f>
        <v>1</v>
      </c>
      <c r="D40" s="185">
        <f>'FORM 1'!D13</f>
        <v>0</v>
      </c>
      <c r="E40" s="185">
        <f>'FORM 1'!E13</f>
        <v>0</v>
      </c>
      <c r="F40" s="185">
        <f>'FORM 1'!F13</f>
        <v>0</v>
      </c>
      <c r="G40" s="185">
        <f>'FORM 1'!G13</f>
        <v>0</v>
      </c>
      <c r="H40" s="187">
        <f t="shared" si="1"/>
        <v>1</v>
      </c>
      <c r="I40" s="14"/>
      <c r="J40" s="16"/>
    </row>
    <row r="41" spans="1:10" s="14" customFormat="1" ht="15" customHeight="1">
      <c r="A41" s="186" t="s">
        <v>73</v>
      </c>
      <c r="B41" s="186" t="s">
        <v>74</v>
      </c>
      <c r="C41" s="185">
        <f>'SCH M'!F65</f>
        <v>0.46203653387136201</v>
      </c>
      <c r="D41" s="185">
        <f>'SCH M'!G65</f>
        <v>0.21347226919894852</v>
      </c>
      <c r="E41" s="185">
        <f>'SCH M'!H65</f>
        <v>0.31516007299852961</v>
      </c>
      <c r="F41" s="185">
        <f>'SCH M'!I65</f>
        <v>1.0622471868294195E-2</v>
      </c>
      <c r="G41" s="185">
        <f>'SCH M'!J65</f>
        <v>-1.2913479371344959E-3</v>
      </c>
      <c r="H41" s="187">
        <f t="shared" si="1"/>
        <v>1</v>
      </c>
      <c r="J41" s="15"/>
    </row>
    <row r="42" spans="1:10" s="14" customFormat="1" ht="15" customHeight="1">
      <c r="A42" s="186" t="s">
        <v>75</v>
      </c>
      <c r="B42" s="186" t="s">
        <v>76</v>
      </c>
      <c r="C42" s="185">
        <v>1</v>
      </c>
      <c r="D42" s="185">
        <v>0</v>
      </c>
      <c r="E42" s="185">
        <v>0</v>
      </c>
      <c r="F42" s="185">
        <v>0</v>
      </c>
      <c r="G42" s="185">
        <v>0</v>
      </c>
      <c r="H42" s="187">
        <f t="shared" si="1"/>
        <v>1</v>
      </c>
      <c r="J42" s="15"/>
    </row>
    <row r="43" spans="1:10" s="14" customFormat="1" ht="15" customHeight="1">
      <c r="A43" s="186" t="s">
        <v>77</v>
      </c>
      <c r="B43" s="186" t="s">
        <v>78</v>
      </c>
      <c r="C43" s="185">
        <f>'SCH M'!F16</f>
        <v>1.1352674803909979</v>
      </c>
      <c r="D43" s="185">
        <f>'SCH M'!G16</f>
        <v>-2.1815782739597982E-2</v>
      </c>
      <c r="E43" s="185">
        <f>'SCH M'!H16</f>
        <v>-7.6571295918507823E-2</v>
      </c>
      <c r="F43" s="185">
        <f>'SCH M'!I16</f>
        <v>-3.6880401732892011E-2</v>
      </c>
      <c r="G43" s="185">
        <f>'SCH M'!J16</f>
        <v>0</v>
      </c>
      <c r="H43" s="187">
        <f t="shared" si="1"/>
        <v>1</v>
      </c>
      <c r="J43" s="15"/>
    </row>
    <row r="44" spans="1:10" s="14" customFormat="1" ht="15" customHeight="1">
      <c r="A44" s="186" t="s">
        <v>79</v>
      </c>
      <c r="B44" s="186" t="s">
        <v>80</v>
      </c>
      <c r="C44" s="185">
        <f>'SCH M'!F15</f>
        <v>1.1001283512427185</v>
      </c>
      <c r="D44" s="185">
        <f>'SCH M'!G15</f>
        <v>-1.6148584644818113E-2</v>
      </c>
      <c r="E44" s="185">
        <f>'SCH M'!H15</f>
        <v>-5.6679976522640486E-2</v>
      </c>
      <c r="F44" s="185">
        <f>'SCH M'!I15</f>
        <v>-2.7299790075259903E-2</v>
      </c>
      <c r="G44" s="185">
        <f>'SCH M'!J15</f>
        <v>0</v>
      </c>
      <c r="H44" s="187">
        <f t="shared" si="1"/>
        <v>1</v>
      </c>
      <c r="J44" s="15"/>
    </row>
    <row r="45" spans="1:10" s="13" customFormat="1" ht="15" customHeight="1">
      <c r="A45" s="186" t="s">
        <v>81</v>
      </c>
      <c r="B45" s="186" t="s">
        <v>82</v>
      </c>
      <c r="C45" s="185">
        <f>+'SCH M'!F$57</f>
        <v>0.462874071488109</v>
      </c>
      <c r="D45" s="185">
        <f>+'SCH M'!G$57</f>
        <v>0.21317955747010064</v>
      </c>
      <c r="E45" s="185">
        <f>+'SCH M'!H$57</f>
        <v>0.31467273687884595</v>
      </c>
      <c r="F45" s="185">
        <f>+'SCH M'!I$57</f>
        <v>1.0563375589743355E-2</v>
      </c>
      <c r="G45" s="185">
        <f>+'SCH M'!J$57</f>
        <v>-1.2897414267991495E-3</v>
      </c>
      <c r="H45" s="187">
        <f t="shared" si="1"/>
        <v>1</v>
      </c>
      <c r="I45" s="14"/>
      <c r="J45" s="17"/>
    </row>
    <row r="46" spans="1:10" s="13" customFormat="1" ht="15" customHeight="1">
      <c r="A46" s="186" t="s">
        <v>83</v>
      </c>
      <c r="B46" s="186" t="s">
        <v>84</v>
      </c>
      <c r="C46" s="185">
        <v>0</v>
      </c>
      <c r="D46" s="185">
        <v>0</v>
      </c>
      <c r="E46" s="185">
        <v>0</v>
      </c>
      <c r="F46" s="185">
        <v>0</v>
      </c>
      <c r="G46" s="185">
        <v>0</v>
      </c>
      <c r="H46" s="185">
        <v>0</v>
      </c>
      <c r="I46" s="14"/>
      <c r="J46" s="17"/>
    </row>
    <row r="47" spans="1:10" s="13" customFormat="1" ht="15" customHeight="1">
      <c r="A47" s="186" t="s">
        <v>85</v>
      </c>
      <c r="B47" s="186" t="s">
        <v>86</v>
      </c>
      <c r="C47" s="185">
        <f>'SCH M'!F53</f>
        <v>1</v>
      </c>
      <c r="D47" s="185">
        <f>'SCH M'!G53</f>
        <v>0</v>
      </c>
      <c r="E47" s="185">
        <f>'SCH M'!H53</f>
        <v>0</v>
      </c>
      <c r="F47" s="185">
        <f>'SCH M'!I53</f>
        <v>0</v>
      </c>
      <c r="G47" s="185">
        <f>'SCH M'!J53</f>
        <v>0</v>
      </c>
      <c r="H47" s="187">
        <f t="shared" si="1"/>
        <v>1</v>
      </c>
      <c r="I47" s="14"/>
      <c r="J47" s="17"/>
    </row>
    <row r="48" spans="1:10" s="13" customFormat="1" ht="15" customHeight="1">
      <c r="A48" s="186" t="s">
        <v>87</v>
      </c>
      <c r="B48" s="186" t="s">
        <v>88</v>
      </c>
      <c r="C48" s="185">
        <f>'SCH M'!F55</f>
        <v>0.86809346621199968</v>
      </c>
      <c r="D48" s="185">
        <f>'SCH M'!G55</f>
        <v>7.7350011346513592E-2</v>
      </c>
      <c r="E48" s="185">
        <f>'SCH M'!H55</f>
        <v>3.3752140334251952E-2</v>
      </c>
      <c r="F48" s="185">
        <f>'SCH M'!I55</f>
        <v>2.0804382107234693E-2</v>
      </c>
      <c r="G48" s="185">
        <f>'SCH M'!J55</f>
        <v>0</v>
      </c>
      <c r="H48" s="187">
        <f t="shared" si="1"/>
        <v>1</v>
      </c>
      <c r="I48" s="14"/>
      <c r="J48" s="17"/>
    </row>
    <row r="49" spans="1:10" s="13" customFormat="1" ht="15" customHeight="1">
      <c r="A49" s="186" t="s">
        <v>89</v>
      </c>
      <c r="B49" s="186" t="s">
        <v>90</v>
      </c>
      <c r="C49" s="185">
        <f>'SCH M'!F54</f>
        <v>0.48484797440121152</v>
      </c>
      <c r="D49" s="185">
        <f>'SCH M'!G54</f>
        <v>0.24536466864580755</v>
      </c>
      <c r="E49" s="185">
        <f>'SCH M'!H54</f>
        <v>0.26960344495727206</v>
      </c>
      <c r="F49" s="185">
        <f>'SCH M'!I54</f>
        <v>1.8391199570891238E-4</v>
      </c>
      <c r="G49" s="185">
        <f>'SCH M'!J54</f>
        <v>0</v>
      </c>
      <c r="H49" s="187">
        <f t="shared" si="1"/>
        <v>1</v>
      </c>
      <c r="I49" s="14"/>
      <c r="J49" s="17"/>
    </row>
    <row r="50" spans="1:10" s="13" customFormat="1" ht="15" customHeight="1">
      <c r="A50" s="186" t="s">
        <v>91</v>
      </c>
      <c r="B50" s="186" t="s">
        <v>92</v>
      </c>
      <c r="C50" s="185">
        <f>'SCH M'!F56</f>
        <v>0.46554328893509872</v>
      </c>
      <c r="D50" s="185">
        <f>'SCH M'!G56</f>
        <v>0.11470121123011551</v>
      </c>
      <c r="E50" s="185">
        <f>'SCH M'!H56</f>
        <v>0.29869653968905163</v>
      </c>
      <c r="F50" s="185">
        <f>'SCH M'!I56</f>
        <v>0.12105896014573417</v>
      </c>
      <c r="G50" s="185">
        <f>'SCH M'!J56</f>
        <v>0</v>
      </c>
      <c r="H50" s="187">
        <f t="shared" si="1"/>
        <v>1</v>
      </c>
      <c r="I50" s="14"/>
      <c r="J50" s="17"/>
    </row>
    <row r="51" spans="1:10" s="13" customFormat="1" ht="15" customHeight="1">
      <c r="A51" s="186" t="s">
        <v>93</v>
      </c>
      <c r="B51" s="186" t="s">
        <v>94</v>
      </c>
      <c r="C51" s="185">
        <f>+'SCH M'!F$135</f>
        <v>0.50928655800021527</v>
      </c>
      <c r="D51" s="185">
        <f>+'SCH M'!G$135</f>
        <v>0.22075345388572343</v>
      </c>
      <c r="E51" s="185">
        <f>+'SCH M'!H$135</f>
        <v>0.26185296765903249</v>
      </c>
      <c r="F51" s="185">
        <f>+'SCH M'!I$135</f>
        <v>4.8086818206122522E-3</v>
      </c>
      <c r="G51" s="185">
        <f>+'SCH M'!J$135</f>
        <v>3.2983386344163281E-3</v>
      </c>
      <c r="H51" s="187">
        <f t="shared" si="1"/>
        <v>1</v>
      </c>
      <c r="I51" s="14"/>
      <c r="J51" s="17"/>
    </row>
    <row r="52" spans="1:10" s="13" customFormat="1" ht="15" customHeight="1">
      <c r="A52" s="186" t="s">
        <v>95</v>
      </c>
      <c r="B52" s="186" t="s">
        <v>96</v>
      </c>
      <c r="C52" s="185">
        <v>1</v>
      </c>
      <c r="D52" s="185">
        <v>0</v>
      </c>
      <c r="E52" s="185">
        <v>0</v>
      </c>
      <c r="F52" s="185">
        <v>0</v>
      </c>
      <c r="G52" s="185">
        <v>0</v>
      </c>
      <c r="H52" s="187">
        <f t="shared" si="1"/>
        <v>1</v>
      </c>
      <c r="I52" s="14"/>
      <c r="J52" s="17"/>
    </row>
    <row r="53" spans="1:10" s="13" customFormat="1" ht="15" customHeight="1">
      <c r="A53" s="186" t="s">
        <v>97</v>
      </c>
      <c r="B53" s="186" t="s">
        <v>98</v>
      </c>
      <c r="C53" s="185">
        <f>'SCH M'!F77</f>
        <v>0.48508967903517519</v>
      </c>
      <c r="D53" s="185">
        <f>'SCH M'!G77</f>
        <v>0.24532380426806724</v>
      </c>
      <c r="E53" s="185">
        <f>'SCH M'!H77</f>
        <v>0.26958651669675765</v>
      </c>
      <c r="F53" s="185">
        <f>'SCH M'!I77</f>
        <v>0</v>
      </c>
      <c r="G53" s="185">
        <f>'SCH M'!J77</f>
        <v>0</v>
      </c>
      <c r="H53" s="187">
        <f t="shared" si="1"/>
        <v>1</v>
      </c>
      <c r="I53" s="14"/>
      <c r="J53" s="17"/>
    </row>
    <row r="54" spans="1:10" s="13" customFormat="1" ht="15" customHeight="1">
      <c r="A54" s="186" t="s">
        <v>99</v>
      </c>
      <c r="B54" s="186" t="s">
        <v>100</v>
      </c>
      <c r="C54" s="185" t="str">
        <f>'SCH M'!F76</f>
        <v xml:space="preserve"> </v>
      </c>
      <c r="D54" s="185" t="str">
        <f>'SCH M'!G76</f>
        <v xml:space="preserve"> </v>
      </c>
      <c r="E54" s="185" t="str">
        <f>'SCH M'!H76</f>
        <v xml:space="preserve"> </v>
      </c>
      <c r="F54" s="185" t="str">
        <f>'SCH M'!I76</f>
        <v xml:space="preserve"> </v>
      </c>
      <c r="G54" s="185" t="str">
        <f>'SCH M'!J76</f>
        <v xml:space="preserve"> </v>
      </c>
      <c r="H54" s="187">
        <f t="shared" si="1"/>
        <v>0</v>
      </c>
      <c r="I54" s="14"/>
      <c r="J54" s="17"/>
    </row>
    <row r="55" spans="1:10" s="13" customFormat="1" ht="15" customHeight="1">
      <c r="A55" s="186" t="s">
        <v>101</v>
      </c>
      <c r="B55" s="186" t="s">
        <v>102</v>
      </c>
      <c r="C55" s="185">
        <f>'SCH M'!F128</f>
        <v>0.50928908341300128</v>
      </c>
      <c r="D55" s="185">
        <f>'SCH M'!G128</f>
        <v>0.2207508894939644</v>
      </c>
      <c r="E55" s="185">
        <f>'SCH M'!H128</f>
        <v>0.26185216051346427</v>
      </c>
      <c r="F55" s="185">
        <f>'SCH M'!I128</f>
        <v>4.8091836996591785E-3</v>
      </c>
      <c r="G55" s="185">
        <f>'SCH M'!J128</f>
        <v>3.2986828799106307E-3</v>
      </c>
      <c r="H55" s="187">
        <f t="shared" si="1"/>
        <v>1</v>
      </c>
      <c r="I55" s="14"/>
      <c r="J55" s="17"/>
    </row>
    <row r="56" spans="1:10" s="13" customFormat="1" ht="15" customHeight="1">
      <c r="A56" s="186" t="s">
        <v>103</v>
      </c>
      <c r="B56" s="186" t="s">
        <v>104</v>
      </c>
      <c r="C56" s="185">
        <f>'SCH M'!F119</f>
        <v>0.48508967903517519</v>
      </c>
      <c r="D56" s="185">
        <f>'SCH M'!G119</f>
        <v>0.24532380426806721</v>
      </c>
      <c r="E56" s="185">
        <f>'SCH M'!H119</f>
        <v>0.26958651669675765</v>
      </c>
      <c r="F56" s="185">
        <f>'SCH M'!I119</f>
        <v>0</v>
      </c>
      <c r="G56" s="185">
        <f>'SCH M'!J119</f>
        <v>0</v>
      </c>
      <c r="H56" s="187">
        <f t="shared" si="1"/>
        <v>1</v>
      </c>
      <c r="I56" s="14"/>
      <c r="J56" s="17"/>
    </row>
    <row r="57" spans="1:10" s="13" customFormat="1" ht="15" customHeight="1">
      <c r="A57" s="186" t="s">
        <v>105</v>
      </c>
      <c r="B57" s="186" t="s">
        <v>106</v>
      </c>
      <c r="C57" s="185">
        <f>'SCH M'!F121</f>
        <v>1.0009672323182233</v>
      </c>
      <c r="D57" s="185">
        <f>'SCH M'!G121</f>
        <v>-9.6723231822317963E-4</v>
      </c>
      <c r="E57" s="185">
        <f>'SCH M'!H121</f>
        <v>0</v>
      </c>
      <c r="F57" s="185">
        <f>'SCH M'!I121</f>
        <v>0</v>
      </c>
      <c r="G57" s="185">
        <f>'SCH M'!J121</f>
        <v>0</v>
      </c>
      <c r="H57" s="187">
        <f t="shared" si="1"/>
        <v>1</v>
      </c>
      <c r="I57" s="14"/>
      <c r="J57" s="17"/>
    </row>
    <row r="58" spans="1:10" s="13" customFormat="1" ht="15" customHeight="1">
      <c r="A58" s="186" t="s">
        <v>107</v>
      </c>
      <c r="B58" s="186" t="s">
        <v>108</v>
      </c>
      <c r="C58" s="185">
        <f>'SCH M'!F127</f>
        <v>1.5271865508126483</v>
      </c>
      <c r="D58" s="185">
        <f>'SCH M'!G127</f>
        <v>1.3785583236130148</v>
      </c>
      <c r="E58" s="185">
        <f>'SCH M'!H127</f>
        <v>2.6299938155037057</v>
      </c>
      <c r="F58" s="185">
        <f>'SCH M'!I127</f>
        <v>-4.7618907287536416</v>
      </c>
      <c r="G58" s="185">
        <f>'SCH M'!J127</f>
        <v>0.22615203882427287</v>
      </c>
      <c r="H58" s="187">
        <f t="shared" si="1"/>
        <v>1</v>
      </c>
      <c r="I58" s="14"/>
      <c r="J58" s="17"/>
    </row>
    <row r="59" spans="1:10" s="13" customFormat="1" ht="15" customHeight="1">
      <c r="A59" s="186" t="s">
        <v>109</v>
      </c>
      <c r="B59" s="186" t="s">
        <v>110</v>
      </c>
      <c r="C59" s="185">
        <f>'SCH M'!F123</f>
        <v>0.48508967903517519</v>
      </c>
      <c r="D59" s="185">
        <f>'SCH M'!G123</f>
        <v>0.24532380426806721</v>
      </c>
      <c r="E59" s="185">
        <f>'SCH M'!H123</f>
        <v>0.26958651669675765</v>
      </c>
      <c r="F59" s="185">
        <f>'SCH M'!I123</f>
        <v>0</v>
      </c>
      <c r="G59" s="185">
        <f>'SCH M'!J123</f>
        <v>0</v>
      </c>
      <c r="H59" s="187">
        <f t="shared" si="1"/>
        <v>1</v>
      </c>
      <c r="I59" s="14"/>
      <c r="J59" s="17"/>
    </row>
    <row r="60" spans="1:10" s="13" customFormat="1" ht="15" customHeight="1">
      <c r="A60" s="186" t="s">
        <v>111</v>
      </c>
      <c r="B60" s="186" t="s">
        <v>112</v>
      </c>
      <c r="C60" s="185">
        <f>'SCH M'!F124</f>
        <v>0.43900848344870946</v>
      </c>
      <c r="D60" s="185">
        <f>'SCH M'!G124</f>
        <v>8.1050963305524859E-2</v>
      </c>
      <c r="E60" s="185">
        <f>'SCH M'!H124</f>
        <v>0.34542225425423034</v>
      </c>
      <c r="F60" s="185">
        <f>'SCH M'!I124</f>
        <v>0.13451829899153533</v>
      </c>
      <c r="G60" s="185">
        <f>'SCH M'!J124</f>
        <v>0</v>
      </c>
      <c r="H60" s="187">
        <f t="shared" si="1"/>
        <v>1</v>
      </c>
      <c r="I60" s="14"/>
      <c r="J60" s="17"/>
    </row>
    <row r="61" spans="1:10" s="13" customFormat="1" ht="15" customHeight="1">
      <c r="A61" s="186" t="s">
        <v>113</v>
      </c>
      <c r="B61" s="186" t="s">
        <v>6</v>
      </c>
      <c r="C61" s="185">
        <f>'FORM 1'!C14</f>
        <v>0</v>
      </c>
      <c r="D61" s="185">
        <f>'FORM 1'!D14</f>
        <v>1</v>
      </c>
      <c r="E61" s="185">
        <f>'FORM 1'!E14</f>
        <v>0</v>
      </c>
      <c r="F61" s="185">
        <f>'FORM 1'!F14</f>
        <v>0</v>
      </c>
      <c r="G61" s="185">
        <f>'FORM 1'!G14</f>
        <v>0</v>
      </c>
      <c r="H61" s="187">
        <f>ROUND(SUM(C61:G61),4)</f>
        <v>1</v>
      </c>
      <c r="I61" s="14"/>
      <c r="J61" s="17"/>
    </row>
    <row r="62" spans="1:10" s="13" customFormat="1" ht="15" customHeight="1">
      <c r="A62" s="186" t="s">
        <v>114</v>
      </c>
      <c r="B62" s="186" t="s">
        <v>115</v>
      </c>
      <c r="C62" s="185">
        <f>+'TAX DEPR'!C$24</f>
        <v>0.37723665137838935</v>
      </c>
      <c r="D62" s="185">
        <f>+'TAX DEPR'!D$24</f>
        <v>0.30064602851187261</v>
      </c>
      <c r="E62" s="185">
        <f>+'TAX DEPR'!E$24</f>
        <v>0.31198261527018784</v>
      </c>
      <c r="F62" s="185">
        <f>+'TAX DEPR'!F$24</f>
        <v>1.0134704839549979E-2</v>
      </c>
      <c r="G62" s="185">
        <f>+'TAX DEPR'!G$24</f>
        <v>0</v>
      </c>
      <c r="H62" s="187">
        <f>ROUND(SUM(C62:G62),4)</f>
        <v>1</v>
      </c>
      <c r="I62" s="18"/>
      <c r="J62" s="17"/>
    </row>
    <row r="63" spans="1:10" s="13" customFormat="1" ht="15" customHeight="1">
      <c r="A63" s="186" t="s">
        <v>116</v>
      </c>
      <c r="B63" s="186" t="s">
        <v>117</v>
      </c>
      <c r="C63" s="185">
        <f>'FORM 1'!C18</f>
        <v>0</v>
      </c>
      <c r="D63" s="185">
        <f>'FORM 1'!D18</f>
        <v>0.47643986589429044</v>
      </c>
      <c r="E63" s="185">
        <f>'FORM 1'!E18</f>
        <v>0.52356013410570945</v>
      </c>
      <c r="F63" s="185">
        <f>'FORM 1'!F18</f>
        <v>0</v>
      </c>
      <c r="G63" s="185">
        <f>'FORM 1'!G18</f>
        <v>0</v>
      </c>
      <c r="H63" s="187">
        <f>ROUND(SUM(C63:G63),4)</f>
        <v>1</v>
      </c>
      <c r="J63" s="17"/>
    </row>
    <row r="64" spans="1:10" s="10" customFormat="1" ht="15" customHeight="1">
      <c r="A64" s="184" t="s">
        <v>118</v>
      </c>
      <c r="B64" s="184" t="s">
        <v>119</v>
      </c>
      <c r="C64" s="185">
        <v>0.72874375211149744</v>
      </c>
      <c r="D64" s="185">
        <v>0.1013382235008102</v>
      </c>
      <c r="E64" s="185">
        <v>0.11471990141891254</v>
      </c>
      <c r="F64" s="185">
        <v>5.2183705461758566E-2</v>
      </c>
      <c r="G64" s="185">
        <v>3.0144175070214389E-3</v>
      </c>
      <c r="H64" s="187">
        <f t="shared" ref="H64:H73" si="2">ROUND(SUM(C64:G64),4)</f>
        <v>1</v>
      </c>
      <c r="J64" s="11"/>
    </row>
    <row r="65" spans="1:10" s="13" customFormat="1" ht="15" customHeight="1">
      <c r="A65" s="184" t="s">
        <v>120</v>
      </c>
      <c r="B65" s="184" t="s">
        <v>121</v>
      </c>
      <c r="C65" s="185">
        <v>0</v>
      </c>
      <c r="D65" s="185">
        <v>0</v>
      </c>
      <c r="E65" s="185">
        <v>0</v>
      </c>
      <c r="F65" s="185">
        <v>0</v>
      </c>
      <c r="G65" s="185">
        <v>0</v>
      </c>
      <c r="H65" s="187">
        <f t="shared" si="2"/>
        <v>0</v>
      </c>
      <c r="J65" s="16"/>
    </row>
    <row r="66" spans="1:10" s="13" customFormat="1" ht="15" customHeight="1">
      <c r="A66" s="184" t="s">
        <v>122</v>
      </c>
      <c r="B66" s="184" t="s">
        <v>123</v>
      </c>
      <c r="C66" s="185">
        <v>0.52963034043006652</v>
      </c>
      <c r="D66" s="185">
        <v>0.16861726771660152</v>
      </c>
      <c r="E66" s="185">
        <v>0.28951585050414058</v>
      </c>
      <c r="F66" s="185">
        <v>9.4570625279267618E-3</v>
      </c>
      <c r="G66" s="185">
        <v>2.7794788212647851E-3</v>
      </c>
      <c r="H66" s="187">
        <f t="shared" si="2"/>
        <v>1</v>
      </c>
      <c r="J66" s="16"/>
    </row>
    <row r="67" spans="1:10" s="13" customFormat="1" ht="15" customHeight="1">
      <c r="A67" s="184" t="s">
        <v>124</v>
      </c>
      <c r="B67" s="184" t="s">
        <v>125</v>
      </c>
      <c r="C67" s="185">
        <v>0.58175530295542621</v>
      </c>
      <c r="D67" s="185">
        <v>0.1499316051062782</v>
      </c>
      <c r="E67" s="185">
        <v>0.25743256759889555</v>
      </c>
      <c r="F67" s="185">
        <v>8.4090590697129021E-3</v>
      </c>
      <c r="G67" s="185">
        <v>2.471465269687236E-3</v>
      </c>
      <c r="H67" s="187">
        <f t="shared" si="2"/>
        <v>1</v>
      </c>
      <c r="I67" s="14"/>
      <c r="J67" s="16"/>
    </row>
    <row r="68" spans="1:10" s="13" customFormat="1" ht="15" customHeight="1">
      <c r="A68" s="184" t="s">
        <v>126</v>
      </c>
      <c r="B68" s="184" t="s">
        <v>127</v>
      </c>
      <c r="C68" s="185">
        <v>0</v>
      </c>
      <c r="D68" s="185">
        <v>0</v>
      </c>
      <c r="E68" s="185">
        <v>0</v>
      </c>
      <c r="F68" s="185">
        <v>0</v>
      </c>
      <c r="G68" s="185">
        <v>0</v>
      </c>
      <c r="H68" s="187">
        <f t="shared" si="2"/>
        <v>0</v>
      </c>
      <c r="I68" s="14"/>
      <c r="J68" s="16"/>
    </row>
    <row r="69" spans="1:10" s="13" customFormat="1" ht="15" customHeight="1">
      <c r="A69" s="184" t="s">
        <v>128</v>
      </c>
      <c r="B69" s="184" t="s">
        <v>129</v>
      </c>
      <c r="C69" s="185">
        <v>0</v>
      </c>
      <c r="D69" s="185">
        <v>0</v>
      </c>
      <c r="E69" s="185">
        <v>0</v>
      </c>
      <c r="F69" s="185">
        <v>0</v>
      </c>
      <c r="G69" s="185">
        <v>0</v>
      </c>
      <c r="H69" s="187">
        <f t="shared" si="2"/>
        <v>0</v>
      </c>
      <c r="I69" s="14"/>
      <c r="J69" s="16"/>
    </row>
    <row r="70" spans="1:10" s="14" customFormat="1" ht="15" customHeight="1">
      <c r="A70" s="184" t="s">
        <v>130</v>
      </c>
      <c r="B70" s="184" t="s">
        <v>131</v>
      </c>
      <c r="C70" s="185">
        <v>0.66413023598824139</v>
      </c>
      <c r="D70" s="185">
        <v>0.3358697640117585</v>
      </c>
      <c r="E70" s="185">
        <v>0</v>
      </c>
      <c r="F70" s="185">
        <v>0</v>
      </c>
      <c r="G70" s="185">
        <v>0</v>
      </c>
      <c r="H70" s="187">
        <f t="shared" si="2"/>
        <v>1</v>
      </c>
      <c r="J70" s="15"/>
    </row>
    <row r="71" spans="1:10" s="14" customFormat="1" ht="15" customHeight="1">
      <c r="A71" s="184" t="s">
        <v>132</v>
      </c>
      <c r="B71" s="184" t="s">
        <v>133</v>
      </c>
      <c r="C71" s="185">
        <v>0.48508967903517614</v>
      </c>
      <c r="D71" s="185">
        <v>0.24532380426806671</v>
      </c>
      <c r="E71" s="185">
        <v>0.26958651669675709</v>
      </c>
      <c r="F71" s="185">
        <v>0</v>
      </c>
      <c r="G71" s="185">
        <v>0</v>
      </c>
      <c r="H71" s="187">
        <f t="shared" si="2"/>
        <v>1</v>
      </c>
      <c r="J71" s="15"/>
    </row>
    <row r="72" spans="1:10" s="14" customFormat="1" ht="15" customHeight="1">
      <c r="A72" s="184" t="s">
        <v>134</v>
      </c>
      <c r="B72" s="184" t="s">
        <v>135</v>
      </c>
      <c r="C72" s="185">
        <v>0.66844601366171141</v>
      </c>
      <c r="D72" s="185">
        <v>0.14114229251235244</v>
      </c>
      <c r="E72" s="185">
        <v>0.14731435764201897</v>
      </c>
      <c r="F72" s="185">
        <v>4.0615053986385312E-2</v>
      </c>
      <c r="G72" s="185">
        <v>2.4822821975319163E-3</v>
      </c>
      <c r="H72" s="187">
        <f t="shared" si="2"/>
        <v>1</v>
      </c>
      <c r="J72" s="15"/>
    </row>
    <row r="73" spans="1:10" s="13" customFormat="1" ht="15" customHeight="1">
      <c r="A73" s="184" t="s">
        <v>136</v>
      </c>
      <c r="B73" s="184" t="s">
        <v>137</v>
      </c>
      <c r="C73" s="185">
        <v>0.58175530295542621</v>
      </c>
      <c r="D73" s="185">
        <v>0.1499316051062782</v>
      </c>
      <c r="E73" s="185">
        <v>0.25743256759889555</v>
      </c>
      <c r="F73" s="185">
        <v>8.4090590697129021E-3</v>
      </c>
      <c r="G73" s="185">
        <v>2.471465269687236E-3</v>
      </c>
      <c r="H73" s="187">
        <f t="shared" si="2"/>
        <v>1</v>
      </c>
      <c r="I73" s="14"/>
      <c r="J73" s="17"/>
    </row>
    <row r="74" spans="1:10" ht="15" customHeight="1">
      <c r="I74" s="6"/>
    </row>
    <row r="75" spans="1:10" ht="15" customHeight="1">
      <c r="D75" s="19"/>
      <c r="E75" s="19"/>
      <c r="H75" s="19"/>
      <c r="I75" s="19"/>
    </row>
    <row r="76" spans="1:10" ht="15" customHeight="1"/>
  </sheetData>
  <printOptions horizontalCentered="1"/>
  <pageMargins left="0.12" right="0.16" top="0.25" bottom="0.71" header="0.24" footer="0.34"/>
  <pageSetup orientation="landscape" r:id="rId1"/>
  <headerFooter alignWithMargins="0">
    <oddFooter>&amp;LExhibit RMP_____(CCP-3)&amp;R&amp;F&amp;CTab 3 - Page  2 of 16</oddFooter>
  </headerFooter>
  <rowBreaks count="1" manualBreakCount="1">
    <brk id="39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99"/>
  <sheetViews>
    <sheetView zoomScale="90" workbookViewId="0"/>
  </sheetViews>
  <sheetFormatPr defaultRowHeight="12.75"/>
  <cols>
    <col min="1" max="1" width="11.28515625" style="80" bestFit="1" customWidth="1"/>
    <col min="2" max="2" width="15" style="80" customWidth="1"/>
    <col min="3" max="3" width="10.85546875" style="80" customWidth="1"/>
    <col min="4" max="4" width="9.140625" style="80"/>
    <col min="5" max="5" width="14.28515625" style="80" bestFit="1" customWidth="1"/>
    <col min="6" max="7" width="15.7109375" style="80" customWidth="1"/>
    <col min="8" max="8" width="15.140625" style="80" bestFit="1" customWidth="1"/>
    <col min="9" max="10" width="15.7109375" style="80" customWidth="1"/>
    <col min="11" max="11" width="12.5703125" style="80" bestFit="1" customWidth="1"/>
    <col min="12" max="12" width="16" style="80" bestFit="1" customWidth="1"/>
    <col min="13" max="13" width="9.140625" style="80"/>
    <col min="14" max="14" width="24.7109375" style="80" bestFit="1" customWidth="1"/>
    <col min="15" max="16384" width="9.140625" style="80"/>
  </cols>
  <sheetData>
    <row r="1" spans="1:14">
      <c r="B1" s="167" t="str">
        <f>+'TOTAL FUNCFAC'!A1</f>
        <v>PacifiCorp</v>
      </c>
      <c r="C1" s="167"/>
      <c r="D1" s="167"/>
      <c r="E1" s="167"/>
      <c r="F1" s="167"/>
      <c r="G1" s="167"/>
      <c r="H1" s="167"/>
      <c r="I1" s="167"/>
      <c r="J1" s="167"/>
    </row>
    <row r="2" spans="1:14">
      <c r="B2" s="167" t="str">
        <f>+'TOTAL FUNCFAC'!A2</f>
        <v>12 Months Ended December 2018</v>
      </c>
      <c r="C2" s="167"/>
      <c r="D2" s="167"/>
      <c r="E2" s="167"/>
      <c r="F2" s="167"/>
      <c r="G2" s="167"/>
      <c r="H2" s="167"/>
      <c r="I2" s="167"/>
      <c r="J2" s="167"/>
    </row>
    <row r="3" spans="1:14">
      <c r="B3" s="167" t="s">
        <v>293</v>
      </c>
      <c r="C3" s="167"/>
      <c r="D3" s="167"/>
      <c r="E3" s="167"/>
      <c r="F3" s="167"/>
      <c r="G3" s="167"/>
      <c r="H3" s="167"/>
      <c r="I3" s="167"/>
      <c r="J3" s="167"/>
    </row>
    <row r="4" spans="1:14">
      <c r="B4" s="143"/>
      <c r="C4" s="143"/>
      <c r="D4" s="143"/>
      <c r="E4" s="143"/>
      <c r="F4" s="143"/>
      <c r="G4" s="143"/>
      <c r="H4" s="143"/>
      <c r="I4" s="143"/>
      <c r="J4" s="143"/>
    </row>
    <row r="5" spans="1:14">
      <c r="B5" s="168" t="s">
        <v>294</v>
      </c>
      <c r="C5" s="168" t="s">
        <v>157</v>
      </c>
      <c r="D5" s="168" t="s">
        <v>3</v>
      </c>
      <c r="E5" s="168" t="s">
        <v>10</v>
      </c>
      <c r="F5" s="153" t="s">
        <v>5</v>
      </c>
      <c r="G5" s="153" t="s">
        <v>6</v>
      </c>
      <c r="H5" s="153" t="s">
        <v>7</v>
      </c>
      <c r="I5" s="153" t="s">
        <v>8</v>
      </c>
      <c r="J5" s="153" t="s">
        <v>9</v>
      </c>
      <c r="K5" s="212"/>
    </row>
    <row r="6" spans="1:14">
      <c r="A6" s="80" t="str">
        <f t="shared" ref="A6:A29" si="0">"RA"&amp;"-"&amp;C6</f>
        <v>RA-SE</v>
      </c>
      <c r="B6" s="169" t="s">
        <v>295</v>
      </c>
      <c r="C6" s="155" t="s">
        <v>166</v>
      </c>
      <c r="D6" s="155" t="s">
        <v>72</v>
      </c>
      <c r="E6" s="242">
        <v>195232.93065538467</v>
      </c>
      <c r="F6" s="170">
        <f t="shared" ref="F6:F29" si="1">VLOOKUP($D6,$D$72:$J$84,3,FALSE)*$E6</f>
        <v>195232.93065538467</v>
      </c>
      <c r="G6" s="170">
        <f t="shared" ref="G6:G29" si="2">VLOOKUP($D6,$D$72:$J$84,4,FALSE)*$E6</f>
        <v>0</v>
      </c>
      <c r="H6" s="170">
        <f t="shared" ref="H6:H29" si="3">VLOOKUP($D6,$D$72:$J$84,5,FALSE)*$E6</f>
        <v>0</v>
      </c>
      <c r="I6" s="170">
        <f t="shared" ref="I6:I29" si="4">VLOOKUP($D6,$D$72:$J$84,6,FALSE)*$E6</f>
        <v>0</v>
      </c>
      <c r="J6" s="170">
        <f t="shared" ref="J6:J29" si="5">VLOOKUP($D6,$D$72:$J$84,7,FALSE)*$E6</f>
        <v>0</v>
      </c>
      <c r="K6" s="231"/>
      <c r="L6" s="63"/>
      <c r="N6" s="171"/>
    </row>
    <row r="7" spans="1:14">
      <c r="A7" s="80" t="str">
        <f t="shared" si="0"/>
        <v>RA-SG</v>
      </c>
      <c r="B7" s="169" t="s">
        <v>295</v>
      </c>
      <c r="C7" s="155" t="s">
        <v>202</v>
      </c>
      <c r="D7" s="155" t="s">
        <v>72</v>
      </c>
      <c r="E7" s="242">
        <v>3448.66939</v>
      </c>
      <c r="F7" s="170">
        <f t="shared" si="1"/>
        <v>3448.66939</v>
      </c>
      <c r="G7" s="170">
        <f t="shared" si="2"/>
        <v>0</v>
      </c>
      <c r="H7" s="170">
        <f t="shared" si="3"/>
        <v>0</v>
      </c>
      <c r="I7" s="170">
        <f t="shared" si="4"/>
        <v>0</v>
      </c>
      <c r="J7" s="170">
        <f t="shared" si="5"/>
        <v>0</v>
      </c>
      <c r="K7" s="231"/>
      <c r="L7" s="63"/>
      <c r="N7" s="171"/>
    </row>
    <row r="8" spans="1:14">
      <c r="A8" s="80" t="str">
        <f t="shared" si="0"/>
        <v>RA-SGCT</v>
      </c>
      <c r="B8" s="169" t="s">
        <v>295</v>
      </c>
      <c r="C8" s="155" t="s">
        <v>260</v>
      </c>
      <c r="D8" s="155" t="s">
        <v>72</v>
      </c>
      <c r="E8" s="242">
        <v>0</v>
      </c>
      <c r="F8" s="170">
        <f t="shared" si="1"/>
        <v>0</v>
      </c>
      <c r="G8" s="170">
        <f t="shared" si="2"/>
        <v>0</v>
      </c>
      <c r="H8" s="170">
        <f t="shared" si="3"/>
        <v>0</v>
      </c>
      <c r="I8" s="170">
        <f t="shared" si="4"/>
        <v>0</v>
      </c>
      <c r="J8" s="170">
        <f t="shared" si="5"/>
        <v>0</v>
      </c>
      <c r="K8" s="231"/>
      <c r="L8" s="63"/>
      <c r="N8" s="171"/>
    </row>
    <row r="9" spans="1:14">
      <c r="A9" s="80" t="str">
        <f t="shared" si="0"/>
        <v>RA-SG-P</v>
      </c>
      <c r="B9" s="169" t="s">
        <v>295</v>
      </c>
      <c r="C9" s="155" t="s">
        <v>235</v>
      </c>
      <c r="D9" s="155" t="s">
        <v>72</v>
      </c>
      <c r="E9" s="242">
        <v>0</v>
      </c>
      <c r="F9" s="170">
        <f t="shared" si="1"/>
        <v>0</v>
      </c>
      <c r="G9" s="170">
        <f t="shared" si="2"/>
        <v>0</v>
      </c>
      <c r="H9" s="170">
        <f t="shared" si="3"/>
        <v>0</v>
      </c>
      <c r="I9" s="170">
        <f t="shared" si="4"/>
        <v>0</v>
      </c>
      <c r="J9" s="170">
        <f t="shared" si="5"/>
        <v>0</v>
      </c>
      <c r="K9" s="231"/>
      <c r="L9" s="63"/>
      <c r="N9" s="171"/>
    </row>
    <row r="10" spans="1:14">
      <c r="A10" s="80" t="str">
        <f t="shared" si="0"/>
        <v>RA-SO</v>
      </c>
      <c r="B10" s="169" t="s">
        <v>295</v>
      </c>
      <c r="C10" s="155" t="s">
        <v>203</v>
      </c>
      <c r="D10" s="155" t="s">
        <v>9</v>
      </c>
      <c r="E10" s="242">
        <v>3607.4893738461533</v>
      </c>
      <c r="F10" s="170">
        <f t="shared" si="1"/>
        <v>0</v>
      </c>
      <c r="G10" s="170">
        <f t="shared" si="2"/>
        <v>0</v>
      </c>
      <c r="H10" s="170">
        <f t="shared" si="3"/>
        <v>0</v>
      </c>
      <c r="I10" s="170">
        <f t="shared" si="4"/>
        <v>0</v>
      </c>
      <c r="J10" s="170">
        <f t="shared" si="5"/>
        <v>3607.4893738461533</v>
      </c>
      <c r="K10" s="231"/>
      <c r="L10" s="63"/>
      <c r="N10" s="171"/>
    </row>
    <row r="11" spans="1:14">
      <c r="A11" s="80" t="str">
        <f t="shared" si="0"/>
        <v>RA-SO</v>
      </c>
      <c r="B11" s="169" t="s">
        <v>295</v>
      </c>
      <c r="C11" s="155" t="s">
        <v>203</v>
      </c>
      <c r="D11" s="155" t="s">
        <v>54</v>
      </c>
      <c r="E11" s="242">
        <v>417365.24654692295</v>
      </c>
      <c r="F11" s="170">
        <f t="shared" si="1"/>
        <v>192563.29418012424</v>
      </c>
      <c r="G11" s="170">
        <f t="shared" si="2"/>
        <v>36255.798792848043</v>
      </c>
      <c r="H11" s="170">
        <f t="shared" si="3"/>
        <v>127254.36126983566</v>
      </c>
      <c r="I11" s="170">
        <f t="shared" si="4"/>
        <v>61291.792304115035</v>
      </c>
      <c r="J11" s="170">
        <f t="shared" si="5"/>
        <v>0</v>
      </c>
      <c r="K11" s="231"/>
      <c r="L11" s="63"/>
      <c r="N11" s="171"/>
    </row>
    <row r="12" spans="1:14">
      <c r="A12" s="80" t="str">
        <f t="shared" si="0"/>
        <v>RA-SO</v>
      </c>
      <c r="B12" s="169" t="s">
        <v>295</v>
      </c>
      <c r="C12" s="155" t="s">
        <v>203</v>
      </c>
      <c r="D12" s="155" t="s">
        <v>28</v>
      </c>
      <c r="E12" s="242">
        <v>24728.243700000003</v>
      </c>
      <c r="F12" s="170">
        <f t="shared" si="1"/>
        <v>7418.4731100000008</v>
      </c>
      <c r="G12" s="170">
        <f t="shared" si="2"/>
        <v>2472.8243700000003</v>
      </c>
      <c r="H12" s="170">
        <f t="shared" si="3"/>
        <v>14836.946220000002</v>
      </c>
      <c r="I12" s="170">
        <f t="shared" si="4"/>
        <v>0</v>
      </c>
      <c r="J12" s="170">
        <f t="shared" si="5"/>
        <v>0</v>
      </c>
      <c r="K12" s="231"/>
      <c r="L12" s="63"/>
      <c r="N12" s="171"/>
    </row>
    <row r="13" spans="1:14">
      <c r="A13" s="80" t="str">
        <f t="shared" si="0"/>
        <v>RA-SO</v>
      </c>
      <c r="B13" s="169" t="s">
        <v>295</v>
      </c>
      <c r="C13" s="155" t="s">
        <v>203</v>
      </c>
      <c r="D13" s="155" t="s">
        <v>72</v>
      </c>
      <c r="E13" s="242">
        <v>0</v>
      </c>
      <c r="F13" s="170">
        <f t="shared" si="1"/>
        <v>0</v>
      </c>
      <c r="G13" s="170">
        <f t="shared" si="2"/>
        <v>0</v>
      </c>
      <c r="H13" s="170">
        <f t="shared" si="3"/>
        <v>0</v>
      </c>
      <c r="I13" s="170">
        <f t="shared" si="4"/>
        <v>0</v>
      </c>
      <c r="J13" s="170">
        <f t="shared" si="5"/>
        <v>0</v>
      </c>
      <c r="K13" s="231"/>
      <c r="L13" s="63"/>
      <c r="N13" s="171"/>
    </row>
    <row r="14" spans="1:14">
      <c r="A14" s="80" t="str">
        <f t="shared" si="0"/>
        <v>RA-SO</v>
      </c>
      <c r="B14" s="169" t="s">
        <v>295</v>
      </c>
      <c r="C14" s="155" t="s">
        <v>203</v>
      </c>
      <c r="D14" s="155" t="s">
        <v>116</v>
      </c>
      <c r="E14" s="242">
        <v>0</v>
      </c>
      <c r="F14" s="170">
        <f t="shared" si="1"/>
        <v>0</v>
      </c>
      <c r="G14" s="170">
        <f t="shared" si="2"/>
        <v>0</v>
      </c>
      <c r="H14" s="170">
        <f t="shared" si="3"/>
        <v>0</v>
      </c>
      <c r="I14" s="170">
        <f t="shared" si="4"/>
        <v>0</v>
      </c>
      <c r="J14" s="170">
        <f t="shared" si="5"/>
        <v>0</v>
      </c>
      <c r="K14" s="231"/>
      <c r="L14" s="63"/>
      <c r="N14" s="171"/>
    </row>
    <row r="15" spans="1:14">
      <c r="A15" s="80" t="str">
        <f>"RA"&amp;"-"&amp;C15</f>
        <v>RA-OTHER</v>
      </c>
      <c r="B15" s="169" t="s">
        <v>295</v>
      </c>
      <c r="C15" s="155" t="s">
        <v>201</v>
      </c>
      <c r="D15" s="155" t="s">
        <v>8</v>
      </c>
      <c r="E15" s="242">
        <v>76046.115336154282</v>
      </c>
      <c r="F15" s="170">
        <f t="shared" si="1"/>
        <v>0</v>
      </c>
      <c r="G15" s="170">
        <f t="shared" si="2"/>
        <v>0</v>
      </c>
      <c r="H15" s="170">
        <f t="shared" si="3"/>
        <v>0</v>
      </c>
      <c r="I15" s="170">
        <f t="shared" si="4"/>
        <v>76046.115336154282</v>
      </c>
      <c r="J15" s="170">
        <f t="shared" si="5"/>
        <v>0</v>
      </c>
      <c r="K15" s="231"/>
      <c r="L15" s="63"/>
      <c r="N15" s="171"/>
    </row>
    <row r="16" spans="1:14">
      <c r="A16" s="80" t="str">
        <f t="shared" ref="A16:A21" si="6">"RA"&amp;"-"&amp;C16</f>
        <v>RA-OTHER</v>
      </c>
      <c r="B16" s="169" t="s">
        <v>295</v>
      </c>
      <c r="C16" s="155" t="s">
        <v>201</v>
      </c>
      <c r="D16" s="155" t="s">
        <v>9</v>
      </c>
      <c r="E16" s="242">
        <v>10635.655996153846</v>
      </c>
      <c r="F16" s="170">
        <f t="shared" si="1"/>
        <v>0</v>
      </c>
      <c r="G16" s="170">
        <f t="shared" si="2"/>
        <v>0</v>
      </c>
      <c r="H16" s="170">
        <f t="shared" si="3"/>
        <v>0</v>
      </c>
      <c r="I16" s="170">
        <f t="shared" si="4"/>
        <v>0</v>
      </c>
      <c r="J16" s="170">
        <f t="shared" si="5"/>
        <v>10635.655996153846</v>
      </c>
      <c r="K16" s="231"/>
      <c r="L16" s="63"/>
      <c r="N16" s="171"/>
    </row>
    <row r="17" spans="1:18">
      <c r="A17" s="80" t="str">
        <f t="shared" si="6"/>
        <v>RA-OTHER</v>
      </c>
      <c r="B17" s="169" t="s">
        <v>295</v>
      </c>
      <c r="C17" s="155" t="s">
        <v>201</v>
      </c>
      <c r="D17" s="155" t="s">
        <v>54</v>
      </c>
      <c r="E17" s="242">
        <v>4601.0837623076941</v>
      </c>
      <c r="F17" s="170">
        <f t="shared" si="1"/>
        <v>2122.8404937856735</v>
      </c>
      <c r="G17" s="170">
        <f t="shared" si="2"/>
        <v>399.68820714092084</v>
      </c>
      <c r="H17" s="170">
        <f t="shared" si="3"/>
        <v>1402.8671054087185</v>
      </c>
      <c r="I17" s="170">
        <f t="shared" si="4"/>
        <v>675.68795597238147</v>
      </c>
      <c r="J17" s="170">
        <f t="shared" si="5"/>
        <v>0</v>
      </c>
      <c r="K17" s="231"/>
      <c r="L17" s="63"/>
      <c r="N17" s="171"/>
    </row>
    <row r="18" spans="1:18">
      <c r="A18" s="80" t="str">
        <f t="shared" si="6"/>
        <v>RA-OTHER</v>
      </c>
      <c r="B18" s="169" t="s">
        <v>295</v>
      </c>
      <c r="C18" s="155" t="s">
        <v>201</v>
      </c>
      <c r="D18" s="155" t="s">
        <v>72</v>
      </c>
      <c r="E18" s="242">
        <v>-27298.188005384563</v>
      </c>
      <c r="F18" s="170">
        <f t="shared" si="1"/>
        <v>-27298.188005384563</v>
      </c>
      <c r="G18" s="170">
        <f t="shared" si="2"/>
        <v>0</v>
      </c>
      <c r="H18" s="170">
        <f t="shared" si="3"/>
        <v>0</v>
      </c>
      <c r="I18" s="170">
        <f t="shared" si="4"/>
        <v>0</v>
      </c>
      <c r="J18" s="170">
        <f t="shared" si="5"/>
        <v>0</v>
      </c>
      <c r="K18" s="231"/>
      <c r="L18" s="63"/>
      <c r="N18" s="171"/>
    </row>
    <row r="19" spans="1:18">
      <c r="A19" s="80" t="str">
        <f t="shared" si="6"/>
        <v>RA-OTHER</v>
      </c>
      <c r="B19" s="169" t="s">
        <v>295</v>
      </c>
      <c r="C19" s="155" t="s">
        <v>201</v>
      </c>
      <c r="D19" s="155" t="s">
        <v>7</v>
      </c>
      <c r="E19" s="242">
        <v>0</v>
      </c>
      <c r="F19" s="170">
        <f t="shared" si="1"/>
        <v>0</v>
      </c>
      <c r="G19" s="170">
        <f t="shared" si="2"/>
        <v>0</v>
      </c>
      <c r="H19" s="170">
        <f t="shared" si="3"/>
        <v>0</v>
      </c>
      <c r="I19" s="170">
        <f t="shared" si="4"/>
        <v>0</v>
      </c>
      <c r="J19" s="170">
        <f t="shared" si="5"/>
        <v>0</v>
      </c>
      <c r="K19" s="231"/>
      <c r="L19" s="63"/>
      <c r="N19" s="171"/>
    </row>
    <row r="20" spans="1:18">
      <c r="A20" s="80" t="str">
        <f t="shared" si="6"/>
        <v>RA-OTHER</v>
      </c>
      <c r="B20" s="169" t="s">
        <v>295</v>
      </c>
      <c r="C20" s="155" t="s">
        <v>201</v>
      </c>
      <c r="D20" s="155" t="s">
        <v>132</v>
      </c>
      <c r="E20" s="242">
        <v>1902.73073230769</v>
      </c>
      <c r="F20" s="170">
        <f t="shared" si="1"/>
        <v>922.99504022550116</v>
      </c>
      <c r="G20" s="170">
        <f t="shared" si="2"/>
        <v>466.78514174748796</v>
      </c>
      <c r="H20" s="170">
        <f t="shared" si="3"/>
        <v>512.95055033470101</v>
      </c>
      <c r="I20" s="170">
        <f t="shared" si="4"/>
        <v>0</v>
      </c>
      <c r="J20" s="170">
        <f t="shared" si="5"/>
        <v>0</v>
      </c>
      <c r="K20" s="231"/>
      <c r="L20" s="63"/>
      <c r="N20" s="171"/>
    </row>
    <row r="21" spans="1:18">
      <c r="A21" s="80" t="str">
        <f t="shared" si="6"/>
        <v>RA-OTHER</v>
      </c>
      <c r="B21" s="169" t="s">
        <v>295</v>
      </c>
      <c r="C21" s="155" t="s">
        <v>201</v>
      </c>
      <c r="D21" s="155" t="s">
        <v>28</v>
      </c>
      <c r="E21" s="242">
        <v>0</v>
      </c>
      <c r="F21" s="170">
        <f t="shared" si="1"/>
        <v>0</v>
      </c>
      <c r="G21" s="170">
        <f t="shared" si="2"/>
        <v>0</v>
      </c>
      <c r="H21" s="170">
        <f t="shared" si="3"/>
        <v>0</v>
      </c>
      <c r="I21" s="170">
        <f t="shared" si="4"/>
        <v>0</v>
      </c>
      <c r="J21" s="170">
        <f t="shared" si="5"/>
        <v>0</v>
      </c>
      <c r="K21" s="231"/>
      <c r="L21" s="63"/>
      <c r="N21" s="171"/>
    </row>
    <row r="22" spans="1:18">
      <c r="A22" s="80" t="str">
        <f t="shared" si="0"/>
        <v>RA-TROJD</v>
      </c>
      <c r="B22" s="169" t="s">
        <v>295</v>
      </c>
      <c r="C22" s="155" t="s">
        <v>263</v>
      </c>
      <c r="D22" s="155" t="s">
        <v>72</v>
      </c>
      <c r="E22" s="242">
        <v>0</v>
      </c>
      <c r="F22" s="170">
        <f t="shared" si="1"/>
        <v>0</v>
      </c>
      <c r="G22" s="170">
        <f t="shared" si="2"/>
        <v>0</v>
      </c>
      <c r="H22" s="170">
        <f t="shared" si="3"/>
        <v>0</v>
      </c>
      <c r="I22" s="170">
        <f t="shared" si="4"/>
        <v>0</v>
      </c>
      <c r="J22" s="170">
        <f t="shared" si="5"/>
        <v>0</v>
      </c>
      <c r="K22" s="231"/>
      <c r="L22" s="63"/>
      <c r="N22" s="171"/>
    </row>
    <row r="23" spans="1:18">
      <c r="A23" s="80" t="str">
        <f t="shared" si="0"/>
        <v>RA-TROJP</v>
      </c>
      <c r="B23" s="169" t="s">
        <v>295</v>
      </c>
      <c r="C23" s="155" t="s">
        <v>268</v>
      </c>
      <c r="D23" s="155" t="s">
        <v>72</v>
      </c>
      <c r="E23" s="242">
        <v>0</v>
      </c>
      <c r="F23" s="170">
        <f t="shared" si="1"/>
        <v>0</v>
      </c>
      <c r="G23" s="170">
        <f t="shared" si="2"/>
        <v>0</v>
      </c>
      <c r="H23" s="170">
        <f t="shared" si="3"/>
        <v>0</v>
      </c>
      <c r="I23" s="170">
        <f t="shared" si="4"/>
        <v>0</v>
      </c>
      <c r="J23" s="170">
        <f t="shared" si="5"/>
        <v>0</v>
      </c>
      <c r="K23" s="231"/>
      <c r="L23" s="63"/>
      <c r="N23" s="171"/>
    </row>
    <row r="24" spans="1:18">
      <c r="A24" s="80" t="str">
        <f t="shared" si="0"/>
        <v>RA-SITUS</v>
      </c>
      <c r="B24" s="169" t="s">
        <v>295</v>
      </c>
      <c r="C24" s="155" t="s">
        <v>204</v>
      </c>
      <c r="D24" s="155" t="s">
        <v>9</v>
      </c>
      <c r="E24" s="242">
        <v>-99.427996153846578</v>
      </c>
      <c r="F24" s="170">
        <f t="shared" si="1"/>
        <v>0</v>
      </c>
      <c r="G24" s="170">
        <f t="shared" si="2"/>
        <v>0</v>
      </c>
      <c r="H24" s="170">
        <f t="shared" si="3"/>
        <v>0</v>
      </c>
      <c r="I24" s="170">
        <f t="shared" si="4"/>
        <v>0</v>
      </c>
      <c r="J24" s="170">
        <f t="shared" si="5"/>
        <v>-99.427996153846578</v>
      </c>
      <c r="K24" s="231"/>
      <c r="L24" s="63"/>
      <c r="N24" s="171"/>
    </row>
    <row r="25" spans="1:18">
      <c r="A25" s="80" t="str">
        <f t="shared" si="0"/>
        <v>RA-SITUS</v>
      </c>
      <c r="B25" s="169" t="s">
        <v>295</v>
      </c>
      <c r="C25" s="155" t="s">
        <v>204</v>
      </c>
      <c r="D25" s="155" t="s">
        <v>54</v>
      </c>
      <c r="E25" s="242">
        <v>-965.60204538461483</v>
      </c>
      <c r="F25" s="170">
        <f t="shared" si="1"/>
        <v>-445.50789090538882</v>
      </c>
      <c r="G25" s="170">
        <f t="shared" si="2"/>
        <v>-83.880183510898092</v>
      </c>
      <c r="H25" s="170">
        <f t="shared" si="3"/>
        <v>-294.41136401003951</v>
      </c>
      <c r="I25" s="170">
        <f t="shared" si="4"/>
        <v>-141.80260695828846</v>
      </c>
      <c r="J25" s="170">
        <f t="shared" si="5"/>
        <v>0</v>
      </c>
      <c r="K25" s="231"/>
      <c r="L25" s="63"/>
      <c r="N25" s="171"/>
    </row>
    <row r="26" spans="1:18">
      <c r="A26" s="80" t="str">
        <f t="shared" si="0"/>
        <v>RA-SITUS</v>
      </c>
      <c r="B26" s="169" t="s">
        <v>295</v>
      </c>
      <c r="C26" s="155" t="s">
        <v>204</v>
      </c>
      <c r="D26" s="155" t="s">
        <v>72</v>
      </c>
      <c r="E26" s="242">
        <v>1521.6655546153886</v>
      </c>
      <c r="F26" s="170">
        <f t="shared" si="1"/>
        <v>1521.6655546153886</v>
      </c>
      <c r="G26" s="170">
        <f t="shared" si="2"/>
        <v>0</v>
      </c>
      <c r="H26" s="170">
        <f t="shared" si="3"/>
        <v>0</v>
      </c>
      <c r="I26" s="170">
        <f t="shared" si="4"/>
        <v>0</v>
      </c>
      <c r="J26" s="170">
        <f t="shared" si="5"/>
        <v>0</v>
      </c>
      <c r="K26" s="231"/>
      <c r="L26" s="63"/>
      <c r="N26" s="171"/>
    </row>
    <row r="27" spans="1:18">
      <c r="A27" s="80" t="str">
        <f t="shared" si="0"/>
        <v>RA-SITUS</v>
      </c>
      <c r="B27" s="169" t="s">
        <v>295</v>
      </c>
      <c r="C27" s="155" t="s">
        <v>204</v>
      </c>
      <c r="D27" s="155" t="s">
        <v>132</v>
      </c>
      <c r="E27" s="242">
        <v>0</v>
      </c>
      <c r="F27" s="170">
        <f t="shared" si="1"/>
        <v>0</v>
      </c>
      <c r="G27" s="170">
        <f t="shared" si="2"/>
        <v>0</v>
      </c>
      <c r="H27" s="170">
        <f t="shared" si="3"/>
        <v>0</v>
      </c>
      <c r="I27" s="170">
        <f t="shared" si="4"/>
        <v>0</v>
      </c>
      <c r="J27" s="170">
        <f t="shared" si="5"/>
        <v>0</v>
      </c>
      <c r="K27" s="231"/>
      <c r="L27" s="63"/>
      <c r="N27" s="171"/>
    </row>
    <row r="28" spans="1:18">
      <c r="A28" s="80" t="str">
        <f t="shared" si="0"/>
        <v>RA-SITUS</v>
      </c>
      <c r="B28" s="169" t="s">
        <v>295</v>
      </c>
      <c r="C28" s="155" t="s">
        <v>204</v>
      </c>
      <c r="D28" s="155" t="s">
        <v>28</v>
      </c>
      <c r="E28" s="242">
        <v>-1987.2702900000008</v>
      </c>
      <c r="F28" s="170">
        <f t="shared" si="1"/>
        <v>-596.18108700000028</v>
      </c>
      <c r="G28" s="170">
        <f t="shared" si="2"/>
        <v>-198.7270290000001</v>
      </c>
      <c r="H28" s="170">
        <f t="shared" si="3"/>
        <v>-1192.3621740000006</v>
      </c>
      <c r="I28" s="170">
        <f t="shared" si="4"/>
        <v>0</v>
      </c>
      <c r="J28" s="170">
        <f t="shared" si="5"/>
        <v>0</v>
      </c>
      <c r="K28" s="231"/>
      <c r="L28" s="63"/>
      <c r="N28" s="171"/>
    </row>
    <row r="29" spans="1:18">
      <c r="A29" s="80" t="str">
        <f t="shared" si="0"/>
        <v>RA-SITUS</v>
      </c>
      <c r="B29" s="155" t="s">
        <v>295</v>
      </c>
      <c r="C29" s="155" t="s">
        <v>204</v>
      </c>
      <c r="D29" s="155" t="s">
        <v>8</v>
      </c>
      <c r="E29" s="242">
        <v>5712.5871038461501</v>
      </c>
      <c r="F29" s="170">
        <f t="shared" si="1"/>
        <v>0</v>
      </c>
      <c r="G29" s="170">
        <f t="shared" si="2"/>
        <v>0</v>
      </c>
      <c r="H29" s="170">
        <f t="shared" si="3"/>
        <v>0</v>
      </c>
      <c r="I29" s="170">
        <f t="shared" si="4"/>
        <v>5712.5871038461501</v>
      </c>
      <c r="J29" s="170">
        <f t="shared" si="5"/>
        <v>0</v>
      </c>
      <c r="K29" s="231"/>
      <c r="L29" s="63"/>
      <c r="N29" s="171"/>
    </row>
    <row r="30" spans="1:18">
      <c r="A30" s="143"/>
      <c r="B30" s="142" t="s">
        <v>225</v>
      </c>
      <c r="E30" s="132">
        <f t="shared" ref="E30:J30" si="7">SUMIF($A:$A,"RA-SO",E:E)</f>
        <v>445700.9796207691</v>
      </c>
      <c r="F30" s="132">
        <f t="shared" si="7"/>
        <v>199981.76729012423</v>
      </c>
      <c r="G30" s="132">
        <f t="shared" si="7"/>
        <v>38728.623162848045</v>
      </c>
      <c r="H30" s="132">
        <f t="shared" si="7"/>
        <v>142091.30748983566</v>
      </c>
      <c r="I30" s="132">
        <f t="shared" si="7"/>
        <v>61291.792304115035</v>
      </c>
      <c r="J30" s="132">
        <f t="shared" si="7"/>
        <v>3607.4893738461533</v>
      </c>
      <c r="K30" s="143"/>
      <c r="L30" s="143"/>
      <c r="M30" s="143"/>
      <c r="N30" s="143"/>
      <c r="O30" s="143"/>
      <c r="P30" s="143"/>
      <c r="Q30" s="143"/>
      <c r="R30" s="143"/>
    </row>
    <row r="31" spans="1:18">
      <c r="A31" s="143"/>
      <c r="B31" s="142" t="s">
        <v>296</v>
      </c>
      <c r="E31" s="132">
        <f t="shared" ref="E31:J31" si="8">SUMIF($A:$A,"RA-OTHER",E:E)</f>
        <v>65887.397821538951</v>
      </c>
      <c r="F31" s="132">
        <f t="shared" si="8"/>
        <v>-24252.35247137339</v>
      </c>
      <c r="G31" s="132">
        <f t="shared" si="8"/>
        <v>866.47334888840874</v>
      </c>
      <c r="H31" s="132">
        <f t="shared" si="8"/>
        <v>1915.8176557434194</v>
      </c>
      <c r="I31" s="132">
        <f t="shared" si="8"/>
        <v>76721.803292126657</v>
      </c>
      <c r="J31" s="132">
        <f t="shared" si="8"/>
        <v>10635.655996153846</v>
      </c>
      <c r="K31" s="143"/>
      <c r="L31" s="143"/>
      <c r="M31" s="143"/>
      <c r="N31" s="143"/>
      <c r="O31" s="143"/>
      <c r="P31" s="143"/>
      <c r="Q31" s="143"/>
      <c r="R31" s="143"/>
    </row>
    <row r="32" spans="1:18">
      <c r="A32" s="143"/>
      <c r="B32" s="98" t="s">
        <v>297</v>
      </c>
      <c r="C32" s="143"/>
      <c r="D32" s="143"/>
      <c r="E32" s="132">
        <f t="shared" ref="E32:J32" si="9">SUMIF($A:$A,"RA-SITUS",E:E)</f>
        <v>4181.9523269230767</v>
      </c>
      <c r="F32" s="132">
        <f t="shared" si="9"/>
        <v>479.97657670999945</v>
      </c>
      <c r="G32" s="132">
        <f t="shared" si="9"/>
        <v>-282.60721251089819</v>
      </c>
      <c r="H32" s="132">
        <f t="shared" si="9"/>
        <v>-1486.7735380100401</v>
      </c>
      <c r="I32" s="132">
        <f t="shared" si="9"/>
        <v>5570.7844968878617</v>
      </c>
      <c r="J32" s="132">
        <f t="shared" si="9"/>
        <v>-99.427996153846578</v>
      </c>
      <c r="K32" s="143"/>
      <c r="L32" s="143"/>
      <c r="M32" s="143"/>
      <c r="N32" s="143"/>
      <c r="O32" s="143"/>
      <c r="P32" s="143"/>
      <c r="Q32" s="143"/>
      <c r="R32" s="143"/>
    </row>
    <row r="33" spans="1:18">
      <c r="A33" s="143"/>
      <c r="B33" s="98" t="s">
        <v>298</v>
      </c>
      <c r="C33" s="143"/>
      <c r="D33" s="143"/>
      <c r="E33" s="132">
        <f t="shared" ref="E33:J33" si="10">SUMIF($B:$B,"182M",E:E)</f>
        <v>714451.92981461575</v>
      </c>
      <c r="F33" s="132">
        <f t="shared" si="10"/>
        <v>374890.99144084554</v>
      </c>
      <c r="G33" s="132">
        <f t="shared" si="10"/>
        <v>39312.489299225555</v>
      </c>
      <c r="H33" s="132">
        <f t="shared" si="10"/>
        <v>142520.35160756903</v>
      </c>
      <c r="I33" s="132">
        <f t="shared" si="10"/>
        <v>143584.38009312958</v>
      </c>
      <c r="J33" s="132">
        <f t="shared" si="10"/>
        <v>14143.717373846152</v>
      </c>
      <c r="K33" s="143"/>
      <c r="L33" s="143"/>
      <c r="M33" s="143"/>
      <c r="N33" s="143"/>
      <c r="O33" s="143"/>
      <c r="P33" s="143"/>
      <c r="Q33" s="143"/>
      <c r="R33" s="143"/>
    </row>
    <row r="34" spans="1:18">
      <c r="B34" s="173" t="s">
        <v>299</v>
      </c>
      <c r="C34" s="155"/>
      <c r="D34" s="155"/>
      <c r="E34" s="174">
        <f>SUM(F34:J34)</f>
        <v>1</v>
      </c>
      <c r="F34" s="175">
        <f>F30/$E30</f>
        <v>0.44869043693886768</v>
      </c>
      <c r="G34" s="175">
        <f>G30/$E30</f>
        <v>8.6893735786268259E-2</v>
      </c>
      <c r="H34" s="175">
        <f>H30/$E30</f>
        <v>0.31880411752905735</v>
      </c>
      <c r="I34" s="175">
        <f>I30/$E30</f>
        <v>0.13751774195395758</v>
      </c>
      <c r="J34" s="175">
        <f>J30/$E30</f>
        <v>8.0939677918492256E-3</v>
      </c>
    </row>
    <row r="35" spans="1:18">
      <c r="B35" s="173" t="s">
        <v>300</v>
      </c>
      <c r="C35" s="155"/>
      <c r="D35" s="155"/>
      <c r="E35" s="174">
        <f>SUM(F35:J35)</f>
        <v>0.99999999999999978</v>
      </c>
      <c r="F35" s="175">
        <f>F32/$E32</f>
        <v>0.1147733257550423</v>
      </c>
      <c r="G35" s="175">
        <f>G32/$E32</f>
        <v>-6.7577817827213241E-2</v>
      </c>
      <c r="H35" s="175">
        <f>H32/$E32</f>
        <v>-0.35552139808919153</v>
      </c>
      <c r="I35" s="175">
        <f>I32/$E32</f>
        <v>1.3321013874365792</v>
      </c>
      <c r="J35" s="175">
        <f>J32/$E32</f>
        <v>-2.3775497275216897E-2</v>
      </c>
      <c r="K35" s="172"/>
    </row>
    <row r="36" spans="1:18">
      <c r="B36" s="173"/>
      <c r="C36" s="155"/>
      <c r="D36" s="155"/>
      <c r="E36" s="174"/>
      <c r="F36" s="175"/>
      <c r="G36" s="175"/>
      <c r="H36" s="175"/>
      <c r="I36" s="175"/>
      <c r="J36" s="175"/>
    </row>
    <row r="37" spans="1:18">
      <c r="A37" s="80" t="str">
        <f t="shared" ref="A37:A48" si="11">"DD"&amp;"-"&amp;C37</f>
        <v>DD-SE</v>
      </c>
      <c r="B37" s="155" t="s">
        <v>301</v>
      </c>
      <c r="C37" s="155" t="s">
        <v>166</v>
      </c>
      <c r="D37" s="155" t="s">
        <v>72</v>
      </c>
      <c r="E37" s="242">
        <v>1820.0167100000003</v>
      </c>
      <c r="F37" s="132">
        <f>VLOOKUP($D37,$D$72:$J$84,3,FALSE)*$E37</f>
        <v>1820.0167100000003</v>
      </c>
      <c r="G37" s="132">
        <f>VLOOKUP($D37,$D$72:$J$84,4,FALSE)*$E37</f>
        <v>0</v>
      </c>
      <c r="H37" s="132">
        <f>VLOOKUP($D37,$D$72:$J$84,5,FALSE)*$E37</f>
        <v>0</v>
      </c>
      <c r="I37" s="132">
        <f>VLOOKUP($D37,$D$72:$J$84,6,FALSE)*$E37</f>
        <v>0</v>
      </c>
      <c r="J37" s="132">
        <f>VLOOKUP($D37,$D$72:$J$84,7,FALSE)*$E37</f>
        <v>0</v>
      </c>
      <c r="K37" s="231"/>
      <c r="L37" s="63"/>
    </row>
    <row r="38" spans="1:18">
      <c r="A38" s="80" t="str">
        <f t="shared" si="11"/>
        <v>DD-SG</v>
      </c>
      <c r="B38" s="155" t="s">
        <v>301</v>
      </c>
      <c r="C38" s="155" t="s">
        <v>202</v>
      </c>
      <c r="D38" s="155" t="s">
        <v>72</v>
      </c>
      <c r="E38" s="242">
        <v>53181.172569230766</v>
      </c>
      <c r="F38" s="132">
        <f>VLOOKUP($D38,$D$72:$J$84,3,FALSE)*$E38</f>
        <v>53181.172569230766</v>
      </c>
      <c r="G38" s="132">
        <f>VLOOKUP($D38,$D$72:$J$84,4,FALSE)*$E38</f>
        <v>0</v>
      </c>
      <c r="H38" s="132">
        <f>VLOOKUP($D38,$D$72:$J$84,5,FALSE)*$E38</f>
        <v>0</v>
      </c>
      <c r="I38" s="132">
        <f>VLOOKUP($D38,$D$72:$J$84,6,FALSE)*$E38</f>
        <v>0</v>
      </c>
      <c r="J38" s="132">
        <f>VLOOKUP($D38,$D$72:$J$84,7,FALSE)*$E38</f>
        <v>0</v>
      </c>
      <c r="K38" s="231"/>
      <c r="L38" s="63"/>
    </row>
    <row r="39" spans="1:18">
      <c r="A39" s="80" t="str">
        <f t="shared" si="11"/>
        <v>DD-SG</v>
      </c>
      <c r="B39" s="155" t="s">
        <v>301</v>
      </c>
      <c r="C39" s="155" t="s">
        <v>202</v>
      </c>
      <c r="D39" s="155" t="s">
        <v>113</v>
      </c>
      <c r="E39" s="242">
        <v>11699.035314615385</v>
      </c>
      <c r="F39" s="132">
        <f>VLOOKUP($D39,$D$72:$J$84,3,FALSE)*$E39</f>
        <v>0</v>
      </c>
      <c r="G39" s="132">
        <f>VLOOKUP($D39,$D$72:$J$84,4,FALSE)*$E39</f>
        <v>11699.035314615385</v>
      </c>
      <c r="H39" s="132">
        <f>VLOOKUP($D39,$D$72:$J$84,5,FALSE)*$E39</f>
        <v>0</v>
      </c>
      <c r="I39" s="132">
        <f>VLOOKUP($D39,$D$72:$J$84,6,FALSE)*$E39</f>
        <v>0</v>
      </c>
      <c r="J39" s="132">
        <f>VLOOKUP($D39,$D$72:$J$84,7,FALSE)*$E39</f>
        <v>0</v>
      </c>
      <c r="K39" s="231"/>
      <c r="L39" s="63"/>
    </row>
    <row r="40" spans="1:18">
      <c r="A40" s="80" t="str">
        <f t="shared" si="11"/>
        <v>DD-SO</v>
      </c>
      <c r="B40" s="155" t="s">
        <v>301</v>
      </c>
      <c r="C40" s="155" t="s">
        <v>203</v>
      </c>
      <c r="D40" s="155" t="s">
        <v>9</v>
      </c>
      <c r="E40" s="242">
        <v>262.32875230769247</v>
      </c>
      <c r="F40" s="132">
        <f>VLOOKUP($D40,$D$72:$J$84,3,FALSE)*$E40</f>
        <v>0</v>
      </c>
      <c r="G40" s="132">
        <f>VLOOKUP($D40,$D$72:$J$84,4,FALSE)*$E40</f>
        <v>0</v>
      </c>
      <c r="H40" s="132">
        <f>VLOOKUP($D40,$D$72:$J$84,5,FALSE)*$E40</f>
        <v>0</v>
      </c>
      <c r="I40" s="132">
        <f>VLOOKUP($D40,$D$72:$J$84,6,FALSE)*$E40</f>
        <v>0</v>
      </c>
      <c r="J40" s="132">
        <f>VLOOKUP($D40,$D$72:$J$84,7,FALSE)*$E40</f>
        <v>262.32875230769247</v>
      </c>
      <c r="K40" s="231"/>
      <c r="L40" s="63"/>
    </row>
    <row r="41" spans="1:18">
      <c r="B41" s="155"/>
      <c r="C41" s="155"/>
      <c r="D41" s="155"/>
      <c r="E41" s="242"/>
      <c r="F41" s="132"/>
      <c r="G41" s="132"/>
      <c r="H41" s="132"/>
      <c r="I41" s="132"/>
      <c r="J41" s="132"/>
      <c r="K41" s="231"/>
      <c r="L41" s="63"/>
    </row>
    <row r="42" spans="1:18">
      <c r="A42" s="80" t="s">
        <v>302</v>
      </c>
      <c r="B42" s="155" t="s">
        <v>301</v>
      </c>
      <c r="C42" s="155" t="s">
        <v>201</v>
      </c>
      <c r="D42" s="155" t="s">
        <v>9</v>
      </c>
      <c r="E42" s="242">
        <v>2648.5833346153831</v>
      </c>
      <c r="F42" s="132">
        <f t="shared" ref="F42:F48" si="12">VLOOKUP($D42,$D$72:$J$84,3,FALSE)*$E42</f>
        <v>0</v>
      </c>
      <c r="G42" s="132">
        <f t="shared" ref="G42:G48" si="13">VLOOKUP($D42,$D$72:$J$84,4,FALSE)*$E42</f>
        <v>0</v>
      </c>
      <c r="H42" s="132">
        <f t="shared" ref="H42:H48" si="14">VLOOKUP($D42,$D$72:$J$84,5,FALSE)*$E42</f>
        <v>0</v>
      </c>
      <c r="I42" s="132">
        <f t="shared" ref="I42:I48" si="15">VLOOKUP($D42,$D$72:$J$84,6,FALSE)*$E42</f>
        <v>0</v>
      </c>
      <c r="J42" s="132">
        <f t="shared" ref="J42:J48" si="16">VLOOKUP($D42,$D$72:$J$84,7,FALSE)*$E42</f>
        <v>2648.5833346153831</v>
      </c>
      <c r="K42" s="231"/>
      <c r="L42" s="63"/>
    </row>
    <row r="43" spans="1:18">
      <c r="A43" s="80" t="s">
        <v>302</v>
      </c>
      <c r="B43" s="155" t="s">
        <v>301</v>
      </c>
      <c r="C43" s="155" t="s">
        <v>201</v>
      </c>
      <c r="D43" s="155" t="s">
        <v>54</v>
      </c>
      <c r="E43" s="242">
        <v>0</v>
      </c>
      <c r="F43" s="132">
        <f t="shared" si="12"/>
        <v>0</v>
      </c>
      <c r="G43" s="132">
        <f t="shared" si="13"/>
        <v>0</v>
      </c>
      <c r="H43" s="132">
        <f t="shared" si="14"/>
        <v>0</v>
      </c>
      <c r="I43" s="132">
        <f t="shared" si="15"/>
        <v>0</v>
      </c>
      <c r="J43" s="132">
        <f t="shared" si="16"/>
        <v>0</v>
      </c>
      <c r="K43" s="231"/>
      <c r="L43" s="63"/>
    </row>
    <row r="44" spans="1:18">
      <c r="A44" s="80" t="s">
        <v>302</v>
      </c>
      <c r="B44" s="155" t="s">
        <v>301</v>
      </c>
      <c r="C44" s="155" t="s">
        <v>201</v>
      </c>
      <c r="D44" s="155" t="s">
        <v>72</v>
      </c>
      <c r="E44" s="242">
        <v>0</v>
      </c>
      <c r="F44" s="132">
        <f t="shared" si="12"/>
        <v>0</v>
      </c>
      <c r="G44" s="132">
        <f t="shared" si="13"/>
        <v>0</v>
      </c>
      <c r="H44" s="132">
        <f t="shared" si="14"/>
        <v>0</v>
      </c>
      <c r="I44" s="132">
        <f t="shared" si="15"/>
        <v>0</v>
      </c>
      <c r="J44" s="132">
        <f t="shared" si="16"/>
        <v>0</v>
      </c>
      <c r="K44" s="231"/>
      <c r="L44" s="63"/>
    </row>
    <row r="45" spans="1:18">
      <c r="A45" s="80" t="s">
        <v>302</v>
      </c>
      <c r="B45" s="155" t="s">
        <v>301</v>
      </c>
      <c r="C45" s="155" t="s">
        <v>201</v>
      </c>
      <c r="D45" s="155" t="s">
        <v>132</v>
      </c>
      <c r="E45" s="242">
        <v>109.28615384615399</v>
      </c>
      <c r="F45" s="132">
        <f t="shared" si="12"/>
        <v>53.013585292219616</v>
      </c>
      <c r="G45" s="132">
        <f t="shared" si="13"/>
        <v>26.810495015363763</v>
      </c>
      <c r="H45" s="132">
        <f t="shared" si="14"/>
        <v>29.462073538570618</v>
      </c>
      <c r="I45" s="132">
        <f t="shared" si="15"/>
        <v>0</v>
      </c>
      <c r="J45" s="132">
        <f t="shared" si="16"/>
        <v>0</v>
      </c>
      <c r="K45" s="231"/>
      <c r="L45" s="63"/>
    </row>
    <row r="46" spans="1:18">
      <c r="A46" s="80" t="s">
        <v>302</v>
      </c>
      <c r="B46" s="155" t="s">
        <v>301</v>
      </c>
      <c r="C46" s="155" t="s">
        <v>201</v>
      </c>
      <c r="D46" s="155" t="s">
        <v>113</v>
      </c>
      <c r="E46" s="242">
        <v>1792.5294223076901</v>
      </c>
      <c r="F46" s="132">
        <f t="shared" si="12"/>
        <v>0</v>
      </c>
      <c r="G46" s="132">
        <f t="shared" si="13"/>
        <v>1792.5294223076901</v>
      </c>
      <c r="H46" s="132">
        <f t="shared" si="14"/>
        <v>0</v>
      </c>
      <c r="I46" s="132">
        <f t="shared" si="15"/>
        <v>0</v>
      </c>
      <c r="J46" s="132">
        <f t="shared" si="16"/>
        <v>0</v>
      </c>
      <c r="K46" s="231"/>
      <c r="L46" s="63"/>
    </row>
    <row r="47" spans="1:18">
      <c r="A47" s="80" t="str">
        <f t="shared" si="11"/>
        <v>DD-SITUS</v>
      </c>
      <c r="B47" s="155" t="s">
        <v>301</v>
      </c>
      <c r="C47" s="155" t="s">
        <v>204</v>
      </c>
      <c r="D47" s="155" t="s">
        <v>113</v>
      </c>
      <c r="E47" s="53">
        <v>0</v>
      </c>
      <c r="F47" s="132">
        <f t="shared" si="12"/>
        <v>0</v>
      </c>
      <c r="G47" s="132">
        <f t="shared" si="13"/>
        <v>0</v>
      </c>
      <c r="H47" s="132">
        <f t="shared" si="14"/>
        <v>0</v>
      </c>
      <c r="I47" s="132">
        <f t="shared" si="15"/>
        <v>0</v>
      </c>
      <c r="J47" s="132">
        <f t="shared" si="16"/>
        <v>0</v>
      </c>
    </row>
    <row r="48" spans="1:18">
      <c r="A48" s="80" t="str">
        <f t="shared" si="11"/>
        <v>DD-SITUS</v>
      </c>
      <c r="B48" s="155" t="s">
        <v>301</v>
      </c>
      <c r="C48" s="155" t="s">
        <v>204</v>
      </c>
      <c r="D48" s="155" t="s">
        <v>54</v>
      </c>
      <c r="E48" s="53">
        <v>0</v>
      </c>
      <c r="F48" s="132">
        <f t="shared" si="12"/>
        <v>0</v>
      </c>
      <c r="G48" s="132">
        <f t="shared" si="13"/>
        <v>0</v>
      </c>
      <c r="H48" s="132">
        <f t="shared" si="14"/>
        <v>0</v>
      </c>
      <c r="I48" s="132">
        <f t="shared" si="15"/>
        <v>0</v>
      </c>
      <c r="J48" s="132">
        <f t="shared" si="16"/>
        <v>0</v>
      </c>
    </row>
    <row r="49" spans="2:10">
      <c r="B49" s="98" t="s">
        <v>297</v>
      </c>
      <c r="E49" s="132">
        <f t="shared" ref="E49:J49" si="17">SUMIF($A:$A,"DD-SITUS",E:E)</f>
        <v>0</v>
      </c>
      <c r="F49" s="132">
        <f t="shared" si="17"/>
        <v>0</v>
      </c>
      <c r="G49" s="132">
        <f t="shared" si="17"/>
        <v>0</v>
      </c>
      <c r="H49" s="132">
        <f t="shared" si="17"/>
        <v>0</v>
      </c>
      <c r="I49" s="132">
        <f t="shared" si="17"/>
        <v>0</v>
      </c>
      <c r="J49" s="132">
        <f t="shared" si="17"/>
        <v>0</v>
      </c>
    </row>
    <row r="50" spans="2:10">
      <c r="B50" s="98" t="s">
        <v>303</v>
      </c>
      <c r="C50" s="143"/>
      <c r="D50" s="143"/>
      <c r="E50" s="132">
        <f t="shared" ref="E50:J50" si="18">SUMIF($A:$A,"DD-SG",E:E)</f>
        <v>64880.207883846153</v>
      </c>
      <c r="F50" s="132">
        <f t="shared" si="18"/>
        <v>53181.172569230766</v>
      </c>
      <c r="G50" s="132">
        <f t="shared" si="18"/>
        <v>11699.035314615385</v>
      </c>
      <c r="H50" s="132">
        <f t="shared" si="18"/>
        <v>0</v>
      </c>
      <c r="I50" s="132">
        <f t="shared" si="18"/>
        <v>0</v>
      </c>
      <c r="J50" s="132">
        <f t="shared" si="18"/>
        <v>0</v>
      </c>
    </row>
    <row r="51" spans="2:10">
      <c r="B51" s="176" t="s">
        <v>225</v>
      </c>
      <c r="C51" s="161"/>
      <c r="D51" s="161"/>
      <c r="E51" s="162">
        <f t="shared" ref="E51:J51" si="19">SUMIF($A:$A,"DD-SO",E:E)</f>
        <v>262.32875230769247</v>
      </c>
      <c r="F51" s="162">
        <f t="shared" si="19"/>
        <v>0</v>
      </c>
      <c r="G51" s="162">
        <f t="shared" si="19"/>
        <v>0</v>
      </c>
      <c r="H51" s="162">
        <f t="shared" si="19"/>
        <v>0</v>
      </c>
      <c r="I51" s="162">
        <f t="shared" si="19"/>
        <v>0</v>
      </c>
      <c r="J51" s="162">
        <f t="shared" si="19"/>
        <v>262.32875230769247</v>
      </c>
    </row>
    <row r="52" spans="2:10">
      <c r="B52" s="142" t="s">
        <v>304</v>
      </c>
      <c r="E52" s="132">
        <f t="shared" ref="E52:J52" si="20">SUMIF($B:$B,"186M",E:E)</f>
        <v>71512.952256923076</v>
      </c>
      <c r="F52" s="132">
        <f t="shared" si="20"/>
        <v>55054.202864522988</v>
      </c>
      <c r="G52" s="132">
        <f t="shared" si="20"/>
        <v>13518.375231938438</v>
      </c>
      <c r="H52" s="132">
        <f t="shared" si="20"/>
        <v>29.462073538570618</v>
      </c>
      <c r="I52" s="132">
        <f t="shared" si="20"/>
        <v>0</v>
      </c>
      <c r="J52" s="132">
        <f t="shared" si="20"/>
        <v>2910.9120869230755</v>
      </c>
    </row>
    <row r="53" spans="2:10">
      <c r="B53" s="173" t="s">
        <v>305</v>
      </c>
      <c r="C53" s="155"/>
      <c r="D53" s="155"/>
      <c r="E53" s="174">
        <f>SUM(F53:J53)</f>
        <v>0</v>
      </c>
      <c r="F53" s="175">
        <f>IFERROR(F49/$E49,0)</f>
        <v>0</v>
      </c>
      <c r="G53" s="175">
        <f>IFERROR(G49/$E49,0)</f>
        <v>0</v>
      </c>
      <c r="H53" s="175">
        <f>IFERROR(H49/$E49,0)</f>
        <v>0</v>
      </c>
      <c r="I53" s="175">
        <f>IFERROR(I49/$E49,0)</f>
        <v>0</v>
      </c>
      <c r="J53" s="175">
        <f>IFERROR(J49/$E49,0)</f>
        <v>0</v>
      </c>
    </row>
    <row r="54" spans="2:10">
      <c r="B54" s="173" t="s">
        <v>306</v>
      </c>
      <c r="C54" s="155"/>
      <c r="D54" s="155"/>
      <c r="E54" s="174">
        <f>SUM(F54:J54)</f>
        <v>1</v>
      </c>
      <c r="F54" s="175">
        <f>F50/$E50</f>
        <v>0.81968252420584176</v>
      </c>
      <c r="G54" s="175">
        <f>G50/$E50</f>
        <v>0.18031747579415827</v>
      </c>
      <c r="H54" s="175">
        <f>H50/$E50</f>
        <v>0</v>
      </c>
      <c r="I54" s="175">
        <f>I50/$E50</f>
        <v>0</v>
      </c>
      <c r="J54" s="175">
        <f>J50/$E50</f>
        <v>0</v>
      </c>
    </row>
    <row r="55" spans="2:10">
      <c r="B55" s="173" t="s">
        <v>307</v>
      </c>
      <c r="C55" s="143"/>
      <c r="D55" s="155"/>
      <c r="E55" s="174">
        <f>SUM(F55:J55)</f>
        <v>1</v>
      </c>
      <c r="F55" s="175">
        <f>IFERROR(F51/$E51,0)</f>
        <v>0</v>
      </c>
      <c r="G55" s="175">
        <f>IFERROR(G51/$E51,0)</f>
        <v>0</v>
      </c>
      <c r="H55" s="175">
        <f>IFERROR(H51/$E51,0)</f>
        <v>0</v>
      </c>
      <c r="I55" s="175">
        <f>IFERROR(I51/$E51,0)</f>
        <v>0</v>
      </c>
      <c r="J55" s="175">
        <f>IFERROR(J51/$E51,0)</f>
        <v>1</v>
      </c>
    </row>
    <row r="56" spans="2:10">
      <c r="B56" s="173"/>
      <c r="C56" s="155"/>
      <c r="D56" s="155"/>
      <c r="E56" s="174"/>
      <c r="F56" s="175"/>
      <c r="G56" s="175"/>
      <c r="H56" s="175"/>
      <c r="I56" s="175"/>
      <c r="J56" s="175"/>
    </row>
    <row r="57" spans="2:10">
      <c r="B57" s="143" t="s">
        <v>308</v>
      </c>
      <c r="C57" s="143"/>
      <c r="D57" s="143"/>
      <c r="E57" s="164"/>
      <c r="F57" s="164"/>
      <c r="G57" s="164"/>
      <c r="H57" s="164"/>
      <c r="I57" s="164"/>
      <c r="J57" s="164"/>
    </row>
    <row r="58" spans="2:10">
      <c r="B58" s="143" t="s">
        <v>309</v>
      </c>
      <c r="C58" s="143"/>
      <c r="D58" s="143" t="s">
        <v>54</v>
      </c>
      <c r="E58" s="164">
        <v>0</v>
      </c>
      <c r="F58" s="132">
        <f>VLOOKUP($D58,$D$72:$J$84,3,FALSE)*$E58</f>
        <v>0</v>
      </c>
      <c r="G58" s="132">
        <f>VLOOKUP($D58,$D$72:$J$84,4,FALSE)*$E58</f>
        <v>0</v>
      </c>
      <c r="H58" s="132">
        <f>VLOOKUP($D58,$D$72:$J$84,5,FALSE)*$E58</f>
        <v>0</v>
      </c>
      <c r="I58" s="132">
        <f>VLOOKUP($D58,$D$72:$J$84,6,FALSE)*$E58</f>
        <v>0</v>
      </c>
      <c r="J58" s="132">
        <f>VLOOKUP($D58,$D$72:$J$84,7,FALSE)*$E58</f>
        <v>0</v>
      </c>
    </row>
    <row r="59" spans="2:10">
      <c r="B59" s="143" t="s">
        <v>310</v>
      </c>
      <c r="C59" s="143"/>
      <c r="D59" s="143" t="s">
        <v>54</v>
      </c>
      <c r="E59" s="164">
        <v>0</v>
      </c>
      <c r="F59" s="132">
        <f>VLOOKUP($D59,$D$72:$J$84,3,FALSE)*$E59</f>
        <v>0</v>
      </c>
      <c r="G59" s="132">
        <f>VLOOKUP($D59,$D$72:$J$84,4,FALSE)*$E59</f>
        <v>0</v>
      </c>
      <c r="H59" s="132">
        <f>VLOOKUP($D59,$D$72:$J$84,5,FALSE)*$E59</f>
        <v>0</v>
      </c>
      <c r="I59" s="132">
        <f>VLOOKUP($D59,$D$72:$J$84,6,FALSE)*$E59</f>
        <v>0</v>
      </c>
      <c r="J59" s="132">
        <f>VLOOKUP($D59,$D$72:$J$84,7,FALSE)*$E59</f>
        <v>0</v>
      </c>
    </row>
    <row r="60" spans="2:10">
      <c r="B60" s="143" t="s">
        <v>311</v>
      </c>
      <c r="C60" s="143"/>
      <c r="D60" s="143" t="s">
        <v>132</v>
      </c>
      <c r="E60" s="164">
        <v>0</v>
      </c>
      <c r="F60" s="132">
        <f>VLOOKUP($D60,$D$72:$J$84,3,FALSE)*$E60</f>
        <v>0</v>
      </c>
      <c r="G60" s="132">
        <f>VLOOKUP($D60,$D$72:$J$84,4,FALSE)*$E60</f>
        <v>0</v>
      </c>
      <c r="H60" s="132">
        <f>VLOOKUP($D60,$D$72:$J$84,5,FALSE)*$E60</f>
        <v>0</v>
      </c>
      <c r="I60" s="132">
        <f>VLOOKUP($D60,$D$72:$J$84,6,FALSE)*$E60</f>
        <v>0</v>
      </c>
      <c r="J60" s="132">
        <f>VLOOKUP($D60,$D$72:$J$84,7,FALSE)*$E60</f>
        <v>0</v>
      </c>
    </row>
    <row r="61" spans="2:10">
      <c r="B61" s="143" t="s">
        <v>312</v>
      </c>
      <c r="C61" s="143"/>
      <c r="D61" s="143" t="s">
        <v>28</v>
      </c>
      <c r="E61" s="164">
        <v>0</v>
      </c>
      <c r="F61" s="132">
        <f>VLOOKUP($D61,$D$72:$J$84,3,FALSE)*$E61</f>
        <v>0</v>
      </c>
      <c r="G61" s="132">
        <f>VLOOKUP($D61,$D$72:$J$84,4,FALSE)*$E61</f>
        <v>0</v>
      </c>
      <c r="H61" s="132">
        <f>VLOOKUP($D61,$D$72:$J$84,5,FALSE)*$E61</f>
        <v>0</v>
      </c>
      <c r="I61" s="132">
        <f>VLOOKUP($D61,$D$72:$J$84,6,FALSE)*$E61</f>
        <v>0</v>
      </c>
      <c r="J61" s="132">
        <f>VLOOKUP($D61,$D$72:$J$84,7,FALSE)*$E61</f>
        <v>0</v>
      </c>
    </row>
    <row r="62" spans="2:10">
      <c r="B62" s="143" t="s">
        <v>313</v>
      </c>
      <c r="C62" s="143"/>
      <c r="D62" s="143" t="s">
        <v>132</v>
      </c>
      <c r="E62" s="159">
        <v>0</v>
      </c>
      <c r="F62" s="132">
        <f>VLOOKUP($D62,$D$72:$J$84,3,FALSE)*$E62</f>
        <v>0</v>
      </c>
      <c r="G62" s="132">
        <f>VLOOKUP($D62,$D$72:$J$84,4,FALSE)*$E62</f>
        <v>0</v>
      </c>
      <c r="H62" s="132">
        <f>VLOOKUP($D62,$D$72:$J$84,5,FALSE)*$E62</f>
        <v>0</v>
      </c>
      <c r="I62" s="132">
        <f>VLOOKUP($D62,$D$72:$J$84,6,FALSE)*$E62</f>
        <v>0</v>
      </c>
      <c r="J62" s="132">
        <f>VLOOKUP($D62,$D$72:$J$84,7,FALSE)*$E62</f>
        <v>0</v>
      </c>
    </row>
    <row r="63" spans="2:10">
      <c r="B63" s="143" t="s">
        <v>314</v>
      </c>
      <c r="C63" s="143"/>
      <c r="D63" s="143"/>
      <c r="E63" s="164">
        <f t="shared" ref="E63:J63" si="21">SUM(E58:E62)</f>
        <v>0</v>
      </c>
      <c r="F63" s="164">
        <f t="shared" si="21"/>
        <v>0</v>
      </c>
      <c r="G63" s="164">
        <f t="shared" si="21"/>
        <v>0</v>
      </c>
      <c r="H63" s="164">
        <f t="shared" si="21"/>
        <v>0</v>
      </c>
      <c r="I63" s="164">
        <f t="shared" si="21"/>
        <v>0</v>
      </c>
      <c r="J63" s="164">
        <f t="shared" si="21"/>
        <v>0</v>
      </c>
    </row>
    <row r="64" spans="2:10">
      <c r="B64" s="143"/>
      <c r="C64" s="143"/>
      <c r="D64" s="143"/>
      <c r="E64" s="164"/>
      <c r="F64" s="164"/>
      <c r="G64" s="164"/>
      <c r="H64" s="164"/>
      <c r="I64" s="164"/>
      <c r="J64" s="164"/>
    </row>
    <row r="65" spans="2:10">
      <c r="B65" s="143" t="s">
        <v>315</v>
      </c>
      <c r="C65" s="143"/>
      <c r="D65" s="143"/>
      <c r="E65" s="164">
        <f t="shared" ref="E65:J65" si="22">+E51+E63</f>
        <v>262.32875230769247</v>
      </c>
      <c r="F65" s="164">
        <f t="shared" si="22"/>
        <v>0</v>
      </c>
      <c r="G65" s="164">
        <f t="shared" si="22"/>
        <v>0</v>
      </c>
      <c r="H65" s="164">
        <f t="shared" si="22"/>
        <v>0</v>
      </c>
      <c r="I65" s="164">
        <f t="shared" si="22"/>
        <v>0</v>
      </c>
      <c r="J65" s="164">
        <f t="shared" si="22"/>
        <v>262.32875230769247</v>
      </c>
    </row>
    <row r="66" spans="2:10">
      <c r="B66" s="143"/>
      <c r="C66" s="143"/>
      <c r="D66" s="143"/>
      <c r="E66" s="164"/>
      <c r="F66" s="164"/>
      <c r="G66" s="164"/>
      <c r="H66" s="164"/>
      <c r="I66" s="164"/>
      <c r="J66" s="164"/>
    </row>
    <row r="67" spans="2:10">
      <c r="B67" s="98" t="s">
        <v>316</v>
      </c>
      <c r="E67" s="132">
        <f>SUM(E52,E33)</f>
        <v>785964.88207153883</v>
      </c>
      <c r="F67" s="132">
        <f>SUM(F33,F52)</f>
        <v>429945.19430536852</v>
      </c>
      <c r="G67" s="132">
        <f>SUM(G33,G52)</f>
        <v>52830.864531163992</v>
      </c>
      <c r="H67" s="132">
        <f>SUM(H33,H52)</f>
        <v>142549.8136811076</v>
      </c>
      <c r="I67" s="132">
        <f>SUM(I33,I52)</f>
        <v>143584.38009312958</v>
      </c>
      <c r="J67" s="132">
        <f>SUM(J33,J52)</f>
        <v>17054.629460769225</v>
      </c>
    </row>
    <row r="68" spans="2:10">
      <c r="B68" s="143"/>
      <c r="C68" s="143"/>
      <c r="D68" s="143"/>
      <c r="E68" s="177"/>
      <c r="F68" s="143"/>
      <c r="G68" s="143"/>
      <c r="H68" s="143"/>
      <c r="I68" s="143"/>
      <c r="J68" s="143"/>
    </row>
    <row r="69" spans="2:10">
      <c r="B69" s="143"/>
      <c r="C69" s="143"/>
      <c r="D69" s="143"/>
      <c r="E69" s="133"/>
      <c r="F69" s="143"/>
      <c r="G69" s="143"/>
      <c r="H69" s="143"/>
      <c r="I69" s="143"/>
      <c r="J69" s="143"/>
    </row>
    <row r="70" spans="2:10">
      <c r="E70" s="63"/>
    </row>
    <row r="71" spans="2:10">
      <c r="E71" s="80" t="s">
        <v>10</v>
      </c>
      <c r="F71" s="178" t="s">
        <v>5</v>
      </c>
      <c r="G71" s="178" t="s">
        <v>6</v>
      </c>
      <c r="H71" s="178" t="s">
        <v>250</v>
      </c>
      <c r="I71" s="178" t="s">
        <v>251</v>
      </c>
      <c r="J71" s="178" t="s">
        <v>252</v>
      </c>
    </row>
    <row r="72" spans="2:10">
      <c r="D72" s="80" t="s">
        <v>9</v>
      </c>
      <c r="E72" s="172">
        <f>SUM(F72:J72)</f>
        <v>1</v>
      </c>
      <c r="F72" s="157">
        <v>0</v>
      </c>
      <c r="G72" s="157">
        <v>0</v>
      </c>
      <c r="H72" s="157">
        <v>0</v>
      </c>
      <c r="I72" s="157">
        <v>0</v>
      </c>
      <c r="J72" s="157">
        <v>1</v>
      </c>
    </row>
    <row r="73" spans="2:10">
      <c r="D73" s="80" t="s">
        <v>7</v>
      </c>
      <c r="E73" s="172">
        <f t="shared" ref="E73:E84" si="23">SUM(F73:J73)</f>
        <v>1</v>
      </c>
      <c r="F73" s="66">
        <v>0</v>
      </c>
      <c r="G73" s="66">
        <v>0</v>
      </c>
      <c r="H73" s="66">
        <v>1</v>
      </c>
      <c r="I73" s="66">
        <v>0</v>
      </c>
      <c r="J73" s="66">
        <v>0</v>
      </c>
    </row>
    <row r="74" spans="2:10">
      <c r="D74" s="80" t="s">
        <v>8</v>
      </c>
      <c r="E74" s="172">
        <f t="shared" si="23"/>
        <v>1</v>
      </c>
      <c r="F74" s="66">
        <v>0</v>
      </c>
      <c r="G74" s="66">
        <v>0</v>
      </c>
      <c r="H74" s="66">
        <v>0</v>
      </c>
      <c r="I74" s="66">
        <v>1</v>
      </c>
      <c r="J74" s="66">
        <v>0</v>
      </c>
    </row>
    <row r="75" spans="2:10">
      <c r="D75" s="80" t="s">
        <v>28</v>
      </c>
      <c r="E75" s="172">
        <f t="shared" si="23"/>
        <v>1</v>
      </c>
      <c r="F75" s="66">
        <v>0.3</v>
      </c>
      <c r="G75" s="66">
        <v>0.1</v>
      </c>
      <c r="H75" s="66">
        <v>0.6</v>
      </c>
      <c r="I75" s="66">
        <v>0</v>
      </c>
      <c r="J75" s="66">
        <v>0</v>
      </c>
    </row>
    <row r="76" spans="2:10">
      <c r="D76" s="80" t="s">
        <v>38</v>
      </c>
      <c r="E76" s="172">
        <f t="shared" si="23"/>
        <v>0.99999999999999989</v>
      </c>
      <c r="F76" s="66">
        <f>'GROSS PLANT'!$E$42</f>
        <v>0.47642835102480052</v>
      </c>
      <c r="G76" s="66">
        <f>'GROSS PLANT'!$F$42</f>
        <v>0.24678815260820858</v>
      </c>
      <c r="H76" s="66">
        <f>'GROSS PLANT'!$G$42</f>
        <v>0.27019312987812671</v>
      </c>
      <c r="I76" s="66">
        <f>'GROSS PLANT'!$H$42</f>
        <v>6.5903664888640485E-3</v>
      </c>
      <c r="J76" s="66">
        <f>'GROSS PLANT'!$I$42</f>
        <v>0</v>
      </c>
    </row>
    <row r="77" spans="2:10">
      <c r="D77" s="80" t="s">
        <v>317</v>
      </c>
      <c r="E77" s="172">
        <f t="shared" si="23"/>
        <v>1</v>
      </c>
      <c r="F77" s="66">
        <v>0</v>
      </c>
      <c r="G77" s="66">
        <v>0</v>
      </c>
      <c r="H77" s="66">
        <v>0</v>
      </c>
      <c r="I77" s="66">
        <v>1</v>
      </c>
      <c r="J77" s="66">
        <v>0</v>
      </c>
    </row>
    <row r="78" spans="2:10">
      <c r="D78" s="80" t="s">
        <v>54</v>
      </c>
      <c r="E78" s="172">
        <f t="shared" si="23"/>
        <v>1</v>
      </c>
      <c r="F78" s="66">
        <f>'FORM 1'!$C$25</f>
        <v>0.46137836289269235</v>
      </c>
      <c r="G78" s="66">
        <f>'FORM 1'!$D$25</f>
        <v>8.6868274473763427E-2</v>
      </c>
      <c r="H78" s="66">
        <f>'FORM 1'!$E$25</f>
        <v>0.30489927544920509</v>
      </c>
      <c r="I78" s="66">
        <f>'FORM 1'!$F$25</f>
        <v>0.14685408718433918</v>
      </c>
      <c r="J78" s="66">
        <f>'FORM 1'!$G$25</f>
        <v>0</v>
      </c>
    </row>
    <row r="79" spans="2:10">
      <c r="D79" s="80" t="s">
        <v>72</v>
      </c>
      <c r="E79" s="172">
        <f t="shared" si="23"/>
        <v>1</v>
      </c>
      <c r="F79" s="172">
        <f>'FORM 1'!$C$13</f>
        <v>1</v>
      </c>
      <c r="G79" s="172">
        <f>'FORM 1'!$D$13</f>
        <v>0</v>
      </c>
      <c r="H79" s="172">
        <f>'FORM 1'!$E$13</f>
        <v>0</v>
      </c>
      <c r="I79" s="172">
        <f>'FORM 1'!$F$13</f>
        <v>0</v>
      </c>
      <c r="J79" s="172">
        <f>'FORM 1'!$G$13</f>
        <v>0</v>
      </c>
    </row>
    <row r="80" spans="2:10">
      <c r="D80" s="80" t="s">
        <v>130</v>
      </c>
      <c r="E80" s="172">
        <f>SUM(F80:J80)</f>
        <v>1</v>
      </c>
      <c r="F80" s="172">
        <f>'FORM 1'!$C$17</f>
        <v>0.6641302359882405</v>
      </c>
      <c r="G80" s="172">
        <f>'FORM 1'!$D$17</f>
        <v>0.33586976401175944</v>
      </c>
      <c r="H80" s="172">
        <f>'FORM 1'!$E$17</f>
        <v>0</v>
      </c>
      <c r="I80" s="172">
        <f>'FORM 1'!$F$17</f>
        <v>0</v>
      </c>
      <c r="J80" s="172">
        <f>'FORM 1'!$G$17</f>
        <v>0</v>
      </c>
    </row>
    <row r="81" spans="4:10">
      <c r="D81" s="80" t="s">
        <v>132</v>
      </c>
      <c r="E81" s="172">
        <f t="shared" si="23"/>
        <v>1</v>
      </c>
      <c r="F81" s="172">
        <f>'FORM 1'!$C$16</f>
        <v>0.48508967903517519</v>
      </c>
      <c r="G81" s="172">
        <f>'FORM 1'!$D$16</f>
        <v>0.24532380426806721</v>
      </c>
      <c r="H81" s="172">
        <f>'FORM 1'!$E$16</f>
        <v>0.26958651669675765</v>
      </c>
      <c r="I81" s="172">
        <f>'FORM 1'!$F$16</f>
        <v>0</v>
      </c>
      <c r="J81" s="172">
        <f>'FORM 1'!$G$16</f>
        <v>0</v>
      </c>
    </row>
    <row r="82" spans="4:10">
      <c r="D82" s="80" t="s">
        <v>113</v>
      </c>
      <c r="E82" s="172">
        <f t="shared" si="23"/>
        <v>1</v>
      </c>
      <c r="F82" s="172">
        <f>'FORM 1'!$C$14</f>
        <v>0</v>
      </c>
      <c r="G82" s="172">
        <f>'FORM 1'!$D$14</f>
        <v>1</v>
      </c>
      <c r="H82" s="172">
        <f>'FORM 1'!$E$14</f>
        <v>0</v>
      </c>
      <c r="I82" s="172">
        <f>'FORM 1'!$F$14</f>
        <v>0</v>
      </c>
      <c r="J82" s="172">
        <f>'FORM 1'!$G$14</f>
        <v>0</v>
      </c>
    </row>
    <row r="83" spans="4:10">
      <c r="D83" s="80" t="s">
        <v>276</v>
      </c>
      <c r="E83" s="172">
        <f t="shared" si="23"/>
        <v>0.99999999999999978</v>
      </c>
      <c r="F83" s="66">
        <f>'TAX DEPR'!C24</f>
        <v>0.37723665137838935</v>
      </c>
      <c r="G83" s="66">
        <f>'TAX DEPR'!D24</f>
        <v>0.30064602851187261</v>
      </c>
      <c r="H83" s="66">
        <f>'TAX DEPR'!E24</f>
        <v>0.31198261527018784</v>
      </c>
      <c r="I83" s="66">
        <f>'TAX DEPR'!F24</f>
        <v>1.0134704839549979E-2</v>
      </c>
      <c r="J83" s="66">
        <f>'TAX DEPR'!G24</f>
        <v>0</v>
      </c>
    </row>
    <row r="84" spans="4:10">
      <c r="D84" s="80" t="s">
        <v>116</v>
      </c>
      <c r="E84" s="172">
        <f t="shared" si="23"/>
        <v>0.99999999999999989</v>
      </c>
      <c r="F84" s="172">
        <f>'FORM 1'!$C$18</f>
        <v>0</v>
      </c>
      <c r="G84" s="172">
        <f>'FORM 1'!$D$18</f>
        <v>0.47643986589429044</v>
      </c>
      <c r="H84" s="172">
        <f>'FORM 1'!$E$18</f>
        <v>0.52356013410570945</v>
      </c>
      <c r="I84" s="172">
        <f>'FORM 1'!$F$18</f>
        <v>0</v>
      </c>
      <c r="J84" s="172">
        <f>'FORM 1'!$G$18</f>
        <v>0</v>
      </c>
    </row>
    <row r="85" spans="4:10">
      <c r="F85" s="172"/>
    </row>
    <row r="86" spans="4:10">
      <c r="E86" s="53"/>
      <c r="G86" s="63"/>
      <c r="H86" s="179"/>
      <c r="I86" s="179"/>
    </row>
    <row r="87" spans="4:10">
      <c r="E87" s="53"/>
      <c r="G87" s="63"/>
      <c r="I87" s="179"/>
    </row>
    <row r="88" spans="4:10">
      <c r="E88" s="53"/>
      <c r="G88" s="180"/>
      <c r="I88" s="179"/>
    </row>
    <row r="89" spans="4:10">
      <c r="E89" s="53"/>
      <c r="G89" s="180"/>
    </row>
    <row r="90" spans="4:10">
      <c r="E90" s="53"/>
      <c r="G90" s="180"/>
    </row>
    <row r="91" spans="4:10">
      <c r="E91" s="53"/>
      <c r="G91" s="180"/>
    </row>
    <row r="92" spans="4:10">
      <c r="E92" s="53"/>
      <c r="F92" s="63"/>
      <c r="H92" s="179"/>
    </row>
    <row r="93" spans="4:10">
      <c r="E93" s="53"/>
      <c r="F93" s="63"/>
      <c r="H93" s="179"/>
    </row>
    <row r="94" spans="4:10">
      <c r="E94" s="53"/>
      <c r="F94" s="63"/>
      <c r="H94" s="179"/>
    </row>
    <row r="95" spans="4:10">
      <c r="E95" s="53"/>
      <c r="F95" s="63"/>
      <c r="H95" s="179"/>
    </row>
    <row r="96" spans="4:10">
      <c r="E96" s="53"/>
      <c r="F96" s="63"/>
      <c r="H96" s="179"/>
    </row>
    <row r="97" spans="5:8">
      <c r="E97" s="53"/>
      <c r="F97" s="63"/>
      <c r="H97" s="179"/>
    </row>
    <row r="98" spans="5:8">
      <c r="E98" s="53"/>
      <c r="F98" s="63"/>
      <c r="H98" s="179"/>
    </row>
    <row r="99" spans="5:8">
      <c r="E99" s="53"/>
      <c r="F99" s="63"/>
      <c r="H99" s="179"/>
    </row>
  </sheetData>
  <printOptions horizontalCentered="1"/>
  <pageMargins left="0.5" right="0.5" top="0.5" bottom="0.65" header="0.4" footer="0.2"/>
  <pageSetup scale="85" orientation="landscape" r:id="rId1"/>
  <headerFooter alignWithMargins="0">
    <oddFooter>&amp;LExhibit RMP_____(CCP-3)&amp;R&amp;F&amp;CTab 3 - Page 15 of 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zoomScale="90" zoomScaleNormal="90" workbookViewId="0"/>
  </sheetViews>
  <sheetFormatPr defaultRowHeight="12.75"/>
  <cols>
    <col min="1" max="1" width="27.85546875" bestFit="1" customWidth="1"/>
    <col min="2" max="2" width="16.140625" bestFit="1" customWidth="1"/>
    <col min="3" max="3" width="16.140625" customWidth="1"/>
    <col min="4" max="4" width="15" bestFit="1" customWidth="1"/>
    <col min="5" max="6" width="14.28515625" bestFit="1" customWidth="1"/>
    <col min="7" max="7" width="11.140625" bestFit="1" customWidth="1"/>
    <col min="8" max="8" width="13" bestFit="1" customWidth="1"/>
    <col min="9" max="9" width="8.85546875" bestFit="1" customWidth="1"/>
    <col min="10" max="10" width="85.28515625" bestFit="1" customWidth="1"/>
    <col min="11" max="11" width="4" bestFit="1" customWidth="1"/>
    <col min="12" max="12" width="34" bestFit="1" customWidth="1"/>
  </cols>
  <sheetData>
    <row r="1" spans="1:12">
      <c r="A1" s="134" t="str">
        <f>+'TOTAL FUNCFAC'!A1</f>
        <v>PacifiCorp</v>
      </c>
      <c r="B1" s="3"/>
      <c r="C1" s="3"/>
      <c r="D1" s="3"/>
      <c r="E1" s="3"/>
      <c r="F1" s="3"/>
      <c r="G1" s="24"/>
      <c r="H1" s="24"/>
      <c r="I1" s="24"/>
      <c r="J1" s="24"/>
      <c r="K1" s="24"/>
      <c r="L1" s="24"/>
    </row>
    <row r="2" spans="1:12">
      <c r="A2" s="134" t="str">
        <f>+'TOTAL FUNCFAC'!A2</f>
        <v>12 Months Ended December 2018</v>
      </c>
      <c r="B2" s="3"/>
      <c r="C2" s="3"/>
      <c r="D2" s="3"/>
      <c r="E2" s="3"/>
      <c r="F2" s="3"/>
      <c r="G2" s="24"/>
      <c r="H2" s="24"/>
      <c r="I2" s="24"/>
      <c r="J2" s="24"/>
      <c r="K2" s="24"/>
      <c r="L2" s="24"/>
    </row>
    <row r="3" spans="1:12">
      <c r="A3" s="134" t="s">
        <v>318</v>
      </c>
      <c r="B3" s="3"/>
      <c r="C3" s="3"/>
      <c r="D3" s="3"/>
      <c r="E3" s="3"/>
      <c r="F3" s="3"/>
      <c r="G3" s="24"/>
      <c r="H3" s="24"/>
      <c r="I3" s="24"/>
      <c r="J3" s="24"/>
      <c r="K3" s="24"/>
      <c r="L3" s="24"/>
    </row>
    <row r="4" spans="1:12">
      <c r="A4" s="34"/>
      <c r="B4" s="3"/>
      <c r="C4" s="3"/>
      <c r="D4" s="3"/>
      <c r="E4" s="3"/>
      <c r="F4" s="3"/>
      <c r="G4" s="24"/>
      <c r="H4" s="24"/>
      <c r="I4" s="24"/>
      <c r="J4" s="24"/>
      <c r="K4" s="24"/>
      <c r="L4" s="24"/>
    </row>
    <row r="5" spans="1:12">
      <c r="A5" s="34"/>
      <c r="B5" s="3"/>
      <c r="C5" s="3"/>
      <c r="D5" s="3"/>
      <c r="E5" s="3"/>
      <c r="F5" s="3"/>
      <c r="G5" s="24"/>
      <c r="H5" s="24"/>
      <c r="I5" s="24"/>
      <c r="J5" s="24"/>
      <c r="K5" s="24"/>
      <c r="L5" s="24"/>
    </row>
    <row r="6" spans="1:12">
      <c r="A6" s="24"/>
      <c r="B6" s="24"/>
      <c r="C6" s="73"/>
      <c r="D6" s="73"/>
      <c r="E6" s="73"/>
      <c r="F6" s="73"/>
      <c r="G6" s="24"/>
      <c r="H6" s="24"/>
      <c r="I6" s="24"/>
      <c r="J6" s="24"/>
      <c r="K6" s="24"/>
      <c r="L6" s="24"/>
    </row>
    <row r="7" spans="1:12">
      <c r="A7" s="73" t="s">
        <v>319</v>
      </c>
      <c r="B7" s="80"/>
      <c r="C7" s="80"/>
      <c r="D7" s="80"/>
      <c r="E7" s="80"/>
      <c r="F7" s="80"/>
      <c r="G7" s="80"/>
      <c r="H7" s="80"/>
      <c r="I7" s="24"/>
      <c r="J7" s="24"/>
      <c r="K7" s="24"/>
      <c r="L7" s="24"/>
    </row>
    <row r="8" spans="1:12">
      <c r="A8" s="152" t="s">
        <v>320</v>
      </c>
      <c r="B8" s="152"/>
      <c r="C8" s="153" t="s">
        <v>10</v>
      </c>
      <c r="D8" s="153" t="s">
        <v>5</v>
      </c>
      <c r="E8" s="153" t="s">
        <v>6</v>
      </c>
      <c r="F8" s="153" t="s">
        <v>7</v>
      </c>
      <c r="G8" s="153" t="s">
        <v>8</v>
      </c>
      <c r="H8" s="153" t="s">
        <v>9</v>
      </c>
      <c r="I8" s="24"/>
      <c r="J8" s="24"/>
      <c r="K8" s="24"/>
      <c r="L8" s="24"/>
    </row>
    <row r="9" spans="1:12">
      <c r="A9" s="80" t="s">
        <v>320</v>
      </c>
      <c r="B9" s="80"/>
      <c r="C9" s="80"/>
      <c r="D9" s="80"/>
      <c r="E9" s="80"/>
      <c r="F9" s="80"/>
      <c r="G9" s="80"/>
      <c r="H9" s="80"/>
      <c r="I9" s="24"/>
      <c r="J9" s="24"/>
      <c r="K9" s="24"/>
      <c r="L9" s="24"/>
    </row>
    <row r="10" spans="1:12">
      <c r="A10" s="80" t="s">
        <v>5</v>
      </c>
      <c r="B10" s="80" t="s">
        <v>72</v>
      </c>
      <c r="C10" s="181">
        <v>31311247</v>
      </c>
      <c r="D10" s="53">
        <f>VLOOKUP($B10,$B$59:$H$72,3,FALSE)*$C10</f>
        <v>31311247</v>
      </c>
      <c r="E10" s="53">
        <f>VLOOKUP($B10,$B$59:$H$72,4,FALSE)*$C10</f>
        <v>0</v>
      </c>
      <c r="F10" s="53">
        <f>VLOOKUP($B10,$B$59:$H$72,5,FALSE)*$C10</f>
        <v>0</v>
      </c>
      <c r="G10" s="53">
        <f>VLOOKUP($B10,$B$59:$H$72,6,FALSE)*$C10</f>
        <v>0</v>
      </c>
      <c r="H10" s="53">
        <f>VLOOKUP($B10,$B$59:$H$72,7,FALSE)*$C10</f>
        <v>0</v>
      </c>
      <c r="I10" s="47"/>
      <c r="J10" s="80"/>
      <c r="K10" s="73"/>
      <c r="L10" s="80"/>
    </row>
    <row r="11" spans="1:12">
      <c r="A11" s="80" t="s">
        <v>6</v>
      </c>
      <c r="B11" s="80" t="s">
        <v>113</v>
      </c>
      <c r="C11" s="181">
        <v>15816517.5</v>
      </c>
      <c r="D11" s="53">
        <f>VLOOKUP($B11,$B$59:$H$72,3,FALSE)*$C11</f>
        <v>0</v>
      </c>
      <c r="E11" s="53">
        <f>VLOOKUP($B11,$B$59:$H$72,4,FALSE)*$C11</f>
        <v>15816517.5</v>
      </c>
      <c r="F11" s="53">
        <f>VLOOKUP($B11,$B$59:$H$72,5,FALSE)*$C11</f>
        <v>0</v>
      </c>
      <c r="G11" s="53">
        <f>VLOOKUP($B11,$B$59:$H$72,6,FALSE)*$C11</f>
        <v>0</v>
      </c>
      <c r="H11" s="53">
        <f>VLOOKUP($B11,$B$59:$H$72,7,FALSE)*$C11</f>
        <v>0</v>
      </c>
      <c r="I11" s="47"/>
      <c r="J11" s="80"/>
      <c r="K11" s="73"/>
      <c r="L11" s="80"/>
    </row>
    <row r="12" spans="1:12">
      <c r="A12" s="80" t="s">
        <v>139</v>
      </c>
      <c r="B12" s="80" t="s">
        <v>7</v>
      </c>
      <c r="C12" s="181">
        <v>12294483</v>
      </c>
      <c r="D12" s="53">
        <f>VLOOKUP($B12,$B$59:$H$72,3,FALSE)*$C12</f>
        <v>0</v>
      </c>
      <c r="E12" s="53">
        <f>VLOOKUP($B12,$B$59:$H$72,4,FALSE)*$C12</f>
        <v>0</v>
      </c>
      <c r="F12" s="53">
        <f>VLOOKUP($B12,$B$59:$H$72,5,FALSE)*$C12</f>
        <v>12294483</v>
      </c>
      <c r="G12" s="53">
        <f>VLOOKUP($B12,$B$59:$H$72,6,FALSE)*$C12</f>
        <v>0</v>
      </c>
      <c r="H12" s="53">
        <f>VLOOKUP($B12,$B$59:$H$72,7,FALSE)*$C12</f>
        <v>0</v>
      </c>
      <c r="I12" s="47"/>
      <c r="J12" s="80"/>
      <c r="K12" s="73"/>
      <c r="L12" s="80"/>
    </row>
    <row r="13" spans="1:12">
      <c r="A13" s="80" t="s">
        <v>140</v>
      </c>
      <c r="B13" s="80" t="s">
        <v>32</v>
      </c>
      <c r="C13" s="181">
        <v>-581199</v>
      </c>
      <c r="D13" s="53">
        <f>VLOOKUP($B13,$B$59:$H$72,3,FALSE)*$C13</f>
        <v>-124915.30395226247</v>
      </c>
      <c r="E13" s="53">
        <f>VLOOKUP($B13,$B$59:$H$72,4,FALSE)*$C13</f>
        <v>-204675.13192089589</v>
      </c>
      <c r="F13" s="53">
        <f>VLOOKUP($B13,$B$59:$H$72,5,FALSE)*$C13</f>
        <v>-242885.31448793452</v>
      </c>
      <c r="G13" s="53">
        <f>VLOOKUP($B13,$B$59:$H$72,6,FALSE)*$C13</f>
        <v>-8723.2496389070657</v>
      </c>
      <c r="H13" s="53">
        <f>VLOOKUP($B13,$B$59:$H$72,7,FALSE)*$C13</f>
        <v>0</v>
      </c>
      <c r="I13" s="47"/>
      <c r="J13" s="80"/>
      <c r="K13" s="73"/>
      <c r="L13" s="80"/>
    </row>
    <row r="14" spans="1:12">
      <c r="A14" s="80" t="s">
        <v>321</v>
      </c>
      <c r="B14" s="80" t="s">
        <v>72</v>
      </c>
      <c r="C14" s="243">
        <v>4822</v>
      </c>
      <c r="D14" s="162">
        <f>VLOOKUP($B14,$B$59:$H$72,3,FALSE)*$C14</f>
        <v>4822</v>
      </c>
      <c r="E14" s="162">
        <f>VLOOKUP($B14,$B$59:$H$72,4,FALSE)*$C14</f>
        <v>0</v>
      </c>
      <c r="F14" s="162">
        <f>VLOOKUP($B14,$B$59:$H$72,5,FALSE)*$C14</f>
        <v>0</v>
      </c>
      <c r="G14" s="162">
        <f>VLOOKUP($B14,$B$59:$H$72,6,FALSE)*$C14</f>
        <v>0</v>
      </c>
      <c r="H14" s="162">
        <f>VLOOKUP($B14,$B$59:$H$72,7,FALSE)*$C14</f>
        <v>0</v>
      </c>
      <c r="I14" s="47"/>
      <c r="J14" s="80"/>
      <c r="K14" s="73"/>
      <c r="L14" s="80"/>
    </row>
    <row r="15" spans="1:12">
      <c r="A15" s="80"/>
      <c r="B15" s="80"/>
      <c r="C15" s="181"/>
      <c r="D15" s="80"/>
      <c r="E15" s="80"/>
      <c r="F15" s="80"/>
      <c r="G15" s="80"/>
      <c r="H15" s="80"/>
      <c r="I15" s="24"/>
      <c r="J15" s="24"/>
      <c r="K15" s="24"/>
      <c r="L15" s="24"/>
    </row>
    <row r="16" spans="1:12">
      <c r="A16" s="80" t="s">
        <v>322</v>
      </c>
      <c r="B16" s="80"/>
      <c r="C16" s="181">
        <f t="shared" ref="C16:H16" si="0">SUM(C10:C14)</f>
        <v>58845870.5</v>
      </c>
      <c r="D16" s="181">
        <f t="shared" si="0"/>
        <v>31191153.696047738</v>
      </c>
      <c r="E16" s="181">
        <f t="shared" si="0"/>
        <v>15611842.368079104</v>
      </c>
      <c r="F16" s="181">
        <f t="shared" si="0"/>
        <v>12051597.685512066</v>
      </c>
      <c r="G16" s="181">
        <f t="shared" si="0"/>
        <v>-8723.2496389070657</v>
      </c>
      <c r="H16" s="181">
        <f t="shared" si="0"/>
        <v>0</v>
      </c>
      <c r="I16" s="24"/>
      <c r="J16" s="24"/>
      <c r="K16" s="24"/>
      <c r="L16" s="24"/>
    </row>
    <row r="17" spans="1:12">
      <c r="A17" s="80"/>
      <c r="B17" s="80"/>
      <c r="C17" s="181"/>
      <c r="D17" s="80"/>
      <c r="E17" s="80"/>
      <c r="F17" s="80"/>
      <c r="G17" s="80"/>
      <c r="H17" s="80"/>
      <c r="I17" s="24"/>
      <c r="J17" s="24"/>
      <c r="K17" s="24"/>
      <c r="L17" s="24"/>
    </row>
    <row r="18" spans="1:12">
      <c r="A18" s="80" t="s">
        <v>323</v>
      </c>
      <c r="B18" s="80"/>
      <c r="C18" s="181"/>
      <c r="D18" s="80"/>
      <c r="E18" s="80"/>
      <c r="F18" s="80"/>
      <c r="G18" s="80"/>
      <c r="H18" s="80"/>
      <c r="I18" s="24"/>
      <c r="J18" s="24"/>
      <c r="K18" s="24"/>
      <c r="L18" s="24"/>
    </row>
    <row r="19" spans="1:12">
      <c r="A19" s="80" t="s">
        <v>5</v>
      </c>
      <c r="B19" s="80" t="s">
        <v>72</v>
      </c>
      <c r="C19" s="181">
        <v>53367081.5</v>
      </c>
      <c r="D19" s="53">
        <f>VLOOKUP($B19,$B$59:$H$72,3,FALSE)*$C19</f>
        <v>53367081.5</v>
      </c>
      <c r="E19" s="53">
        <f>VLOOKUP($B19,$B$59:$H$72,4,FALSE)*$C19</f>
        <v>0</v>
      </c>
      <c r="F19" s="53">
        <f>VLOOKUP($B19,$B$59:$H$72,5,FALSE)*$C19</f>
        <v>0</v>
      </c>
      <c r="G19" s="53">
        <f>VLOOKUP($B19,$B$59:$H$72,6,FALSE)*$C19</f>
        <v>0</v>
      </c>
      <c r="H19" s="53">
        <f>VLOOKUP($B19,$B$59:$H$72,7,FALSE)*$C19</f>
        <v>0</v>
      </c>
      <c r="I19" s="47"/>
      <c r="J19" s="80"/>
      <c r="K19" s="73"/>
      <c r="L19" s="80"/>
    </row>
    <row r="20" spans="1:12">
      <c r="A20" s="80" t="s">
        <v>6</v>
      </c>
      <c r="B20" s="80" t="s">
        <v>113</v>
      </c>
      <c r="C20" s="181">
        <v>36858645.5</v>
      </c>
      <c r="D20" s="53">
        <f>VLOOKUP($B20,$B$59:$H$72,3,FALSE)*$C20</f>
        <v>0</v>
      </c>
      <c r="E20" s="53">
        <f>VLOOKUP($B20,$B$59:$H$72,4,FALSE)*$C20</f>
        <v>36858645.5</v>
      </c>
      <c r="F20" s="53">
        <f>VLOOKUP($B20,$B$59:$H$72,5,FALSE)*$C20</f>
        <v>0</v>
      </c>
      <c r="G20" s="53">
        <f>VLOOKUP($B20,$B$59:$H$72,6,FALSE)*$C20</f>
        <v>0</v>
      </c>
      <c r="H20" s="53">
        <f>VLOOKUP($B20,$B$59:$H$72,7,FALSE)*$C20</f>
        <v>0</v>
      </c>
      <c r="I20" s="47"/>
      <c r="J20" s="80"/>
      <c r="K20" s="73"/>
      <c r="L20" s="80"/>
    </row>
    <row r="21" spans="1:12">
      <c r="A21" s="80" t="s">
        <v>139</v>
      </c>
      <c r="B21" s="80" t="s">
        <v>7</v>
      </c>
      <c r="C21" s="181">
        <v>27399394.5</v>
      </c>
      <c r="D21" s="53">
        <f>VLOOKUP($B21,$B$59:$H$72,3,FALSE)*$C21</f>
        <v>0</v>
      </c>
      <c r="E21" s="53">
        <f>VLOOKUP($B21,$B$59:$H$72,4,FALSE)*$C21</f>
        <v>0</v>
      </c>
      <c r="F21" s="53">
        <f>VLOOKUP($B21,$B$59:$H$72,5,FALSE)*$C21</f>
        <v>27399394.5</v>
      </c>
      <c r="G21" s="53">
        <f>VLOOKUP($B21,$B$59:$H$72,6,FALSE)*$C21</f>
        <v>0</v>
      </c>
      <c r="H21" s="53">
        <f>VLOOKUP($B21,$B$59:$H$72,7,FALSE)*$C21</f>
        <v>0</v>
      </c>
      <c r="I21" s="47"/>
      <c r="J21" s="80"/>
      <c r="K21" s="73"/>
      <c r="L21" s="80"/>
    </row>
    <row r="22" spans="1:12">
      <c r="A22" s="80" t="s">
        <v>140</v>
      </c>
      <c r="B22" s="80" t="s">
        <v>32</v>
      </c>
      <c r="C22" s="181">
        <v>-869685.5</v>
      </c>
      <c r="D22" s="53">
        <f>VLOOKUP($B22,$B$59:$H$72,3,FALSE)*$C22</f>
        <v>-186918.81537197306</v>
      </c>
      <c r="E22" s="53">
        <f>VLOOKUP($B22,$B$59:$H$72,4,FALSE)*$C22</f>
        <v>-306268.58346657566</v>
      </c>
      <c r="F22" s="53">
        <f>VLOOKUP($B22,$B$59:$H$72,5,FALSE)*$C22</f>
        <v>-363444.94084314769</v>
      </c>
      <c r="G22" s="53">
        <f>VLOOKUP($B22,$B$59:$H$72,6,FALSE)*$C22</f>
        <v>-13053.16031830356</v>
      </c>
      <c r="H22" s="53">
        <f>VLOOKUP($B22,$B$59:$H$72,7,FALSE)*$C22</f>
        <v>0</v>
      </c>
      <c r="I22" s="47"/>
      <c r="J22" s="80"/>
      <c r="K22" s="73"/>
      <c r="L22" s="80"/>
    </row>
    <row r="23" spans="1:12">
      <c r="A23" s="80" t="s">
        <v>321</v>
      </c>
      <c r="B23" s="80" t="s">
        <v>72</v>
      </c>
      <c r="C23" s="243">
        <v>12386.5</v>
      </c>
      <c r="D23" s="162">
        <f>VLOOKUP($B23,$B$59:$H$72,3,FALSE)*$C23</f>
        <v>12386.5</v>
      </c>
      <c r="E23" s="162">
        <f>VLOOKUP($B23,$B$59:$H$72,4,FALSE)*$C23</f>
        <v>0</v>
      </c>
      <c r="F23" s="162">
        <f>VLOOKUP($B23,$B$59:$H$72,5,FALSE)*$C23</f>
        <v>0</v>
      </c>
      <c r="G23" s="162">
        <f>VLOOKUP($B23,$B$59:$H$72,6,FALSE)*$C23</f>
        <v>0</v>
      </c>
      <c r="H23" s="162">
        <f>VLOOKUP($B23,$B$59:$H$72,7,FALSE)*$C23</f>
        <v>0</v>
      </c>
      <c r="I23" s="47"/>
      <c r="J23" s="80"/>
      <c r="K23" s="73"/>
      <c r="L23" s="80"/>
    </row>
    <row r="24" spans="1:12">
      <c r="A24" s="80"/>
      <c r="B24" s="80"/>
      <c r="C24" s="181"/>
      <c r="D24" s="80"/>
      <c r="E24" s="80"/>
      <c r="F24" s="80"/>
      <c r="G24" s="80"/>
      <c r="H24" s="80"/>
      <c r="I24" s="24"/>
      <c r="J24" s="24"/>
      <c r="K24" s="24"/>
      <c r="L24" s="24"/>
    </row>
    <row r="25" spans="1:12">
      <c r="A25" s="80" t="s">
        <v>324</v>
      </c>
      <c r="B25" s="80"/>
      <c r="C25" s="181">
        <f t="shared" ref="C25:H25" si="1">SUM(C19:C23)</f>
        <v>116767822.5</v>
      </c>
      <c r="D25" s="181">
        <f t="shared" si="1"/>
        <v>53192549.184628025</v>
      </c>
      <c r="E25" s="181">
        <f t="shared" si="1"/>
        <v>36552376.916533425</v>
      </c>
      <c r="F25" s="181">
        <f t="shared" si="1"/>
        <v>27035949.559156854</v>
      </c>
      <c r="G25" s="181">
        <f t="shared" si="1"/>
        <v>-13053.16031830356</v>
      </c>
      <c r="H25" s="181">
        <f t="shared" si="1"/>
        <v>0</v>
      </c>
      <c r="I25" s="24"/>
      <c r="J25" s="24"/>
      <c r="K25" s="24"/>
      <c r="L25" s="24"/>
    </row>
    <row r="26" spans="1:12">
      <c r="A26" s="80"/>
      <c r="B26" s="80"/>
      <c r="C26" s="181"/>
      <c r="D26" s="80"/>
      <c r="E26" s="80"/>
      <c r="F26" s="80"/>
      <c r="G26" s="80"/>
      <c r="H26" s="80"/>
      <c r="I26" s="24"/>
      <c r="J26" s="24"/>
      <c r="K26" s="24"/>
      <c r="L26" s="24"/>
    </row>
    <row r="27" spans="1:12">
      <c r="A27" s="80" t="s">
        <v>325</v>
      </c>
      <c r="B27" s="80"/>
      <c r="C27" s="181"/>
      <c r="D27" s="80"/>
      <c r="E27" s="80"/>
      <c r="F27" s="80"/>
      <c r="G27" s="80"/>
      <c r="H27" s="80"/>
      <c r="I27" s="24"/>
      <c r="J27" s="24"/>
      <c r="K27" s="24"/>
      <c r="L27" s="24"/>
    </row>
    <row r="28" spans="1:12">
      <c r="A28" s="80" t="s">
        <v>326</v>
      </c>
      <c r="B28" s="80" t="s">
        <v>72</v>
      </c>
      <c r="C28" s="181">
        <v>442401667</v>
      </c>
      <c r="D28" s="53">
        <f t="shared" ref="D28:D44" si="2">VLOOKUP($B28,$B$59:$H$72,3,FALSE)*$C28</f>
        <v>442401667</v>
      </c>
      <c r="E28" s="53">
        <f t="shared" ref="E28:E44" si="3">VLOOKUP($B28,$B$59:$H$72,4,FALSE)*$C28</f>
        <v>0</v>
      </c>
      <c r="F28" s="53">
        <f t="shared" ref="F28:F44" si="4">VLOOKUP($B28,$B$59:$H$72,5,FALSE)*$C28</f>
        <v>0</v>
      </c>
      <c r="G28" s="53">
        <f t="shared" ref="G28:G44" si="5">VLOOKUP($B28,$B$59:$H$72,6,FALSE)*$C28</f>
        <v>0</v>
      </c>
      <c r="H28" s="53">
        <f t="shared" ref="H28:H44" si="6">VLOOKUP($B28,$B$59:$H$72,7,FALSE)*$C28</f>
        <v>0</v>
      </c>
      <c r="I28" s="47"/>
      <c r="J28" s="80"/>
      <c r="K28" s="73"/>
      <c r="L28" s="80"/>
    </row>
    <row r="29" spans="1:12">
      <c r="A29" s="80" t="s">
        <v>327</v>
      </c>
      <c r="B29" s="80" t="s">
        <v>72</v>
      </c>
      <c r="C29" s="181">
        <v>36128583.5</v>
      </c>
      <c r="D29" s="53">
        <f t="shared" si="2"/>
        <v>36128583.5</v>
      </c>
      <c r="E29" s="53">
        <f t="shared" si="3"/>
        <v>0</v>
      </c>
      <c r="F29" s="53">
        <f t="shared" si="4"/>
        <v>0</v>
      </c>
      <c r="G29" s="53">
        <f t="shared" si="5"/>
        <v>0</v>
      </c>
      <c r="H29" s="53">
        <f t="shared" si="6"/>
        <v>0</v>
      </c>
      <c r="I29" s="47"/>
      <c r="J29" s="80"/>
      <c r="K29" s="73"/>
      <c r="L29" s="80"/>
    </row>
    <row r="30" spans="1:12">
      <c r="A30" s="80" t="s">
        <v>328</v>
      </c>
      <c r="B30" s="80" t="s">
        <v>72</v>
      </c>
      <c r="C30" s="181">
        <v>6155209</v>
      </c>
      <c r="D30" s="53">
        <f t="shared" si="2"/>
        <v>6155209</v>
      </c>
      <c r="E30" s="53">
        <f t="shared" si="3"/>
        <v>0</v>
      </c>
      <c r="F30" s="53">
        <f t="shared" si="4"/>
        <v>0</v>
      </c>
      <c r="G30" s="53">
        <f t="shared" si="5"/>
        <v>0</v>
      </c>
      <c r="H30" s="53">
        <f t="shared" si="6"/>
        <v>0</v>
      </c>
      <c r="I30" s="47"/>
      <c r="J30" s="80"/>
      <c r="K30" s="73"/>
      <c r="L30" s="80"/>
    </row>
    <row r="31" spans="1:12">
      <c r="A31" s="80" t="s">
        <v>329</v>
      </c>
      <c r="B31" s="80" t="s">
        <v>72</v>
      </c>
      <c r="C31" s="181">
        <v>36394073</v>
      </c>
      <c r="D31" s="53">
        <f t="shared" si="2"/>
        <v>36394073</v>
      </c>
      <c r="E31" s="53">
        <f t="shared" si="3"/>
        <v>0</v>
      </c>
      <c r="F31" s="53">
        <f t="shared" si="4"/>
        <v>0</v>
      </c>
      <c r="G31" s="53">
        <f t="shared" si="5"/>
        <v>0</v>
      </c>
      <c r="H31" s="53">
        <f t="shared" si="6"/>
        <v>0</v>
      </c>
      <c r="I31" s="47"/>
      <c r="J31" s="80"/>
      <c r="K31" s="73"/>
      <c r="L31" s="80"/>
    </row>
    <row r="32" spans="1:12">
      <c r="A32" s="80" t="s">
        <v>330</v>
      </c>
      <c r="B32" s="80" t="s">
        <v>72</v>
      </c>
      <c r="C32" s="181">
        <v>11230721.5</v>
      </c>
      <c r="D32" s="53">
        <f t="shared" si="2"/>
        <v>11230721.5</v>
      </c>
      <c r="E32" s="53">
        <f t="shared" si="3"/>
        <v>0</v>
      </c>
      <c r="F32" s="53">
        <f t="shared" si="4"/>
        <v>0</v>
      </c>
      <c r="G32" s="53">
        <f t="shared" si="5"/>
        <v>0</v>
      </c>
      <c r="H32" s="53">
        <f t="shared" si="6"/>
        <v>0</v>
      </c>
      <c r="I32" s="47"/>
      <c r="J32" s="80"/>
      <c r="K32" s="73"/>
      <c r="L32" s="80"/>
    </row>
    <row r="33" spans="1:14">
      <c r="A33" s="80" t="s">
        <v>6</v>
      </c>
      <c r="B33" s="80" t="s">
        <v>113</v>
      </c>
      <c r="C33" s="181">
        <v>274892000.5</v>
      </c>
      <c r="D33" s="53">
        <f t="shared" si="2"/>
        <v>0</v>
      </c>
      <c r="E33" s="53">
        <f t="shared" si="3"/>
        <v>274892000.5</v>
      </c>
      <c r="F33" s="53">
        <f t="shared" si="4"/>
        <v>0</v>
      </c>
      <c r="G33" s="53">
        <f t="shared" si="5"/>
        <v>0</v>
      </c>
      <c r="H33" s="53">
        <f t="shared" si="6"/>
        <v>0</v>
      </c>
      <c r="I33" s="47"/>
      <c r="J33" s="80"/>
      <c r="K33" s="73"/>
      <c r="L33" s="80"/>
    </row>
    <row r="34" spans="1:14">
      <c r="A34" s="80" t="s">
        <v>139</v>
      </c>
      <c r="B34" s="80" t="s">
        <v>7</v>
      </c>
      <c r="C34" s="181">
        <v>990463758</v>
      </c>
      <c r="D34" s="53">
        <f t="shared" si="2"/>
        <v>0</v>
      </c>
      <c r="E34" s="53">
        <f t="shared" si="3"/>
        <v>0</v>
      </c>
      <c r="F34" s="53">
        <f t="shared" si="4"/>
        <v>990463758</v>
      </c>
      <c r="G34" s="53">
        <f t="shared" si="5"/>
        <v>0</v>
      </c>
      <c r="H34" s="53">
        <f t="shared" si="6"/>
        <v>0</v>
      </c>
      <c r="I34" s="47"/>
      <c r="J34" s="80"/>
      <c r="K34" s="73"/>
      <c r="L34" s="80"/>
      <c r="N34" t="s">
        <v>331</v>
      </c>
    </row>
    <row r="35" spans="1:14">
      <c r="A35" s="80" t="s">
        <v>332</v>
      </c>
      <c r="B35" s="80" t="s">
        <v>32</v>
      </c>
      <c r="C35" s="181">
        <v>50985021.5</v>
      </c>
      <c r="D35" s="53">
        <f t="shared" si="2"/>
        <v>10958053.02088465</v>
      </c>
      <c r="E35" s="53">
        <f t="shared" si="3"/>
        <v>17954893.249131903</v>
      </c>
      <c r="F35" s="53">
        <f t="shared" si="4"/>
        <v>21306838.073020779</v>
      </c>
      <c r="G35" s="53">
        <f t="shared" si="5"/>
        <v>765237.15696266515</v>
      </c>
      <c r="H35" s="53">
        <f t="shared" si="6"/>
        <v>0</v>
      </c>
      <c r="I35" s="47"/>
      <c r="J35" s="80"/>
      <c r="K35" s="73"/>
      <c r="L35" s="80"/>
    </row>
    <row r="36" spans="1:14">
      <c r="A36" s="80" t="s">
        <v>141</v>
      </c>
      <c r="B36" s="80" t="s">
        <v>72</v>
      </c>
      <c r="C36" s="181">
        <v>3022.5</v>
      </c>
      <c r="D36" s="53">
        <f t="shared" si="2"/>
        <v>3022.5</v>
      </c>
      <c r="E36" s="53">
        <f t="shared" si="3"/>
        <v>0</v>
      </c>
      <c r="F36" s="53">
        <f t="shared" si="4"/>
        <v>0</v>
      </c>
      <c r="G36" s="53">
        <f t="shared" si="5"/>
        <v>0</v>
      </c>
      <c r="H36" s="53">
        <f t="shared" si="6"/>
        <v>0</v>
      </c>
      <c r="I36" s="47"/>
      <c r="J36" s="80"/>
      <c r="K36" s="73"/>
      <c r="L36" s="80"/>
    </row>
    <row r="37" spans="1:14">
      <c r="A37" s="80" t="s">
        <v>333</v>
      </c>
      <c r="B37" s="80" t="s">
        <v>72</v>
      </c>
      <c r="C37" s="181">
        <v>-3421</v>
      </c>
      <c r="D37" s="53">
        <f t="shared" si="2"/>
        <v>-3421</v>
      </c>
      <c r="E37" s="53">
        <f t="shared" si="3"/>
        <v>0</v>
      </c>
      <c r="F37" s="53">
        <f t="shared" si="4"/>
        <v>0</v>
      </c>
      <c r="G37" s="53">
        <f t="shared" si="5"/>
        <v>0</v>
      </c>
      <c r="H37" s="53">
        <f t="shared" si="6"/>
        <v>0</v>
      </c>
      <c r="I37" s="47"/>
      <c r="J37" s="80"/>
      <c r="K37" s="73"/>
      <c r="L37" s="80"/>
    </row>
    <row r="38" spans="1:14">
      <c r="A38" s="80" t="s">
        <v>334</v>
      </c>
      <c r="B38" s="80" t="s">
        <v>130</v>
      </c>
      <c r="C38" s="181">
        <v>1823657652</v>
      </c>
      <c r="D38" s="53">
        <f t="shared" si="2"/>
        <v>1211146186.7845206</v>
      </c>
      <c r="E38" s="53">
        <f t="shared" si="3"/>
        <v>612511465.21547937</v>
      </c>
      <c r="F38" s="53">
        <f t="shared" si="4"/>
        <v>0</v>
      </c>
      <c r="G38" s="53">
        <f t="shared" si="5"/>
        <v>0</v>
      </c>
      <c r="H38" s="53">
        <f t="shared" si="6"/>
        <v>0</v>
      </c>
      <c r="I38" s="47"/>
      <c r="J38" s="80"/>
      <c r="K38" s="73"/>
      <c r="L38" s="80"/>
    </row>
    <row r="39" spans="1:14">
      <c r="A39" s="80" t="s">
        <v>335</v>
      </c>
      <c r="B39" s="80" t="s">
        <v>130</v>
      </c>
      <c r="C39" s="181">
        <v>430147003</v>
      </c>
      <c r="D39" s="53">
        <f t="shared" si="2"/>
        <v>285673630.61202437</v>
      </c>
      <c r="E39" s="53">
        <f t="shared" si="3"/>
        <v>144473372.38797557</v>
      </c>
      <c r="F39" s="53">
        <f t="shared" si="4"/>
        <v>0</v>
      </c>
      <c r="G39" s="53">
        <f t="shared" si="5"/>
        <v>0</v>
      </c>
      <c r="H39" s="53">
        <f t="shared" si="6"/>
        <v>0</v>
      </c>
      <c r="I39" s="47"/>
      <c r="J39" s="80"/>
      <c r="K39" s="73"/>
      <c r="L39" s="80"/>
    </row>
    <row r="40" spans="1:14">
      <c r="A40" s="80" t="s">
        <v>336</v>
      </c>
      <c r="B40" s="80" t="s">
        <v>72</v>
      </c>
      <c r="C40" s="181">
        <v>0</v>
      </c>
      <c r="D40" s="53">
        <f t="shared" si="2"/>
        <v>0</v>
      </c>
      <c r="E40" s="53">
        <f t="shared" si="3"/>
        <v>0</v>
      </c>
      <c r="F40" s="53">
        <f t="shared" si="4"/>
        <v>0</v>
      </c>
      <c r="G40" s="53">
        <f t="shared" si="5"/>
        <v>0</v>
      </c>
      <c r="H40" s="53">
        <f t="shared" si="6"/>
        <v>0</v>
      </c>
      <c r="I40" s="47"/>
      <c r="J40" s="80"/>
      <c r="K40" s="73"/>
      <c r="L40" s="80"/>
    </row>
    <row r="41" spans="1:14">
      <c r="A41" s="80" t="s">
        <v>337</v>
      </c>
      <c r="B41" s="80" t="s">
        <v>72</v>
      </c>
      <c r="C41" s="181">
        <v>0</v>
      </c>
      <c r="D41" s="53">
        <f t="shared" si="2"/>
        <v>0</v>
      </c>
      <c r="E41" s="53">
        <f t="shared" si="3"/>
        <v>0</v>
      </c>
      <c r="F41" s="53">
        <f t="shared" si="4"/>
        <v>0</v>
      </c>
      <c r="G41" s="53">
        <f t="shared" si="5"/>
        <v>0</v>
      </c>
      <c r="H41" s="53">
        <f t="shared" si="6"/>
        <v>0</v>
      </c>
      <c r="I41" s="47"/>
      <c r="J41" s="80"/>
      <c r="K41" s="73"/>
      <c r="L41" s="80"/>
    </row>
    <row r="42" spans="1:14">
      <c r="A42" s="80" t="s">
        <v>338</v>
      </c>
      <c r="B42" s="80" t="s">
        <v>32</v>
      </c>
      <c r="C42" s="181">
        <v>189967733</v>
      </c>
      <c r="D42" s="53">
        <f t="shared" si="2"/>
        <v>40829177.456976429</v>
      </c>
      <c r="E42" s="53">
        <f t="shared" si="3"/>
        <v>66899066.950370744</v>
      </c>
      <c r="F42" s="53">
        <f t="shared" si="4"/>
        <v>79388251.824701995</v>
      </c>
      <c r="G42" s="53">
        <f t="shared" si="5"/>
        <v>2851236.7679508119</v>
      </c>
      <c r="H42" s="53">
        <f t="shared" si="6"/>
        <v>0</v>
      </c>
      <c r="I42" s="47"/>
      <c r="J42" s="80"/>
      <c r="K42" s="73"/>
      <c r="L42" s="80"/>
    </row>
    <row r="43" spans="1:14">
      <c r="A43" s="80" t="s">
        <v>339</v>
      </c>
      <c r="B43" s="80" t="s">
        <v>72</v>
      </c>
      <c r="C43" s="181">
        <v>156202005.5</v>
      </c>
      <c r="D43" s="53">
        <f t="shared" si="2"/>
        <v>156202005.5</v>
      </c>
      <c r="E43" s="53">
        <f t="shared" si="3"/>
        <v>0</v>
      </c>
      <c r="F43" s="53">
        <f t="shared" si="4"/>
        <v>0</v>
      </c>
      <c r="G43" s="53">
        <f t="shared" si="5"/>
        <v>0</v>
      </c>
      <c r="H43" s="53">
        <f t="shared" si="6"/>
        <v>0</v>
      </c>
      <c r="I43" s="47"/>
      <c r="J43" s="80"/>
      <c r="K43" s="73"/>
      <c r="L43" s="80"/>
    </row>
    <row r="44" spans="1:14">
      <c r="A44" s="80" t="s">
        <v>340</v>
      </c>
      <c r="B44" s="80" t="s">
        <v>72</v>
      </c>
      <c r="C44" s="243">
        <v>-72977065</v>
      </c>
      <c r="D44" s="162">
        <f t="shared" si="2"/>
        <v>-72977065</v>
      </c>
      <c r="E44" s="162">
        <f t="shared" si="3"/>
        <v>0</v>
      </c>
      <c r="F44" s="162">
        <f t="shared" si="4"/>
        <v>0</v>
      </c>
      <c r="G44" s="162">
        <f t="shared" si="5"/>
        <v>0</v>
      </c>
      <c r="H44" s="162">
        <f t="shared" si="6"/>
        <v>0</v>
      </c>
      <c r="I44" s="47"/>
      <c r="J44" s="80"/>
      <c r="K44" s="73"/>
      <c r="L44" s="80"/>
    </row>
    <row r="45" spans="1:14">
      <c r="A45" s="80"/>
      <c r="B45" s="80"/>
      <c r="C45" s="181"/>
      <c r="D45" s="80"/>
      <c r="E45" s="80"/>
      <c r="F45" s="80"/>
      <c r="G45" s="80"/>
      <c r="H45" s="80"/>
      <c r="I45" s="24"/>
      <c r="J45" s="24"/>
      <c r="K45" s="24"/>
      <c r="L45" s="24"/>
    </row>
    <row r="46" spans="1:14">
      <c r="A46" s="80" t="s">
        <v>341</v>
      </c>
      <c r="B46" s="80"/>
      <c r="C46" s="181">
        <f>SUM(C28:C44)</f>
        <v>4375647964</v>
      </c>
      <c r="D46" s="181">
        <f t="shared" ref="D46:H46" si="7">SUM(D28:D44)</f>
        <v>2164141843.8744059</v>
      </c>
      <c r="E46" s="181">
        <f t="shared" si="7"/>
        <v>1116730798.3029575</v>
      </c>
      <c r="F46" s="181">
        <f t="shared" si="7"/>
        <v>1091158847.8977227</v>
      </c>
      <c r="G46" s="181">
        <f t="shared" si="7"/>
        <v>3616473.9249134772</v>
      </c>
      <c r="H46" s="181">
        <f t="shared" si="7"/>
        <v>0</v>
      </c>
      <c r="I46" s="24"/>
      <c r="J46" s="24"/>
      <c r="K46" s="24"/>
      <c r="L46" s="24"/>
    </row>
    <row r="47" spans="1:14">
      <c r="A47" s="80"/>
      <c r="B47" s="80"/>
      <c r="C47" s="181"/>
      <c r="D47" s="181"/>
      <c r="E47" s="181"/>
      <c r="F47" s="181"/>
      <c r="G47" s="181"/>
      <c r="H47" s="181"/>
      <c r="I47" s="24"/>
      <c r="J47" s="24"/>
      <c r="K47" s="24"/>
      <c r="L47" s="24"/>
    </row>
    <row r="48" spans="1:14">
      <c r="A48" s="80" t="s">
        <v>342</v>
      </c>
      <c r="B48" s="80"/>
      <c r="C48" s="181">
        <f t="shared" ref="C48:H48" si="8">C16+C25+C46</f>
        <v>4551261657</v>
      </c>
      <c r="D48" s="181">
        <f t="shared" si="8"/>
        <v>2248525546.7550817</v>
      </c>
      <c r="E48" s="181">
        <f t="shared" si="8"/>
        <v>1168895017.58757</v>
      </c>
      <c r="F48" s="181">
        <f t="shared" si="8"/>
        <v>1130246395.1423917</v>
      </c>
      <c r="G48" s="181">
        <f t="shared" si="8"/>
        <v>3594697.5149562666</v>
      </c>
      <c r="H48" s="181">
        <f t="shared" si="8"/>
        <v>0</v>
      </c>
      <c r="I48" s="24"/>
      <c r="J48" s="24"/>
      <c r="K48" s="24"/>
      <c r="L48" s="24"/>
    </row>
    <row r="49" spans="1:12">
      <c r="A49" s="80"/>
      <c r="B49" s="80"/>
      <c r="C49" s="80"/>
      <c r="D49" s="80"/>
      <c r="E49" s="80"/>
      <c r="F49" s="80"/>
      <c r="G49" s="80"/>
      <c r="H49" s="80"/>
      <c r="I49" s="24"/>
      <c r="J49" s="24"/>
      <c r="K49" s="24"/>
      <c r="L49" s="24"/>
    </row>
    <row r="50" spans="1:12">
      <c r="A50" s="182" t="s">
        <v>343</v>
      </c>
      <c r="B50" s="80"/>
      <c r="C50" s="183">
        <v>1</v>
      </c>
      <c r="D50" s="183">
        <f>D48/$C$48</f>
        <v>0.49404444661993241</v>
      </c>
      <c r="E50" s="183">
        <f>E48/$C$48</f>
        <v>0.25682878851620594</v>
      </c>
      <c r="F50" s="183">
        <f>F48/$C$48</f>
        <v>0.24833694046221955</v>
      </c>
      <c r="G50" s="183">
        <f>G48/$C$48</f>
        <v>7.8982440164201409E-4</v>
      </c>
      <c r="H50" s="183">
        <f>H48/$C$48</f>
        <v>0</v>
      </c>
      <c r="I50" s="24"/>
      <c r="J50" s="24"/>
      <c r="K50" s="24"/>
      <c r="L50" s="24"/>
    </row>
    <row r="51" spans="1:12">
      <c r="A51" s="24"/>
      <c r="B51" s="24"/>
      <c r="C51" s="73"/>
      <c r="D51" s="73"/>
      <c r="E51" s="73"/>
      <c r="F51" s="73"/>
      <c r="G51" s="24"/>
      <c r="H51" s="24"/>
      <c r="I51" s="24"/>
      <c r="J51" s="24"/>
      <c r="K51" s="24"/>
      <c r="L51" s="24"/>
    </row>
    <row r="52" spans="1:12">
      <c r="A52" s="24"/>
      <c r="B52" s="24"/>
      <c r="C52" s="24"/>
      <c r="D52" s="73"/>
      <c r="E52" s="73"/>
      <c r="F52" s="73"/>
      <c r="G52" s="24"/>
      <c r="H52" s="24"/>
      <c r="I52" s="24"/>
      <c r="J52" s="24"/>
      <c r="K52" s="24"/>
      <c r="L52" s="24"/>
    </row>
    <row r="53" spans="1:12">
      <c r="A53" s="24"/>
      <c r="B53" s="24"/>
      <c r="C53" s="24"/>
      <c r="D53" s="73"/>
      <c r="E53" s="73"/>
      <c r="F53" s="73"/>
      <c r="G53" s="24"/>
      <c r="H53" s="24"/>
      <c r="I53" s="24"/>
      <c r="J53" s="24"/>
      <c r="K53" s="24"/>
      <c r="L53" s="24"/>
    </row>
    <row r="54" spans="1:12">
      <c r="A54" s="24"/>
      <c r="B54" s="73" t="s">
        <v>344</v>
      </c>
      <c r="C54" s="66">
        <f>SUM(D54:F54)</f>
        <v>0.40916639709420199</v>
      </c>
      <c r="D54" s="66">
        <v>9.962591977161854E-2</v>
      </c>
      <c r="E54" s="66">
        <v>0.30954047732258344</v>
      </c>
      <c r="F54" s="66">
        <v>0</v>
      </c>
      <c r="G54" s="24"/>
      <c r="H54" s="24"/>
      <c r="I54" s="24"/>
      <c r="J54" s="24"/>
      <c r="K54" s="24"/>
      <c r="L54" s="24"/>
    </row>
    <row r="55" spans="1:1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1:1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1:12">
      <c r="A58" s="24"/>
      <c r="B58" s="80"/>
      <c r="C58" s="165" t="s">
        <v>10</v>
      </c>
      <c r="D58" s="165" t="s">
        <v>5</v>
      </c>
      <c r="E58" s="165" t="s">
        <v>6</v>
      </c>
      <c r="F58" s="165" t="s">
        <v>250</v>
      </c>
      <c r="G58" s="165" t="s">
        <v>251</v>
      </c>
      <c r="H58" s="165" t="s">
        <v>252</v>
      </c>
      <c r="I58" s="24"/>
      <c r="J58" s="24"/>
      <c r="K58" s="24"/>
      <c r="L58" s="24"/>
    </row>
    <row r="59" spans="1:12">
      <c r="A59" s="24"/>
      <c r="B59" s="80" t="s">
        <v>9</v>
      </c>
      <c r="C59" s="106">
        <f>SUM(D59:H59)</f>
        <v>1</v>
      </c>
      <c r="D59" s="157">
        <v>0</v>
      </c>
      <c r="E59" s="157">
        <v>0</v>
      </c>
      <c r="F59" s="157">
        <v>0</v>
      </c>
      <c r="G59" s="157">
        <v>0</v>
      </c>
      <c r="H59" s="157">
        <v>1</v>
      </c>
      <c r="I59" s="24"/>
      <c r="J59" s="24"/>
      <c r="K59" s="24"/>
      <c r="L59" s="24"/>
    </row>
    <row r="60" spans="1:12">
      <c r="A60" s="24"/>
      <c r="B60" s="80" t="s">
        <v>7</v>
      </c>
      <c r="C60" s="106">
        <f t="shared" ref="C60:C72" si="9">SUM(D60:H60)</f>
        <v>1</v>
      </c>
      <c r="D60" s="66">
        <v>0</v>
      </c>
      <c r="E60" s="66">
        <v>0</v>
      </c>
      <c r="F60" s="66">
        <v>1</v>
      </c>
      <c r="G60" s="66">
        <v>0</v>
      </c>
      <c r="H60" s="66">
        <v>0</v>
      </c>
      <c r="I60" s="24"/>
      <c r="J60" s="24"/>
      <c r="K60" s="24"/>
      <c r="L60" s="24"/>
    </row>
    <row r="61" spans="1:12">
      <c r="A61" s="24"/>
      <c r="B61" s="80" t="s">
        <v>18</v>
      </c>
      <c r="C61" s="106">
        <f t="shared" si="9"/>
        <v>0.99999999999999978</v>
      </c>
      <c r="D61" s="66">
        <f>'REGASS&amp;DDS'!F35</f>
        <v>0.1147733257550423</v>
      </c>
      <c r="E61" s="66">
        <f>'REGASS&amp;DDS'!G35</f>
        <v>-6.7577817827213241E-2</v>
      </c>
      <c r="F61" s="66">
        <f>'REGASS&amp;DDS'!H35</f>
        <v>-0.35552139808919153</v>
      </c>
      <c r="G61" s="66">
        <f>'REGASS&amp;DDS'!I35</f>
        <v>1.3321013874365792</v>
      </c>
      <c r="H61" s="66">
        <f>'REGASS&amp;DDS'!J35</f>
        <v>-2.3775497275216897E-2</v>
      </c>
      <c r="I61" s="24"/>
      <c r="J61" s="24"/>
      <c r="K61" s="24"/>
      <c r="L61" s="24"/>
    </row>
    <row r="62" spans="1:12">
      <c r="A62" s="24"/>
      <c r="B62" s="80" t="s">
        <v>8</v>
      </c>
      <c r="C62" s="106">
        <f t="shared" si="9"/>
        <v>1</v>
      </c>
      <c r="D62" s="66">
        <v>0</v>
      </c>
      <c r="E62" s="66">
        <v>0</v>
      </c>
      <c r="F62" s="66">
        <v>0</v>
      </c>
      <c r="G62" s="66">
        <v>1</v>
      </c>
      <c r="H62" s="66">
        <v>0</v>
      </c>
      <c r="I62" s="24"/>
      <c r="J62" s="24"/>
      <c r="K62" s="24"/>
      <c r="L62" s="24"/>
    </row>
    <row r="63" spans="1:12">
      <c r="A63" s="24"/>
      <c r="B63" s="80" t="s">
        <v>28</v>
      </c>
      <c r="C63" s="106">
        <f t="shared" si="9"/>
        <v>1</v>
      </c>
      <c r="D63" s="66">
        <v>0.3</v>
      </c>
      <c r="E63" s="66">
        <v>0.1</v>
      </c>
      <c r="F63" s="66">
        <v>0.6</v>
      </c>
      <c r="G63" s="66">
        <v>0</v>
      </c>
      <c r="H63" s="66">
        <v>0</v>
      </c>
      <c r="I63" s="24"/>
      <c r="J63" s="24"/>
      <c r="K63" s="24"/>
      <c r="L63" s="24"/>
    </row>
    <row r="64" spans="1:12">
      <c r="A64" s="24"/>
      <c r="B64" s="80" t="s">
        <v>32</v>
      </c>
      <c r="C64" s="106">
        <f>SUM(D64:H64)</f>
        <v>0.99999999999999989</v>
      </c>
      <c r="D64" s="66">
        <f>GP!E38</f>
        <v>0.21492690791323191</v>
      </c>
      <c r="E64" s="66">
        <f>GP!F38</f>
        <v>0.35216015843264681</v>
      </c>
      <c r="F64" s="66">
        <f>GP!G38</f>
        <v>0.41790387541605289</v>
      </c>
      <c r="G64" s="66">
        <f>GP!H38</f>
        <v>1.5009058238068314E-2</v>
      </c>
      <c r="H64" s="66">
        <f>GP!I38</f>
        <v>0</v>
      </c>
      <c r="I64" s="24"/>
      <c r="J64" s="24"/>
      <c r="K64" s="24"/>
      <c r="L64" s="24"/>
    </row>
    <row r="65" spans="1:12">
      <c r="A65" s="24"/>
      <c r="B65" s="80" t="s">
        <v>38</v>
      </c>
      <c r="C65" s="106">
        <f t="shared" si="9"/>
        <v>0.99999999999999989</v>
      </c>
      <c r="D65" s="66">
        <f>'GROSS PLANT'!E42</f>
        <v>0.47642835102480052</v>
      </c>
      <c r="E65" s="66">
        <f>'GROSS PLANT'!F42</f>
        <v>0.24678815260820858</v>
      </c>
      <c r="F65" s="66">
        <f>'GROSS PLANT'!G42</f>
        <v>0.27019312987812671</v>
      </c>
      <c r="G65" s="66">
        <f>'GROSS PLANT'!H42</f>
        <v>6.5903664888640485E-3</v>
      </c>
      <c r="H65" s="66">
        <f>'GROSS PLANT'!I42</f>
        <v>0</v>
      </c>
      <c r="I65" s="24"/>
      <c r="J65" s="24"/>
      <c r="K65" s="24"/>
      <c r="L65" s="24"/>
    </row>
    <row r="66" spans="1:12">
      <c r="A66" s="24"/>
      <c r="B66" s="80" t="s">
        <v>54</v>
      </c>
      <c r="C66" s="106">
        <f t="shared" si="9"/>
        <v>1</v>
      </c>
      <c r="D66" s="66">
        <f>'FORM 1'!C25</f>
        <v>0.46137836289269235</v>
      </c>
      <c r="E66" s="66">
        <f>'FORM 1'!D25</f>
        <v>8.6868274473763427E-2</v>
      </c>
      <c r="F66" s="66">
        <f>'FORM 1'!E25</f>
        <v>0.30489927544920509</v>
      </c>
      <c r="G66" s="66">
        <f>'FORM 1'!F25</f>
        <v>0.14685408718433918</v>
      </c>
      <c r="H66" s="66">
        <f>'FORM 1'!G25</f>
        <v>0</v>
      </c>
      <c r="I66" s="24"/>
      <c r="J66" s="24"/>
      <c r="K66" s="24"/>
      <c r="L66" s="24"/>
    </row>
    <row r="67" spans="1:12">
      <c r="A67" s="24"/>
      <c r="B67" s="80" t="s">
        <v>72</v>
      </c>
      <c r="C67" s="106">
        <f t="shared" si="9"/>
        <v>1</v>
      </c>
      <c r="D67" s="66">
        <v>1</v>
      </c>
      <c r="E67" s="66">
        <v>0</v>
      </c>
      <c r="F67" s="66">
        <v>0</v>
      </c>
      <c r="G67" s="66">
        <v>0</v>
      </c>
      <c r="H67" s="66">
        <v>0</v>
      </c>
      <c r="I67" s="24"/>
      <c r="J67" s="24"/>
      <c r="K67" s="24"/>
      <c r="L67" s="24"/>
    </row>
    <row r="68" spans="1:12">
      <c r="A68" s="24"/>
      <c r="B68" s="80" t="s">
        <v>130</v>
      </c>
      <c r="C68" s="106">
        <f>SUM(D68:H68)</f>
        <v>1</v>
      </c>
      <c r="D68" s="66">
        <f>+'FORM 1'!C17</f>
        <v>0.6641302359882405</v>
      </c>
      <c r="E68" s="66">
        <f>+'FORM 1'!D17</f>
        <v>0.33586976401175944</v>
      </c>
      <c r="F68" s="66">
        <f>+'FORM 1'!E17</f>
        <v>0</v>
      </c>
      <c r="G68" s="66">
        <f>+'FORM 1'!F17</f>
        <v>0</v>
      </c>
      <c r="H68" s="66">
        <f>+'FORM 1'!G17</f>
        <v>0</v>
      </c>
      <c r="I68" s="24"/>
      <c r="J68" s="24"/>
      <c r="K68" s="24"/>
      <c r="L68" s="24"/>
    </row>
    <row r="69" spans="1:12">
      <c r="A69" s="24"/>
      <c r="B69" s="80" t="s">
        <v>132</v>
      </c>
      <c r="C69" s="106">
        <f t="shared" si="9"/>
        <v>1</v>
      </c>
      <c r="D69" s="66">
        <f>'FORM 1'!C16</f>
        <v>0.48508967903517519</v>
      </c>
      <c r="E69" s="66">
        <f>'FORM 1'!D16</f>
        <v>0.24532380426806721</v>
      </c>
      <c r="F69" s="66">
        <f>'FORM 1'!E16</f>
        <v>0.26958651669675765</v>
      </c>
      <c r="G69" s="66">
        <f>'FORM 1'!F16</f>
        <v>0</v>
      </c>
      <c r="H69" s="66">
        <f>'FORM 1'!G16</f>
        <v>0</v>
      </c>
      <c r="I69" s="24"/>
      <c r="J69" s="24"/>
      <c r="K69" s="24"/>
      <c r="L69" s="24"/>
    </row>
    <row r="70" spans="1:12">
      <c r="A70" s="24"/>
      <c r="B70" s="80" t="s">
        <v>113</v>
      </c>
      <c r="C70" s="106">
        <f t="shared" si="9"/>
        <v>1</v>
      </c>
      <c r="D70" s="66">
        <v>0</v>
      </c>
      <c r="E70" s="66">
        <v>1</v>
      </c>
      <c r="F70" s="66">
        <v>0</v>
      </c>
      <c r="G70" s="66">
        <v>0</v>
      </c>
      <c r="H70" s="66">
        <v>0</v>
      </c>
      <c r="I70" s="24"/>
      <c r="J70" s="24"/>
      <c r="K70" s="24"/>
      <c r="L70" s="24"/>
    </row>
    <row r="71" spans="1:12">
      <c r="A71" s="24"/>
      <c r="B71" s="80" t="s">
        <v>276</v>
      </c>
      <c r="C71" s="106">
        <f t="shared" si="9"/>
        <v>0.99999999999999978</v>
      </c>
      <c r="D71" s="66">
        <f>'TAX DEPR'!C24</f>
        <v>0.37723665137838935</v>
      </c>
      <c r="E71" s="66">
        <f>'TAX DEPR'!D24</f>
        <v>0.30064602851187261</v>
      </c>
      <c r="F71" s="66">
        <f>'TAX DEPR'!E24</f>
        <v>0.31198261527018784</v>
      </c>
      <c r="G71" s="66">
        <f>'TAX DEPR'!F24</f>
        <v>1.0134704839549979E-2</v>
      </c>
      <c r="H71" s="66">
        <f>'TAX DEPR'!G24</f>
        <v>0</v>
      </c>
      <c r="I71" s="24"/>
      <c r="J71" s="24"/>
      <c r="K71" s="24"/>
      <c r="L71" s="24"/>
    </row>
    <row r="72" spans="1:12">
      <c r="A72" s="24"/>
      <c r="B72" s="80" t="s">
        <v>116</v>
      </c>
      <c r="C72" s="106">
        <f t="shared" si="9"/>
        <v>0.99999999999999989</v>
      </c>
      <c r="D72" s="66">
        <f>'FORM 1'!C18</f>
        <v>0</v>
      </c>
      <c r="E72" s="66">
        <f>'FORM 1'!D18</f>
        <v>0.47643986589429044</v>
      </c>
      <c r="F72" s="66">
        <f>'FORM 1'!E18</f>
        <v>0.52356013410570945</v>
      </c>
      <c r="G72" s="66">
        <f>'FORM 1'!F18</f>
        <v>0</v>
      </c>
      <c r="H72" s="66">
        <f>'FORM 1'!G18</f>
        <v>0</v>
      </c>
      <c r="I72" s="24"/>
      <c r="J72" s="24"/>
      <c r="K72" s="24"/>
      <c r="L72" s="24"/>
    </row>
    <row r="73" spans="1:1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331"/>
  <sheetViews>
    <sheetView zoomScale="90" workbookViewId="0"/>
  </sheetViews>
  <sheetFormatPr defaultRowHeight="12.75"/>
  <cols>
    <col min="1" max="1" width="34" bestFit="1" customWidth="1"/>
    <col min="2" max="2" width="15.5703125" bestFit="1" customWidth="1"/>
    <col min="3" max="7" width="15.7109375" customWidth="1"/>
    <col min="8" max="8" width="17.28515625" bestFit="1" customWidth="1"/>
    <col min="9" max="9" width="8.85546875" bestFit="1" customWidth="1"/>
    <col min="10" max="10" width="60.5703125" bestFit="1" customWidth="1"/>
  </cols>
  <sheetData>
    <row r="1" spans="1:10" ht="15.75">
      <c r="A1" s="5" t="str">
        <f>+'TOTAL FUNCFAC'!$A$1</f>
        <v>PacifiCorp</v>
      </c>
      <c r="B1" s="5"/>
      <c r="C1" s="5"/>
      <c r="D1" s="5"/>
      <c r="E1" s="5"/>
      <c r="F1" s="5"/>
      <c r="G1" s="5"/>
    </row>
    <row r="2" spans="1:10" ht="15.75">
      <c r="A2" s="198" t="str">
        <f>+'TOTAL FUNCFAC'!A2</f>
        <v>12 Months Ended December 2018</v>
      </c>
      <c r="B2" s="198"/>
      <c r="C2" s="198"/>
      <c r="D2" s="198"/>
      <c r="E2" s="198"/>
      <c r="F2" s="198"/>
      <c r="G2" s="198"/>
      <c r="H2" s="80"/>
    </row>
    <row r="3" spans="1:10" ht="15.75">
      <c r="A3" s="93" t="s">
        <v>138</v>
      </c>
      <c r="B3" s="199"/>
      <c r="C3" s="199"/>
      <c r="D3" s="199"/>
      <c r="E3" s="199"/>
      <c r="F3" s="150"/>
      <c r="G3" s="150"/>
      <c r="H3" s="80"/>
      <c r="I3" s="24"/>
      <c r="J3" s="24"/>
    </row>
    <row r="4" spans="1:10">
      <c r="A4" s="80"/>
      <c r="B4" s="80"/>
      <c r="C4" s="80"/>
      <c r="D4" s="80"/>
      <c r="E4" s="80"/>
      <c r="F4" s="200"/>
      <c r="G4" s="80"/>
      <c r="H4" s="80"/>
      <c r="I4" s="24"/>
      <c r="J4" s="24"/>
    </row>
    <row r="5" spans="1:10">
      <c r="A5" s="152"/>
      <c r="B5" s="153" t="s">
        <v>10</v>
      </c>
      <c r="C5" s="153" t="s">
        <v>5</v>
      </c>
      <c r="D5" s="153" t="s">
        <v>6</v>
      </c>
      <c r="E5" s="153" t="s">
        <v>139</v>
      </c>
      <c r="F5" s="201" t="s">
        <v>140</v>
      </c>
      <c r="G5" s="153" t="s">
        <v>141</v>
      </c>
      <c r="H5" s="80"/>
      <c r="I5" s="24"/>
      <c r="J5" s="24"/>
    </row>
    <row r="6" spans="1:10">
      <c r="A6" s="95"/>
      <c r="B6" s="95"/>
      <c r="C6" s="96"/>
      <c r="D6" s="96"/>
      <c r="E6" s="96"/>
      <c r="F6" s="202"/>
      <c r="G6" s="96"/>
      <c r="H6" s="80"/>
      <c r="I6" s="24"/>
      <c r="J6" s="24"/>
    </row>
    <row r="7" spans="1:10">
      <c r="A7" s="80"/>
      <c r="B7" s="53"/>
      <c r="C7" s="53"/>
      <c r="D7" s="53"/>
      <c r="E7" s="53"/>
      <c r="F7" s="203"/>
      <c r="G7" s="53"/>
      <c r="H7" s="80"/>
      <c r="I7" s="24"/>
      <c r="J7" s="24"/>
    </row>
    <row r="8" spans="1:10" ht="13.5" thickBot="1">
      <c r="A8" s="73" t="s">
        <v>10</v>
      </c>
      <c r="B8" s="189">
        <f>SUM(C8:G8)</f>
        <v>567662605</v>
      </c>
      <c r="C8" s="189">
        <f>17342610+66410644+103688277</f>
        <v>187441531</v>
      </c>
      <c r="D8" s="189">
        <f>150507552+1138711</f>
        <v>151646263</v>
      </c>
      <c r="E8" s="189">
        <v>157112222</v>
      </c>
      <c r="F8" s="204">
        <f>22478633+32492035+6103492+10388429</f>
        <v>71462589</v>
      </c>
      <c r="G8" s="189">
        <v>0</v>
      </c>
      <c r="H8" s="188"/>
      <c r="I8" s="22"/>
      <c r="J8" s="80"/>
    </row>
    <row r="9" spans="1:10" ht="13.5" thickTop="1">
      <c r="A9" s="80"/>
      <c r="B9" s="80"/>
      <c r="C9" s="80"/>
      <c r="D9" s="80"/>
      <c r="E9" s="80"/>
      <c r="F9" s="80"/>
      <c r="G9" s="80"/>
      <c r="H9" s="80"/>
      <c r="I9" s="24"/>
      <c r="J9" s="24"/>
    </row>
    <row r="10" spans="1:10">
      <c r="A10" s="80"/>
      <c r="B10" s="80"/>
      <c r="C10" s="53"/>
      <c r="D10" s="66"/>
      <c r="E10" s="66"/>
      <c r="F10" s="66"/>
      <c r="G10" s="66"/>
      <c r="H10" s="80"/>
      <c r="I10" s="24"/>
      <c r="J10" s="24"/>
    </row>
    <row r="11" spans="1:10">
      <c r="A11" s="95"/>
      <c r="B11" s="95"/>
      <c r="C11" s="96"/>
      <c r="D11" s="96"/>
      <c r="E11" s="96"/>
      <c r="F11" s="96"/>
      <c r="G11" s="96"/>
      <c r="H11" s="80"/>
      <c r="I11" s="24"/>
      <c r="J11" s="24"/>
    </row>
    <row r="12" spans="1:10">
      <c r="A12" s="190" t="s">
        <v>142</v>
      </c>
      <c r="B12" s="190" t="s">
        <v>10</v>
      </c>
      <c r="C12" s="191" t="s">
        <v>143</v>
      </c>
      <c r="D12" s="191" t="s">
        <v>144</v>
      </c>
      <c r="E12" s="191" t="s">
        <v>145</v>
      </c>
      <c r="F12" s="191" t="s">
        <v>146</v>
      </c>
      <c r="G12" s="191" t="s">
        <v>147</v>
      </c>
      <c r="H12" s="80"/>
      <c r="I12" s="24"/>
      <c r="J12" s="24"/>
    </row>
    <row r="13" spans="1:10">
      <c r="A13" s="80"/>
      <c r="B13" s="190"/>
      <c r="C13" s="191"/>
      <c r="D13" s="191"/>
      <c r="E13" s="191"/>
      <c r="F13" s="191"/>
      <c r="G13" s="191"/>
      <c r="H13" s="80"/>
      <c r="I13" s="24"/>
      <c r="J13" s="24"/>
    </row>
    <row r="14" spans="1:10" s="24" customFormat="1">
      <c r="A14" s="80" t="s">
        <v>148</v>
      </c>
      <c r="B14" s="172">
        <f>SUM(C14:F14)</f>
        <v>1</v>
      </c>
      <c r="C14" s="66">
        <v>0.37364458238328563</v>
      </c>
      <c r="D14" s="66">
        <v>0.26614267680609655</v>
      </c>
      <c r="E14" s="66">
        <v>0.27970777967458826</v>
      </c>
      <c r="F14" s="66">
        <v>8.0504961136029507E-2</v>
      </c>
      <c r="G14" s="66">
        <v>0</v>
      </c>
      <c r="H14" s="188"/>
      <c r="I14" s="22"/>
      <c r="J14" s="80"/>
    </row>
    <row r="15" spans="1:10">
      <c r="A15" s="192"/>
      <c r="B15" s="80"/>
      <c r="C15" s="66"/>
      <c r="D15" s="66"/>
      <c r="E15" s="66"/>
      <c r="F15" s="66"/>
      <c r="G15" s="66"/>
      <c r="H15" s="80"/>
      <c r="I15" s="24"/>
      <c r="J15" s="24"/>
    </row>
    <row r="16" spans="1:10">
      <c r="A16" s="192"/>
      <c r="B16" s="80"/>
      <c r="C16" s="66"/>
      <c r="D16" s="66"/>
      <c r="E16" s="66"/>
      <c r="F16" s="66"/>
      <c r="G16" s="66"/>
      <c r="H16" s="80"/>
      <c r="I16" s="24"/>
      <c r="J16" s="24"/>
    </row>
    <row r="17" spans="1:10">
      <c r="A17" s="80"/>
      <c r="B17" s="80"/>
      <c r="C17" s="66"/>
      <c r="D17" s="66"/>
      <c r="E17" s="66"/>
      <c r="F17" s="66"/>
      <c r="G17" s="66"/>
      <c r="H17" s="80"/>
      <c r="I17" s="24"/>
      <c r="J17" s="24"/>
    </row>
    <row r="18" spans="1:10">
      <c r="A18" s="80" t="s">
        <v>149</v>
      </c>
      <c r="B18" s="193">
        <f>SUM(C18:F18)</f>
        <v>71462589</v>
      </c>
      <c r="C18" s="53">
        <f>+$F$8*C14</f>
        <v>26701609.222933382</v>
      </c>
      <c r="D18" s="53">
        <f>+$F$8*D14</f>
        <v>19019244.727953911</v>
      </c>
      <c r="E18" s="53">
        <f>+$F$8*E14</f>
        <v>19988642.098987654</v>
      </c>
      <c r="F18" s="53">
        <f>+$F$8*F14</f>
        <v>5753092.9501250498</v>
      </c>
      <c r="G18" s="53">
        <f>+$F$8*G14</f>
        <v>0</v>
      </c>
      <c r="H18" s="80"/>
      <c r="I18" s="24"/>
      <c r="J18" s="24"/>
    </row>
    <row r="19" spans="1:10">
      <c r="A19" s="80" t="s">
        <v>150</v>
      </c>
      <c r="B19" s="194">
        <f>SUM(C19:F19)</f>
        <v>0</v>
      </c>
      <c r="C19" s="162">
        <f>G8</f>
        <v>0</v>
      </c>
      <c r="D19" s="195"/>
      <c r="E19" s="195"/>
      <c r="F19" s="195"/>
      <c r="G19" s="195"/>
      <c r="H19" s="80"/>
      <c r="I19" s="24"/>
      <c r="J19" s="24"/>
    </row>
    <row r="20" spans="1:10">
      <c r="A20" s="80"/>
      <c r="B20" s="164"/>
      <c r="C20" s="132"/>
      <c r="D20" s="157"/>
      <c r="E20" s="157"/>
      <c r="F20" s="157"/>
      <c r="G20" s="157"/>
      <c r="H20" s="80"/>
      <c r="I20" s="24"/>
      <c r="J20" s="24"/>
    </row>
    <row r="21" spans="1:10">
      <c r="A21" s="182" t="s">
        <v>151</v>
      </c>
      <c r="B21" s="193">
        <f>SUM(C21:F21)</f>
        <v>567662605.00000012</v>
      </c>
      <c r="C21" s="53">
        <f>+C8+C18+C19</f>
        <v>214143140.22293338</v>
      </c>
      <c r="D21" s="53">
        <f>+D8+D18+D19</f>
        <v>170665507.72795391</v>
      </c>
      <c r="E21" s="53">
        <f>+E8+E18+E19</f>
        <v>177100864.09898764</v>
      </c>
      <c r="F21" s="53">
        <f>+F18+F19</f>
        <v>5753092.9501250498</v>
      </c>
      <c r="G21" s="53">
        <f>+G18+G19</f>
        <v>0</v>
      </c>
      <c r="H21" s="80"/>
    </row>
    <row r="22" spans="1:10">
      <c r="A22" s="80"/>
      <c r="B22" s="80"/>
      <c r="C22" s="66"/>
      <c r="D22" s="66"/>
      <c r="E22" s="66"/>
      <c r="F22" s="66"/>
      <c r="G22" s="66"/>
      <c r="H22" s="80"/>
    </row>
    <row r="23" spans="1:10">
      <c r="A23" s="80"/>
      <c r="B23" s="80"/>
      <c r="C23" s="196"/>
      <c r="D23" s="196"/>
      <c r="E23" s="196"/>
      <c r="F23" s="196"/>
      <c r="G23" s="196"/>
      <c r="H23" s="80"/>
    </row>
    <row r="24" spans="1:10" ht="13.5" thickBot="1">
      <c r="A24" s="196" t="s">
        <v>152</v>
      </c>
      <c r="B24" s="197">
        <f>SUM(C24:F24)</f>
        <v>0.99999999999999978</v>
      </c>
      <c r="C24" s="197">
        <f>+C21/$B$21</f>
        <v>0.37723665137838935</v>
      </c>
      <c r="D24" s="197">
        <f>+D21/$B$21</f>
        <v>0.30064602851187261</v>
      </c>
      <c r="E24" s="197">
        <f>+E21/$B$21</f>
        <v>0.31198261527018784</v>
      </c>
      <c r="F24" s="197">
        <f>+F21/$B$21</f>
        <v>1.0134704839549979E-2</v>
      </c>
      <c r="G24" s="197">
        <f>+G21/$B$21</f>
        <v>0</v>
      </c>
      <c r="H24" s="80"/>
    </row>
    <row r="25" spans="1:10" ht="13.5" thickTop="1">
      <c r="A25" s="95"/>
      <c r="B25" s="95"/>
      <c r="C25" s="96"/>
      <c r="D25" s="96"/>
      <c r="E25" s="96"/>
      <c r="F25" s="96"/>
      <c r="G25" s="96"/>
      <c r="H25" s="80"/>
    </row>
    <row r="26" spans="1:10">
      <c r="A26" s="95"/>
      <c r="B26" s="95"/>
      <c r="C26" s="96"/>
      <c r="D26" s="96"/>
      <c r="E26" s="96"/>
      <c r="F26" s="96"/>
      <c r="G26" s="96"/>
      <c r="H26" s="80"/>
    </row>
    <row r="27" spans="1:10">
      <c r="A27" s="95"/>
      <c r="B27" s="95"/>
      <c r="C27" s="96"/>
      <c r="D27" s="96"/>
      <c r="E27" s="96"/>
      <c r="F27" s="96"/>
      <c r="G27" s="96"/>
      <c r="H27" s="80"/>
    </row>
    <row r="28" spans="1:10">
      <c r="A28" s="95"/>
      <c r="B28" s="95"/>
      <c r="C28" s="95"/>
      <c r="D28" s="95"/>
      <c r="E28" s="95"/>
      <c r="F28" s="95"/>
      <c r="G28" s="95"/>
      <c r="H28" s="80"/>
    </row>
    <row r="29" spans="1:10">
      <c r="A29" s="95"/>
      <c r="B29" s="95"/>
      <c r="C29" s="96"/>
      <c r="D29" s="96"/>
      <c r="E29" s="96"/>
      <c r="F29" s="96"/>
      <c r="G29" s="96"/>
      <c r="H29" s="80"/>
    </row>
    <row r="30" spans="1:10">
      <c r="A30" s="20"/>
      <c r="B30" s="20"/>
      <c r="C30" s="21"/>
      <c r="D30" s="21"/>
      <c r="E30" s="21"/>
      <c r="F30" s="21"/>
      <c r="G30" s="21"/>
    </row>
    <row r="31" spans="1:10">
      <c r="A31" s="20"/>
      <c r="B31" s="20"/>
      <c r="C31" s="21"/>
      <c r="D31" s="21"/>
      <c r="E31" s="21"/>
      <c r="F31" s="21"/>
      <c r="G31" s="21"/>
    </row>
    <row r="32" spans="1:10">
      <c r="A32" s="20"/>
      <c r="B32" s="20"/>
      <c r="C32" s="21"/>
      <c r="D32" s="21"/>
      <c r="E32" s="21"/>
      <c r="F32" s="21"/>
      <c r="G32" s="21"/>
    </row>
    <row r="33" spans="1:7">
      <c r="A33" s="20"/>
      <c r="B33" s="20"/>
      <c r="C33" s="21"/>
      <c r="D33" s="21"/>
      <c r="E33" s="21"/>
      <c r="F33" s="21"/>
      <c r="G33" s="21"/>
    </row>
    <row r="34" spans="1:7">
      <c r="A34" s="20"/>
      <c r="B34" s="20"/>
      <c r="C34" s="21"/>
      <c r="D34" s="21"/>
      <c r="E34" s="21"/>
      <c r="F34" s="21"/>
      <c r="G34" s="21"/>
    </row>
    <row r="35" spans="1:7">
      <c r="A35" s="20"/>
      <c r="B35" s="20"/>
      <c r="C35" s="21"/>
      <c r="D35" s="21"/>
      <c r="E35" s="21"/>
      <c r="F35" s="21"/>
      <c r="G35" s="21"/>
    </row>
    <row r="36" spans="1:7">
      <c r="A36" s="20"/>
      <c r="B36" s="20"/>
      <c r="C36" s="21"/>
      <c r="D36" s="21"/>
      <c r="E36" s="21"/>
      <c r="F36" s="21"/>
      <c r="G36" s="21"/>
    </row>
    <row r="37" spans="1:7">
      <c r="A37" s="20"/>
      <c r="B37" s="20"/>
      <c r="C37" s="21"/>
      <c r="D37" s="21"/>
      <c r="E37" s="21"/>
      <c r="F37" s="21"/>
      <c r="G37" s="21"/>
    </row>
    <row r="38" spans="1:7">
      <c r="A38" s="20"/>
      <c r="B38" s="20"/>
      <c r="C38" s="21"/>
      <c r="D38" s="21"/>
      <c r="E38" s="21"/>
      <c r="F38" s="21"/>
      <c r="G38" s="21"/>
    </row>
    <row r="39" spans="1:7">
      <c r="A39" s="20"/>
      <c r="B39" s="20"/>
      <c r="C39" s="21"/>
      <c r="D39" s="21"/>
      <c r="E39" s="21"/>
      <c r="F39" s="21"/>
      <c r="G39" s="21"/>
    </row>
    <row r="40" spans="1:7">
      <c r="A40" s="20"/>
      <c r="B40" s="20"/>
      <c r="C40" s="21"/>
      <c r="D40" s="21"/>
      <c r="E40" s="21"/>
      <c r="F40" s="21"/>
      <c r="G40" s="21"/>
    </row>
    <row r="41" spans="1:7">
      <c r="A41" s="20"/>
      <c r="B41" s="20"/>
      <c r="C41" s="21"/>
      <c r="D41" s="21"/>
      <c r="E41" s="21"/>
      <c r="F41" s="21"/>
      <c r="G41" s="21"/>
    </row>
    <row r="42" spans="1:7">
      <c r="A42" s="20"/>
      <c r="B42" s="20"/>
      <c r="C42" s="21"/>
      <c r="D42" s="21"/>
      <c r="E42" s="21"/>
      <c r="F42" s="21"/>
      <c r="G42" s="21"/>
    </row>
    <row r="43" spans="1:7">
      <c r="A43" s="20"/>
      <c r="B43" s="20"/>
      <c r="C43" s="21"/>
      <c r="D43" s="21"/>
      <c r="E43" s="21"/>
      <c r="F43" s="21"/>
      <c r="G43" s="21"/>
    </row>
    <row r="44" spans="1:7">
      <c r="A44" s="20"/>
      <c r="B44" s="20"/>
      <c r="C44" s="21"/>
      <c r="D44" s="21"/>
      <c r="E44" s="21"/>
      <c r="F44" s="21"/>
      <c r="G44" s="21"/>
    </row>
    <row r="45" spans="1:7">
      <c r="A45" s="20"/>
      <c r="B45" s="20"/>
      <c r="C45" s="21"/>
      <c r="D45" s="21"/>
      <c r="E45" s="21"/>
      <c r="F45" s="21"/>
      <c r="G45" s="21"/>
    </row>
    <row r="46" spans="1:7">
      <c r="A46" s="20"/>
      <c r="B46" s="20"/>
      <c r="C46" s="21"/>
      <c r="D46" s="21"/>
      <c r="E46" s="21"/>
      <c r="F46" s="21"/>
      <c r="G46" s="21"/>
    </row>
    <row r="47" spans="1:7">
      <c r="A47" s="20"/>
      <c r="B47" s="20"/>
      <c r="C47" s="21"/>
      <c r="D47" s="21"/>
      <c r="E47" s="21"/>
      <c r="F47" s="21"/>
      <c r="G47" s="21"/>
    </row>
    <row r="48" spans="1:7">
      <c r="A48" s="20"/>
      <c r="B48" s="20"/>
      <c r="C48" s="21"/>
      <c r="D48" s="21"/>
      <c r="E48" s="21"/>
      <c r="F48" s="21"/>
      <c r="G48" s="21"/>
    </row>
    <row r="49" spans="1:7">
      <c r="A49" s="20"/>
      <c r="B49" s="20"/>
      <c r="C49" s="21"/>
      <c r="D49" s="21"/>
      <c r="E49" s="21"/>
      <c r="F49" s="21"/>
      <c r="G49" s="21"/>
    </row>
    <row r="50" spans="1:7">
      <c r="A50" s="20"/>
      <c r="B50" s="20"/>
      <c r="C50" s="21"/>
      <c r="D50" s="21"/>
      <c r="E50" s="21"/>
      <c r="F50" s="21"/>
      <c r="G50" s="21"/>
    </row>
    <row r="51" spans="1:7">
      <c r="A51" s="20"/>
      <c r="B51" s="20"/>
      <c r="C51" s="21"/>
      <c r="D51" s="21"/>
      <c r="E51" s="21"/>
      <c r="F51" s="21"/>
      <c r="G51" s="21"/>
    </row>
    <row r="52" spans="1:7">
      <c r="A52" s="20"/>
      <c r="B52" s="20"/>
      <c r="C52" s="21"/>
      <c r="D52" s="21"/>
      <c r="E52" s="21"/>
      <c r="F52" s="21"/>
      <c r="G52" s="21"/>
    </row>
    <row r="53" spans="1:7">
      <c r="A53" s="20"/>
      <c r="B53" s="20"/>
      <c r="C53" s="21"/>
      <c r="D53" s="21"/>
      <c r="E53" s="21"/>
      <c r="F53" s="21"/>
      <c r="G53" s="21"/>
    </row>
    <row r="54" spans="1:7">
      <c r="A54" s="20"/>
      <c r="B54" s="20"/>
      <c r="C54" s="21"/>
      <c r="D54" s="21"/>
      <c r="E54" s="21"/>
      <c r="F54" s="21"/>
      <c r="G54" s="21"/>
    </row>
    <row r="55" spans="1:7">
      <c r="A55" s="20"/>
      <c r="B55" s="20"/>
      <c r="C55" s="21"/>
      <c r="D55" s="21"/>
      <c r="E55" s="21"/>
      <c r="F55" s="21"/>
      <c r="G55" s="21"/>
    </row>
    <row r="56" spans="1:7">
      <c r="A56" s="20"/>
      <c r="B56" s="20"/>
      <c r="C56" s="21"/>
      <c r="D56" s="21"/>
      <c r="E56" s="21"/>
      <c r="F56" s="21"/>
      <c r="G56" s="21"/>
    </row>
    <row r="57" spans="1:7">
      <c r="A57" s="20"/>
      <c r="B57" s="20"/>
      <c r="C57" s="21"/>
      <c r="D57" s="21"/>
      <c r="E57" s="21"/>
      <c r="F57" s="21"/>
      <c r="G57" s="21"/>
    </row>
    <row r="58" spans="1:7">
      <c r="A58" s="20"/>
      <c r="B58" s="20"/>
      <c r="C58" s="21"/>
      <c r="D58" s="21"/>
      <c r="E58" s="21"/>
      <c r="F58" s="21"/>
      <c r="G58" s="21"/>
    </row>
    <row r="59" spans="1:7">
      <c r="A59" s="20"/>
      <c r="B59" s="20"/>
      <c r="C59" s="21"/>
      <c r="D59" s="21"/>
      <c r="E59" s="21"/>
      <c r="F59" s="21"/>
      <c r="G59" s="21"/>
    </row>
    <row r="60" spans="1:7">
      <c r="A60" s="20"/>
      <c r="B60" s="20"/>
      <c r="C60" s="21"/>
      <c r="D60" s="21"/>
      <c r="E60" s="21"/>
      <c r="F60" s="21"/>
      <c r="G60" s="21"/>
    </row>
    <row r="61" spans="1:7">
      <c r="A61" s="20"/>
      <c r="B61" s="20"/>
      <c r="C61" s="21"/>
      <c r="D61" s="21"/>
      <c r="E61" s="21"/>
      <c r="F61" s="21"/>
      <c r="G61" s="21"/>
    </row>
    <row r="62" spans="1:7">
      <c r="A62" s="20"/>
      <c r="B62" s="20"/>
      <c r="C62" s="21"/>
      <c r="D62" s="21"/>
      <c r="E62" s="21"/>
      <c r="F62" s="21"/>
      <c r="G62" s="21"/>
    </row>
    <row r="63" spans="1:7">
      <c r="A63" s="20"/>
      <c r="B63" s="20"/>
      <c r="C63" s="21"/>
      <c r="D63" s="21"/>
      <c r="E63" s="21"/>
      <c r="F63" s="21"/>
      <c r="G63" s="21"/>
    </row>
    <row r="64" spans="1:7">
      <c r="A64" s="20"/>
      <c r="B64" s="20"/>
      <c r="C64" s="21"/>
      <c r="D64" s="21"/>
      <c r="E64" s="21"/>
      <c r="F64" s="21"/>
      <c r="G64" s="21"/>
    </row>
    <row r="65" spans="1:7">
      <c r="A65" s="20"/>
      <c r="B65" s="20"/>
      <c r="C65" s="21"/>
      <c r="D65" s="21"/>
      <c r="E65" s="21"/>
      <c r="F65" s="21"/>
      <c r="G65" s="21"/>
    </row>
    <row r="66" spans="1:7">
      <c r="A66" s="20"/>
      <c r="B66" s="20"/>
      <c r="C66" s="21"/>
      <c r="D66" s="21"/>
      <c r="E66" s="21"/>
      <c r="F66" s="21"/>
      <c r="G66" s="21"/>
    </row>
    <row r="67" spans="1:7">
      <c r="A67" s="20"/>
      <c r="B67" s="20"/>
      <c r="C67" s="21"/>
      <c r="D67" s="21"/>
      <c r="E67" s="21"/>
      <c r="F67" s="21"/>
      <c r="G67" s="21"/>
    </row>
    <row r="68" spans="1:7">
      <c r="A68" s="20"/>
      <c r="B68" s="20"/>
      <c r="C68" s="21"/>
      <c r="D68" s="21"/>
      <c r="E68" s="21"/>
      <c r="F68" s="21"/>
      <c r="G68" s="21"/>
    </row>
    <row r="69" spans="1:7">
      <c r="A69" s="20"/>
      <c r="B69" s="20"/>
      <c r="C69" s="21"/>
      <c r="D69" s="21"/>
      <c r="E69" s="21"/>
      <c r="F69" s="21"/>
      <c r="G69" s="21"/>
    </row>
    <row r="70" spans="1:7">
      <c r="A70" s="20"/>
      <c r="B70" s="20"/>
      <c r="C70" s="21"/>
      <c r="D70" s="21"/>
      <c r="E70" s="21"/>
      <c r="F70" s="21"/>
      <c r="G70" s="21"/>
    </row>
    <row r="71" spans="1:7">
      <c r="A71" s="20"/>
      <c r="B71" s="20"/>
      <c r="C71" s="21"/>
      <c r="D71" s="21"/>
      <c r="E71" s="21"/>
      <c r="F71" s="21"/>
      <c r="G71" s="21"/>
    </row>
    <row r="72" spans="1:7">
      <c r="A72" s="20"/>
      <c r="B72" s="20"/>
      <c r="C72" s="21"/>
      <c r="D72" s="21"/>
      <c r="E72" s="21"/>
      <c r="F72" s="21"/>
      <c r="G72" s="21"/>
    </row>
    <row r="73" spans="1:7">
      <c r="A73" s="20"/>
      <c r="B73" s="20"/>
      <c r="C73" s="21"/>
      <c r="D73" s="21"/>
      <c r="E73" s="21"/>
      <c r="F73" s="21"/>
      <c r="G73" s="21"/>
    </row>
    <row r="74" spans="1:7">
      <c r="A74" s="20"/>
      <c r="B74" s="20"/>
      <c r="C74" s="21"/>
      <c r="D74" s="21"/>
      <c r="E74" s="21"/>
      <c r="F74" s="21"/>
      <c r="G74" s="21"/>
    </row>
    <row r="75" spans="1:7">
      <c r="A75" s="20"/>
      <c r="B75" s="20"/>
      <c r="C75" s="21"/>
      <c r="D75" s="21"/>
      <c r="E75" s="21"/>
      <c r="F75" s="21"/>
      <c r="G75" s="21"/>
    </row>
    <row r="76" spans="1:7">
      <c r="A76" s="20"/>
      <c r="B76" s="20"/>
      <c r="C76" s="21"/>
      <c r="D76" s="21"/>
      <c r="E76" s="21"/>
      <c r="F76" s="21"/>
      <c r="G76" s="21"/>
    </row>
    <row r="77" spans="1:7">
      <c r="A77" s="20"/>
      <c r="B77" s="20"/>
      <c r="C77" s="21"/>
      <c r="D77" s="21"/>
      <c r="E77" s="21"/>
      <c r="F77" s="21"/>
      <c r="G77" s="21"/>
    </row>
    <row r="78" spans="1:7">
      <c r="A78" s="20"/>
      <c r="B78" s="20"/>
      <c r="C78" s="21"/>
      <c r="D78" s="21"/>
      <c r="E78" s="21"/>
      <c r="F78" s="21"/>
      <c r="G78" s="21"/>
    </row>
    <row r="79" spans="1:7">
      <c r="A79" s="20"/>
      <c r="B79" s="20"/>
      <c r="C79" s="21"/>
      <c r="D79" s="21"/>
      <c r="E79" s="21"/>
      <c r="F79" s="21"/>
      <c r="G79" s="21"/>
    </row>
    <row r="80" spans="1:7">
      <c r="A80" s="20"/>
      <c r="B80" s="20"/>
      <c r="C80" s="21"/>
      <c r="D80" s="21"/>
      <c r="E80" s="21"/>
      <c r="F80" s="21"/>
      <c r="G80" s="21"/>
    </row>
    <row r="81" spans="1:7">
      <c r="A81" s="20"/>
      <c r="B81" s="20"/>
      <c r="C81" s="21"/>
      <c r="D81" s="21"/>
      <c r="E81" s="21"/>
      <c r="F81" s="21"/>
      <c r="G81" s="21"/>
    </row>
    <row r="82" spans="1:7">
      <c r="A82" s="20"/>
      <c r="B82" s="20"/>
      <c r="C82" s="21"/>
      <c r="D82" s="21"/>
      <c r="E82" s="21"/>
      <c r="F82" s="21"/>
      <c r="G82" s="21"/>
    </row>
    <row r="83" spans="1:7">
      <c r="A83" s="20"/>
      <c r="B83" s="20"/>
      <c r="C83" s="21"/>
      <c r="D83" s="21"/>
      <c r="E83" s="21"/>
      <c r="F83" s="21"/>
      <c r="G83" s="21"/>
    </row>
    <row r="84" spans="1:7">
      <c r="A84" s="20"/>
      <c r="B84" s="20"/>
      <c r="C84" s="21"/>
      <c r="D84" s="21"/>
      <c r="E84" s="21"/>
      <c r="F84" s="21"/>
      <c r="G84" s="21"/>
    </row>
    <row r="85" spans="1:7">
      <c r="A85" s="20"/>
      <c r="B85" s="20"/>
      <c r="C85" s="21"/>
      <c r="D85" s="21"/>
      <c r="E85" s="21"/>
      <c r="F85" s="21"/>
      <c r="G85" s="21"/>
    </row>
    <row r="86" spans="1:7">
      <c r="A86" s="20"/>
      <c r="B86" s="20"/>
      <c r="C86" s="21"/>
      <c r="D86" s="21"/>
      <c r="E86" s="21"/>
      <c r="F86" s="21"/>
      <c r="G86" s="21"/>
    </row>
    <row r="87" spans="1:7">
      <c r="A87" s="20"/>
      <c r="B87" s="20"/>
      <c r="C87" s="21"/>
      <c r="D87" s="21"/>
      <c r="E87" s="21"/>
      <c r="F87" s="21"/>
      <c r="G87" s="21"/>
    </row>
    <row r="88" spans="1:7">
      <c r="A88" s="20"/>
      <c r="B88" s="20"/>
      <c r="C88" s="21"/>
      <c r="D88" s="21"/>
      <c r="E88" s="21"/>
      <c r="F88" s="21"/>
      <c r="G88" s="21"/>
    </row>
    <row r="89" spans="1:7">
      <c r="A89" s="20"/>
      <c r="B89" s="20"/>
      <c r="C89" s="21"/>
      <c r="D89" s="21"/>
      <c r="E89" s="21"/>
      <c r="F89" s="21"/>
      <c r="G89" s="21"/>
    </row>
    <row r="90" spans="1:7">
      <c r="A90" s="20"/>
      <c r="B90" s="20"/>
      <c r="C90" s="21"/>
      <c r="D90" s="21"/>
      <c r="E90" s="21"/>
      <c r="F90" s="21"/>
      <c r="G90" s="21"/>
    </row>
    <row r="91" spans="1:7">
      <c r="A91" s="20"/>
      <c r="B91" s="20"/>
      <c r="C91" s="21"/>
      <c r="D91" s="21"/>
      <c r="E91" s="21"/>
      <c r="F91" s="21"/>
      <c r="G91" s="21"/>
    </row>
    <row r="92" spans="1:7">
      <c r="A92" s="20"/>
      <c r="B92" s="20"/>
      <c r="C92" s="21"/>
      <c r="D92" s="21"/>
      <c r="E92" s="21"/>
      <c r="F92" s="21"/>
      <c r="G92" s="21"/>
    </row>
    <row r="93" spans="1:7">
      <c r="A93" s="20"/>
      <c r="B93" s="20"/>
      <c r="C93" s="21"/>
      <c r="D93" s="21"/>
      <c r="E93" s="21"/>
      <c r="F93" s="21"/>
      <c r="G93" s="21"/>
    </row>
    <row r="94" spans="1:7">
      <c r="A94" s="20"/>
      <c r="B94" s="20"/>
      <c r="C94" s="21"/>
      <c r="D94" s="21"/>
      <c r="E94" s="21"/>
      <c r="F94" s="21"/>
      <c r="G94" s="21"/>
    </row>
    <row r="95" spans="1:7">
      <c r="A95" s="20"/>
      <c r="B95" s="20"/>
      <c r="C95" s="21"/>
      <c r="D95" s="21"/>
      <c r="E95" s="21"/>
      <c r="F95" s="21"/>
      <c r="G95" s="21"/>
    </row>
    <row r="96" spans="1:7">
      <c r="A96" s="20"/>
      <c r="B96" s="20"/>
      <c r="C96" s="21"/>
      <c r="D96" s="21"/>
      <c r="E96" s="21"/>
      <c r="F96" s="21"/>
      <c r="G96" s="21"/>
    </row>
    <row r="97" spans="1:7">
      <c r="A97" s="20"/>
      <c r="B97" s="20"/>
      <c r="C97" s="21"/>
      <c r="D97" s="21"/>
      <c r="E97" s="21"/>
      <c r="F97" s="21"/>
      <c r="G97" s="21"/>
    </row>
    <row r="98" spans="1:7">
      <c r="A98" s="20"/>
      <c r="B98" s="20"/>
      <c r="C98" s="21"/>
      <c r="D98" s="21"/>
      <c r="E98" s="21"/>
      <c r="F98" s="21"/>
      <c r="G98" s="21"/>
    </row>
    <row r="99" spans="1:7">
      <c r="A99" s="20"/>
      <c r="B99" s="20"/>
      <c r="C99" s="21"/>
      <c r="D99" s="21"/>
      <c r="E99" s="21"/>
      <c r="F99" s="21"/>
      <c r="G99" s="21"/>
    </row>
    <row r="100" spans="1:7">
      <c r="A100" s="20"/>
      <c r="B100" s="20"/>
      <c r="C100" s="21"/>
      <c r="D100" s="21"/>
      <c r="E100" s="21"/>
      <c r="F100" s="21"/>
      <c r="G100" s="21"/>
    </row>
    <row r="101" spans="1:7">
      <c r="A101" s="20"/>
      <c r="B101" s="20"/>
      <c r="C101" s="21"/>
      <c r="D101" s="21"/>
      <c r="E101" s="21"/>
      <c r="F101" s="21"/>
      <c r="G101" s="21"/>
    </row>
    <row r="102" spans="1:7">
      <c r="A102" s="20"/>
      <c r="B102" s="20"/>
      <c r="C102" s="21"/>
      <c r="D102" s="21"/>
      <c r="E102" s="21"/>
      <c r="F102" s="21"/>
      <c r="G102" s="21"/>
    </row>
    <row r="103" spans="1:7">
      <c r="A103" s="20"/>
      <c r="B103" s="20"/>
      <c r="C103" s="21"/>
      <c r="D103" s="21"/>
      <c r="E103" s="21"/>
      <c r="F103" s="21"/>
      <c r="G103" s="21"/>
    </row>
    <row r="104" spans="1:7">
      <c r="A104" s="20"/>
      <c r="B104" s="20"/>
      <c r="C104" s="21"/>
      <c r="D104" s="21"/>
      <c r="E104" s="21"/>
      <c r="F104" s="21"/>
      <c r="G104" s="21"/>
    </row>
    <row r="105" spans="1:7">
      <c r="A105" s="20"/>
      <c r="B105" s="20"/>
      <c r="C105" s="21"/>
      <c r="D105" s="21"/>
      <c r="E105" s="21"/>
      <c r="F105" s="21"/>
      <c r="G105" s="21"/>
    </row>
    <row r="106" spans="1:7">
      <c r="A106" s="20"/>
      <c r="B106" s="20"/>
      <c r="C106" s="21"/>
      <c r="D106" s="21"/>
      <c r="E106" s="21"/>
      <c r="F106" s="21"/>
      <c r="G106" s="21"/>
    </row>
    <row r="107" spans="1:7">
      <c r="A107" s="20"/>
      <c r="B107" s="20"/>
      <c r="C107" s="21"/>
      <c r="D107" s="21"/>
      <c r="E107" s="21"/>
      <c r="F107" s="21"/>
      <c r="G107" s="21"/>
    </row>
    <row r="108" spans="1:7">
      <c r="A108" s="20"/>
      <c r="B108" s="20"/>
      <c r="C108" s="21"/>
      <c r="D108" s="21"/>
      <c r="E108" s="21"/>
      <c r="F108" s="21"/>
      <c r="G108" s="21"/>
    </row>
    <row r="109" spans="1:7">
      <c r="A109" s="20"/>
      <c r="B109" s="20"/>
      <c r="C109" s="21"/>
      <c r="D109" s="21"/>
      <c r="E109" s="21"/>
      <c r="F109" s="21"/>
      <c r="G109" s="21"/>
    </row>
    <row r="110" spans="1:7">
      <c r="A110" s="20"/>
      <c r="B110" s="20"/>
      <c r="C110" s="21"/>
      <c r="D110" s="21"/>
      <c r="E110" s="21"/>
      <c r="F110" s="21"/>
      <c r="G110" s="21"/>
    </row>
    <row r="111" spans="1:7">
      <c r="A111" s="20"/>
      <c r="B111" s="20"/>
      <c r="C111" s="21"/>
      <c r="D111" s="21"/>
      <c r="E111" s="21"/>
      <c r="F111" s="21"/>
      <c r="G111" s="21"/>
    </row>
    <row r="112" spans="1:7">
      <c r="A112" s="20"/>
      <c r="B112" s="20"/>
      <c r="C112" s="21"/>
      <c r="D112" s="21"/>
      <c r="E112" s="21"/>
      <c r="F112" s="21"/>
      <c r="G112" s="21"/>
    </row>
    <row r="113" spans="1:7">
      <c r="A113" s="20"/>
      <c r="B113" s="20"/>
      <c r="C113" s="21"/>
      <c r="D113" s="21"/>
      <c r="E113" s="21"/>
      <c r="F113" s="21"/>
      <c r="G113" s="21"/>
    </row>
    <row r="114" spans="1:7">
      <c r="A114" s="20"/>
      <c r="B114" s="20"/>
      <c r="C114" s="21"/>
      <c r="D114" s="21"/>
      <c r="E114" s="21"/>
      <c r="F114" s="21"/>
      <c r="G114" s="21"/>
    </row>
    <row r="115" spans="1:7">
      <c r="A115" s="20"/>
      <c r="B115" s="20"/>
      <c r="C115" s="21"/>
      <c r="D115" s="21"/>
      <c r="E115" s="21"/>
      <c r="F115" s="21"/>
      <c r="G115" s="21"/>
    </row>
    <row r="116" spans="1:7">
      <c r="A116" s="20"/>
      <c r="B116" s="20"/>
      <c r="C116" s="21"/>
      <c r="D116" s="21"/>
      <c r="E116" s="21"/>
      <c r="F116" s="21"/>
      <c r="G116" s="21"/>
    </row>
    <row r="117" spans="1:7">
      <c r="A117" s="20"/>
      <c r="B117" s="20"/>
      <c r="C117" s="21"/>
      <c r="D117" s="21"/>
      <c r="E117" s="21"/>
      <c r="F117" s="21"/>
      <c r="G117" s="21"/>
    </row>
    <row r="118" spans="1:7">
      <c r="A118" s="20"/>
      <c r="B118" s="20"/>
      <c r="C118" s="21"/>
      <c r="D118" s="21"/>
      <c r="E118" s="21"/>
      <c r="F118" s="21"/>
      <c r="G118" s="21"/>
    </row>
    <row r="119" spans="1:7">
      <c r="A119" s="20"/>
      <c r="B119" s="20"/>
      <c r="C119" s="21"/>
      <c r="D119" s="21"/>
      <c r="E119" s="21"/>
      <c r="F119" s="21"/>
      <c r="G119" s="21"/>
    </row>
    <row r="120" spans="1:7">
      <c r="A120" s="20"/>
      <c r="B120" s="20"/>
      <c r="C120" s="21"/>
      <c r="D120" s="21"/>
      <c r="E120" s="21"/>
      <c r="F120" s="21"/>
      <c r="G120" s="21"/>
    </row>
    <row r="121" spans="1:7">
      <c r="A121" s="20"/>
      <c r="B121" s="20"/>
      <c r="C121" s="21"/>
      <c r="D121" s="21"/>
      <c r="E121" s="21"/>
      <c r="F121" s="21"/>
      <c r="G121" s="21"/>
    </row>
    <row r="122" spans="1:7">
      <c r="A122" s="20"/>
      <c r="B122" s="20"/>
      <c r="C122" s="21"/>
      <c r="D122" s="21"/>
      <c r="E122" s="21"/>
      <c r="F122" s="21"/>
      <c r="G122" s="21"/>
    </row>
    <row r="123" spans="1:7">
      <c r="A123" s="20"/>
      <c r="B123" s="20"/>
      <c r="C123" s="21"/>
      <c r="D123" s="21"/>
      <c r="E123" s="21"/>
      <c r="F123" s="21"/>
      <c r="G123" s="21"/>
    </row>
    <row r="124" spans="1:7">
      <c r="A124" s="20"/>
      <c r="B124" s="20"/>
      <c r="C124" s="21"/>
      <c r="D124" s="21"/>
      <c r="E124" s="21"/>
      <c r="F124" s="21"/>
      <c r="G124" s="21"/>
    </row>
    <row r="125" spans="1:7">
      <c r="A125" s="20"/>
      <c r="B125" s="20"/>
      <c r="C125" s="21"/>
      <c r="D125" s="21"/>
      <c r="E125" s="21"/>
      <c r="F125" s="21"/>
      <c r="G125" s="21"/>
    </row>
    <row r="126" spans="1:7">
      <c r="A126" s="20"/>
      <c r="B126" s="20"/>
      <c r="C126" s="21"/>
      <c r="D126" s="21"/>
      <c r="E126" s="21"/>
      <c r="F126" s="21"/>
      <c r="G126" s="21"/>
    </row>
    <row r="127" spans="1:7">
      <c r="A127" s="20"/>
      <c r="B127" s="20"/>
      <c r="C127" s="21"/>
      <c r="D127" s="21"/>
      <c r="E127" s="21"/>
      <c r="F127" s="21"/>
      <c r="G127" s="21"/>
    </row>
    <row r="128" spans="1:7">
      <c r="A128" s="20"/>
      <c r="B128" s="20"/>
      <c r="C128" s="21"/>
      <c r="D128" s="21"/>
      <c r="E128" s="21"/>
      <c r="F128" s="21"/>
      <c r="G128" s="21"/>
    </row>
    <row r="129" spans="1:7">
      <c r="A129" s="20"/>
      <c r="B129" s="20"/>
      <c r="C129" s="21"/>
      <c r="D129" s="21"/>
      <c r="E129" s="21"/>
      <c r="F129" s="21"/>
      <c r="G129" s="21"/>
    </row>
    <row r="130" spans="1:7">
      <c r="A130" s="20"/>
      <c r="B130" s="20"/>
      <c r="C130" s="21"/>
      <c r="D130" s="21"/>
      <c r="E130" s="21"/>
      <c r="F130" s="21"/>
      <c r="G130" s="21"/>
    </row>
    <row r="131" spans="1:7">
      <c r="A131" s="20"/>
      <c r="B131" s="20"/>
      <c r="C131" s="21"/>
      <c r="D131" s="21"/>
      <c r="E131" s="21"/>
      <c r="F131" s="21"/>
      <c r="G131" s="21"/>
    </row>
    <row r="132" spans="1:7">
      <c r="A132" s="20"/>
      <c r="B132" s="20"/>
      <c r="C132" s="21"/>
      <c r="D132" s="21"/>
      <c r="E132" s="21"/>
      <c r="F132" s="21"/>
      <c r="G132" s="21"/>
    </row>
    <row r="133" spans="1:7">
      <c r="A133" s="20"/>
      <c r="B133" s="20"/>
      <c r="C133" s="21"/>
      <c r="D133" s="21"/>
      <c r="E133" s="21"/>
      <c r="F133" s="21"/>
      <c r="G133" s="21"/>
    </row>
    <row r="134" spans="1:7">
      <c r="A134" s="20"/>
      <c r="B134" s="20"/>
      <c r="C134" s="21"/>
      <c r="D134" s="21"/>
      <c r="E134" s="21"/>
      <c r="F134" s="21"/>
      <c r="G134" s="21"/>
    </row>
    <row r="135" spans="1:7">
      <c r="A135" s="20"/>
      <c r="B135" s="20"/>
      <c r="C135" s="21"/>
      <c r="D135" s="21"/>
      <c r="E135" s="21"/>
      <c r="F135" s="21"/>
      <c r="G135" s="21"/>
    </row>
    <row r="136" spans="1:7">
      <c r="A136" s="20"/>
      <c r="B136" s="20"/>
      <c r="C136" s="21"/>
      <c r="D136" s="21"/>
      <c r="E136" s="21"/>
      <c r="F136" s="21"/>
      <c r="G136" s="21"/>
    </row>
    <row r="137" spans="1:7">
      <c r="A137" s="20"/>
      <c r="B137" s="20"/>
      <c r="C137" s="21"/>
      <c r="D137" s="21"/>
      <c r="E137" s="21"/>
      <c r="F137" s="21"/>
      <c r="G137" s="21"/>
    </row>
    <row r="138" spans="1:7">
      <c r="A138" s="20"/>
      <c r="B138" s="20"/>
      <c r="C138" s="21"/>
      <c r="D138" s="21"/>
      <c r="E138" s="21"/>
      <c r="F138" s="21"/>
      <c r="G138" s="21"/>
    </row>
    <row r="139" spans="1:7">
      <c r="A139" s="20"/>
      <c r="B139" s="20"/>
      <c r="C139" s="21"/>
      <c r="D139" s="21"/>
      <c r="E139" s="21"/>
      <c r="F139" s="21"/>
      <c r="G139" s="21"/>
    </row>
    <row r="140" spans="1:7">
      <c r="A140" s="20"/>
      <c r="B140" s="20"/>
      <c r="C140" s="21"/>
      <c r="D140" s="21"/>
      <c r="E140" s="21"/>
      <c r="F140" s="21"/>
      <c r="G140" s="21"/>
    </row>
    <row r="141" spans="1:7">
      <c r="A141" s="20"/>
      <c r="B141" s="20"/>
      <c r="C141" s="21"/>
      <c r="D141" s="21"/>
      <c r="E141" s="21"/>
      <c r="F141" s="21"/>
      <c r="G141" s="21"/>
    </row>
    <row r="142" spans="1:7">
      <c r="A142" s="20"/>
      <c r="B142" s="20"/>
      <c r="C142" s="21"/>
      <c r="D142" s="21"/>
      <c r="E142" s="21"/>
      <c r="F142" s="21"/>
      <c r="G142" s="21"/>
    </row>
    <row r="143" spans="1:7">
      <c r="A143" s="20"/>
      <c r="B143" s="20"/>
      <c r="C143" s="21"/>
      <c r="D143" s="21"/>
      <c r="E143" s="21"/>
      <c r="F143" s="21"/>
      <c r="G143" s="21"/>
    </row>
    <row r="144" spans="1:7">
      <c r="A144" s="20"/>
      <c r="B144" s="20"/>
      <c r="C144" s="21"/>
      <c r="D144" s="21"/>
      <c r="E144" s="21"/>
      <c r="F144" s="21"/>
      <c r="G144" s="21"/>
    </row>
    <row r="145" spans="1:7">
      <c r="A145" s="20"/>
      <c r="B145" s="20"/>
      <c r="C145" s="21"/>
      <c r="D145" s="21"/>
      <c r="E145" s="21"/>
      <c r="F145" s="21"/>
      <c r="G145" s="21"/>
    </row>
    <row r="146" spans="1:7">
      <c r="A146" s="20"/>
      <c r="B146" s="20"/>
      <c r="C146" s="21"/>
      <c r="D146" s="21"/>
      <c r="E146" s="21"/>
      <c r="F146" s="21"/>
      <c r="G146" s="21"/>
    </row>
    <row r="147" spans="1:7">
      <c r="A147" s="20"/>
      <c r="B147" s="20"/>
      <c r="C147" s="21"/>
      <c r="D147" s="21"/>
      <c r="E147" s="21"/>
      <c r="F147" s="21"/>
      <c r="G147" s="21"/>
    </row>
    <row r="148" spans="1:7">
      <c r="A148" s="20"/>
      <c r="B148" s="20"/>
      <c r="C148" s="21"/>
      <c r="D148" s="21"/>
      <c r="E148" s="21"/>
      <c r="F148" s="21"/>
      <c r="G148" s="21"/>
    </row>
    <row r="149" spans="1:7">
      <c r="A149" s="20"/>
      <c r="B149" s="20"/>
      <c r="C149" s="21"/>
      <c r="D149" s="21"/>
      <c r="E149" s="21"/>
      <c r="F149" s="21"/>
      <c r="G149" s="21"/>
    </row>
    <row r="150" spans="1:7">
      <c r="A150" s="20"/>
      <c r="B150" s="20"/>
      <c r="C150" s="21"/>
      <c r="D150" s="21"/>
      <c r="E150" s="21"/>
      <c r="F150" s="21"/>
      <c r="G150" s="21"/>
    </row>
    <row r="151" spans="1:7">
      <c r="A151" s="20"/>
      <c r="B151" s="20"/>
      <c r="C151" s="21"/>
      <c r="D151" s="21"/>
      <c r="E151" s="21"/>
      <c r="F151" s="21"/>
      <c r="G151" s="21"/>
    </row>
    <row r="152" spans="1:7">
      <c r="A152" s="20"/>
      <c r="B152" s="20"/>
      <c r="C152" s="21"/>
      <c r="D152" s="21"/>
      <c r="E152" s="21"/>
      <c r="F152" s="21"/>
      <c r="G152" s="21"/>
    </row>
    <row r="153" spans="1:7">
      <c r="A153" s="20"/>
      <c r="B153" s="20"/>
      <c r="C153" s="21"/>
      <c r="D153" s="21"/>
      <c r="E153" s="21"/>
      <c r="F153" s="21"/>
      <c r="G153" s="21"/>
    </row>
    <row r="154" spans="1:7">
      <c r="A154" s="20"/>
      <c r="B154" s="20"/>
      <c r="C154" s="21"/>
      <c r="D154" s="21"/>
      <c r="E154" s="21"/>
      <c r="F154" s="21"/>
      <c r="G154" s="21"/>
    </row>
    <row r="155" spans="1:7">
      <c r="A155" s="20"/>
      <c r="B155" s="20"/>
      <c r="C155" s="21"/>
      <c r="D155" s="21"/>
      <c r="E155" s="21"/>
      <c r="F155" s="21"/>
      <c r="G155" s="21"/>
    </row>
    <row r="156" spans="1:7">
      <c r="A156" s="20"/>
      <c r="B156" s="20"/>
      <c r="C156" s="21"/>
      <c r="D156" s="21"/>
      <c r="E156" s="21"/>
      <c r="F156" s="21"/>
      <c r="G156" s="21"/>
    </row>
    <row r="157" spans="1:7">
      <c r="A157" s="20"/>
      <c r="B157" s="20"/>
      <c r="C157" s="21"/>
      <c r="D157" s="21"/>
      <c r="E157" s="21"/>
      <c r="F157" s="21"/>
      <c r="G157" s="21"/>
    </row>
    <row r="158" spans="1:7">
      <c r="A158" s="20"/>
      <c r="B158" s="20"/>
      <c r="C158" s="21"/>
      <c r="D158" s="21"/>
      <c r="E158" s="21"/>
      <c r="F158" s="21"/>
      <c r="G158" s="21"/>
    </row>
    <row r="159" spans="1:7">
      <c r="A159" s="20"/>
      <c r="B159" s="20"/>
      <c r="C159" s="21"/>
      <c r="D159" s="21"/>
      <c r="E159" s="21"/>
      <c r="F159" s="21"/>
      <c r="G159" s="21"/>
    </row>
    <row r="160" spans="1:7">
      <c r="A160" s="20"/>
      <c r="B160" s="20"/>
      <c r="C160" s="21"/>
      <c r="D160" s="21"/>
      <c r="E160" s="21"/>
      <c r="F160" s="21"/>
      <c r="G160" s="21"/>
    </row>
    <row r="161" spans="1:7">
      <c r="A161" s="20"/>
      <c r="B161" s="20"/>
      <c r="C161" s="21"/>
      <c r="D161" s="21"/>
      <c r="E161" s="21"/>
      <c r="F161" s="21"/>
      <c r="G161" s="21"/>
    </row>
    <row r="162" spans="1:7">
      <c r="A162" s="20"/>
      <c r="B162" s="20"/>
      <c r="C162" s="21"/>
      <c r="D162" s="21"/>
      <c r="E162" s="21"/>
      <c r="F162" s="21"/>
      <c r="G162" s="21"/>
    </row>
    <row r="163" spans="1:7">
      <c r="A163" s="20"/>
      <c r="B163" s="20"/>
      <c r="C163" s="21"/>
      <c r="D163" s="21"/>
      <c r="E163" s="21"/>
      <c r="F163" s="21"/>
      <c r="G163" s="21"/>
    </row>
    <row r="164" spans="1:7">
      <c r="A164" s="20"/>
      <c r="B164" s="20"/>
      <c r="C164" s="21"/>
      <c r="D164" s="21"/>
      <c r="E164" s="21"/>
      <c r="F164" s="21"/>
      <c r="G164" s="21"/>
    </row>
    <row r="165" spans="1:7">
      <c r="A165" s="20"/>
      <c r="B165" s="20"/>
      <c r="C165" s="21"/>
      <c r="D165" s="21"/>
      <c r="E165" s="21"/>
      <c r="F165" s="21"/>
      <c r="G165" s="21"/>
    </row>
    <row r="166" spans="1:7">
      <c r="A166" s="20"/>
      <c r="B166" s="20"/>
      <c r="C166" s="21"/>
      <c r="D166" s="21"/>
      <c r="E166" s="21"/>
      <c r="F166" s="21"/>
      <c r="G166" s="21"/>
    </row>
    <row r="167" spans="1:7">
      <c r="A167" s="20"/>
      <c r="B167" s="20"/>
      <c r="C167" s="21"/>
      <c r="D167" s="21"/>
      <c r="E167" s="21"/>
      <c r="F167" s="21"/>
      <c r="G167" s="21"/>
    </row>
    <row r="168" spans="1:7">
      <c r="A168" s="20"/>
      <c r="B168" s="20"/>
      <c r="C168" s="21"/>
      <c r="D168" s="21"/>
      <c r="E168" s="21"/>
      <c r="F168" s="21"/>
      <c r="G168" s="21"/>
    </row>
    <row r="169" spans="1:7">
      <c r="A169" s="20"/>
      <c r="B169" s="20"/>
      <c r="C169" s="21"/>
      <c r="D169" s="21"/>
      <c r="E169" s="21"/>
      <c r="F169" s="21"/>
      <c r="G169" s="21"/>
    </row>
    <row r="170" spans="1:7">
      <c r="A170" s="20"/>
      <c r="B170" s="20"/>
      <c r="C170" s="21"/>
      <c r="D170" s="21"/>
      <c r="E170" s="21"/>
      <c r="F170" s="21"/>
      <c r="G170" s="21"/>
    </row>
    <row r="171" spans="1:7">
      <c r="A171" s="20"/>
      <c r="B171" s="20"/>
      <c r="C171" s="21"/>
      <c r="D171" s="21"/>
      <c r="E171" s="21"/>
      <c r="F171" s="21"/>
      <c r="G171" s="21"/>
    </row>
    <row r="172" spans="1:7">
      <c r="A172" s="20"/>
      <c r="B172" s="20"/>
      <c r="C172" s="21"/>
      <c r="D172" s="21"/>
      <c r="E172" s="21"/>
      <c r="F172" s="21"/>
      <c r="G172" s="21"/>
    </row>
    <row r="173" spans="1:7">
      <c r="A173" s="20"/>
      <c r="B173" s="20"/>
      <c r="C173" s="21"/>
      <c r="D173" s="21"/>
      <c r="E173" s="21"/>
      <c r="F173" s="21"/>
      <c r="G173" s="21"/>
    </row>
    <row r="174" spans="1:7">
      <c r="A174" s="20"/>
      <c r="B174" s="20"/>
      <c r="C174" s="21"/>
      <c r="D174" s="21"/>
      <c r="E174" s="21"/>
      <c r="F174" s="21"/>
      <c r="G174" s="21"/>
    </row>
    <row r="175" spans="1:7">
      <c r="A175" s="20"/>
      <c r="B175" s="20"/>
      <c r="C175" s="21"/>
      <c r="D175" s="21"/>
      <c r="E175" s="21"/>
      <c r="F175" s="21"/>
      <c r="G175" s="21"/>
    </row>
    <row r="176" spans="1:7">
      <c r="A176" s="20"/>
      <c r="B176" s="20"/>
      <c r="C176" s="21"/>
      <c r="D176" s="21"/>
      <c r="E176" s="21"/>
      <c r="F176" s="21"/>
      <c r="G176" s="21"/>
    </row>
    <row r="177" spans="1:7">
      <c r="A177" s="20"/>
      <c r="B177" s="20"/>
      <c r="C177" s="21"/>
      <c r="D177" s="21"/>
      <c r="E177" s="21"/>
      <c r="F177" s="21"/>
      <c r="G177" s="21"/>
    </row>
    <row r="178" spans="1:7">
      <c r="A178" s="20"/>
      <c r="B178" s="20"/>
      <c r="C178" s="21"/>
      <c r="D178" s="21"/>
      <c r="E178" s="21"/>
      <c r="F178" s="21"/>
      <c r="G178" s="21"/>
    </row>
    <row r="179" spans="1:7">
      <c r="A179" s="20"/>
      <c r="B179" s="20"/>
      <c r="C179" s="21"/>
      <c r="D179" s="21"/>
      <c r="E179" s="21"/>
      <c r="F179" s="21"/>
      <c r="G179" s="21"/>
    </row>
    <row r="180" spans="1:7">
      <c r="A180" s="20"/>
      <c r="B180" s="20"/>
      <c r="C180" s="21"/>
      <c r="D180" s="21"/>
      <c r="E180" s="21"/>
      <c r="F180" s="21"/>
      <c r="G180" s="21"/>
    </row>
    <row r="181" spans="1:7">
      <c r="A181" s="20"/>
      <c r="B181" s="20"/>
      <c r="C181" s="21"/>
      <c r="D181" s="21"/>
      <c r="E181" s="21"/>
      <c r="F181" s="21"/>
      <c r="G181" s="21"/>
    </row>
    <row r="182" spans="1:7">
      <c r="A182" s="20"/>
      <c r="B182" s="20"/>
      <c r="C182" s="21"/>
      <c r="D182" s="21"/>
      <c r="E182" s="21"/>
      <c r="F182" s="21"/>
      <c r="G182" s="21"/>
    </row>
    <row r="183" spans="1:7">
      <c r="A183" s="20"/>
      <c r="B183" s="20"/>
      <c r="C183" s="21"/>
      <c r="D183" s="21"/>
      <c r="E183" s="21"/>
      <c r="F183" s="21"/>
      <c r="G183" s="21"/>
    </row>
    <row r="184" spans="1:7">
      <c r="A184" s="20"/>
      <c r="B184" s="20"/>
      <c r="C184" s="21"/>
      <c r="D184" s="21"/>
      <c r="E184" s="21"/>
      <c r="F184" s="21"/>
      <c r="G184" s="21"/>
    </row>
    <row r="185" spans="1:7">
      <c r="A185" s="20"/>
      <c r="B185" s="20"/>
      <c r="C185" s="21"/>
      <c r="D185" s="21"/>
      <c r="E185" s="21"/>
      <c r="F185" s="21"/>
      <c r="G185" s="21"/>
    </row>
    <row r="186" spans="1:7">
      <c r="A186" s="20"/>
      <c r="B186" s="20"/>
      <c r="C186" s="21"/>
      <c r="D186" s="21"/>
      <c r="E186" s="21"/>
      <c r="F186" s="21"/>
      <c r="G186" s="21"/>
    </row>
    <row r="187" spans="1:7">
      <c r="A187" s="20"/>
      <c r="B187" s="20"/>
      <c r="C187" s="21"/>
      <c r="D187" s="21"/>
      <c r="E187" s="21"/>
      <c r="F187" s="21"/>
      <c r="G187" s="21"/>
    </row>
    <row r="188" spans="1:7">
      <c r="A188" s="20"/>
      <c r="B188" s="20"/>
      <c r="C188" s="21"/>
      <c r="D188" s="21"/>
      <c r="E188" s="21"/>
      <c r="F188" s="21"/>
      <c r="G188" s="21"/>
    </row>
    <row r="189" spans="1:7">
      <c r="A189" s="20"/>
      <c r="B189" s="20"/>
      <c r="C189" s="21"/>
      <c r="D189" s="21"/>
      <c r="E189" s="21"/>
      <c r="F189" s="21"/>
      <c r="G189" s="21"/>
    </row>
    <row r="190" spans="1:7">
      <c r="A190" s="20"/>
      <c r="B190" s="20"/>
      <c r="C190" s="21"/>
      <c r="D190" s="21"/>
      <c r="E190" s="21"/>
      <c r="F190" s="21"/>
      <c r="G190" s="21"/>
    </row>
    <row r="191" spans="1:7">
      <c r="A191" s="20"/>
      <c r="B191" s="20"/>
      <c r="C191" s="21"/>
      <c r="D191" s="21"/>
      <c r="E191" s="21"/>
      <c r="F191" s="21"/>
      <c r="G191" s="21"/>
    </row>
    <row r="192" spans="1:7">
      <c r="A192" s="20"/>
      <c r="B192" s="20"/>
      <c r="C192" s="21"/>
      <c r="D192" s="21"/>
      <c r="E192" s="21"/>
      <c r="F192" s="21"/>
      <c r="G192" s="21"/>
    </row>
    <row r="193" spans="1:7">
      <c r="A193" s="20"/>
      <c r="B193" s="20"/>
      <c r="C193" s="21"/>
      <c r="D193" s="21"/>
      <c r="E193" s="21"/>
      <c r="F193" s="21"/>
      <c r="G193" s="21"/>
    </row>
    <row r="194" spans="1:7">
      <c r="A194" s="20"/>
      <c r="B194" s="20"/>
      <c r="C194" s="21"/>
      <c r="D194" s="21"/>
      <c r="E194" s="21"/>
      <c r="F194" s="21"/>
      <c r="G194" s="21"/>
    </row>
    <row r="195" spans="1:7">
      <c r="A195" s="20"/>
      <c r="B195" s="20"/>
      <c r="C195" s="21"/>
      <c r="D195" s="21"/>
      <c r="E195" s="21"/>
      <c r="F195" s="21"/>
      <c r="G195" s="21"/>
    </row>
    <row r="196" spans="1:7">
      <c r="A196" s="20"/>
      <c r="B196" s="20"/>
      <c r="C196" s="21"/>
      <c r="D196" s="21"/>
      <c r="E196" s="21"/>
      <c r="F196" s="21"/>
      <c r="G196" s="21"/>
    </row>
    <row r="197" spans="1:7">
      <c r="A197" s="20"/>
      <c r="B197" s="20"/>
      <c r="C197" s="21"/>
      <c r="D197" s="21"/>
      <c r="E197" s="21"/>
      <c r="F197" s="21"/>
      <c r="G197" s="21"/>
    </row>
    <row r="198" spans="1:7">
      <c r="A198" s="20"/>
      <c r="B198" s="20"/>
      <c r="C198" s="21"/>
      <c r="D198" s="21"/>
      <c r="E198" s="21"/>
      <c r="F198" s="21"/>
      <c r="G198" s="21"/>
    </row>
    <row r="199" spans="1:7">
      <c r="A199" s="20"/>
      <c r="B199" s="20"/>
      <c r="C199" s="21"/>
      <c r="D199" s="21"/>
      <c r="E199" s="21"/>
      <c r="F199" s="21"/>
      <c r="G199" s="21"/>
    </row>
    <row r="200" spans="1:7">
      <c r="A200" s="20"/>
      <c r="B200" s="20"/>
      <c r="C200" s="21"/>
      <c r="D200" s="21"/>
      <c r="E200" s="21"/>
      <c r="F200" s="21"/>
      <c r="G200" s="21"/>
    </row>
    <row r="201" spans="1:7">
      <c r="A201" s="20"/>
      <c r="B201" s="20"/>
      <c r="C201" s="21"/>
      <c r="D201" s="21"/>
      <c r="E201" s="21"/>
      <c r="F201" s="21"/>
      <c r="G201" s="21"/>
    </row>
    <row r="202" spans="1:7">
      <c r="A202" s="20"/>
      <c r="B202" s="20"/>
      <c r="C202" s="21"/>
      <c r="D202" s="21"/>
      <c r="E202" s="21"/>
      <c r="F202" s="21"/>
      <c r="G202" s="21"/>
    </row>
    <row r="203" spans="1:7">
      <c r="A203" s="20"/>
      <c r="B203" s="20"/>
      <c r="C203" s="21"/>
      <c r="D203" s="21"/>
      <c r="E203" s="21"/>
      <c r="F203" s="21"/>
      <c r="G203" s="21"/>
    </row>
    <row r="204" spans="1:7">
      <c r="A204" s="20"/>
      <c r="B204" s="20"/>
      <c r="C204" s="21"/>
      <c r="D204" s="21"/>
      <c r="E204" s="21"/>
      <c r="F204" s="21"/>
      <c r="G204" s="21"/>
    </row>
    <row r="205" spans="1:7">
      <c r="A205" s="20"/>
      <c r="B205" s="20"/>
      <c r="C205" s="21"/>
      <c r="D205" s="21"/>
      <c r="E205" s="21"/>
      <c r="F205" s="21"/>
      <c r="G205" s="21"/>
    </row>
    <row r="206" spans="1:7">
      <c r="A206" s="20"/>
      <c r="B206" s="20"/>
      <c r="C206" s="21"/>
      <c r="D206" s="21"/>
      <c r="E206" s="21"/>
      <c r="F206" s="21"/>
      <c r="G206" s="21"/>
    </row>
    <row r="207" spans="1:7">
      <c r="A207" s="20"/>
      <c r="B207" s="20"/>
      <c r="C207" s="21"/>
      <c r="D207" s="21"/>
      <c r="E207" s="21"/>
      <c r="F207" s="21"/>
      <c r="G207" s="21"/>
    </row>
    <row r="208" spans="1:7">
      <c r="A208" s="20"/>
      <c r="B208" s="20"/>
      <c r="C208" s="21"/>
      <c r="D208" s="21"/>
      <c r="E208" s="21"/>
      <c r="F208" s="21"/>
      <c r="G208" s="21"/>
    </row>
    <row r="209" spans="1:7">
      <c r="A209" s="20"/>
      <c r="B209" s="20"/>
      <c r="C209" s="21"/>
      <c r="D209" s="21"/>
      <c r="E209" s="21"/>
      <c r="F209" s="21"/>
      <c r="G209" s="21"/>
    </row>
    <row r="210" spans="1:7">
      <c r="A210" s="20"/>
      <c r="B210" s="20"/>
      <c r="C210" s="21"/>
      <c r="D210" s="21"/>
      <c r="E210" s="21"/>
      <c r="F210" s="21"/>
      <c r="G210" s="21"/>
    </row>
    <row r="211" spans="1:7">
      <c r="A211" s="20"/>
      <c r="B211" s="20"/>
      <c r="C211" s="21"/>
      <c r="D211" s="21"/>
      <c r="E211" s="21"/>
      <c r="F211" s="21"/>
      <c r="G211" s="21"/>
    </row>
    <row r="212" spans="1:7">
      <c r="A212" s="20"/>
      <c r="B212" s="20"/>
      <c r="C212" s="21"/>
      <c r="D212" s="21"/>
      <c r="E212" s="21"/>
      <c r="F212" s="21"/>
      <c r="G212" s="21"/>
    </row>
    <row r="213" spans="1:7">
      <c r="A213" s="20"/>
      <c r="B213" s="20"/>
      <c r="C213" s="21"/>
      <c r="D213" s="21"/>
      <c r="E213" s="21"/>
      <c r="F213" s="21"/>
      <c r="G213" s="21"/>
    </row>
    <row r="214" spans="1:7">
      <c r="A214" s="20"/>
      <c r="B214" s="20"/>
      <c r="C214" s="21"/>
      <c r="D214" s="21"/>
      <c r="E214" s="21"/>
      <c r="F214" s="21"/>
      <c r="G214" s="21"/>
    </row>
    <row r="215" spans="1:7">
      <c r="A215" s="20"/>
      <c r="B215" s="20"/>
      <c r="C215" s="21"/>
      <c r="D215" s="21"/>
      <c r="E215" s="21"/>
      <c r="F215" s="21"/>
      <c r="G215" s="21"/>
    </row>
    <row r="216" spans="1:7">
      <c r="A216" s="20"/>
      <c r="B216" s="20"/>
      <c r="C216" s="21"/>
      <c r="D216" s="21"/>
      <c r="E216" s="21"/>
      <c r="F216" s="21"/>
      <c r="G216" s="21"/>
    </row>
    <row r="217" spans="1:7">
      <c r="A217" s="20"/>
      <c r="B217" s="20"/>
      <c r="C217" s="21"/>
      <c r="D217" s="21"/>
      <c r="E217" s="21"/>
      <c r="F217" s="21"/>
      <c r="G217" s="21"/>
    </row>
    <row r="218" spans="1:7">
      <c r="A218" s="20"/>
      <c r="B218" s="20"/>
      <c r="C218" s="21"/>
      <c r="D218" s="21"/>
      <c r="E218" s="21"/>
      <c r="F218" s="21"/>
      <c r="G218" s="21"/>
    </row>
    <row r="219" spans="1:7">
      <c r="A219" s="20"/>
      <c r="B219" s="20"/>
      <c r="C219" s="21"/>
      <c r="D219" s="21"/>
      <c r="E219" s="21"/>
      <c r="F219" s="21"/>
      <c r="G219" s="21"/>
    </row>
    <row r="220" spans="1:7">
      <c r="A220" s="20"/>
      <c r="B220" s="20"/>
      <c r="C220" s="21"/>
      <c r="D220" s="21"/>
      <c r="E220" s="21"/>
      <c r="F220" s="21"/>
      <c r="G220" s="21"/>
    </row>
    <row r="221" spans="1:7">
      <c r="A221" s="20"/>
      <c r="B221" s="20"/>
      <c r="C221" s="21"/>
      <c r="D221" s="21"/>
      <c r="E221" s="21"/>
      <c r="F221" s="21"/>
      <c r="G221" s="21"/>
    </row>
    <row r="222" spans="1:7">
      <c r="A222" s="20"/>
      <c r="B222" s="20"/>
      <c r="C222" s="21"/>
      <c r="D222" s="21"/>
      <c r="E222" s="21"/>
      <c r="F222" s="21"/>
      <c r="G222" s="21"/>
    </row>
    <row r="223" spans="1:7">
      <c r="A223" s="20"/>
      <c r="B223" s="20"/>
      <c r="C223" s="21"/>
      <c r="D223" s="21"/>
      <c r="E223" s="21"/>
      <c r="F223" s="21"/>
      <c r="G223" s="21"/>
    </row>
    <row r="224" spans="1:7">
      <c r="A224" s="20"/>
      <c r="B224" s="20"/>
      <c r="C224" s="21"/>
      <c r="D224" s="21"/>
      <c r="E224" s="21"/>
      <c r="F224" s="21"/>
      <c r="G224" s="21"/>
    </row>
    <row r="225" spans="1:7">
      <c r="A225" s="20"/>
      <c r="B225" s="20"/>
      <c r="C225" s="21"/>
      <c r="D225" s="21"/>
      <c r="E225" s="21"/>
      <c r="F225" s="21"/>
      <c r="G225" s="21"/>
    </row>
    <row r="226" spans="1:7">
      <c r="A226" s="20"/>
      <c r="B226" s="20"/>
      <c r="C226" s="21"/>
      <c r="D226" s="21"/>
      <c r="E226" s="21"/>
      <c r="F226" s="21"/>
      <c r="G226" s="21"/>
    </row>
    <row r="227" spans="1:7">
      <c r="A227" s="20"/>
      <c r="B227" s="20"/>
      <c r="C227" s="21"/>
      <c r="D227" s="21"/>
      <c r="E227" s="21"/>
      <c r="F227" s="21"/>
      <c r="G227" s="21"/>
    </row>
    <row r="228" spans="1:7">
      <c r="A228" s="20"/>
      <c r="B228" s="20"/>
      <c r="C228" s="21"/>
      <c r="D228" s="21"/>
      <c r="E228" s="21"/>
      <c r="F228" s="21"/>
      <c r="G228" s="21"/>
    </row>
    <row r="229" spans="1:7">
      <c r="A229" s="20"/>
      <c r="B229" s="20"/>
      <c r="C229" s="21"/>
      <c r="D229" s="21"/>
      <c r="E229" s="21"/>
      <c r="F229" s="21"/>
      <c r="G229" s="21"/>
    </row>
    <row r="230" spans="1:7">
      <c r="A230" s="20"/>
      <c r="B230" s="20"/>
      <c r="C230" s="21"/>
      <c r="D230" s="21"/>
      <c r="E230" s="21"/>
      <c r="F230" s="21"/>
      <c r="G230" s="21"/>
    </row>
    <row r="231" spans="1:7">
      <c r="A231" s="20"/>
      <c r="B231" s="20"/>
      <c r="C231" s="21"/>
      <c r="D231" s="21"/>
      <c r="E231" s="21"/>
      <c r="F231" s="21"/>
      <c r="G231" s="21"/>
    </row>
    <row r="232" spans="1:7">
      <c r="A232" s="20"/>
      <c r="B232" s="20"/>
      <c r="C232" s="21"/>
      <c r="D232" s="21"/>
      <c r="E232" s="21"/>
      <c r="F232" s="21"/>
      <c r="G232" s="21"/>
    </row>
    <row r="233" spans="1:7">
      <c r="A233" s="20"/>
      <c r="B233" s="20"/>
      <c r="C233" s="21"/>
      <c r="D233" s="21"/>
      <c r="E233" s="21"/>
      <c r="F233" s="21"/>
      <c r="G233" s="21"/>
    </row>
    <row r="234" spans="1:7">
      <c r="A234" s="20"/>
      <c r="B234" s="20"/>
      <c r="C234" s="21"/>
      <c r="D234" s="21"/>
      <c r="E234" s="21"/>
      <c r="F234" s="21"/>
      <c r="G234" s="21"/>
    </row>
    <row r="235" spans="1:7">
      <c r="A235" s="20"/>
      <c r="B235" s="20"/>
      <c r="C235" s="21"/>
      <c r="D235" s="21"/>
      <c r="E235" s="21"/>
      <c r="F235" s="21"/>
      <c r="G235" s="21"/>
    </row>
    <row r="236" spans="1:7">
      <c r="A236" s="20"/>
      <c r="B236" s="20"/>
      <c r="C236" s="21"/>
      <c r="D236" s="21"/>
      <c r="E236" s="21"/>
      <c r="F236" s="21"/>
      <c r="G236" s="21"/>
    </row>
    <row r="237" spans="1:7">
      <c r="A237" s="20"/>
      <c r="B237" s="20"/>
      <c r="C237" s="21"/>
      <c r="D237" s="21"/>
      <c r="E237" s="21"/>
      <c r="F237" s="21"/>
      <c r="G237" s="21"/>
    </row>
    <row r="238" spans="1:7">
      <c r="A238" s="20"/>
      <c r="B238" s="20"/>
      <c r="C238" s="21"/>
      <c r="D238" s="21"/>
      <c r="E238" s="21"/>
      <c r="F238" s="21"/>
      <c r="G238" s="21"/>
    </row>
    <row r="239" spans="1:7">
      <c r="A239" s="20"/>
      <c r="B239" s="20"/>
      <c r="C239" s="21"/>
      <c r="D239" s="21"/>
      <c r="E239" s="21"/>
      <c r="F239" s="21"/>
      <c r="G239" s="21"/>
    </row>
    <row r="240" spans="1:7">
      <c r="A240" s="20"/>
      <c r="B240" s="20"/>
      <c r="C240" s="21"/>
      <c r="D240" s="21"/>
      <c r="E240" s="21"/>
      <c r="F240" s="21"/>
      <c r="G240" s="21"/>
    </row>
    <row r="241" spans="1:7">
      <c r="A241" s="20"/>
      <c r="B241" s="20"/>
      <c r="C241" s="21"/>
      <c r="D241" s="21"/>
      <c r="E241" s="21"/>
      <c r="F241" s="21"/>
      <c r="G241" s="21"/>
    </row>
    <row r="242" spans="1:7">
      <c r="A242" s="20"/>
      <c r="B242" s="20"/>
      <c r="C242" s="21"/>
      <c r="D242" s="21"/>
      <c r="E242" s="21"/>
      <c r="F242" s="21"/>
      <c r="G242" s="21"/>
    </row>
    <row r="243" spans="1:7">
      <c r="A243" s="20"/>
      <c r="B243" s="20"/>
      <c r="C243" s="21"/>
      <c r="D243" s="21"/>
      <c r="E243" s="21"/>
      <c r="F243" s="21"/>
      <c r="G243" s="21"/>
    </row>
    <row r="244" spans="1:7">
      <c r="A244" s="20"/>
      <c r="B244" s="20"/>
      <c r="C244" s="21"/>
      <c r="D244" s="21"/>
      <c r="E244" s="21"/>
      <c r="F244" s="21"/>
      <c r="G244" s="21"/>
    </row>
    <row r="245" spans="1:7">
      <c r="A245" s="20"/>
      <c r="B245" s="20"/>
      <c r="C245" s="21"/>
      <c r="D245" s="21"/>
      <c r="E245" s="21"/>
      <c r="F245" s="21"/>
      <c r="G245" s="21"/>
    </row>
    <row r="246" spans="1:7">
      <c r="A246" s="20"/>
      <c r="B246" s="20"/>
      <c r="C246" s="21"/>
      <c r="D246" s="21"/>
      <c r="E246" s="21"/>
      <c r="F246" s="21"/>
      <c r="G246" s="21"/>
    </row>
    <row r="247" spans="1:7">
      <c r="A247" s="20"/>
      <c r="B247" s="20"/>
      <c r="C247" s="21"/>
      <c r="D247" s="21"/>
      <c r="E247" s="21"/>
      <c r="F247" s="21"/>
      <c r="G247" s="21"/>
    </row>
    <row r="248" spans="1:7">
      <c r="A248" s="20"/>
      <c r="B248" s="20"/>
      <c r="C248" s="21"/>
      <c r="D248" s="21"/>
      <c r="E248" s="21"/>
      <c r="F248" s="21"/>
      <c r="G248" s="21"/>
    </row>
    <row r="249" spans="1:7">
      <c r="A249" s="20"/>
      <c r="B249" s="20"/>
      <c r="C249" s="21"/>
      <c r="D249" s="21"/>
      <c r="E249" s="21"/>
      <c r="F249" s="21"/>
      <c r="G249" s="21"/>
    </row>
    <row r="250" spans="1:7">
      <c r="A250" s="20"/>
      <c r="B250" s="20"/>
      <c r="C250" s="21"/>
      <c r="D250" s="21"/>
      <c r="E250" s="21"/>
      <c r="F250" s="21"/>
      <c r="G250" s="21"/>
    </row>
    <row r="251" spans="1:7">
      <c r="A251" s="20"/>
      <c r="B251" s="20"/>
      <c r="C251" s="21"/>
      <c r="D251" s="21"/>
      <c r="E251" s="21"/>
      <c r="F251" s="21"/>
      <c r="G251" s="21"/>
    </row>
    <row r="252" spans="1:7">
      <c r="A252" s="20"/>
      <c r="B252" s="20"/>
      <c r="C252" s="21"/>
      <c r="D252" s="21"/>
      <c r="E252" s="21"/>
      <c r="F252" s="21"/>
      <c r="G252" s="21"/>
    </row>
    <row r="253" spans="1:7">
      <c r="A253" s="20"/>
      <c r="B253" s="20"/>
      <c r="C253" s="21"/>
      <c r="D253" s="21"/>
      <c r="E253" s="21"/>
      <c r="F253" s="21"/>
      <c r="G253" s="21"/>
    </row>
    <row r="254" spans="1:7">
      <c r="A254" s="20"/>
      <c r="B254" s="20"/>
      <c r="C254" s="21"/>
      <c r="D254" s="21"/>
      <c r="E254" s="21"/>
      <c r="F254" s="21"/>
      <c r="G254" s="21"/>
    </row>
    <row r="255" spans="1:7">
      <c r="A255" s="20"/>
      <c r="B255" s="20"/>
      <c r="C255" s="21"/>
      <c r="D255" s="21"/>
      <c r="E255" s="21"/>
      <c r="F255" s="21"/>
      <c r="G255" s="21"/>
    </row>
    <row r="256" spans="1:7">
      <c r="A256" s="20"/>
      <c r="B256" s="20"/>
      <c r="C256" s="21"/>
      <c r="D256" s="21"/>
      <c r="E256" s="21"/>
      <c r="F256" s="21"/>
      <c r="G256" s="21"/>
    </row>
    <row r="257" spans="1:7">
      <c r="A257" s="20"/>
      <c r="B257" s="20"/>
      <c r="C257" s="21"/>
      <c r="D257" s="21"/>
      <c r="E257" s="21"/>
      <c r="F257" s="21"/>
      <c r="G257" s="21"/>
    </row>
    <row r="258" spans="1:7">
      <c r="A258" s="20"/>
      <c r="B258" s="20"/>
      <c r="C258" s="21"/>
      <c r="D258" s="21"/>
      <c r="E258" s="21"/>
      <c r="F258" s="21"/>
      <c r="G258" s="21"/>
    </row>
    <row r="259" spans="1:7">
      <c r="A259" s="20"/>
      <c r="B259" s="20"/>
      <c r="C259" s="21"/>
      <c r="D259" s="21"/>
      <c r="E259" s="21"/>
      <c r="F259" s="21"/>
      <c r="G259" s="21"/>
    </row>
    <row r="260" spans="1:7">
      <c r="A260" s="20"/>
      <c r="B260" s="20"/>
      <c r="C260" s="21"/>
      <c r="D260" s="21"/>
      <c r="E260" s="21"/>
      <c r="F260" s="21"/>
      <c r="G260" s="21"/>
    </row>
    <row r="261" spans="1:7">
      <c r="A261" s="20"/>
      <c r="B261" s="20"/>
      <c r="C261" s="21"/>
      <c r="D261" s="21"/>
      <c r="E261" s="21"/>
      <c r="F261" s="21"/>
      <c r="G261" s="21"/>
    </row>
    <row r="262" spans="1:7">
      <c r="A262" s="20"/>
      <c r="B262" s="20"/>
      <c r="C262" s="21"/>
      <c r="D262" s="21"/>
      <c r="E262" s="21"/>
      <c r="F262" s="21"/>
      <c r="G262" s="21"/>
    </row>
    <row r="263" spans="1:7">
      <c r="A263" s="20"/>
      <c r="B263" s="20"/>
      <c r="C263" s="21"/>
      <c r="D263" s="21"/>
      <c r="E263" s="21"/>
      <c r="F263" s="21"/>
      <c r="G263" s="21"/>
    </row>
    <row r="264" spans="1:7">
      <c r="A264" s="20"/>
      <c r="B264" s="20"/>
      <c r="C264" s="21"/>
      <c r="D264" s="21"/>
      <c r="E264" s="21"/>
      <c r="F264" s="21"/>
      <c r="G264" s="21"/>
    </row>
    <row r="265" spans="1:7">
      <c r="A265" s="20"/>
      <c r="B265" s="20"/>
      <c r="C265" s="21"/>
      <c r="D265" s="21"/>
      <c r="E265" s="21"/>
      <c r="F265" s="21"/>
      <c r="G265" s="21"/>
    </row>
    <row r="266" spans="1:7">
      <c r="A266" s="20"/>
      <c r="B266" s="20"/>
      <c r="C266" s="21"/>
      <c r="D266" s="21"/>
      <c r="E266" s="21"/>
      <c r="F266" s="21"/>
      <c r="G266" s="21"/>
    </row>
    <row r="267" spans="1:7">
      <c r="A267" s="20"/>
      <c r="B267" s="20"/>
      <c r="C267" s="21"/>
      <c r="D267" s="21"/>
      <c r="E267" s="21"/>
      <c r="F267" s="21"/>
      <c r="G267" s="21"/>
    </row>
    <row r="268" spans="1:7">
      <c r="A268" s="20"/>
      <c r="B268" s="20"/>
      <c r="C268" s="21"/>
      <c r="D268" s="21"/>
      <c r="E268" s="21"/>
      <c r="F268" s="21"/>
      <c r="G268" s="21"/>
    </row>
    <row r="269" spans="1:7">
      <c r="A269" s="20"/>
      <c r="B269" s="20"/>
      <c r="C269" s="21"/>
      <c r="D269" s="21"/>
      <c r="E269" s="21"/>
      <c r="F269" s="21"/>
      <c r="G269" s="21"/>
    </row>
    <row r="270" spans="1:7">
      <c r="A270" s="20"/>
      <c r="B270" s="20"/>
      <c r="C270" s="21"/>
      <c r="D270" s="21"/>
      <c r="E270" s="21"/>
      <c r="F270" s="21"/>
      <c r="G270" s="21"/>
    </row>
    <row r="271" spans="1:7">
      <c r="A271" s="20"/>
      <c r="B271" s="20"/>
      <c r="C271" s="21"/>
      <c r="D271" s="21"/>
      <c r="E271" s="21"/>
      <c r="F271" s="21"/>
      <c r="G271" s="21"/>
    </row>
    <row r="272" spans="1:7">
      <c r="A272" s="20"/>
      <c r="B272" s="20"/>
      <c r="C272" s="21"/>
      <c r="D272" s="21"/>
      <c r="E272" s="21"/>
      <c r="F272" s="21"/>
      <c r="G272" s="21"/>
    </row>
    <row r="273" spans="1:7">
      <c r="A273" s="20"/>
      <c r="B273" s="20"/>
      <c r="C273" s="21"/>
      <c r="D273" s="21"/>
      <c r="E273" s="21"/>
      <c r="F273" s="21"/>
      <c r="G273" s="21"/>
    </row>
    <row r="274" spans="1:7">
      <c r="A274" s="20"/>
      <c r="B274" s="20"/>
      <c r="C274" s="21"/>
      <c r="D274" s="21"/>
      <c r="E274" s="21"/>
      <c r="F274" s="21"/>
      <c r="G274" s="21"/>
    </row>
    <row r="275" spans="1:7">
      <c r="A275" s="20"/>
      <c r="B275" s="20"/>
      <c r="C275" s="21"/>
      <c r="D275" s="21"/>
      <c r="E275" s="21"/>
      <c r="F275" s="21"/>
      <c r="G275" s="21"/>
    </row>
    <row r="276" spans="1:7">
      <c r="A276" s="20"/>
      <c r="B276" s="20"/>
      <c r="C276" s="21"/>
      <c r="D276" s="21"/>
      <c r="E276" s="21"/>
      <c r="F276" s="21"/>
      <c r="G276" s="21"/>
    </row>
    <row r="277" spans="1:7">
      <c r="A277" s="20"/>
      <c r="B277" s="20"/>
      <c r="C277" s="21"/>
      <c r="D277" s="21"/>
      <c r="E277" s="21"/>
      <c r="F277" s="21"/>
      <c r="G277" s="21"/>
    </row>
    <row r="278" spans="1:7">
      <c r="A278" s="20"/>
      <c r="B278" s="20"/>
      <c r="C278" s="21"/>
      <c r="D278" s="21"/>
      <c r="E278" s="21"/>
      <c r="F278" s="21"/>
      <c r="G278" s="21"/>
    </row>
    <row r="279" spans="1:7">
      <c r="A279" s="20"/>
      <c r="B279" s="20"/>
      <c r="C279" s="21"/>
      <c r="D279" s="21"/>
      <c r="E279" s="21"/>
      <c r="F279" s="21"/>
      <c r="G279" s="21"/>
    </row>
    <row r="280" spans="1:7">
      <c r="A280" s="20"/>
      <c r="B280" s="20"/>
      <c r="C280" s="21"/>
      <c r="D280" s="21"/>
      <c r="E280" s="21"/>
      <c r="F280" s="21"/>
      <c r="G280" s="21"/>
    </row>
    <row r="281" spans="1:7">
      <c r="A281" s="20"/>
      <c r="B281" s="20"/>
      <c r="C281" s="21"/>
      <c r="D281" s="21"/>
      <c r="E281" s="21"/>
      <c r="F281" s="21"/>
      <c r="G281" s="21"/>
    </row>
    <row r="282" spans="1:7">
      <c r="A282" s="20"/>
      <c r="B282" s="20"/>
      <c r="C282" s="21"/>
      <c r="D282" s="21"/>
      <c r="E282" s="21"/>
      <c r="F282" s="21"/>
      <c r="G282" s="21"/>
    </row>
    <row r="283" spans="1:7">
      <c r="A283" s="20"/>
      <c r="B283" s="20"/>
      <c r="C283" s="21"/>
      <c r="D283" s="21"/>
      <c r="E283" s="21"/>
      <c r="F283" s="21"/>
      <c r="G283" s="21"/>
    </row>
    <row r="284" spans="1:7">
      <c r="A284" s="20"/>
      <c r="B284" s="20"/>
      <c r="C284" s="21"/>
      <c r="D284" s="21"/>
      <c r="E284" s="21"/>
      <c r="F284" s="21"/>
      <c r="G284" s="21"/>
    </row>
    <row r="285" spans="1:7">
      <c r="A285" s="20"/>
      <c r="B285" s="20"/>
      <c r="C285" s="21"/>
      <c r="D285" s="21"/>
      <c r="E285" s="21"/>
      <c r="F285" s="21"/>
      <c r="G285" s="21"/>
    </row>
    <row r="286" spans="1:7">
      <c r="A286" s="20"/>
      <c r="B286" s="20"/>
      <c r="C286" s="21"/>
      <c r="D286" s="21"/>
      <c r="E286" s="21"/>
      <c r="F286" s="21"/>
      <c r="G286" s="21"/>
    </row>
    <row r="287" spans="1:7">
      <c r="A287" s="20"/>
      <c r="B287" s="20"/>
      <c r="C287" s="21"/>
      <c r="D287" s="21"/>
      <c r="E287" s="21"/>
      <c r="F287" s="21"/>
      <c r="G287" s="21"/>
    </row>
    <row r="288" spans="1:7">
      <c r="A288" s="20"/>
      <c r="B288" s="20"/>
      <c r="C288" s="21"/>
      <c r="D288" s="21"/>
      <c r="E288" s="21"/>
      <c r="F288" s="21"/>
      <c r="G288" s="21"/>
    </row>
    <row r="289" spans="1:7">
      <c r="A289" s="20"/>
      <c r="B289" s="20"/>
      <c r="C289" s="21"/>
      <c r="D289" s="21"/>
      <c r="E289" s="21"/>
      <c r="F289" s="21"/>
      <c r="G289" s="21"/>
    </row>
    <row r="290" spans="1:7">
      <c r="A290" s="20"/>
      <c r="B290" s="20"/>
      <c r="C290" s="21"/>
      <c r="D290" s="21"/>
      <c r="E290" s="21"/>
      <c r="F290" s="21"/>
      <c r="G290" s="21"/>
    </row>
    <row r="291" spans="1:7">
      <c r="A291" s="20"/>
      <c r="B291" s="20"/>
      <c r="C291" s="21"/>
      <c r="D291" s="21"/>
      <c r="E291" s="21"/>
      <c r="F291" s="21"/>
      <c r="G291" s="21"/>
    </row>
    <row r="292" spans="1:7">
      <c r="A292" s="20"/>
      <c r="B292" s="20"/>
      <c r="C292" s="21"/>
      <c r="D292" s="21"/>
      <c r="E292" s="21"/>
      <c r="F292" s="21"/>
      <c r="G292" s="21"/>
    </row>
    <row r="293" spans="1:7">
      <c r="A293" s="20"/>
      <c r="B293" s="20"/>
      <c r="C293" s="21"/>
      <c r="D293" s="21"/>
      <c r="E293" s="21"/>
      <c r="F293" s="21"/>
      <c r="G293" s="21"/>
    </row>
    <row r="294" spans="1:7">
      <c r="A294" s="20"/>
      <c r="B294" s="20"/>
      <c r="C294" s="21"/>
      <c r="D294" s="21"/>
      <c r="E294" s="21"/>
      <c r="F294" s="21"/>
      <c r="G294" s="21"/>
    </row>
    <row r="295" spans="1:7">
      <c r="A295" s="20"/>
      <c r="B295" s="20"/>
      <c r="C295" s="21"/>
      <c r="D295" s="21"/>
      <c r="E295" s="21"/>
      <c r="F295" s="21"/>
      <c r="G295" s="21"/>
    </row>
    <row r="296" spans="1:7">
      <c r="A296" s="20"/>
      <c r="B296" s="20"/>
      <c r="C296" s="21"/>
      <c r="D296" s="21"/>
      <c r="E296" s="21"/>
      <c r="F296" s="21"/>
      <c r="G296" s="21"/>
    </row>
    <row r="297" spans="1:7">
      <c r="A297" s="20"/>
      <c r="B297" s="20"/>
      <c r="C297" s="21"/>
      <c r="D297" s="21"/>
      <c r="E297" s="21"/>
      <c r="F297" s="21"/>
      <c r="G297" s="21"/>
    </row>
    <row r="298" spans="1:7">
      <c r="A298" s="20"/>
      <c r="B298" s="20"/>
      <c r="C298" s="21"/>
      <c r="D298" s="21"/>
      <c r="E298" s="21"/>
      <c r="F298" s="21"/>
      <c r="G298" s="21"/>
    </row>
    <row r="299" spans="1:7">
      <c r="A299" s="20"/>
      <c r="B299" s="20"/>
      <c r="C299" s="21"/>
      <c r="D299" s="21"/>
      <c r="E299" s="21"/>
      <c r="F299" s="21"/>
      <c r="G299" s="21"/>
    </row>
    <row r="300" spans="1:7">
      <c r="A300" s="20"/>
      <c r="B300" s="20"/>
      <c r="C300" s="21"/>
      <c r="D300" s="21"/>
      <c r="E300" s="21"/>
      <c r="F300" s="21"/>
      <c r="G300" s="21"/>
    </row>
    <row r="301" spans="1:7">
      <c r="A301" s="20"/>
      <c r="B301" s="20"/>
      <c r="C301" s="21"/>
      <c r="D301" s="21"/>
      <c r="E301" s="21"/>
      <c r="F301" s="21"/>
      <c r="G301" s="21"/>
    </row>
    <row r="302" spans="1:7">
      <c r="A302" s="20"/>
      <c r="B302" s="20"/>
      <c r="C302" s="21"/>
      <c r="D302" s="21"/>
      <c r="E302" s="21"/>
      <c r="F302" s="21"/>
      <c r="G302" s="21"/>
    </row>
    <row r="303" spans="1:7">
      <c r="A303" s="20"/>
      <c r="B303" s="20"/>
      <c r="C303" s="21"/>
      <c r="D303" s="21"/>
      <c r="E303" s="21"/>
      <c r="F303" s="21"/>
      <c r="G303" s="21"/>
    </row>
    <row r="304" spans="1:7">
      <c r="A304" s="20"/>
      <c r="B304" s="20"/>
      <c r="C304" s="21"/>
      <c r="D304" s="21"/>
      <c r="E304" s="21"/>
      <c r="F304" s="21"/>
      <c r="G304" s="21"/>
    </row>
    <row r="305" spans="1:7">
      <c r="A305" s="20"/>
      <c r="B305" s="20"/>
      <c r="C305" s="21"/>
      <c r="D305" s="21"/>
      <c r="E305" s="21"/>
      <c r="F305" s="21"/>
      <c r="G305" s="21"/>
    </row>
    <row r="306" spans="1:7">
      <c r="A306" s="20"/>
      <c r="B306" s="20"/>
      <c r="C306" s="21"/>
      <c r="D306" s="21"/>
      <c r="E306" s="21"/>
      <c r="F306" s="21"/>
      <c r="G306" s="21"/>
    </row>
    <row r="307" spans="1:7">
      <c r="A307" s="20"/>
      <c r="B307" s="20"/>
      <c r="C307" s="21"/>
      <c r="D307" s="21"/>
      <c r="E307" s="21"/>
      <c r="F307" s="21"/>
      <c r="G307" s="21"/>
    </row>
    <row r="308" spans="1:7">
      <c r="A308" s="20"/>
      <c r="B308" s="20"/>
      <c r="C308" s="21"/>
      <c r="D308" s="21"/>
      <c r="E308" s="21"/>
      <c r="F308" s="21"/>
      <c r="G308" s="21"/>
    </row>
    <row r="309" spans="1:7">
      <c r="A309" s="20"/>
      <c r="B309" s="20"/>
      <c r="C309" s="21"/>
      <c r="D309" s="21"/>
      <c r="E309" s="21"/>
      <c r="F309" s="21"/>
      <c r="G309" s="21"/>
    </row>
    <row r="310" spans="1:7">
      <c r="A310" s="20"/>
      <c r="B310" s="20"/>
      <c r="C310" s="21"/>
      <c r="D310" s="21"/>
      <c r="E310" s="21"/>
      <c r="F310" s="21"/>
      <c r="G310" s="21"/>
    </row>
    <row r="311" spans="1:7">
      <c r="A311" s="20"/>
      <c r="B311" s="20"/>
      <c r="C311" s="21"/>
      <c r="D311" s="21"/>
      <c r="E311" s="21"/>
      <c r="F311" s="21"/>
      <c r="G311" s="21"/>
    </row>
    <row r="312" spans="1:7">
      <c r="A312" s="20"/>
      <c r="B312" s="20"/>
      <c r="C312" s="21"/>
      <c r="D312" s="21"/>
      <c r="E312" s="21"/>
      <c r="F312" s="21"/>
      <c r="G312" s="21"/>
    </row>
    <row r="313" spans="1:7">
      <c r="A313" s="20"/>
      <c r="B313" s="20"/>
      <c r="C313" s="21"/>
      <c r="D313" s="21"/>
      <c r="E313" s="21"/>
      <c r="F313" s="21"/>
      <c r="G313" s="21"/>
    </row>
    <row r="314" spans="1:7">
      <c r="A314" s="20"/>
      <c r="B314" s="20"/>
      <c r="C314" s="21"/>
      <c r="D314" s="21"/>
      <c r="E314" s="21"/>
      <c r="F314" s="21"/>
      <c r="G314" s="21"/>
    </row>
    <row r="315" spans="1:7">
      <c r="A315" s="20"/>
      <c r="B315" s="20"/>
      <c r="C315" s="21"/>
      <c r="D315" s="21"/>
      <c r="E315" s="21"/>
      <c r="F315" s="21"/>
      <c r="G315" s="21"/>
    </row>
    <row r="316" spans="1:7">
      <c r="A316" s="20"/>
      <c r="B316" s="20"/>
      <c r="C316" s="21"/>
      <c r="D316" s="21"/>
      <c r="E316" s="21"/>
      <c r="F316" s="21"/>
      <c r="G316" s="21"/>
    </row>
    <row r="317" spans="1:7">
      <c r="A317" s="20"/>
      <c r="B317" s="20"/>
      <c r="C317" s="21"/>
      <c r="D317" s="21"/>
      <c r="E317" s="21"/>
      <c r="F317" s="21"/>
      <c r="G317" s="21"/>
    </row>
    <row r="318" spans="1:7">
      <c r="A318" s="20"/>
      <c r="B318" s="20"/>
      <c r="C318" s="21"/>
      <c r="D318" s="21"/>
      <c r="E318" s="21"/>
      <c r="F318" s="21"/>
      <c r="G318" s="21"/>
    </row>
    <row r="319" spans="1:7">
      <c r="A319" s="20"/>
      <c r="B319" s="20"/>
      <c r="C319" s="21"/>
      <c r="D319" s="21"/>
      <c r="E319" s="21"/>
      <c r="F319" s="21"/>
      <c r="G319" s="21"/>
    </row>
    <row r="320" spans="1:7">
      <c r="A320" s="20"/>
      <c r="B320" s="20"/>
      <c r="C320" s="21"/>
      <c r="D320" s="21"/>
      <c r="E320" s="21"/>
      <c r="F320" s="21"/>
      <c r="G320" s="21"/>
    </row>
    <row r="321" spans="1:7">
      <c r="A321" s="20"/>
      <c r="B321" s="20"/>
      <c r="C321" s="21"/>
      <c r="D321" s="21"/>
      <c r="E321" s="21"/>
      <c r="F321" s="21"/>
      <c r="G321" s="21"/>
    </row>
    <row r="322" spans="1:7">
      <c r="A322" s="20"/>
      <c r="B322" s="20"/>
      <c r="C322" s="21"/>
      <c r="D322" s="21"/>
      <c r="E322" s="21"/>
      <c r="F322" s="21"/>
      <c r="G322" s="21"/>
    </row>
    <row r="323" spans="1:7">
      <c r="A323" s="20"/>
      <c r="B323" s="20"/>
      <c r="C323" s="21"/>
      <c r="D323" s="21"/>
      <c r="E323" s="21"/>
      <c r="F323" s="21"/>
      <c r="G323" s="21"/>
    </row>
    <row r="324" spans="1:7">
      <c r="A324" s="20"/>
      <c r="B324" s="20"/>
      <c r="C324" s="21"/>
      <c r="D324" s="21"/>
      <c r="E324" s="21"/>
      <c r="F324" s="21"/>
      <c r="G324" s="21"/>
    </row>
    <row r="325" spans="1:7">
      <c r="A325" s="20"/>
      <c r="B325" s="20"/>
      <c r="C325" s="21"/>
      <c r="D325" s="21"/>
      <c r="E325" s="21"/>
      <c r="F325" s="21"/>
      <c r="G325" s="21"/>
    </row>
    <row r="326" spans="1:7">
      <c r="A326" s="20"/>
      <c r="B326" s="20"/>
      <c r="C326" s="21"/>
      <c r="D326" s="21"/>
      <c r="E326" s="21"/>
      <c r="F326" s="21"/>
      <c r="G326" s="21"/>
    </row>
    <row r="327" spans="1:7">
      <c r="A327" s="20"/>
      <c r="B327" s="20"/>
      <c r="C327" s="21"/>
      <c r="D327" s="21"/>
      <c r="E327" s="21"/>
      <c r="F327" s="21"/>
      <c r="G327" s="21"/>
    </row>
    <row r="328" spans="1:7">
      <c r="A328" s="20"/>
      <c r="B328" s="20"/>
      <c r="C328" s="21"/>
      <c r="D328" s="21"/>
      <c r="E328" s="21"/>
      <c r="F328" s="21"/>
      <c r="G328" s="21"/>
    </row>
    <row r="329" spans="1:7">
      <c r="C329" s="25"/>
      <c r="D329" s="25"/>
      <c r="E329" s="25"/>
      <c r="F329" s="25"/>
      <c r="G329" s="25"/>
    </row>
    <row r="330" spans="1:7" ht="13.5" thickBot="1">
      <c r="A330" s="26" t="s">
        <v>153</v>
      </c>
      <c r="B330" s="27"/>
      <c r="C330" s="28" t="e">
        <f>#REF!/#REF!</f>
        <v>#REF!</v>
      </c>
      <c r="D330" s="28" t="e">
        <f>#REF!/#REF!</f>
        <v>#REF!</v>
      </c>
      <c r="E330" s="28" t="e">
        <f>#REF!/#REF!</f>
        <v>#REF!</v>
      </c>
      <c r="F330" s="28" t="e">
        <f>#REF!/#REF!</f>
        <v>#REF!</v>
      </c>
      <c r="G330" s="28" t="e">
        <f>#REF!/#REF!</f>
        <v>#REF!</v>
      </c>
    </row>
    <row r="331" spans="1:7" ht="13.5" thickTop="1"/>
  </sheetData>
  <printOptions horizontalCentered="1"/>
  <pageMargins left="0.5" right="0.5" top="0.5" bottom="0.65" header="0.4" footer="0.2"/>
  <pageSetup scale="11" orientation="landscape" r:id="rId1"/>
  <headerFooter alignWithMargins="0">
    <oddFooter>&amp;LExhibit RMP_____(CCP-3)&amp;R&amp;F&amp;CTab 3 - Page 13 of 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O55"/>
  <sheetViews>
    <sheetView defaultGridColor="0" colorId="22" zoomScale="90" workbookViewId="0"/>
  </sheetViews>
  <sheetFormatPr defaultColWidth="12.5703125" defaultRowHeight="12.75"/>
  <cols>
    <col min="1" max="1" width="26.7109375" style="32" customWidth="1"/>
    <col min="2" max="2" width="10" style="32" customWidth="1"/>
    <col min="3" max="3" width="8.7109375" style="32" customWidth="1"/>
    <col min="4" max="9" width="15.7109375" style="32" customWidth="1"/>
    <col min="10" max="10" width="8.85546875" style="32" bestFit="1" customWidth="1"/>
    <col min="11" max="11" width="9.85546875" style="32" bestFit="1" customWidth="1"/>
    <col min="12" max="12" width="24.85546875" style="32" bestFit="1" customWidth="1"/>
    <col min="13" max="13" width="2.140625" style="32" bestFit="1" customWidth="1"/>
    <col min="14" max="14" width="49.140625" style="32" bestFit="1" customWidth="1"/>
    <col min="15" max="15" width="2.140625" style="32" bestFit="1" customWidth="1"/>
    <col min="16" max="16" width="49.7109375" style="32" bestFit="1" customWidth="1"/>
    <col min="17" max="18" width="15.7109375" style="32" customWidth="1"/>
    <col min="19" max="16384" width="12.5703125" style="32"/>
  </cols>
  <sheetData>
    <row r="1" spans="1:15">
      <c r="A1" s="29"/>
      <c r="B1" s="30"/>
      <c r="C1" s="30"/>
      <c r="D1" s="30"/>
      <c r="E1" s="30"/>
      <c r="F1" s="30"/>
      <c r="G1" s="30"/>
      <c r="H1" s="31"/>
      <c r="I1" s="31"/>
    </row>
    <row r="2" spans="1:15">
      <c r="A2" s="33" t="str">
        <f>+'TOTAL FUNCFAC'!A2</f>
        <v>12 Months Ended December 2018</v>
      </c>
      <c r="B2" s="30"/>
      <c r="C2" s="30"/>
      <c r="D2" s="30"/>
      <c r="E2" s="30"/>
      <c r="F2" s="30"/>
      <c r="G2" s="30"/>
      <c r="H2" s="31"/>
      <c r="I2" s="31"/>
    </row>
    <row r="3" spans="1:15">
      <c r="A3" s="33" t="s">
        <v>154</v>
      </c>
      <c r="B3" s="30"/>
      <c r="C3" s="30"/>
      <c r="D3" s="30"/>
      <c r="E3" s="30"/>
      <c r="F3" s="30"/>
      <c r="G3" s="30"/>
      <c r="H3" s="31"/>
      <c r="I3" s="31"/>
    </row>
    <row r="4" spans="1:15">
      <c r="A4" s="211" t="s">
        <v>155</v>
      </c>
      <c r="B4" s="33"/>
      <c r="C4" s="30"/>
      <c r="D4" s="30"/>
      <c r="E4" s="30"/>
      <c r="F4" s="30"/>
      <c r="G4" s="30"/>
      <c r="H4" s="31"/>
      <c r="I4" s="31"/>
    </row>
    <row r="5" spans="1:15">
      <c r="A5" s="212"/>
      <c r="B5" s="213"/>
      <c r="D5" s="36"/>
    </row>
    <row r="6" spans="1:15">
      <c r="B6" s="37" t="s">
        <v>156</v>
      </c>
    </row>
    <row r="7" spans="1:15">
      <c r="A7" s="38" t="s">
        <v>4</v>
      </c>
      <c r="B7" s="38" t="s">
        <v>157</v>
      </c>
      <c r="C7" s="38" t="s">
        <v>158</v>
      </c>
      <c r="D7" s="38" t="s">
        <v>159</v>
      </c>
      <c r="E7" s="38" t="s">
        <v>5</v>
      </c>
      <c r="F7" s="38" t="s">
        <v>160</v>
      </c>
      <c r="G7" s="38" t="s">
        <v>7</v>
      </c>
      <c r="H7" s="39" t="s">
        <v>161</v>
      </c>
      <c r="I7" s="39" t="s">
        <v>162</v>
      </c>
    </row>
    <row r="8" spans="1:15">
      <c r="A8" s="40"/>
      <c r="B8" s="41"/>
      <c r="C8" s="41"/>
      <c r="D8" s="41"/>
      <c r="E8" s="41"/>
      <c r="F8" s="41"/>
      <c r="G8" s="41"/>
      <c r="H8" s="42"/>
      <c r="I8" s="43"/>
    </row>
    <row r="9" spans="1:15">
      <c r="A9" s="44" t="s">
        <v>163</v>
      </c>
      <c r="B9" s="45"/>
      <c r="C9" s="45" t="s">
        <v>72</v>
      </c>
      <c r="D9" s="214">
        <v>12395220.412851499</v>
      </c>
      <c r="E9" s="46">
        <f>$D9*VLOOKUP(+$C9,$C$45:$I$51,3)</f>
        <v>12395220.412851499</v>
      </c>
      <c r="F9" s="46">
        <f>$D9*VLOOKUP(+$C9,$C$45:$I$51,4)</f>
        <v>0</v>
      </c>
      <c r="G9" s="46">
        <f>$D9*VLOOKUP(+$C9,$C$45:$I$51,5)</f>
        <v>0</v>
      </c>
      <c r="H9" s="46">
        <f>$D9*VLOOKUP(+$C9,$C$45:$I$51,6)</f>
        <v>0</v>
      </c>
      <c r="I9" s="46">
        <f>$D9*VLOOKUP(+$C9,$C$45:$I$51,7)</f>
        <v>0</v>
      </c>
      <c r="J9" s="47"/>
      <c r="L9" s="205"/>
      <c r="M9" s="48"/>
    </row>
    <row r="10" spans="1:15">
      <c r="A10" s="44" t="s">
        <v>164</v>
      </c>
      <c r="B10" s="45"/>
      <c r="C10" s="45" t="s">
        <v>113</v>
      </c>
      <c r="D10" s="214">
        <v>6268619.5106646102</v>
      </c>
      <c r="E10" s="46">
        <f>$D10*VLOOKUP(+$C10,$C$45:$I$51,3)</f>
        <v>0</v>
      </c>
      <c r="F10" s="46">
        <f>$D10*VLOOKUP(+$C10,$C$45:$I$51,4)</f>
        <v>6268619.5106646102</v>
      </c>
      <c r="G10" s="46">
        <f>$D10*VLOOKUP(+$C10,$C$45:$I$51,5)</f>
        <v>0</v>
      </c>
      <c r="H10" s="46">
        <f>$D10*VLOOKUP(+$C10,$C$45:$I$51,6)</f>
        <v>0</v>
      </c>
      <c r="I10" s="46">
        <f>$D10*VLOOKUP(+$C10,$C$45:$I$51,7)</f>
        <v>0</v>
      </c>
      <c r="J10" s="47"/>
      <c r="L10" s="205"/>
      <c r="M10" s="48"/>
    </row>
    <row r="11" spans="1:15">
      <c r="A11" s="44" t="s">
        <v>165</v>
      </c>
      <c r="B11" s="45"/>
      <c r="C11" s="45" t="s">
        <v>7</v>
      </c>
      <c r="D11" s="214">
        <v>6888590.7888938496</v>
      </c>
      <c r="E11" s="46">
        <f>$D11*VLOOKUP(+$C11,$C$45:$I$51,3)</f>
        <v>0</v>
      </c>
      <c r="F11" s="46">
        <f>$D11*VLOOKUP(+$C11,$C$45:$I$51,4)</f>
        <v>0</v>
      </c>
      <c r="G11" s="46">
        <f>$D11*VLOOKUP(+$C11,$C$45:$I$51,5)</f>
        <v>6888590.7888938496</v>
      </c>
      <c r="H11" s="46">
        <f>$D11*VLOOKUP(+$C11,$C$45:$I$51,6)</f>
        <v>0</v>
      </c>
      <c r="I11" s="46">
        <f>$D11*VLOOKUP(+$C11,$C$45:$I$51,7)</f>
        <v>0</v>
      </c>
      <c r="J11" s="47"/>
      <c r="L11" s="205"/>
      <c r="M11" s="48"/>
    </row>
    <row r="12" spans="1:15">
      <c r="A12" s="44" t="s">
        <v>141</v>
      </c>
      <c r="B12" s="49" t="s">
        <v>166</v>
      </c>
      <c r="C12" s="45" t="s">
        <v>72</v>
      </c>
      <c r="D12" s="214">
        <f>1854.828+104201.93+7502.583</f>
        <v>113559.34099999999</v>
      </c>
      <c r="E12" s="46">
        <f>$D12*VLOOKUP(+$C12,$C$45:$I$51,3)</f>
        <v>113559.34099999999</v>
      </c>
      <c r="F12" s="46">
        <f>$D12*VLOOKUP(+$C12,$C$45:$I$51,4)</f>
        <v>0</v>
      </c>
      <c r="G12" s="46">
        <f>$D12*VLOOKUP(+$C12,$C$45:$I$51,5)</f>
        <v>0</v>
      </c>
      <c r="H12" s="46">
        <f>$D12*VLOOKUP(+$C12,$C$45:$I$51,6)</f>
        <v>0</v>
      </c>
      <c r="I12" s="46">
        <f>$D12*VLOOKUP(+$C12,$C$45:$I$51,7)</f>
        <v>0</v>
      </c>
      <c r="J12" s="47"/>
      <c r="L12" s="205"/>
      <c r="M12" s="206"/>
      <c r="O12" s="206"/>
    </row>
    <row r="13" spans="1:15">
      <c r="A13" s="50" t="s">
        <v>33</v>
      </c>
      <c r="B13" s="51"/>
      <c r="C13" s="51"/>
      <c r="D13" s="52"/>
      <c r="E13" s="52"/>
      <c r="F13" s="52"/>
      <c r="G13" s="52"/>
      <c r="H13" s="52"/>
      <c r="I13" s="53"/>
    </row>
    <row r="14" spans="1:15">
      <c r="A14" s="54" t="s">
        <v>167</v>
      </c>
      <c r="B14" s="55" t="str">
        <f>GP!B7</f>
        <v>CN</v>
      </c>
      <c r="C14" s="55" t="str">
        <f>GP!C7</f>
        <v>CUST</v>
      </c>
      <c r="D14" s="46">
        <f>GP!D7</f>
        <v>18405.609868461539</v>
      </c>
      <c r="E14" s="46">
        <f>$D14*VLOOKUP(+$C14,$C$45:$I$51,3)</f>
        <v>0</v>
      </c>
      <c r="F14" s="46">
        <f t="shared" ref="F14:F23" si="0">$D14*VLOOKUP(+$C14,$C$45:$I$51,4)</f>
        <v>0</v>
      </c>
      <c r="G14" s="46">
        <f t="shared" ref="G14:G23" si="1">$D14*VLOOKUP(+$C14,$C$45:$I$51,5)</f>
        <v>0</v>
      </c>
      <c r="H14" s="46">
        <f t="shared" ref="H14:H23" si="2">$D14*VLOOKUP(+$C14,$C$45:$I$51,6)</f>
        <v>18405.609868461539</v>
      </c>
      <c r="I14" s="46">
        <f t="shared" ref="I14:I23" si="3">$D14*VLOOKUP(+$C14,$C$45:$I$51,7)</f>
        <v>0</v>
      </c>
    </row>
    <row r="15" spans="1:15">
      <c r="A15" s="54" t="s">
        <v>168</v>
      </c>
      <c r="B15" s="55" t="str">
        <f>GP!B8</f>
        <v>SE</v>
      </c>
      <c r="C15" s="55" t="str">
        <f>GP!C8</f>
        <v>P</v>
      </c>
      <c r="D15" s="46">
        <f>GP!D8</f>
        <v>5541.8482153846107</v>
      </c>
      <c r="E15" s="46">
        <f>$D15*VLOOKUP(+$C15,$C$45:$I$51,3)</f>
        <v>5541.8482153846107</v>
      </c>
      <c r="F15" s="46">
        <f t="shared" si="0"/>
        <v>0</v>
      </c>
      <c r="G15" s="46">
        <f t="shared" si="1"/>
        <v>0</v>
      </c>
      <c r="H15" s="46">
        <f t="shared" si="2"/>
        <v>0</v>
      </c>
      <c r="I15" s="56">
        <f t="shared" si="3"/>
        <v>0</v>
      </c>
    </row>
    <row r="16" spans="1:15">
      <c r="A16" s="54"/>
      <c r="B16" s="55" t="str">
        <f>GP!B9</f>
        <v>SG</v>
      </c>
      <c r="C16" s="55" t="str">
        <f>GP!C9</f>
        <v>P</v>
      </c>
      <c r="D16" s="46">
        <f>GP!D9</f>
        <v>120909.28342999998</v>
      </c>
      <c r="E16" s="46">
        <f>$D16*VLOOKUP(+$C16,$C$45:$I$51,3)</f>
        <v>120909.28342999998</v>
      </c>
      <c r="F16" s="46">
        <f t="shared" si="0"/>
        <v>0</v>
      </c>
      <c r="G16" s="46">
        <f t="shared" si="1"/>
        <v>0</v>
      </c>
      <c r="H16" s="46">
        <f t="shared" si="2"/>
        <v>0</v>
      </c>
      <c r="I16" s="56">
        <f t="shared" si="3"/>
        <v>0</v>
      </c>
    </row>
    <row r="17" spans="1:9">
      <c r="A17" s="54"/>
      <c r="B17" s="55" t="str">
        <f>GP!B10</f>
        <v>SG</v>
      </c>
      <c r="C17" s="55" t="str">
        <f>GP!C10</f>
        <v>T</v>
      </c>
      <c r="D17" s="46">
        <f>GP!D10</f>
        <v>169952.31096384599</v>
      </c>
      <c r="E17" s="46">
        <f t="shared" ref="E17:E23" si="4">$D17*VLOOKUP(+$C17,$C$45:$I$51,3)</f>
        <v>0</v>
      </c>
      <c r="F17" s="46">
        <f t="shared" si="0"/>
        <v>169952.31096384599</v>
      </c>
      <c r="G17" s="46">
        <f t="shared" si="1"/>
        <v>0</v>
      </c>
      <c r="H17" s="46">
        <f t="shared" si="2"/>
        <v>0</v>
      </c>
      <c r="I17" s="56">
        <f t="shared" si="3"/>
        <v>0</v>
      </c>
    </row>
    <row r="18" spans="1:9">
      <c r="A18" s="54"/>
      <c r="B18" s="55" t="str">
        <f>GP!B12</f>
        <v>SO</v>
      </c>
      <c r="C18" s="55" t="str">
        <f>GP!C12</f>
        <v>DPW</v>
      </c>
      <c r="D18" s="46">
        <f>GP!D12</f>
        <v>0</v>
      </c>
      <c r="E18" s="46">
        <f t="shared" si="4"/>
        <v>0</v>
      </c>
      <c r="F18" s="46">
        <f t="shared" si="0"/>
        <v>0</v>
      </c>
      <c r="G18" s="46">
        <f t="shared" si="1"/>
        <v>0</v>
      </c>
      <c r="H18" s="46">
        <f t="shared" si="2"/>
        <v>0</v>
      </c>
      <c r="I18" s="56">
        <f t="shared" si="3"/>
        <v>0</v>
      </c>
    </row>
    <row r="19" spans="1:9">
      <c r="A19" s="54"/>
      <c r="B19" s="55" t="str">
        <f>GP!B17</f>
        <v>SSGCT</v>
      </c>
      <c r="C19" s="55" t="str">
        <f>GP!C17</f>
        <v>DPW</v>
      </c>
      <c r="D19" s="46">
        <f>GP!D17</f>
        <v>0</v>
      </c>
      <c r="E19" s="46">
        <f t="shared" si="4"/>
        <v>0</v>
      </c>
      <c r="F19" s="46">
        <f t="shared" si="0"/>
        <v>0</v>
      </c>
      <c r="G19" s="46">
        <f t="shared" si="1"/>
        <v>0</v>
      </c>
      <c r="H19" s="46">
        <f t="shared" si="2"/>
        <v>0</v>
      </c>
      <c r="I19" s="56">
        <f t="shared" si="3"/>
        <v>0</v>
      </c>
    </row>
    <row r="20" spans="1:9">
      <c r="A20" s="54"/>
      <c r="B20" s="55" t="str">
        <f>GP!B18</f>
        <v>SSGCT</v>
      </c>
      <c r="C20" s="55" t="str">
        <f>GP!C18</f>
        <v>P</v>
      </c>
      <c r="D20" s="46">
        <f>GP!D18</f>
        <v>0</v>
      </c>
      <c r="E20" s="46">
        <f t="shared" si="4"/>
        <v>0</v>
      </c>
      <c r="F20" s="46">
        <f t="shared" si="0"/>
        <v>0</v>
      </c>
      <c r="G20" s="46">
        <f t="shared" si="1"/>
        <v>0</v>
      </c>
      <c r="H20" s="46">
        <f t="shared" si="2"/>
        <v>0</v>
      </c>
      <c r="I20" s="56">
        <f t="shared" si="3"/>
        <v>0</v>
      </c>
    </row>
    <row r="21" spans="1:9">
      <c r="A21" s="54" t="s">
        <v>33</v>
      </c>
      <c r="B21" s="55" t="str">
        <f>GP!B19</f>
        <v>SITUS</v>
      </c>
      <c r="C21" s="55" t="str">
        <f>GP!C19</f>
        <v>DPW</v>
      </c>
      <c r="D21" s="46">
        <f>GP!D19</f>
        <v>224671.55653230756</v>
      </c>
      <c r="E21" s="46">
        <f t="shared" si="4"/>
        <v>0</v>
      </c>
      <c r="F21" s="46">
        <f t="shared" si="0"/>
        <v>0</v>
      </c>
      <c r="G21" s="46">
        <f t="shared" si="1"/>
        <v>224671.55653230756</v>
      </c>
      <c r="H21" s="46">
        <f t="shared" si="2"/>
        <v>0</v>
      </c>
      <c r="I21" s="56">
        <f t="shared" si="3"/>
        <v>0</v>
      </c>
    </row>
    <row r="22" spans="1:9">
      <c r="A22" s="54" t="s">
        <v>33</v>
      </c>
      <c r="B22" s="55" t="str">
        <f>GP!B20</f>
        <v>SITUS</v>
      </c>
      <c r="C22" s="55" t="str">
        <f>GP!C20</f>
        <v>P</v>
      </c>
      <c r="D22" s="46">
        <f>GP!D20</f>
        <v>0</v>
      </c>
      <c r="E22" s="46">
        <f t="shared" si="4"/>
        <v>0</v>
      </c>
      <c r="F22" s="46">
        <f t="shared" si="0"/>
        <v>0</v>
      </c>
      <c r="G22" s="46">
        <f t="shared" si="1"/>
        <v>0</v>
      </c>
      <c r="H22" s="46">
        <f t="shared" si="2"/>
        <v>0</v>
      </c>
      <c r="I22" s="56">
        <f t="shared" si="3"/>
        <v>0</v>
      </c>
    </row>
    <row r="23" spans="1:9">
      <c r="A23" s="54" t="s">
        <v>33</v>
      </c>
      <c r="B23" s="55" t="str">
        <f>GP!B21</f>
        <v>SITUS</v>
      </c>
      <c r="C23" s="55" t="str">
        <f>GP!C21</f>
        <v>TD</v>
      </c>
      <c r="D23" s="46">
        <f>GP!D21</f>
        <v>404162.98757769237</v>
      </c>
      <c r="E23" s="46">
        <f t="shared" si="4"/>
        <v>0</v>
      </c>
      <c r="F23" s="46">
        <f t="shared" si="0"/>
        <v>192559.35960095152</v>
      </c>
      <c r="G23" s="46">
        <f t="shared" si="1"/>
        <v>211603.6279767408</v>
      </c>
      <c r="H23" s="46">
        <f t="shared" si="2"/>
        <v>0</v>
      </c>
      <c r="I23" s="56">
        <f t="shared" si="3"/>
        <v>0</v>
      </c>
    </row>
    <row r="24" spans="1:9">
      <c r="A24" s="50" t="s">
        <v>169</v>
      </c>
      <c r="D24" s="57">
        <f t="shared" ref="D24:I24" si="5">SUBTOTAL(9,D14:D23)</f>
        <v>943643.59658769204</v>
      </c>
      <c r="E24" s="57">
        <f t="shared" si="5"/>
        <v>126451.13164538459</v>
      </c>
      <c r="F24" s="57">
        <f t="shared" si="5"/>
        <v>362511.67056479747</v>
      </c>
      <c r="G24" s="57">
        <f t="shared" si="5"/>
        <v>436275.18450904835</v>
      </c>
      <c r="H24" s="57">
        <f t="shared" si="5"/>
        <v>18405.609868461539</v>
      </c>
      <c r="I24" s="57">
        <f t="shared" si="5"/>
        <v>0</v>
      </c>
    </row>
    <row r="25" spans="1:9">
      <c r="A25" s="50"/>
      <c r="B25" s="50"/>
      <c r="C25" s="50"/>
      <c r="D25" s="46"/>
      <c r="E25" s="46"/>
      <c r="F25" s="46"/>
      <c r="G25" s="46"/>
      <c r="H25" s="46"/>
    </row>
    <row r="26" spans="1:9">
      <c r="A26" s="50" t="s">
        <v>45</v>
      </c>
      <c r="B26" s="50"/>
      <c r="C26" s="50"/>
      <c r="D26" s="46"/>
      <c r="E26" s="46"/>
      <c r="F26" s="46"/>
      <c r="G26" s="46"/>
      <c r="H26" s="46"/>
    </row>
    <row r="27" spans="1:9">
      <c r="A27" s="44" t="s">
        <v>170</v>
      </c>
      <c r="B27" s="58" t="str">
        <f>IP!A7</f>
        <v>CN</v>
      </c>
      <c r="C27" s="58" t="str">
        <f>IP!B7</f>
        <v>CUST</v>
      </c>
      <c r="D27" s="46">
        <f>IP!C7</f>
        <v>162752.21777692289</v>
      </c>
      <c r="E27" s="46">
        <f t="shared" ref="E27:E37" si="6">$D27*VLOOKUP(+$C27,$C$45:$I$52,3)</f>
        <v>0</v>
      </c>
      <c r="F27" s="46">
        <f t="shared" ref="F27:F37" si="7">$D27*VLOOKUP(+$C27,$C$45:$I$52,4)</f>
        <v>0</v>
      </c>
      <c r="G27" s="46">
        <f t="shared" ref="G27:G37" si="8">$D27*VLOOKUP(+$C27,$C$45:$I$52,5)</f>
        <v>0</v>
      </c>
      <c r="H27" s="46">
        <f t="shared" ref="H27:H37" si="9">$D27*VLOOKUP(+$C27,$C$45:$I$52,6)</f>
        <v>162752.21777692289</v>
      </c>
      <c r="I27" s="56">
        <f t="shared" ref="I27:I37" si="10">$D27*VLOOKUP(+$C27,$C$45:$I$52,7)</f>
        <v>0</v>
      </c>
    </row>
    <row r="28" spans="1:9">
      <c r="A28" s="44" t="s">
        <v>170</v>
      </c>
      <c r="B28" s="58" t="str">
        <f>IP!A8</f>
        <v>SE</v>
      </c>
      <c r="C28" s="58" t="str">
        <f>IP!B8</f>
        <v>P</v>
      </c>
      <c r="D28" s="46">
        <f>IP!C8</f>
        <v>13.526169230769201</v>
      </c>
      <c r="E28" s="46">
        <f t="shared" si="6"/>
        <v>13.526169230769201</v>
      </c>
      <c r="F28" s="46">
        <f t="shared" si="7"/>
        <v>0</v>
      </c>
      <c r="G28" s="46">
        <f t="shared" si="8"/>
        <v>0</v>
      </c>
      <c r="H28" s="46">
        <f t="shared" si="9"/>
        <v>0</v>
      </c>
      <c r="I28" s="56">
        <f t="shared" si="10"/>
        <v>0</v>
      </c>
    </row>
    <row r="29" spans="1:9">
      <c r="A29" s="50" t="s">
        <v>171</v>
      </c>
      <c r="B29" s="58" t="str">
        <f>IP!A9</f>
        <v>SG</v>
      </c>
      <c r="C29" s="58" t="str">
        <f>IP!B9</f>
        <v>P</v>
      </c>
      <c r="D29" s="46">
        <f>IP!C9</f>
        <v>116210.40035307691</v>
      </c>
      <c r="E29" s="46">
        <f t="shared" si="6"/>
        <v>116210.40035307691</v>
      </c>
      <c r="F29" s="46">
        <f t="shared" si="7"/>
        <v>0</v>
      </c>
      <c r="G29" s="46">
        <f t="shared" si="8"/>
        <v>0</v>
      </c>
      <c r="H29" s="46">
        <f t="shared" si="9"/>
        <v>0</v>
      </c>
      <c r="I29" s="56">
        <f t="shared" si="10"/>
        <v>0</v>
      </c>
    </row>
    <row r="30" spans="1:9">
      <c r="A30" s="50" t="s">
        <v>172</v>
      </c>
      <c r="B30" s="58" t="str">
        <f>IP!A10</f>
        <v>SG</v>
      </c>
      <c r="C30" s="58" t="str">
        <f>IP!B10</f>
        <v>T</v>
      </c>
      <c r="D30" s="46">
        <f>IP!C10</f>
        <v>59577.252989999964</v>
      </c>
      <c r="E30" s="46">
        <f t="shared" si="6"/>
        <v>0</v>
      </c>
      <c r="F30" s="46">
        <f t="shared" si="7"/>
        <v>59577.252989999964</v>
      </c>
      <c r="G30" s="46">
        <f t="shared" si="8"/>
        <v>0</v>
      </c>
      <c r="H30" s="46">
        <f t="shared" si="9"/>
        <v>0</v>
      </c>
      <c r="I30" s="56">
        <f t="shared" si="10"/>
        <v>0</v>
      </c>
    </row>
    <row r="31" spans="1:9">
      <c r="A31" s="50" t="s">
        <v>173</v>
      </c>
      <c r="B31" s="58" t="str">
        <f>IP!A11</f>
        <v>SG-P</v>
      </c>
      <c r="C31" s="58" t="str">
        <f>IP!B11</f>
        <v>P</v>
      </c>
      <c r="D31" s="46">
        <f>IP!C11</f>
        <v>175524.52486999999</v>
      </c>
      <c r="E31" s="46">
        <f t="shared" si="6"/>
        <v>175524.52486999999</v>
      </c>
      <c r="F31" s="46">
        <f t="shared" si="7"/>
        <v>0</v>
      </c>
      <c r="G31" s="46">
        <f t="shared" si="8"/>
        <v>0</v>
      </c>
      <c r="H31" s="46">
        <f t="shared" si="9"/>
        <v>0</v>
      </c>
      <c r="I31" s="56">
        <f t="shared" si="10"/>
        <v>0</v>
      </c>
    </row>
    <row r="32" spans="1:9">
      <c r="A32" s="50"/>
      <c r="B32" s="58" t="str">
        <f>IP!A12</f>
        <v>SG-U</v>
      </c>
      <c r="C32" s="58" t="str">
        <f>IP!B12</f>
        <v>P</v>
      </c>
      <c r="D32" s="46">
        <f>IP!C12</f>
        <v>9790.3560099999995</v>
      </c>
      <c r="E32" s="46">
        <f t="shared" si="6"/>
        <v>9790.3560099999995</v>
      </c>
      <c r="F32" s="46">
        <f t="shared" si="7"/>
        <v>0</v>
      </c>
      <c r="G32" s="46">
        <f t="shared" si="8"/>
        <v>0</v>
      </c>
      <c r="H32" s="46">
        <f t="shared" si="9"/>
        <v>0</v>
      </c>
      <c r="I32" s="56">
        <f t="shared" si="10"/>
        <v>0</v>
      </c>
    </row>
    <row r="33" spans="1:9">
      <c r="A33" s="50" t="s">
        <v>174</v>
      </c>
      <c r="B33" s="58" t="str">
        <f>IP!A15</f>
        <v>SO</v>
      </c>
      <c r="C33" s="58" t="str">
        <f>IP!B15</f>
        <v>P</v>
      </c>
      <c r="D33" s="46">
        <f>IP!C15</f>
        <v>30142.865496923099</v>
      </c>
      <c r="E33" s="46">
        <f t="shared" si="6"/>
        <v>30142.865496923099</v>
      </c>
      <c r="F33" s="46">
        <f t="shared" si="7"/>
        <v>0</v>
      </c>
      <c r="G33" s="46">
        <f t="shared" si="8"/>
        <v>0</v>
      </c>
      <c r="H33" s="46">
        <f t="shared" si="9"/>
        <v>0</v>
      </c>
      <c r="I33" s="56">
        <f t="shared" si="10"/>
        <v>0</v>
      </c>
    </row>
    <row r="34" spans="1:9">
      <c r="A34" s="50" t="s">
        <v>168</v>
      </c>
      <c r="B34" s="58" t="str">
        <f>IP!A16</f>
        <v>SO</v>
      </c>
      <c r="C34" s="58" t="str">
        <f>IP!B16</f>
        <v>PTD</v>
      </c>
      <c r="D34" s="46">
        <f>IP!C16</f>
        <v>266512.59356999974</v>
      </c>
      <c r="E34" s="46">
        <f t="shared" si="6"/>
        <v>129282.50847370327</v>
      </c>
      <c r="F34" s="46">
        <f t="shared" si="7"/>
        <v>65381.883339941567</v>
      </c>
      <c r="G34" s="46">
        <f t="shared" si="8"/>
        <v>71848.201756354916</v>
      </c>
      <c r="H34" s="46">
        <f t="shared" si="9"/>
        <v>0</v>
      </c>
      <c r="I34" s="56">
        <f t="shared" si="10"/>
        <v>0</v>
      </c>
    </row>
    <row r="35" spans="1:9">
      <c r="A35" s="50" t="s">
        <v>175</v>
      </c>
      <c r="B35" s="58" t="str">
        <f>IP!A18</f>
        <v>SO</v>
      </c>
      <c r="C35" s="58" t="str">
        <f>IP!B18</f>
        <v>TD</v>
      </c>
      <c r="D35" s="46">
        <f>IP!C18</f>
        <v>41608.162810000002</v>
      </c>
      <c r="E35" s="46">
        <f t="shared" si="6"/>
        <v>0</v>
      </c>
      <c r="F35" s="46">
        <f t="shared" si="7"/>
        <v>19823.787509304202</v>
      </c>
      <c r="G35" s="46">
        <f t="shared" si="8"/>
        <v>21784.375300695792</v>
      </c>
      <c r="H35" s="46">
        <f t="shared" si="9"/>
        <v>0</v>
      </c>
      <c r="I35" s="56">
        <f t="shared" si="10"/>
        <v>0</v>
      </c>
    </row>
    <row r="36" spans="1:9">
      <c r="A36" s="50" t="s">
        <v>176</v>
      </c>
      <c r="B36" s="58" t="str">
        <f>IP!A19</f>
        <v>SO</v>
      </c>
      <c r="C36" s="58" t="str">
        <f>IP!B19</f>
        <v>LABOR</v>
      </c>
      <c r="D36" s="46">
        <f>IP!C19</f>
        <v>0</v>
      </c>
      <c r="E36" s="46">
        <f>$D36*VLOOKUP(+$C36,$C$45:$I$52,3)</f>
        <v>0</v>
      </c>
      <c r="F36" s="46">
        <f t="shared" si="7"/>
        <v>0</v>
      </c>
      <c r="G36" s="46">
        <f t="shared" si="8"/>
        <v>0</v>
      </c>
      <c r="H36" s="46">
        <f t="shared" si="9"/>
        <v>0</v>
      </c>
      <c r="I36" s="56">
        <f t="shared" si="10"/>
        <v>0</v>
      </c>
    </row>
    <row r="37" spans="1:9">
      <c r="A37" s="50" t="s">
        <v>176</v>
      </c>
      <c r="B37" s="58" t="str">
        <f>IP!A25</f>
        <v>SITUS</v>
      </c>
      <c r="C37" s="58" t="str">
        <f>IP!B25</f>
        <v>TD</v>
      </c>
      <c r="D37" s="46">
        <f>IP!C25</f>
        <v>16512.674163076921</v>
      </c>
      <c r="E37" s="46">
        <f t="shared" si="6"/>
        <v>0</v>
      </c>
      <c r="F37" s="46">
        <f t="shared" si="7"/>
        <v>7867.2962638124827</v>
      </c>
      <c r="G37" s="46">
        <f t="shared" si="8"/>
        <v>8645.3778992644366</v>
      </c>
      <c r="H37" s="46">
        <f t="shared" si="9"/>
        <v>0</v>
      </c>
      <c r="I37" s="56">
        <f t="shared" si="10"/>
        <v>0</v>
      </c>
    </row>
    <row r="38" spans="1:9">
      <c r="A38" s="50" t="s">
        <v>177</v>
      </c>
      <c r="B38" s="50"/>
      <c r="C38" s="50"/>
      <c r="D38" s="57">
        <f t="shared" ref="D38:I38" si="11">SUBTOTAL(9,D27:D37)</f>
        <v>878644.57420923025</v>
      </c>
      <c r="E38" s="57">
        <f t="shared" si="11"/>
        <v>460964.18137293402</v>
      </c>
      <c r="F38" s="57">
        <f t="shared" si="11"/>
        <v>152650.22010305824</v>
      </c>
      <c r="G38" s="57">
        <f t="shared" si="11"/>
        <v>102277.95495631515</v>
      </c>
      <c r="H38" s="57">
        <f t="shared" si="11"/>
        <v>162752.21777692289</v>
      </c>
      <c r="I38" s="57">
        <f t="shared" si="11"/>
        <v>0</v>
      </c>
    </row>
    <row r="39" spans="1:9">
      <c r="A39" s="50"/>
      <c r="B39" s="50"/>
      <c r="C39" s="50"/>
      <c r="D39" s="46"/>
      <c r="E39" s="46"/>
      <c r="F39" s="46"/>
      <c r="G39" s="46"/>
      <c r="H39" s="46"/>
    </row>
    <row r="40" spans="1:9" ht="13.5" thickBot="1">
      <c r="A40" s="50" t="s">
        <v>178</v>
      </c>
      <c r="B40" s="50"/>
      <c r="C40" s="50"/>
      <c r="D40" s="59">
        <f t="shared" ref="D40:I40" si="12">SUBTOTAL(9,D8:D38)</f>
        <v>27488278.224206887</v>
      </c>
      <c r="E40" s="59">
        <f t="shared" si="12"/>
        <v>13096195.06686982</v>
      </c>
      <c r="F40" s="59">
        <f t="shared" si="12"/>
        <v>6783781.4013324659</v>
      </c>
      <c r="G40" s="59">
        <f t="shared" si="12"/>
        <v>7427143.9283592133</v>
      </c>
      <c r="H40" s="59">
        <f t="shared" si="12"/>
        <v>181157.82764538442</v>
      </c>
      <c r="I40" s="59">
        <f t="shared" si="12"/>
        <v>0</v>
      </c>
    </row>
    <row r="41" spans="1:9" ht="13.5" thickTop="1">
      <c r="D41" s="60"/>
    </row>
    <row r="42" spans="1:9">
      <c r="B42" s="207" t="s">
        <v>179</v>
      </c>
      <c r="C42" s="208"/>
      <c r="D42" s="209">
        <f>SUM(E42:I42)</f>
        <v>0.99999999999999989</v>
      </c>
      <c r="E42" s="209">
        <f>E40/$D40</f>
        <v>0.47642835102480052</v>
      </c>
      <c r="F42" s="209">
        <f>F40/$D40</f>
        <v>0.24678815260820858</v>
      </c>
      <c r="G42" s="209">
        <f>G40/$D40</f>
        <v>0.27019312987812671</v>
      </c>
      <c r="H42" s="209">
        <f>H40/$D40</f>
        <v>6.5903664888640485E-3</v>
      </c>
      <c r="I42" s="210">
        <f>I40/$D40</f>
        <v>0</v>
      </c>
    </row>
    <row r="43" spans="1:9">
      <c r="A43" s="50"/>
      <c r="B43" s="50"/>
      <c r="C43" s="50"/>
      <c r="D43" s="61"/>
      <c r="E43" s="62"/>
      <c r="F43" s="62"/>
      <c r="G43" s="62"/>
      <c r="H43" s="62"/>
      <c r="I43" s="62"/>
    </row>
    <row r="44" spans="1:9">
      <c r="A44" s="63"/>
      <c r="D44" s="62"/>
      <c r="E44" s="62"/>
      <c r="F44" s="62"/>
      <c r="G44" s="62"/>
      <c r="H44" s="62"/>
      <c r="I44" s="62"/>
    </row>
    <row r="45" spans="1:9">
      <c r="A45" s="63"/>
      <c r="B45" s="50" t="s">
        <v>180</v>
      </c>
      <c r="C45" s="50"/>
      <c r="D45" s="62"/>
      <c r="E45" s="64" t="s">
        <v>181</v>
      </c>
      <c r="F45" s="64" t="s">
        <v>182</v>
      </c>
      <c r="G45" s="65" t="s">
        <v>7</v>
      </c>
      <c r="H45" s="65" t="s">
        <v>8</v>
      </c>
      <c r="I45" s="65" t="s">
        <v>162</v>
      </c>
    </row>
    <row r="46" spans="1:9">
      <c r="A46" s="63"/>
      <c r="C46" s="32" t="s">
        <v>72</v>
      </c>
      <c r="D46" s="66">
        <f>SUM(E46:F46)</f>
        <v>1</v>
      </c>
      <c r="E46" s="66">
        <f>'FORM 1'!$C$13</f>
        <v>1</v>
      </c>
      <c r="F46" s="66">
        <f>'FORM 1'!$D$13</f>
        <v>0</v>
      </c>
      <c r="G46" s="66">
        <f>'FORM 1'!$E$13</f>
        <v>0</v>
      </c>
      <c r="H46" s="66">
        <f>'FORM 1'!$F$13</f>
        <v>0</v>
      </c>
      <c r="I46" s="66">
        <f>'FORM 1'!$G$13</f>
        <v>0</v>
      </c>
    </row>
    <row r="47" spans="1:9">
      <c r="C47" s="32" t="s">
        <v>113</v>
      </c>
      <c r="D47" s="66">
        <f>SUM(E47:F47)</f>
        <v>1</v>
      </c>
      <c r="E47" s="66">
        <f>'FORM 1'!$C$14</f>
        <v>0</v>
      </c>
      <c r="F47" s="66">
        <f>'FORM 1'!$D$14</f>
        <v>1</v>
      </c>
      <c r="G47" s="66">
        <f>'FORM 1'!$E$14</f>
        <v>0</v>
      </c>
      <c r="H47" s="66">
        <f>'FORM 1'!$F$14</f>
        <v>0</v>
      </c>
      <c r="I47" s="66">
        <f>'FORM 1'!$G$14</f>
        <v>0</v>
      </c>
    </row>
    <row r="48" spans="1:9">
      <c r="C48" s="32" t="s">
        <v>116</v>
      </c>
      <c r="D48" s="66">
        <f>SUM(E48:I48)</f>
        <v>0.99999999999999989</v>
      </c>
      <c r="E48" s="66">
        <f>'FORM 1'!$C$18</f>
        <v>0</v>
      </c>
      <c r="F48" s="66">
        <f>'FORM 1'!$D$18</f>
        <v>0.47643986589429044</v>
      </c>
      <c r="G48" s="66">
        <f>'FORM 1'!$E$18</f>
        <v>0.52356013410570945</v>
      </c>
      <c r="H48" s="66">
        <f>'FORM 1'!$F$18</f>
        <v>0</v>
      </c>
      <c r="I48" s="66">
        <f>'FORM 1'!$G$18</f>
        <v>0</v>
      </c>
    </row>
    <row r="49" spans="1:9">
      <c r="C49" s="32" t="s">
        <v>8</v>
      </c>
      <c r="D49" s="66">
        <f>SUM(E49:I49)</f>
        <v>1</v>
      </c>
      <c r="E49" s="66">
        <v>0</v>
      </c>
      <c r="F49" s="66">
        <v>0</v>
      </c>
      <c r="G49" s="66">
        <v>0</v>
      </c>
      <c r="H49" s="66">
        <v>1</v>
      </c>
      <c r="I49" s="66">
        <v>0</v>
      </c>
    </row>
    <row r="50" spans="1:9">
      <c r="C50" s="32" t="s">
        <v>7</v>
      </c>
      <c r="D50" s="66">
        <f>SUM(E50:I50)</f>
        <v>1</v>
      </c>
      <c r="E50" s="66">
        <v>0</v>
      </c>
      <c r="F50" s="66">
        <v>0</v>
      </c>
      <c r="G50" s="66">
        <v>1</v>
      </c>
      <c r="H50" s="66">
        <v>0</v>
      </c>
      <c r="I50" s="66">
        <v>0</v>
      </c>
    </row>
    <row r="51" spans="1:9">
      <c r="B51" s="50"/>
      <c r="C51" s="215" t="s">
        <v>132</v>
      </c>
      <c r="D51" s="66">
        <f>SUM(E51:I51)</f>
        <v>1</v>
      </c>
      <c r="E51" s="66">
        <f>'FORM 1'!$C$16</f>
        <v>0.48508967903517519</v>
      </c>
      <c r="F51" s="66">
        <f>'FORM 1'!$D$16</f>
        <v>0.24532380426806721</v>
      </c>
      <c r="G51" s="66">
        <f>'FORM 1'!$E$16</f>
        <v>0.26958651669675765</v>
      </c>
      <c r="H51" s="66">
        <f>'FORM 1'!$F$16</f>
        <v>0</v>
      </c>
      <c r="I51" s="66">
        <f>'FORM 1'!$G$16</f>
        <v>0</v>
      </c>
    </row>
    <row r="52" spans="1:9">
      <c r="C52" s="32" t="s">
        <v>54</v>
      </c>
      <c r="D52" s="66">
        <f>SUM(E52:I52)</f>
        <v>1</v>
      </c>
      <c r="E52" s="62">
        <f>'SCH M'!F146</f>
        <v>0.46137836289269235</v>
      </c>
      <c r="F52" s="62">
        <f>'SCH M'!G146</f>
        <v>8.6868274473763427E-2</v>
      </c>
      <c r="G52" s="62">
        <f>'SCH M'!H146</f>
        <v>0.30489927544920509</v>
      </c>
      <c r="H52" s="62">
        <f>'SCH M'!I146</f>
        <v>0.14685408718433918</v>
      </c>
      <c r="I52" s="62">
        <f>'SCH M'!J146</f>
        <v>0</v>
      </c>
    </row>
    <row r="53" spans="1:9">
      <c r="D53" s="62"/>
      <c r="E53" s="62"/>
      <c r="F53" s="62"/>
      <c r="G53" s="62"/>
      <c r="H53" s="62"/>
      <c r="I53" s="62"/>
    </row>
    <row r="54" spans="1:9" s="68" customFormat="1">
      <c r="A54" s="67"/>
      <c r="D54" s="69"/>
      <c r="E54" s="69"/>
      <c r="F54" s="69"/>
      <c r="G54" s="69"/>
      <c r="H54" s="69"/>
      <c r="I54" s="69"/>
    </row>
    <row r="55" spans="1:9">
      <c r="D55" s="62"/>
      <c r="E55" s="62"/>
      <c r="F55" s="62"/>
      <c r="G55" s="62"/>
      <c r="H55" s="62"/>
      <c r="I55" s="62"/>
    </row>
  </sheetData>
  <printOptions horizontalCentered="1"/>
  <pageMargins left="0.5" right="0.5" top="0.5" bottom="0.65" header="0.4" footer="0.2"/>
  <pageSetup scale="79" orientation="landscape" r:id="rId1"/>
  <headerFooter alignWithMargins="0">
    <oddFooter>&amp;LExhibit RMP_____(CCP-3)&amp;R&amp;F&amp;CTab 3 - Page  4 of 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72"/>
  <sheetViews>
    <sheetView zoomScale="90" zoomScaleNormal="90" workbookViewId="0"/>
  </sheetViews>
  <sheetFormatPr defaultRowHeight="12.75"/>
  <cols>
    <col min="1" max="2" width="21.7109375" style="24" customWidth="1"/>
    <col min="3" max="4" width="20.140625" style="24" bestFit="1" customWidth="1"/>
    <col min="5" max="5" width="20" style="24" customWidth="1"/>
    <col min="6" max="6" width="20.140625" style="24" bestFit="1" customWidth="1"/>
    <col min="7" max="7" width="23.5703125" style="24" customWidth="1"/>
    <col min="8" max="8" width="8.85546875" style="24" bestFit="1" customWidth="1"/>
    <col min="9" max="9" width="67.28515625" style="24" bestFit="1" customWidth="1"/>
    <col min="10" max="16384" width="9.140625" style="24"/>
  </cols>
  <sheetData>
    <row r="1" spans="1:9">
      <c r="A1" s="70" t="str">
        <f>+'TOTAL FUNCFAC'!A1</f>
        <v>PacifiCorp</v>
      </c>
      <c r="B1" s="70"/>
      <c r="C1" s="70"/>
      <c r="D1" s="70"/>
      <c r="E1" s="70"/>
      <c r="F1" s="70"/>
      <c r="G1" s="70"/>
    </row>
    <row r="2" spans="1:9">
      <c r="A2" s="71" t="s">
        <v>1</v>
      </c>
      <c r="B2" s="72"/>
      <c r="C2" s="71"/>
      <c r="D2" s="3"/>
      <c r="E2" s="3"/>
      <c r="F2" s="3"/>
      <c r="G2" s="3"/>
    </row>
    <row r="3" spans="1:9">
      <c r="A3" s="70" t="s">
        <v>183</v>
      </c>
      <c r="B3" s="70"/>
      <c r="C3" s="70"/>
      <c r="D3" s="3"/>
      <c r="E3" s="3"/>
      <c r="F3" s="3"/>
      <c r="G3" s="3"/>
    </row>
    <row r="4" spans="1:9">
      <c r="A4" s="35"/>
      <c r="B4" s="70"/>
      <c r="C4" s="70"/>
      <c r="D4" s="3"/>
      <c r="E4" s="3"/>
      <c r="F4" s="3"/>
      <c r="G4" s="3"/>
    </row>
    <row r="5" spans="1:9">
      <c r="A5" s="70"/>
      <c r="B5" s="70"/>
      <c r="C5" s="70"/>
      <c r="D5" s="3"/>
      <c r="E5" s="3"/>
      <c r="F5" s="3"/>
      <c r="G5" s="3"/>
    </row>
    <row r="6" spans="1:9" ht="13.5" thickBot="1">
      <c r="A6" s="9" t="s">
        <v>157</v>
      </c>
      <c r="B6" s="9" t="s">
        <v>10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</row>
    <row r="7" spans="1:9">
      <c r="A7" s="80"/>
      <c r="B7" s="80"/>
      <c r="C7" s="80"/>
      <c r="D7" s="80"/>
      <c r="E7" s="150"/>
      <c r="F7" s="150"/>
      <c r="G7" s="150"/>
    </row>
    <row r="8" spans="1:9">
      <c r="A8" s="73" t="s">
        <v>184</v>
      </c>
      <c r="B8" s="216">
        <f>SUM(C8:G8)</f>
        <v>25552430.712409958</v>
      </c>
      <c r="C8" s="217">
        <f>+'GROSS PLANT'!D9</f>
        <v>12395220.412851499</v>
      </c>
      <c r="D8" s="217">
        <f>+'GROSS PLANT'!D10</f>
        <v>6268619.5106646102</v>
      </c>
      <c r="E8" s="217">
        <f>+'GROSS PLANT'!D11</f>
        <v>6888590.7888938496</v>
      </c>
      <c r="F8" s="216">
        <v>0</v>
      </c>
      <c r="G8" s="216">
        <v>0</v>
      </c>
      <c r="I8" s="14" t="s">
        <v>185</v>
      </c>
    </row>
    <row r="9" spans="1:9">
      <c r="A9" s="73" t="s">
        <v>186</v>
      </c>
      <c r="B9" s="216">
        <f>SUM(C9:G9)</f>
        <v>0</v>
      </c>
      <c r="C9" s="216"/>
      <c r="D9" s="216"/>
      <c r="E9" s="216"/>
      <c r="F9" s="216">
        <v>0</v>
      </c>
      <c r="G9" s="216">
        <v>0</v>
      </c>
      <c r="H9" s="23"/>
    </row>
    <row r="10" spans="1:9">
      <c r="A10" s="73" t="s">
        <v>187</v>
      </c>
      <c r="B10" s="216">
        <f>SUM(C10:G10)</f>
        <v>25552430.712409958</v>
      </c>
      <c r="C10" s="216">
        <f>C8+C9</f>
        <v>12395220.412851499</v>
      </c>
      <c r="D10" s="216">
        <f>D8+D9</f>
        <v>6268619.5106646102</v>
      </c>
      <c r="E10" s="216">
        <f>E8+E9</f>
        <v>6888590.7888938496</v>
      </c>
      <c r="F10" s="216">
        <v>0</v>
      </c>
      <c r="G10" s="216">
        <v>0</v>
      </c>
    </row>
    <row r="11" spans="1:9">
      <c r="A11" s="80"/>
      <c r="B11" s="80"/>
      <c r="C11" s="80"/>
      <c r="D11" s="80"/>
      <c r="E11" s="80"/>
      <c r="F11" s="80"/>
      <c r="G11" s="80"/>
      <c r="H11" s="6"/>
    </row>
    <row r="12" spans="1:9">
      <c r="A12" s="73" t="s">
        <v>188</v>
      </c>
      <c r="B12" s="216"/>
      <c r="C12" s="216"/>
      <c r="D12" s="216"/>
      <c r="E12" s="216"/>
      <c r="F12" s="216"/>
      <c r="G12" s="216"/>
      <c r="H12" s="6"/>
    </row>
    <row r="13" spans="1:9">
      <c r="A13" s="73" t="s">
        <v>72</v>
      </c>
      <c r="B13" s="218">
        <f t="shared" ref="B13:B18" si="0">SUM(C13:G13)</f>
        <v>1</v>
      </c>
      <c r="C13" s="218">
        <f>C10/C10</f>
        <v>1</v>
      </c>
      <c r="D13" s="218"/>
      <c r="E13" s="218"/>
      <c r="F13" s="218"/>
      <c r="G13" s="218"/>
      <c r="H13" s="6"/>
    </row>
    <row r="14" spans="1:9">
      <c r="A14" s="73" t="s">
        <v>113</v>
      </c>
      <c r="B14" s="172">
        <f t="shared" si="0"/>
        <v>1</v>
      </c>
      <c r="C14" s="172"/>
      <c r="D14" s="172">
        <f>D10/D10</f>
        <v>1</v>
      </c>
      <c r="E14" s="172"/>
      <c r="F14" s="172"/>
      <c r="G14" s="172"/>
      <c r="H14" s="6"/>
    </row>
    <row r="15" spans="1:9">
      <c r="A15" s="73" t="s">
        <v>7</v>
      </c>
      <c r="B15" s="172">
        <f t="shared" si="0"/>
        <v>1</v>
      </c>
      <c r="C15" s="172"/>
      <c r="D15" s="172"/>
      <c r="E15" s="172">
        <f>E10/E10</f>
        <v>1</v>
      </c>
      <c r="F15" s="172"/>
      <c r="G15" s="172"/>
      <c r="H15" s="6"/>
    </row>
    <row r="16" spans="1:9">
      <c r="A16" s="73" t="s">
        <v>132</v>
      </c>
      <c r="B16" s="172">
        <f t="shared" si="0"/>
        <v>1</v>
      </c>
      <c r="C16" s="172">
        <f>C10/$B10</f>
        <v>0.48508967903517519</v>
      </c>
      <c r="D16" s="172">
        <f>D10/$B10</f>
        <v>0.24532380426806721</v>
      </c>
      <c r="E16" s="172">
        <f>E10/$B10</f>
        <v>0.26958651669675765</v>
      </c>
      <c r="F16" s="172">
        <f>F10/$B10</f>
        <v>0</v>
      </c>
      <c r="G16" s="172">
        <f>G10/$B10</f>
        <v>0</v>
      </c>
      <c r="H16" s="6"/>
    </row>
    <row r="17" spans="1:9">
      <c r="A17" s="73" t="s">
        <v>130</v>
      </c>
      <c r="B17" s="172">
        <f t="shared" si="0"/>
        <v>1</v>
      </c>
      <c r="C17" s="172">
        <f>C10/(C10+D10)</f>
        <v>0.6641302359882405</v>
      </c>
      <c r="D17" s="172">
        <f>D10/(C10+D10)</f>
        <v>0.33586976401175944</v>
      </c>
      <c r="E17" s="172"/>
      <c r="F17" s="172"/>
      <c r="G17" s="172"/>
      <c r="H17" s="6"/>
    </row>
    <row r="18" spans="1:9" ht="13.5" thickBot="1">
      <c r="A18" s="73" t="s">
        <v>116</v>
      </c>
      <c r="B18" s="219">
        <f t="shared" si="0"/>
        <v>0.99999999999999989</v>
      </c>
      <c r="C18" s="219"/>
      <c r="D18" s="219">
        <f>D10/(D10+E10)</f>
        <v>0.47643986589429044</v>
      </c>
      <c r="E18" s="219">
        <f>E10/(D10+E10)</f>
        <v>0.52356013410570945</v>
      </c>
      <c r="F18" s="219"/>
      <c r="G18" s="219"/>
      <c r="H18" s="6"/>
    </row>
    <row r="19" spans="1:9" ht="13.5" thickTop="1">
      <c r="A19" s="80"/>
      <c r="B19" s="172"/>
      <c r="C19" s="172"/>
      <c r="D19" s="172"/>
      <c r="E19" s="150"/>
      <c r="F19" s="150"/>
      <c r="G19" s="150"/>
      <c r="H19" s="6"/>
    </row>
    <row r="20" spans="1:9">
      <c r="A20" s="80"/>
      <c r="B20" s="80"/>
      <c r="C20" s="80"/>
      <c r="D20" s="80"/>
      <c r="E20" s="150"/>
      <c r="F20" s="220"/>
      <c r="G20" s="150"/>
      <c r="H20" s="6"/>
    </row>
    <row r="21" spans="1:9">
      <c r="A21" s="70"/>
      <c r="B21" s="70"/>
      <c r="C21" s="63"/>
      <c r="D21" s="63"/>
      <c r="E21" s="63"/>
      <c r="F21" s="63"/>
      <c r="G21" s="150"/>
      <c r="H21" s="6"/>
    </row>
    <row r="22" spans="1:9">
      <c r="A22" s="70"/>
      <c r="B22" s="70"/>
      <c r="C22" s="70"/>
      <c r="D22" s="150"/>
      <c r="E22" s="150"/>
      <c r="F22" s="150"/>
      <c r="G22" s="150"/>
      <c r="H22" s="6"/>
    </row>
    <row r="23" spans="1:9">
      <c r="A23" s="73" t="s">
        <v>54</v>
      </c>
      <c r="B23" s="216">
        <f>SUM(C23:G23)</f>
        <v>307256719</v>
      </c>
      <c r="C23" s="216">
        <v>141761602</v>
      </c>
      <c r="D23" s="216">
        <v>26690861</v>
      </c>
      <c r="E23" s="216">
        <v>93682351</v>
      </c>
      <c r="F23" s="216">
        <f>38573572+6548333</f>
        <v>45121905</v>
      </c>
      <c r="G23" s="216">
        <v>0</v>
      </c>
      <c r="H23" s="47"/>
      <c r="I23" s="80"/>
    </row>
    <row r="24" spans="1:9">
      <c r="A24" s="80"/>
      <c r="B24" s="216"/>
      <c r="C24" s="216"/>
      <c r="D24" s="216"/>
      <c r="E24" s="216"/>
      <c r="F24" s="216"/>
      <c r="G24" s="216"/>
      <c r="H24" s="77"/>
    </row>
    <row r="25" spans="1:9" ht="13.5" thickBot="1">
      <c r="A25" s="80" t="s">
        <v>189</v>
      </c>
      <c r="B25" s="221">
        <f t="shared" ref="B25:G25" si="1">B23/$B23</f>
        <v>1</v>
      </c>
      <c r="C25" s="221">
        <f t="shared" si="1"/>
        <v>0.46137836289269235</v>
      </c>
      <c r="D25" s="221">
        <f t="shared" si="1"/>
        <v>8.6868274473763427E-2</v>
      </c>
      <c r="E25" s="221">
        <f t="shared" si="1"/>
        <v>0.30489927544920509</v>
      </c>
      <c r="F25" s="221">
        <f t="shared" si="1"/>
        <v>0.14685408718433918</v>
      </c>
      <c r="G25" s="221">
        <f t="shared" si="1"/>
        <v>0</v>
      </c>
      <c r="H25" s="78"/>
    </row>
    <row r="26" spans="1:9" ht="13.5" thickTop="1">
      <c r="A26" s="80"/>
      <c r="B26" s="216"/>
      <c r="C26" s="216"/>
      <c r="D26" s="216"/>
      <c r="E26" s="216"/>
      <c r="F26" s="216"/>
      <c r="G26" s="80"/>
      <c r="H26" s="79"/>
    </row>
    <row r="27" spans="1:9">
      <c r="A27" s="80"/>
      <c r="B27" s="80"/>
      <c r="C27" s="216"/>
      <c r="D27" s="216"/>
      <c r="E27" s="216"/>
      <c r="F27" s="216"/>
      <c r="G27" s="80"/>
      <c r="H27" s="79"/>
    </row>
    <row r="28" spans="1:9">
      <c r="A28" s="80"/>
      <c r="B28" s="216"/>
      <c r="C28" s="216"/>
      <c r="D28" s="216"/>
      <c r="E28" s="216"/>
      <c r="F28" s="216"/>
      <c r="G28" s="80"/>
      <c r="H28" s="79"/>
    </row>
    <row r="29" spans="1:9">
      <c r="A29" s="80"/>
      <c r="B29" s="216"/>
      <c r="C29" s="216"/>
      <c r="D29" s="216"/>
      <c r="E29" s="216"/>
      <c r="F29" s="216"/>
      <c r="G29" s="80"/>
      <c r="H29" s="79"/>
    </row>
    <row r="30" spans="1:9">
      <c r="A30" s="73" t="s">
        <v>190</v>
      </c>
      <c r="B30" s="216">
        <f>SUM(C30:G30)</f>
        <v>85232490</v>
      </c>
      <c r="C30" s="216">
        <v>73975748</v>
      </c>
      <c r="D30" s="216">
        <v>381386</v>
      </c>
      <c r="E30" s="216">
        <v>10875356</v>
      </c>
      <c r="F30" s="216">
        <v>0</v>
      </c>
      <c r="G30" s="216">
        <v>0</v>
      </c>
      <c r="H30" s="47"/>
      <c r="I30" s="80"/>
    </row>
    <row r="31" spans="1:9">
      <c r="A31" s="80"/>
      <c r="B31" s="216"/>
      <c r="C31" s="216"/>
      <c r="D31" s="216"/>
      <c r="E31" s="216"/>
      <c r="F31" s="216"/>
      <c r="G31" s="216"/>
      <c r="H31" s="77"/>
    </row>
    <row r="32" spans="1:9" ht="13.5" thickBot="1">
      <c r="A32" s="80" t="s">
        <v>191</v>
      </c>
      <c r="B32" s="221">
        <f t="shared" ref="B32:G32" si="2">B30/$B30</f>
        <v>1</v>
      </c>
      <c r="C32" s="221">
        <f t="shared" si="2"/>
        <v>0.86792897872630492</v>
      </c>
      <c r="D32" s="221">
        <f t="shared" si="2"/>
        <v>4.474655146177238E-3</v>
      </c>
      <c r="E32" s="221">
        <f t="shared" si="2"/>
        <v>0.12759636612751779</v>
      </c>
      <c r="F32" s="221">
        <f t="shared" si="2"/>
        <v>0</v>
      </c>
      <c r="G32" s="221">
        <f t="shared" si="2"/>
        <v>0</v>
      </c>
      <c r="H32" s="78"/>
    </row>
    <row r="33" spans="1:9" ht="13.5" thickTop="1">
      <c r="A33" s="80"/>
      <c r="B33" s="216"/>
      <c r="C33" s="216"/>
      <c r="D33" s="216"/>
      <c r="E33" s="216"/>
      <c r="F33" s="216"/>
      <c r="G33" s="80"/>
      <c r="H33" s="78"/>
    </row>
    <row r="34" spans="1:9">
      <c r="A34" s="80"/>
      <c r="B34" s="80"/>
      <c r="C34" s="216"/>
      <c r="D34" s="216"/>
      <c r="E34" s="216"/>
      <c r="F34" s="216"/>
      <c r="G34" s="80"/>
      <c r="H34" s="79"/>
    </row>
    <row r="35" spans="1:9">
      <c r="A35" s="80"/>
      <c r="B35" s="216"/>
      <c r="C35" s="216"/>
      <c r="D35" s="216"/>
      <c r="E35" s="216"/>
      <c r="F35" s="216"/>
      <c r="G35" s="80"/>
      <c r="H35" s="79"/>
    </row>
    <row r="36" spans="1:9">
      <c r="A36" s="80"/>
      <c r="B36" s="216"/>
      <c r="C36" s="216"/>
      <c r="D36" s="216"/>
      <c r="E36" s="216"/>
      <c r="F36" s="216"/>
      <c r="G36" s="80"/>
      <c r="H36" s="79"/>
    </row>
    <row r="37" spans="1:9">
      <c r="A37" s="73" t="s">
        <v>192</v>
      </c>
      <c r="B37" s="216">
        <v>32352108</v>
      </c>
      <c r="C37" s="216">
        <f>B37-D37</f>
        <v>16304361</v>
      </c>
      <c r="D37" s="216">
        <v>16047747</v>
      </c>
      <c r="E37" s="216">
        <v>0</v>
      </c>
      <c r="F37" s="216">
        <v>0</v>
      </c>
      <c r="G37" s="216">
        <v>0</v>
      </c>
      <c r="H37" s="47"/>
      <c r="I37" s="80"/>
    </row>
    <row r="38" spans="1:9">
      <c r="A38" s="80"/>
      <c r="B38" s="216"/>
      <c r="C38" s="216"/>
      <c r="D38" s="216"/>
      <c r="E38" s="216"/>
      <c r="F38" s="216"/>
      <c r="G38" s="216"/>
      <c r="H38" s="77"/>
    </row>
    <row r="39" spans="1:9" ht="13.5" thickBot="1">
      <c r="A39" s="80" t="s">
        <v>193</v>
      </c>
      <c r="B39" s="221">
        <f t="shared" ref="B39:G39" si="3">B37/$B37</f>
        <v>1</v>
      </c>
      <c r="C39" s="221">
        <f>C37/$B37</f>
        <v>0.5039659548614267</v>
      </c>
      <c r="D39" s="221">
        <f>D37/$B37</f>
        <v>0.49603404513857335</v>
      </c>
      <c r="E39" s="221">
        <f t="shared" si="3"/>
        <v>0</v>
      </c>
      <c r="F39" s="221">
        <f t="shared" si="3"/>
        <v>0</v>
      </c>
      <c r="G39" s="221">
        <f t="shared" si="3"/>
        <v>0</v>
      </c>
      <c r="H39" s="18"/>
    </row>
    <row r="40" spans="1:9" ht="13.5" thickTop="1">
      <c r="B40" s="74"/>
      <c r="C40" s="74"/>
      <c r="D40" s="74"/>
      <c r="E40" s="74"/>
      <c r="F40" s="74"/>
    </row>
    <row r="41" spans="1:9">
      <c r="C41" s="74"/>
      <c r="D41" s="74"/>
      <c r="E41" s="74"/>
      <c r="F41" s="74"/>
    </row>
    <row r="42" spans="1:9">
      <c r="B42" s="74"/>
      <c r="C42" s="74"/>
      <c r="D42" s="74"/>
      <c r="E42" s="74"/>
      <c r="F42" s="74"/>
    </row>
    <row r="43" spans="1:9">
      <c r="B43" s="81"/>
      <c r="E43" s="82"/>
    </row>
    <row r="44" spans="1:9">
      <c r="B44" s="81"/>
      <c r="E44" s="82"/>
    </row>
    <row r="45" spans="1:9">
      <c r="B45" s="81"/>
      <c r="C45" s="83"/>
      <c r="E45" s="82"/>
    </row>
    <row r="46" spans="1:9">
      <c r="B46" s="81"/>
      <c r="E46" s="82"/>
    </row>
    <row r="47" spans="1:9">
      <c r="E47" s="82"/>
    </row>
    <row r="48" spans="1:9">
      <c r="E48" s="82"/>
    </row>
    <row r="49" spans="2:6">
      <c r="E49" s="82"/>
    </row>
    <row r="50" spans="2:6">
      <c r="E50" s="82"/>
    </row>
    <row r="51" spans="2:6">
      <c r="E51" s="82"/>
    </row>
    <row r="52" spans="2:6">
      <c r="E52" s="82"/>
    </row>
    <row r="53" spans="2:6">
      <c r="E53" s="82"/>
    </row>
    <row r="54" spans="2:6">
      <c r="E54" s="82"/>
    </row>
    <row r="55" spans="2:6">
      <c r="B55" s="84"/>
      <c r="C55" s="84"/>
      <c r="D55" s="84"/>
      <c r="E55" s="82"/>
    </row>
    <row r="56" spans="2:6">
      <c r="B56" s="84"/>
      <c r="C56" s="84"/>
      <c r="D56" s="84"/>
      <c r="E56" s="82"/>
    </row>
    <row r="57" spans="2:6">
      <c r="B57" s="85"/>
      <c r="C57" s="86"/>
      <c r="D57" s="87"/>
      <c r="E57" s="82"/>
    </row>
    <row r="58" spans="2:6">
      <c r="B58" s="84"/>
      <c r="C58" s="88"/>
      <c r="D58" s="88"/>
      <c r="E58" s="82"/>
    </row>
    <row r="59" spans="2:6">
      <c r="B59" s="89"/>
      <c r="C59" s="90"/>
      <c r="D59" s="90"/>
      <c r="E59" s="82"/>
    </row>
    <row r="60" spans="2:6">
      <c r="B60" s="89"/>
      <c r="C60" s="90"/>
      <c r="D60" s="90"/>
      <c r="E60" s="82"/>
    </row>
    <row r="61" spans="2:6">
      <c r="B61" s="89"/>
      <c r="C61" s="90"/>
      <c r="D61" s="90"/>
      <c r="E61" s="82"/>
    </row>
    <row r="62" spans="2:6">
      <c r="B62" s="89"/>
      <c r="C62" s="90"/>
      <c r="D62" s="90"/>
      <c r="E62" s="82"/>
    </row>
    <row r="63" spans="2:6">
      <c r="B63" s="89"/>
      <c r="C63" s="90"/>
      <c r="D63" s="90"/>
      <c r="E63" s="84"/>
      <c r="F63" s="84"/>
    </row>
    <row r="64" spans="2:6">
      <c r="B64" s="89"/>
      <c r="C64" s="91"/>
      <c r="D64" s="91"/>
      <c r="E64" s="84"/>
      <c r="F64" s="84"/>
    </row>
    <row r="65" spans="2:6">
      <c r="B65" s="89"/>
      <c r="C65" s="90"/>
      <c r="D65" s="90"/>
      <c r="E65" s="84"/>
      <c r="F65" s="84"/>
    </row>
    <row r="66" spans="2:6">
      <c r="B66" s="89"/>
      <c r="C66" s="90"/>
      <c r="D66" s="90"/>
      <c r="E66" s="84"/>
      <c r="F66" s="84"/>
    </row>
    <row r="67" spans="2:6">
      <c r="B67" s="89"/>
      <c r="C67" s="90"/>
      <c r="D67" s="90"/>
      <c r="E67" s="84"/>
      <c r="F67" s="84"/>
    </row>
    <row r="68" spans="2:6">
      <c r="B68" s="89"/>
      <c r="C68" s="90"/>
      <c r="D68" s="90"/>
      <c r="E68" s="84"/>
      <c r="F68" s="84"/>
    </row>
    <row r="69" spans="2:6">
      <c r="B69" s="89"/>
      <c r="C69" s="90"/>
      <c r="D69" s="90"/>
      <c r="E69" s="84"/>
      <c r="F69" s="84"/>
    </row>
    <row r="70" spans="2:6">
      <c r="B70" s="89"/>
      <c r="C70" s="90"/>
      <c r="D70" s="90"/>
      <c r="E70" s="84"/>
      <c r="F70" s="84"/>
    </row>
    <row r="71" spans="2:6">
      <c r="B71" s="84"/>
      <c r="C71" s="92"/>
      <c r="D71" s="92"/>
      <c r="E71" s="84"/>
      <c r="F71" s="84"/>
    </row>
    <row r="72" spans="2:6">
      <c r="B72" s="84"/>
      <c r="C72" s="84"/>
      <c r="D72" s="84"/>
      <c r="E72" s="84"/>
      <c r="F72" s="84"/>
    </row>
  </sheetData>
  <printOptions horizontalCentered="1"/>
  <pageMargins left="0.5" right="0.5" top="0.5" bottom="0.65" header="0.4" footer="0.2"/>
  <pageSetup scale="82" orientation="landscape" r:id="rId1"/>
  <headerFooter alignWithMargins="0">
    <oddFooter>&amp;LExhibit RMP_____(CCP-3)&amp;R&amp;F&amp;CTab 3 - Page 16 of 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32"/>
  <sheetViews>
    <sheetView zoomScale="90" workbookViewId="0"/>
  </sheetViews>
  <sheetFormatPr defaultRowHeight="12.75"/>
  <cols>
    <col min="1" max="1" width="18" style="24" bestFit="1" customWidth="1"/>
    <col min="2" max="7" width="15.7109375" style="24" customWidth="1"/>
    <col min="8" max="8" width="8.85546875" style="24" bestFit="1" customWidth="1"/>
    <col min="9" max="9" width="35.7109375" style="24" bestFit="1" customWidth="1"/>
    <col min="10" max="11" width="9.140625" style="24"/>
    <col min="12" max="12" width="14.7109375" style="24" customWidth="1"/>
    <col min="13" max="16384" width="9.140625" style="24"/>
  </cols>
  <sheetData>
    <row r="1" spans="1:12" ht="15.75" customHeight="1">
      <c r="A1" s="93" t="str">
        <f>+'TOTAL FUNCFAC'!$A$1</f>
        <v>PacifiCorp</v>
      </c>
      <c r="B1" s="93"/>
      <c r="C1" s="93"/>
      <c r="D1" s="93"/>
      <c r="E1" s="93"/>
      <c r="F1" s="93"/>
      <c r="G1" s="93"/>
    </row>
    <row r="2" spans="1:12" ht="15.75" customHeight="1">
      <c r="A2" s="93" t="str">
        <f>+'TOTAL FUNCFAC'!A2</f>
        <v>12 Months Ended December 2018</v>
      </c>
      <c r="B2" s="93"/>
      <c r="C2" s="93"/>
      <c r="D2" s="93"/>
      <c r="E2" s="93"/>
      <c r="F2" s="93"/>
      <c r="G2" s="93"/>
    </row>
    <row r="3" spans="1:12" ht="15.75" customHeight="1">
      <c r="A3" s="93" t="s">
        <v>194</v>
      </c>
      <c r="B3" s="93"/>
      <c r="C3" s="93"/>
      <c r="D3" s="93"/>
      <c r="E3" s="93"/>
      <c r="F3" s="93"/>
      <c r="G3" s="93"/>
    </row>
    <row r="4" spans="1:12">
      <c r="A4" s="212"/>
      <c r="B4" s="94"/>
      <c r="C4" s="80"/>
      <c r="D4" s="80"/>
      <c r="E4" s="80"/>
      <c r="F4" s="80"/>
      <c r="G4" s="80"/>
      <c r="L4" s="76"/>
    </row>
    <row r="5" spans="1:12">
      <c r="A5" s="80"/>
      <c r="B5" s="80"/>
      <c r="C5" s="80"/>
      <c r="D5" s="80"/>
      <c r="E5" s="80"/>
      <c r="F5" s="80"/>
      <c r="G5" s="80"/>
      <c r="H5" s="35"/>
      <c r="L5" s="76"/>
    </row>
    <row r="6" spans="1:12">
      <c r="A6" s="95" t="s">
        <v>3</v>
      </c>
      <c r="B6" s="96" t="s">
        <v>159</v>
      </c>
      <c r="C6" s="96" t="s">
        <v>5</v>
      </c>
      <c r="D6" s="96" t="s">
        <v>6</v>
      </c>
      <c r="E6" s="96" t="s">
        <v>7</v>
      </c>
      <c r="F6" s="96" t="s">
        <v>8</v>
      </c>
      <c r="G6" s="96" t="s">
        <v>9</v>
      </c>
      <c r="H6" s="97"/>
      <c r="L6" s="76"/>
    </row>
    <row r="7" spans="1:12">
      <c r="A7" s="143" t="s">
        <v>8</v>
      </c>
      <c r="B7" s="224">
        <v>1171.1166499999999</v>
      </c>
      <c r="C7" s="132">
        <f>VLOOKUP($A7,$A$16:$G$22,3,FALSE)*$B7</f>
        <v>0</v>
      </c>
      <c r="D7" s="132">
        <f>VLOOKUP($A7,$A$16:$G$22,4,FALSE)*$B7</f>
        <v>0</v>
      </c>
      <c r="E7" s="132">
        <f>VLOOKUP($A7,$A$16:$G$22,5,FALSE)*$B7</f>
        <v>0</v>
      </c>
      <c r="F7" s="132">
        <f>VLOOKUP($A7,$A$16:$G$22,6,FALSE)*$B7</f>
        <v>1171.1166499999999</v>
      </c>
      <c r="G7" s="132">
        <f>VLOOKUP($A7,$A$16:$G$22,7,FALSE)*$B7</f>
        <v>0</v>
      </c>
      <c r="H7" s="47"/>
      <c r="I7" s="63"/>
    </row>
    <row r="8" spans="1:12">
      <c r="A8" s="143" t="s">
        <v>7</v>
      </c>
      <c r="B8" s="224">
        <v>154815.62969</v>
      </c>
      <c r="C8" s="132">
        <f>VLOOKUP($A8,$A$16:$G$22,3,FALSE)*$B8</f>
        <v>0</v>
      </c>
      <c r="D8" s="132">
        <f>VLOOKUP($A8,$A$16:$G$22,4,FALSE)*$B8</f>
        <v>0</v>
      </c>
      <c r="E8" s="132">
        <f>VLOOKUP($A8,$A$16:$G$22,5,FALSE)*$B8</f>
        <v>154815.62969</v>
      </c>
      <c r="F8" s="132">
        <f>VLOOKUP($A8,$A$16:$G$22,6,FALSE)*$B8</f>
        <v>0</v>
      </c>
      <c r="G8" s="132">
        <f>VLOOKUP($A8,$A$16:$G$22,7,FALSE)*$B8</f>
        <v>0</v>
      </c>
      <c r="H8" s="47"/>
      <c r="I8" s="63"/>
    </row>
    <row r="9" spans="1:12">
      <c r="A9" s="143" t="s">
        <v>72</v>
      </c>
      <c r="B9" s="224">
        <v>412806.96310999995</v>
      </c>
      <c r="C9" s="132">
        <f>VLOOKUP($A9,$A$16:$G$22,3,FALSE)*$B9</f>
        <v>412806.96310999995</v>
      </c>
      <c r="D9" s="132">
        <f>VLOOKUP($A9,$A$16:$G$22,4,FALSE)*$B9</f>
        <v>0</v>
      </c>
      <c r="E9" s="132">
        <f>VLOOKUP($A9,$A$16:$G$22,5,FALSE)*$B9</f>
        <v>0</v>
      </c>
      <c r="F9" s="132">
        <f>VLOOKUP($A9,$A$16:$G$22,6,FALSE)*$B9</f>
        <v>0</v>
      </c>
      <c r="G9" s="132">
        <f>VLOOKUP($A9,$A$16:$G$22,7,FALSE)*$B9</f>
        <v>0</v>
      </c>
      <c r="H9" s="47"/>
      <c r="I9" s="63"/>
    </row>
    <row r="10" spans="1:12">
      <c r="A10" s="143" t="s">
        <v>132</v>
      </c>
      <c r="B10" s="224">
        <v>15332.19492</v>
      </c>
      <c r="C10" s="132">
        <f>VLOOKUP($A10,$A$16:$G$22,3,FALSE)*$B10</f>
        <v>7437.489512647544</v>
      </c>
      <c r="D10" s="132">
        <f>VLOOKUP($A10,$A$16:$G$22,4,FALSE)*$B10</f>
        <v>3761.3523855539343</v>
      </c>
      <c r="E10" s="132">
        <f>VLOOKUP($A10,$A$16:$G$22,5,FALSE)*$B10</f>
        <v>4133.3530217985226</v>
      </c>
      <c r="F10" s="132">
        <f>VLOOKUP($A10,$A$16:$G$22,6,FALSE)*$B10</f>
        <v>0</v>
      </c>
      <c r="G10" s="132">
        <f>VLOOKUP($A10,$A$16:$G$22,7,FALSE)*$B10</f>
        <v>0</v>
      </c>
      <c r="H10" s="47"/>
      <c r="I10" s="63"/>
    </row>
    <row r="11" spans="1:12">
      <c r="A11" s="143" t="s">
        <v>113</v>
      </c>
      <c r="B11" s="224">
        <v>109403.63788000001</v>
      </c>
      <c r="C11" s="132">
        <f>VLOOKUP($A11,$A$16:$G$22,3,FALSE)*$B11</f>
        <v>0</v>
      </c>
      <c r="D11" s="132">
        <f>VLOOKUP($A11,$A$16:$G$22,4,FALSE)*$B11</f>
        <v>109403.63788000001</v>
      </c>
      <c r="E11" s="132">
        <f>VLOOKUP($A11,$A$16:$G$22,5,FALSE)*$B11</f>
        <v>0</v>
      </c>
      <c r="F11" s="132">
        <f>VLOOKUP($A11,$A$16:$G$22,6,FALSE)*$B11</f>
        <v>0</v>
      </c>
      <c r="G11" s="132">
        <f>VLOOKUP($A11,$A$16:$G$22,7,FALSE)*$B11</f>
        <v>0</v>
      </c>
      <c r="H11" s="47"/>
      <c r="I11" s="63"/>
    </row>
    <row r="12" spans="1:12">
      <c r="A12" s="98" t="s">
        <v>14</v>
      </c>
      <c r="B12" s="132">
        <f t="shared" ref="B12:G12" si="0">SUM(B7:B11)</f>
        <v>693529.54225000006</v>
      </c>
      <c r="C12" s="132">
        <f t="shared" si="0"/>
        <v>420244.45262264751</v>
      </c>
      <c r="D12" s="132">
        <f t="shared" si="0"/>
        <v>113164.99026555395</v>
      </c>
      <c r="E12" s="132">
        <f t="shared" si="0"/>
        <v>158948.98271179851</v>
      </c>
      <c r="F12" s="132">
        <f t="shared" si="0"/>
        <v>1171.1166499999999</v>
      </c>
      <c r="G12" s="132">
        <f t="shared" si="0"/>
        <v>0</v>
      </c>
      <c r="H12" s="99"/>
    </row>
    <row r="13" spans="1:12" s="84" customFormat="1">
      <c r="A13" s="98" t="s">
        <v>195</v>
      </c>
      <c r="B13" s="222">
        <f t="shared" ref="B13:G13" si="1">B12/$B12</f>
        <v>1</v>
      </c>
      <c r="C13" s="223">
        <f t="shared" si="1"/>
        <v>0.60595032658487658</v>
      </c>
      <c r="D13" s="223">
        <f t="shared" si="1"/>
        <v>0.1631725591651304</v>
      </c>
      <c r="E13" s="223">
        <f t="shared" si="1"/>
        <v>0.22918848156939994</v>
      </c>
      <c r="F13" s="223">
        <f t="shared" si="1"/>
        <v>1.6886326805929223E-3</v>
      </c>
      <c r="G13" s="223">
        <f t="shared" si="1"/>
        <v>0</v>
      </c>
    </row>
    <row r="14" spans="1:12" s="84" customFormat="1">
      <c r="A14" s="143"/>
      <c r="B14" s="133"/>
      <c r="C14" s="133"/>
      <c r="D14" s="133"/>
      <c r="E14" s="133"/>
      <c r="F14" s="133"/>
      <c r="G14" s="133"/>
    </row>
    <row r="15" spans="1:12">
      <c r="A15" s="80"/>
      <c r="B15" s="179"/>
      <c r="C15" s="80"/>
      <c r="D15" s="80"/>
      <c r="E15" s="80"/>
      <c r="F15" s="80"/>
      <c r="G15" s="80"/>
    </row>
    <row r="16" spans="1:12">
      <c r="A16" s="80" t="s">
        <v>72</v>
      </c>
      <c r="B16" s="172">
        <f>'FORM 1'!$B$13</f>
        <v>1</v>
      </c>
      <c r="C16" s="172">
        <f>'FORM 1'!$C$13</f>
        <v>1</v>
      </c>
      <c r="D16" s="172">
        <f>'FORM 1'!$D$13</f>
        <v>0</v>
      </c>
      <c r="E16" s="172">
        <f>'FORM 1'!$E$13</f>
        <v>0</v>
      </c>
      <c r="F16" s="172">
        <f>'FORM 1'!$F$13</f>
        <v>0</v>
      </c>
      <c r="G16" s="172">
        <f>'FORM 1'!$G$13</f>
        <v>0</v>
      </c>
    </row>
    <row r="17" spans="1:7">
      <c r="A17" s="80" t="s">
        <v>113</v>
      </c>
      <c r="B17" s="172">
        <f>'FORM 1'!$B$14</f>
        <v>1</v>
      </c>
      <c r="C17" s="172">
        <f>'FORM 1'!$C$14</f>
        <v>0</v>
      </c>
      <c r="D17" s="172">
        <f>'FORM 1'!$D$14</f>
        <v>1</v>
      </c>
      <c r="E17" s="172">
        <f>'FORM 1'!$E$14</f>
        <v>0</v>
      </c>
      <c r="F17" s="172">
        <f>'FORM 1'!$F$14</f>
        <v>0</v>
      </c>
      <c r="G17" s="172">
        <f>'FORM 1'!$G$14</f>
        <v>0</v>
      </c>
    </row>
    <row r="18" spans="1:7">
      <c r="A18" s="80" t="s">
        <v>7</v>
      </c>
      <c r="B18" s="172">
        <f>'FORM 1'!$B$15</f>
        <v>1</v>
      </c>
      <c r="C18" s="172">
        <f>'FORM 1'!$C$15</f>
        <v>0</v>
      </c>
      <c r="D18" s="172">
        <f>'FORM 1'!$D$15</f>
        <v>0</v>
      </c>
      <c r="E18" s="172">
        <f>'FORM 1'!$E$15</f>
        <v>1</v>
      </c>
      <c r="F18" s="172">
        <f>'FORM 1'!$F$15</f>
        <v>0</v>
      </c>
      <c r="G18" s="172">
        <f>'FORM 1'!$G$15</f>
        <v>0</v>
      </c>
    </row>
    <row r="19" spans="1:7">
      <c r="A19" s="80" t="s">
        <v>8</v>
      </c>
      <c r="B19" s="172">
        <f>'FORM 1'!$B$15</f>
        <v>1</v>
      </c>
      <c r="C19" s="172">
        <v>0</v>
      </c>
      <c r="D19" s="172">
        <v>0</v>
      </c>
      <c r="E19" s="172">
        <v>0</v>
      </c>
      <c r="F19" s="172">
        <v>1</v>
      </c>
      <c r="G19" s="172">
        <v>0</v>
      </c>
    </row>
    <row r="20" spans="1:7">
      <c r="A20" s="80" t="s">
        <v>132</v>
      </c>
      <c r="B20" s="172">
        <f>'FORM 1'!$B$16</f>
        <v>1</v>
      </c>
      <c r="C20" s="172">
        <f>'FORM 1'!$C$16</f>
        <v>0.48508967903517519</v>
      </c>
      <c r="D20" s="172">
        <f>'FORM 1'!$D$16</f>
        <v>0.24532380426806721</v>
      </c>
      <c r="E20" s="172">
        <f>'FORM 1'!$E$16</f>
        <v>0.26958651669675765</v>
      </c>
      <c r="F20" s="172">
        <f>'FORM 1'!$F$16</f>
        <v>0</v>
      </c>
      <c r="G20" s="172">
        <f>'FORM 1'!$G$16</f>
        <v>0</v>
      </c>
    </row>
    <row r="21" spans="1:7">
      <c r="A21" s="80" t="s">
        <v>116</v>
      </c>
      <c r="B21" s="172">
        <f>'FORM 1'!$B$18</f>
        <v>0.99999999999999989</v>
      </c>
      <c r="C21" s="172">
        <f>'FORM 1'!$C$18</f>
        <v>0</v>
      </c>
      <c r="D21" s="172">
        <f>'FORM 1'!$D$18</f>
        <v>0.47643986589429044</v>
      </c>
      <c r="E21" s="172">
        <f>'FORM 1'!$E$18</f>
        <v>0.52356013410570945</v>
      </c>
      <c r="F21" s="172">
        <f>'FORM 1'!$F$18</f>
        <v>0</v>
      </c>
      <c r="G21" s="172">
        <f>'FORM 1'!$G$18</f>
        <v>0</v>
      </c>
    </row>
    <row r="22" spans="1:7">
      <c r="A22" s="80" t="s">
        <v>32</v>
      </c>
      <c r="B22" s="172">
        <f>GP!$D$38</f>
        <v>0.99999999999999989</v>
      </c>
      <c r="C22" s="172">
        <f>GP!$E$38</f>
        <v>0.21492690791323191</v>
      </c>
      <c r="D22" s="172">
        <f>GP!$F$38</f>
        <v>0.35216015843264681</v>
      </c>
      <c r="E22" s="172">
        <f>GP!$G$38</f>
        <v>0.41790387541605289</v>
      </c>
      <c r="F22" s="172">
        <f>GP!$H$38</f>
        <v>1.5009058238068314E-2</v>
      </c>
      <c r="G22" s="172">
        <f>GP!$I$38</f>
        <v>0</v>
      </c>
    </row>
    <row r="25" spans="1:7">
      <c r="B25" s="76"/>
    </row>
    <row r="27" spans="1:7">
      <c r="B27" s="99"/>
    </row>
    <row r="28" spans="1:7">
      <c r="B28" s="99"/>
    </row>
    <row r="30" spans="1:7">
      <c r="B30" s="100"/>
    </row>
    <row r="31" spans="1:7">
      <c r="B31" s="76"/>
    </row>
    <row r="32" spans="1:7">
      <c r="B32" s="99"/>
    </row>
  </sheetData>
  <printOptions horizontalCentered="1"/>
  <pageMargins left="0.5" right="0.5" top="0.5" bottom="0.65" header="0.4" footer="0.2"/>
  <pageSetup orientation="landscape" r:id="rId1"/>
  <headerFooter alignWithMargins="0">
    <oddFooter>&amp;LExhibit RMP_____(CCP-3)&amp;R&amp;F&amp;CTab 3 - Page  8 of 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44"/>
  <sheetViews>
    <sheetView zoomScale="90" workbookViewId="0"/>
  </sheetViews>
  <sheetFormatPr defaultRowHeight="12.75"/>
  <cols>
    <col min="1" max="3" width="9.140625" style="24"/>
    <col min="4" max="4" width="16.7109375" style="24" customWidth="1"/>
    <col min="5" max="5" width="17.5703125" style="24" customWidth="1"/>
    <col min="6" max="6" width="14.7109375" style="24" customWidth="1"/>
    <col min="7" max="9" width="16.7109375" style="24" customWidth="1"/>
    <col min="10" max="10" width="8.85546875" style="24" bestFit="1" customWidth="1"/>
    <col min="11" max="11" width="37.28515625" style="24" bestFit="1" customWidth="1"/>
    <col min="12" max="16384" width="9.140625" style="24"/>
  </cols>
  <sheetData>
    <row r="1" spans="1:11">
      <c r="A1" s="70" t="str">
        <f>+'TOTAL FUNCFAC'!A1</f>
        <v>PacifiCorp</v>
      </c>
      <c r="B1" s="150"/>
      <c r="C1" s="150"/>
      <c r="D1" s="150"/>
      <c r="E1" s="150"/>
      <c r="F1" s="150"/>
      <c r="G1" s="150"/>
      <c r="H1" s="150"/>
      <c r="I1" s="150"/>
    </row>
    <row r="2" spans="1:11">
      <c r="A2" s="70" t="str">
        <f>+'TOTAL FUNCFAC'!A2:A2</f>
        <v>12 Months Ended December 2018</v>
      </c>
      <c r="B2" s="70"/>
      <c r="C2" s="70"/>
      <c r="D2" s="70"/>
      <c r="E2" s="70"/>
      <c r="F2" s="70"/>
      <c r="G2" s="70"/>
      <c r="H2" s="70"/>
      <c r="I2" s="70"/>
    </row>
    <row r="3" spans="1:11">
      <c r="A3" s="70" t="s">
        <v>196</v>
      </c>
      <c r="B3" s="70"/>
      <c r="C3" s="70"/>
      <c r="D3" s="70"/>
      <c r="E3" s="70"/>
      <c r="F3" s="70"/>
      <c r="G3" s="70"/>
      <c r="H3" s="70"/>
      <c r="I3" s="70"/>
    </row>
    <row r="4" spans="1:11">
      <c r="A4" s="80"/>
      <c r="B4" s="80"/>
      <c r="C4" s="80"/>
      <c r="D4" s="212"/>
      <c r="E4" s="80"/>
      <c r="F4" s="80"/>
      <c r="G4" s="80"/>
      <c r="H4" s="80"/>
      <c r="I4" s="80"/>
    </row>
    <row r="5" spans="1:11">
      <c r="A5" s="80" t="s">
        <v>197</v>
      </c>
      <c r="B5" s="80"/>
      <c r="C5" s="80"/>
      <c r="D5" s="80"/>
      <c r="E5" s="80"/>
      <c r="F5" s="80"/>
      <c r="G5" s="80"/>
      <c r="H5" s="80"/>
      <c r="I5" s="80"/>
      <c r="J5" s="35"/>
    </row>
    <row r="6" spans="1:11">
      <c r="A6" s="161" t="s">
        <v>198</v>
      </c>
      <c r="B6" s="161" t="s">
        <v>157</v>
      </c>
      <c r="C6" s="161" t="s">
        <v>3</v>
      </c>
      <c r="D6" s="225" t="s">
        <v>159</v>
      </c>
      <c r="E6" s="225" t="s">
        <v>5</v>
      </c>
      <c r="F6" s="225" t="s">
        <v>6</v>
      </c>
      <c r="G6" s="225" t="s">
        <v>7</v>
      </c>
      <c r="H6" s="225" t="s">
        <v>199</v>
      </c>
      <c r="I6" s="225" t="s">
        <v>9</v>
      </c>
      <c r="J6" s="97"/>
    </row>
    <row r="7" spans="1:11">
      <c r="A7" s="80" t="s">
        <v>200</v>
      </c>
      <c r="B7" s="80" t="s">
        <v>201</v>
      </c>
      <c r="C7" s="80" t="s">
        <v>72</v>
      </c>
      <c r="D7" s="226">
        <v>-9505.20651</v>
      </c>
      <c r="E7" s="101">
        <f>$D7*VLOOKUP(+$C7,$C$31:$I37,3,FALSE)</f>
        <v>-9505.20651</v>
      </c>
      <c r="F7" s="101">
        <f>$D7*VLOOKUP(+$C7,$C$31:$I37,4,FALSE)</f>
        <v>0</v>
      </c>
      <c r="G7" s="101">
        <f>$D7*VLOOKUP(+$C7,$C$31:$I37,5,FALSE)</f>
        <v>0</v>
      </c>
      <c r="H7" s="101">
        <f>$D7*VLOOKUP(+$C7,$C$31:$I37,6,FALSE)</f>
        <v>0</v>
      </c>
      <c r="I7" s="101">
        <f>$D7*VLOOKUP(+$C7,$C$31:$I37,7,FALSE)</f>
        <v>0</v>
      </c>
      <c r="J7" s="47"/>
      <c r="K7" s="63"/>
    </row>
    <row r="8" spans="1:11">
      <c r="A8" s="80" t="s">
        <v>200</v>
      </c>
      <c r="B8" s="80" t="s">
        <v>201</v>
      </c>
      <c r="C8" s="80" t="s">
        <v>113</v>
      </c>
      <c r="D8" s="226">
        <v>0</v>
      </c>
      <c r="E8" s="101">
        <f>$D8*VLOOKUP(+$C8,$C$31:$I38,3,FALSE)</f>
        <v>0</v>
      </c>
      <c r="F8" s="101">
        <f>$D8*VLOOKUP(+$C8,$C$31:$I38,4,FALSE)</f>
        <v>0</v>
      </c>
      <c r="G8" s="101">
        <f>$D8*VLOOKUP(+$C8,$C$31:$I38,5,FALSE)</f>
        <v>0</v>
      </c>
      <c r="H8" s="101">
        <f>$D8*VLOOKUP(+$C8,$C$31:$I38,6,FALSE)</f>
        <v>0</v>
      </c>
      <c r="I8" s="101">
        <f>$D8*VLOOKUP(+$C8,$C$31:$I38,7,FALSE)</f>
        <v>0</v>
      </c>
      <c r="J8" s="47"/>
      <c r="K8" s="63"/>
    </row>
    <row r="9" spans="1:11">
      <c r="A9" s="80" t="s">
        <v>200</v>
      </c>
      <c r="B9" s="80" t="s">
        <v>166</v>
      </c>
      <c r="C9" s="80" t="s">
        <v>72</v>
      </c>
      <c r="D9" s="226">
        <v>0</v>
      </c>
      <c r="E9" s="101">
        <f>$D9*VLOOKUP(+$C9,$C$31:$I38,3,FALSE)</f>
        <v>0</v>
      </c>
      <c r="F9" s="101">
        <f>$D9*VLOOKUP(+$C9,$C$31:$I38,4,FALSE)</f>
        <v>0</v>
      </c>
      <c r="G9" s="101">
        <f>$D9*VLOOKUP(+$C9,$C$31:$I38,5,FALSE)</f>
        <v>0</v>
      </c>
      <c r="H9" s="101">
        <f>$D9*VLOOKUP(+$C9,$C$31:$I38,6,FALSE)</f>
        <v>0</v>
      </c>
      <c r="I9" s="101">
        <f>$D9*VLOOKUP(+$C9,$C$31:$I38,7,FALSE)</f>
        <v>0</v>
      </c>
      <c r="J9" s="47"/>
      <c r="K9" s="63"/>
    </row>
    <row r="10" spans="1:11">
      <c r="A10" s="80" t="s">
        <v>200</v>
      </c>
      <c r="B10" s="80" t="s">
        <v>166</v>
      </c>
      <c r="C10" s="80" t="s">
        <v>113</v>
      </c>
      <c r="D10" s="226">
        <v>-15736.143590000001</v>
      </c>
      <c r="E10" s="101">
        <f>$D10*VLOOKUP(+$C10,$C$31:$I39,3,FALSE)</f>
        <v>0</v>
      </c>
      <c r="F10" s="101">
        <f>$D10*VLOOKUP(+$C10,$C$31:$I39,4,FALSE)</f>
        <v>-15736.143590000001</v>
      </c>
      <c r="G10" s="101">
        <f>$D10*VLOOKUP(+$C10,$C$31:$I39,5,FALSE)</f>
        <v>0</v>
      </c>
      <c r="H10" s="101">
        <f>$D10*VLOOKUP(+$C10,$C$31:$I39,6,FALSE)</f>
        <v>0</v>
      </c>
      <c r="I10" s="101">
        <f>$D10*VLOOKUP(+$C10,$C$31:$I39,7,FALSE)</f>
        <v>0</v>
      </c>
      <c r="J10" s="47"/>
      <c r="K10" s="63"/>
    </row>
    <row r="11" spans="1:11">
      <c r="A11" s="80" t="s">
        <v>200</v>
      </c>
      <c r="B11" s="80" t="s">
        <v>202</v>
      </c>
      <c r="C11" s="80" t="s">
        <v>72</v>
      </c>
      <c r="D11" s="226">
        <v>-23852.693790000005</v>
      </c>
      <c r="E11" s="101">
        <f>$D11*VLOOKUP(+$C11,$C$31:$I40,3,FALSE)</f>
        <v>-23852.693790000005</v>
      </c>
      <c r="F11" s="101">
        <f>$D11*VLOOKUP(+$C11,$C$31:$I40,4,FALSE)</f>
        <v>0</v>
      </c>
      <c r="G11" s="101">
        <f>$D11*VLOOKUP(+$C11,$C$31:$I40,5,FALSE)</f>
        <v>0</v>
      </c>
      <c r="H11" s="101">
        <f>$D11*VLOOKUP(+$C11,$C$31:$I40,6,FALSE)</f>
        <v>0</v>
      </c>
      <c r="I11" s="101">
        <f>$D11*VLOOKUP(+$C11,$C$31:$I40,7,FALSE)</f>
        <v>0</v>
      </c>
      <c r="J11" s="47"/>
      <c r="K11" s="63"/>
    </row>
    <row r="12" spans="1:11">
      <c r="A12" s="80" t="s">
        <v>200</v>
      </c>
      <c r="B12" s="80" t="s">
        <v>202</v>
      </c>
      <c r="C12" s="80" t="s">
        <v>113</v>
      </c>
      <c r="D12" s="226">
        <v>-101313.61610000003</v>
      </c>
      <c r="E12" s="101">
        <f>$D12*VLOOKUP(+$C12,$C$31:$I40,3,FALSE)</f>
        <v>0</v>
      </c>
      <c r="F12" s="101">
        <f>$D12*VLOOKUP(+$C12,$C$31:$I40,4,FALSE)</f>
        <v>-101313.61610000003</v>
      </c>
      <c r="G12" s="101">
        <f>$D12*VLOOKUP(+$C12,$C$31:$I40,5,FALSE)</f>
        <v>0</v>
      </c>
      <c r="H12" s="101">
        <f>$D12*VLOOKUP(+$C12,$C$31:$I40,6,FALSE)</f>
        <v>0</v>
      </c>
      <c r="I12" s="101">
        <f>$D12*VLOOKUP(+$C12,$C$31:$I40,7,FALSE)</f>
        <v>0</v>
      </c>
      <c r="J12" s="47"/>
      <c r="K12" s="63"/>
    </row>
    <row r="13" spans="1:11">
      <c r="A13" s="80" t="s">
        <v>200</v>
      </c>
      <c r="B13" s="80" t="s">
        <v>203</v>
      </c>
      <c r="C13" s="80" t="s">
        <v>9</v>
      </c>
      <c r="D13" s="226">
        <v>-3913.0497399999999</v>
      </c>
      <c r="E13" s="101">
        <f>$D13*VLOOKUP(+$C13,$C$31:$I41,3,FALSE)</f>
        <v>0</v>
      </c>
      <c r="F13" s="101">
        <f>$D13*VLOOKUP(+$C13,$C$31:$I41,4,FALSE)</f>
        <v>0</v>
      </c>
      <c r="G13" s="101">
        <f>$D13*VLOOKUP(+$C13,$C$31:$I41,5,FALSE)</f>
        <v>0</v>
      </c>
      <c r="H13" s="101">
        <f>$D13*VLOOKUP(+$C13,$C$31:$I41,6,FALSE)</f>
        <v>0</v>
      </c>
      <c r="I13" s="101">
        <f>$D13*VLOOKUP(+$C13,$C$31:$I41,7,FALSE)</f>
        <v>-3913.0497399999999</v>
      </c>
      <c r="J13" s="47"/>
      <c r="K13" s="63"/>
    </row>
    <row r="14" spans="1:11">
      <c r="A14" s="80" t="s">
        <v>200</v>
      </c>
      <c r="B14" s="80" t="s">
        <v>204</v>
      </c>
      <c r="C14" s="80" t="s">
        <v>9</v>
      </c>
      <c r="D14" s="226">
        <v>3873.17911</v>
      </c>
      <c r="E14" s="101">
        <f>$D14*VLOOKUP(+$C14,$C$31:$I42,3,FALSE)</f>
        <v>0</v>
      </c>
      <c r="F14" s="101">
        <f>$D14*VLOOKUP(+$C14,$C$31:$I42,4,FALSE)</f>
        <v>0</v>
      </c>
      <c r="G14" s="101">
        <f>$D14*VLOOKUP(+$C14,$C$31:$I42,5,FALSE)</f>
        <v>0</v>
      </c>
      <c r="H14" s="101">
        <f>$D14*VLOOKUP(+$C14,$C$31:$I42,6,FALSE)</f>
        <v>0</v>
      </c>
      <c r="I14" s="101">
        <f>$D14*VLOOKUP(+$C14,$C$31:$I42,7,FALSE)</f>
        <v>3873.17911</v>
      </c>
      <c r="J14" s="47"/>
      <c r="K14" s="63"/>
    </row>
    <row r="15" spans="1:11">
      <c r="A15" s="80" t="s">
        <v>200</v>
      </c>
      <c r="B15" s="80" t="s">
        <v>204</v>
      </c>
      <c r="C15" s="80" t="s">
        <v>72</v>
      </c>
      <c r="D15" s="226">
        <v>-197.81108</v>
      </c>
      <c r="E15" s="101">
        <f>$D15*VLOOKUP(+$C15,$C$31:$I43,3,FALSE)</f>
        <v>-197.81108</v>
      </c>
      <c r="F15" s="101">
        <f>$D15*VLOOKUP(+$C15,$C$31:$I43,4,FALSE)</f>
        <v>0</v>
      </c>
      <c r="G15" s="101">
        <f>$D15*VLOOKUP(+$C15,$C$31:$I43,5,FALSE)</f>
        <v>0</v>
      </c>
      <c r="H15" s="101">
        <f>$D15*VLOOKUP(+$C15,$C$31:$I43,6,FALSE)</f>
        <v>0</v>
      </c>
      <c r="I15" s="101">
        <f>$D15*VLOOKUP(+$C15,$C$31:$I43,7,FALSE)</f>
        <v>0</v>
      </c>
      <c r="J15" s="47"/>
      <c r="K15" s="63"/>
    </row>
    <row r="16" spans="1:11">
      <c r="A16" s="80" t="s">
        <v>200</v>
      </c>
      <c r="B16" s="80" t="s">
        <v>204</v>
      </c>
      <c r="C16" s="80" t="s">
        <v>113</v>
      </c>
      <c r="D16" s="226">
        <v>4129.6872599999988</v>
      </c>
      <c r="E16" s="101">
        <f>$D16*VLOOKUP(+$C16,$C$31:$I44,3,FALSE)</f>
        <v>0</v>
      </c>
      <c r="F16" s="101">
        <f>$D16*VLOOKUP(+$C16,$C$31:$I44,4,FALSE)</f>
        <v>4129.6872599999988</v>
      </c>
      <c r="G16" s="101">
        <f>$D16*VLOOKUP(+$C16,$C$31:$I44,5,FALSE)</f>
        <v>0</v>
      </c>
      <c r="H16" s="101">
        <f>$D16*VLOOKUP(+$C16,$C$31:$I44,6,FALSE)</f>
        <v>0</v>
      </c>
      <c r="I16" s="101">
        <f>$D16*VLOOKUP(+$C16,$C$31:$I44,7,FALSE)</f>
        <v>0</v>
      </c>
      <c r="J16" s="47"/>
      <c r="K16" s="63"/>
    </row>
    <row r="17" spans="1:10" s="84" customFormat="1">
      <c r="A17" s="95" t="s">
        <v>205</v>
      </c>
      <c r="B17" s="143"/>
      <c r="C17" s="143"/>
      <c r="D17" s="101">
        <f t="shared" ref="D17:I17" si="0">SUMIF($B:$B,"SITUS",D:D)</f>
        <v>7805.0552899999984</v>
      </c>
      <c r="E17" s="101">
        <f t="shared" si="0"/>
        <v>-197.81108</v>
      </c>
      <c r="F17" s="101">
        <f t="shared" si="0"/>
        <v>4129.6872599999988</v>
      </c>
      <c r="G17" s="101">
        <f t="shared" si="0"/>
        <v>0</v>
      </c>
      <c r="H17" s="101">
        <f t="shared" si="0"/>
        <v>0</v>
      </c>
      <c r="I17" s="101">
        <f t="shared" si="0"/>
        <v>3873.17911</v>
      </c>
    </row>
    <row r="18" spans="1:10" s="84" customFormat="1">
      <c r="A18" s="95" t="s">
        <v>206</v>
      </c>
      <c r="B18" s="143"/>
      <c r="C18" s="143"/>
      <c r="D18" s="101">
        <f t="shared" ref="D18:I18" si="1">SUMIF($B:$B,"CN",D:D)</f>
        <v>0</v>
      </c>
      <c r="E18" s="101">
        <f t="shared" si="1"/>
        <v>0</v>
      </c>
      <c r="F18" s="101">
        <f t="shared" si="1"/>
        <v>0</v>
      </c>
      <c r="G18" s="101">
        <f t="shared" si="1"/>
        <v>0</v>
      </c>
      <c r="H18" s="101">
        <f t="shared" si="1"/>
        <v>0</v>
      </c>
      <c r="I18" s="101">
        <f t="shared" si="1"/>
        <v>0</v>
      </c>
    </row>
    <row r="19" spans="1:10" s="84" customFormat="1">
      <c r="A19" s="95" t="s">
        <v>207</v>
      </c>
      <c r="B19" s="143"/>
      <c r="C19" s="143"/>
      <c r="D19" s="101">
        <f t="shared" ref="D19:I19" si="2">SUMIF($B:$B,"SE",D:D)</f>
        <v>-15736.143590000001</v>
      </c>
      <c r="E19" s="101">
        <f t="shared" si="2"/>
        <v>0</v>
      </c>
      <c r="F19" s="101">
        <f t="shared" si="2"/>
        <v>-15736.143590000001</v>
      </c>
      <c r="G19" s="101">
        <f t="shared" si="2"/>
        <v>0</v>
      </c>
      <c r="H19" s="101">
        <f t="shared" si="2"/>
        <v>0</v>
      </c>
      <c r="I19" s="101">
        <f t="shared" si="2"/>
        <v>0</v>
      </c>
    </row>
    <row r="20" spans="1:10" s="84" customFormat="1">
      <c r="A20" s="95" t="s">
        <v>208</v>
      </c>
      <c r="B20" s="143"/>
      <c r="C20" s="143"/>
      <c r="D20" s="101">
        <f t="shared" ref="D20:I20" si="3">SUMIF($B:$B,"SG",D:D)</f>
        <v>-125166.30989000003</v>
      </c>
      <c r="E20" s="101">
        <f t="shared" si="3"/>
        <v>-23852.693790000005</v>
      </c>
      <c r="F20" s="101">
        <f t="shared" si="3"/>
        <v>-101313.61610000003</v>
      </c>
      <c r="G20" s="101">
        <f t="shared" si="3"/>
        <v>0</v>
      </c>
      <c r="H20" s="101">
        <f t="shared" si="3"/>
        <v>0</v>
      </c>
      <c r="I20" s="101">
        <f t="shared" si="3"/>
        <v>0</v>
      </c>
    </row>
    <row r="21" spans="1:10" s="84" customFormat="1">
      <c r="A21" s="95" t="s">
        <v>209</v>
      </c>
      <c r="B21" s="143"/>
      <c r="C21" s="143"/>
      <c r="D21" s="101">
        <f t="shared" ref="D21:I21" si="4">SUMIF($B:$B,"SO",D:D)</f>
        <v>-3913.0497399999999</v>
      </c>
      <c r="E21" s="101">
        <f t="shared" si="4"/>
        <v>0</v>
      </c>
      <c r="F21" s="101">
        <f t="shared" si="4"/>
        <v>0</v>
      </c>
      <c r="G21" s="101">
        <f t="shared" si="4"/>
        <v>0</v>
      </c>
      <c r="H21" s="101">
        <f t="shared" si="4"/>
        <v>0</v>
      </c>
      <c r="I21" s="101">
        <f t="shared" si="4"/>
        <v>-3913.0497399999999</v>
      </c>
    </row>
    <row r="22" spans="1:10" s="84" customFormat="1">
      <c r="A22" s="95" t="s">
        <v>210</v>
      </c>
      <c r="B22" s="143"/>
      <c r="C22" s="143"/>
      <c r="D22" s="101">
        <f t="shared" ref="D22:I22" si="5">SUM(D7:D16)</f>
        <v>-146515.65444000004</v>
      </c>
      <c r="E22" s="101">
        <f t="shared" si="5"/>
        <v>-33555.711380000008</v>
      </c>
      <c r="F22" s="101">
        <f t="shared" si="5"/>
        <v>-112920.07243000003</v>
      </c>
      <c r="G22" s="101">
        <f t="shared" si="5"/>
        <v>0</v>
      </c>
      <c r="H22" s="101">
        <f t="shared" si="5"/>
        <v>0</v>
      </c>
      <c r="I22" s="101">
        <f t="shared" si="5"/>
        <v>-39.870629999999892</v>
      </c>
    </row>
    <row r="23" spans="1:10" s="95" customFormat="1">
      <c r="A23" s="95" t="s">
        <v>68</v>
      </c>
      <c r="D23" s="223">
        <f t="shared" ref="D23:D28" si="6">SUM(E23:I23)</f>
        <v>1</v>
      </c>
      <c r="E23" s="223">
        <f>E17/$D$17</f>
        <v>-2.5343969088013986E-2</v>
      </c>
      <c r="F23" s="223">
        <f>F17/$D$17</f>
        <v>0.52910416474448829</v>
      </c>
      <c r="G23" s="223">
        <f>G17/$D$17</f>
        <v>0</v>
      </c>
      <c r="H23" s="223">
        <f>H17/$D$17</f>
        <v>0</v>
      </c>
      <c r="I23" s="223">
        <f>I17/$D$17</f>
        <v>0.49623980434352577</v>
      </c>
    </row>
    <row r="24" spans="1:10" s="95" customFormat="1">
      <c r="A24" s="95" t="s">
        <v>211</v>
      </c>
      <c r="D24" s="223">
        <f t="shared" si="6"/>
        <v>0</v>
      </c>
      <c r="E24" s="223" t="str">
        <f>IF(ISERROR(E18/$D$18)," ",(E18/$D$18))</f>
        <v xml:space="preserve"> </v>
      </c>
      <c r="F24" s="223" t="str">
        <f>IF(ISERROR(F18/$D$18)," ",(F18/$D$18))</f>
        <v xml:space="preserve"> </v>
      </c>
      <c r="G24" s="223" t="str">
        <f>IF(ISERROR(G18/$D$18)," ",(G18/$D$18))</f>
        <v xml:space="preserve"> </v>
      </c>
      <c r="H24" s="223" t="str">
        <f>IF(ISERROR(H18/$D$18)," ",(H18/$D$18))</f>
        <v xml:space="preserve"> </v>
      </c>
      <c r="I24" s="223" t="str">
        <f>IF(ISERROR(I18/$D$18)," ",(I18/$D$18))</f>
        <v xml:space="preserve"> </v>
      </c>
    </row>
    <row r="25" spans="1:10" s="84" customFormat="1">
      <c r="A25" s="95" t="s">
        <v>62</v>
      </c>
      <c r="B25" s="143"/>
      <c r="C25" s="143"/>
      <c r="D25" s="223">
        <f t="shared" si="6"/>
        <v>1</v>
      </c>
      <c r="E25" s="223">
        <f>E19/$D$19</f>
        <v>0</v>
      </c>
      <c r="F25" s="223">
        <f>F19/$D$19</f>
        <v>1</v>
      </c>
      <c r="G25" s="223">
        <f>G19/$D$19</f>
        <v>0</v>
      </c>
      <c r="H25" s="223">
        <f>H19/$D$19</f>
        <v>0</v>
      </c>
      <c r="I25" s="223">
        <f>I19/$D$19</f>
        <v>0</v>
      </c>
      <c r="J25" s="102"/>
    </row>
    <row r="26" spans="1:10" s="84" customFormat="1">
      <c r="A26" s="95" t="s">
        <v>64</v>
      </c>
      <c r="B26" s="143"/>
      <c r="C26" s="143"/>
      <c r="D26" s="223">
        <f t="shared" si="6"/>
        <v>1</v>
      </c>
      <c r="E26" s="223">
        <f>E20/$D$20</f>
        <v>0.19056800357030962</v>
      </c>
      <c r="F26" s="223">
        <f>F20/$D$20</f>
        <v>0.80943199642969044</v>
      </c>
      <c r="G26" s="223">
        <f>G20/$D$20</f>
        <v>0</v>
      </c>
      <c r="H26" s="223">
        <f>H20/$D$20</f>
        <v>0</v>
      </c>
      <c r="I26" s="223">
        <f>I20/$D$20</f>
        <v>0</v>
      </c>
    </row>
    <row r="27" spans="1:10" s="84" customFormat="1">
      <c r="A27" s="95" t="s">
        <v>70</v>
      </c>
      <c r="B27" s="143"/>
      <c r="C27" s="143"/>
      <c r="D27" s="223">
        <f t="shared" si="6"/>
        <v>1</v>
      </c>
      <c r="E27" s="223">
        <f>E21/$D$21</f>
        <v>0</v>
      </c>
      <c r="F27" s="223">
        <f>F21/$D$21</f>
        <v>0</v>
      </c>
      <c r="G27" s="223">
        <f>G21/$D$21</f>
        <v>0</v>
      </c>
      <c r="H27" s="223">
        <f>H21/$D$21</f>
        <v>0</v>
      </c>
      <c r="I27" s="223">
        <f>I21/$D$21</f>
        <v>1</v>
      </c>
    </row>
    <row r="28" spans="1:10" ht="12.75" customHeight="1">
      <c r="A28" s="95" t="s">
        <v>212</v>
      </c>
      <c r="B28" s="95"/>
      <c r="C28" s="95"/>
      <c r="D28" s="223">
        <f t="shared" si="6"/>
        <v>1</v>
      </c>
      <c r="E28" s="223">
        <f>E22/$D$22</f>
        <v>0.22902475171171202</v>
      </c>
      <c r="F28" s="223">
        <f>F22/$D$22</f>
        <v>0.77070312289559606</v>
      </c>
      <c r="G28" s="223">
        <f>G22/$D$22</f>
        <v>0</v>
      </c>
      <c r="H28" s="223">
        <f>H22/$D$22</f>
        <v>0</v>
      </c>
      <c r="I28" s="223">
        <f>I22/$D$22</f>
        <v>2.7212539269192836E-4</v>
      </c>
    </row>
    <row r="29" spans="1:10" ht="12.75" customHeight="1">
      <c r="A29" s="80"/>
      <c r="B29" s="80"/>
      <c r="C29" s="80"/>
      <c r="D29" s="63"/>
      <c r="E29" s="63"/>
      <c r="F29" s="63"/>
      <c r="G29" s="80"/>
      <c r="H29" s="80"/>
      <c r="I29" s="80"/>
    </row>
    <row r="30" spans="1:10">
      <c r="A30" s="80"/>
      <c r="B30" s="80"/>
      <c r="C30" s="103"/>
      <c r="D30" s="104" t="s">
        <v>10</v>
      </c>
      <c r="E30" s="105" t="s">
        <v>181</v>
      </c>
      <c r="F30" s="105" t="s">
        <v>182</v>
      </c>
      <c r="G30" s="104" t="s">
        <v>7</v>
      </c>
      <c r="H30" s="104" t="s">
        <v>8</v>
      </c>
      <c r="I30" s="104" t="s">
        <v>9</v>
      </c>
    </row>
    <row r="31" spans="1:10">
      <c r="A31" s="80"/>
      <c r="B31" s="80"/>
      <c r="C31" s="32" t="s">
        <v>72</v>
      </c>
      <c r="D31" s="106">
        <f>SUM(E31:I31)</f>
        <v>1</v>
      </c>
      <c r="E31" s="106">
        <f>'FORM 1'!$C$13</f>
        <v>1</v>
      </c>
      <c r="F31" s="106">
        <f>'FORM 1'!$D$13</f>
        <v>0</v>
      </c>
      <c r="G31" s="106">
        <f>'FORM 1'!$E$13</f>
        <v>0</v>
      </c>
      <c r="H31" s="106">
        <f>'FORM 1'!$F$13</f>
        <v>0</v>
      </c>
      <c r="I31" s="106">
        <f>'FORM 1'!$G$13</f>
        <v>0</v>
      </c>
    </row>
    <row r="32" spans="1:10">
      <c r="A32" s="80"/>
      <c r="B32" s="80"/>
      <c r="C32" s="32" t="s">
        <v>113</v>
      </c>
      <c r="D32" s="106">
        <f t="shared" ref="D32:D37" si="7">SUM(E32:I32)</f>
        <v>1</v>
      </c>
      <c r="E32" s="106">
        <f>'FORM 1'!$C$14</f>
        <v>0</v>
      </c>
      <c r="F32" s="106">
        <f>'FORM 1'!$D$14</f>
        <v>1</v>
      </c>
      <c r="G32" s="106">
        <f>'FORM 1'!$E$14</f>
        <v>0</v>
      </c>
      <c r="H32" s="106">
        <f>'FORM 1'!$F$14</f>
        <v>0</v>
      </c>
      <c r="I32" s="106">
        <f>'FORM 1'!$G$14</f>
        <v>0</v>
      </c>
    </row>
    <row r="33" spans="1:9">
      <c r="A33" s="80"/>
      <c r="B33" s="80"/>
      <c r="C33" s="32" t="s">
        <v>116</v>
      </c>
      <c r="D33" s="106">
        <f t="shared" si="7"/>
        <v>0.99999999999999989</v>
      </c>
      <c r="E33" s="106">
        <f>'FORM 1'!$C$18</f>
        <v>0</v>
      </c>
      <c r="F33" s="106">
        <f>'FORM 1'!$D$18</f>
        <v>0.47643986589429044</v>
      </c>
      <c r="G33" s="106">
        <f>'FORM 1'!$E$18</f>
        <v>0.52356013410570945</v>
      </c>
      <c r="H33" s="106">
        <f>'FORM 1'!$F$18</f>
        <v>0</v>
      </c>
      <c r="I33" s="106">
        <f>'FORM 1'!$G$18</f>
        <v>0</v>
      </c>
    </row>
    <row r="34" spans="1:9">
      <c r="A34" s="80"/>
      <c r="B34" s="80"/>
      <c r="C34" s="32" t="s">
        <v>8</v>
      </c>
      <c r="D34" s="106">
        <f t="shared" si="7"/>
        <v>1</v>
      </c>
      <c r="E34" s="106">
        <v>0</v>
      </c>
      <c r="F34" s="106">
        <v>0</v>
      </c>
      <c r="G34" s="106">
        <v>0</v>
      </c>
      <c r="H34" s="106">
        <v>1</v>
      </c>
      <c r="I34" s="106">
        <v>0</v>
      </c>
    </row>
    <row r="35" spans="1:9">
      <c r="A35" s="80"/>
      <c r="B35" s="80"/>
      <c r="C35" s="32" t="s">
        <v>7</v>
      </c>
      <c r="D35" s="106">
        <f t="shared" si="7"/>
        <v>1</v>
      </c>
      <c r="E35" s="106">
        <v>0</v>
      </c>
      <c r="F35" s="106">
        <v>0</v>
      </c>
      <c r="G35" s="106">
        <v>1</v>
      </c>
      <c r="H35" s="106">
        <v>0</v>
      </c>
      <c r="I35" s="106">
        <v>0</v>
      </c>
    </row>
    <row r="36" spans="1:9">
      <c r="A36" s="80"/>
      <c r="B36" s="80"/>
      <c r="C36" s="215" t="s">
        <v>132</v>
      </c>
      <c r="D36" s="106">
        <f t="shared" si="7"/>
        <v>1</v>
      </c>
      <c r="E36" s="106">
        <f>'FORM 1'!$C$16</f>
        <v>0.48508967903517519</v>
      </c>
      <c r="F36" s="106">
        <f>'FORM 1'!$D$16</f>
        <v>0.24532380426806721</v>
      </c>
      <c r="G36" s="106">
        <f>'FORM 1'!$E$16</f>
        <v>0.26958651669675765</v>
      </c>
      <c r="H36" s="106">
        <f>'FORM 1'!$F$16</f>
        <v>0</v>
      </c>
      <c r="I36" s="106">
        <f>'FORM 1'!$G$16</f>
        <v>0</v>
      </c>
    </row>
    <row r="37" spans="1:9">
      <c r="A37" s="80"/>
      <c r="B37" s="80"/>
      <c r="C37" s="80" t="s">
        <v>9</v>
      </c>
      <c r="D37" s="106">
        <f t="shared" si="7"/>
        <v>1</v>
      </c>
      <c r="E37" s="106">
        <v>0</v>
      </c>
      <c r="F37" s="106">
        <v>0</v>
      </c>
      <c r="G37" s="106">
        <v>0</v>
      </c>
      <c r="H37" s="106">
        <v>0</v>
      </c>
      <c r="I37" s="106">
        <v>1</v>
      </c>
    </row>
    <row r="38" spans="1:9">
      <c r="A38" s="80"/>
      <c r="B38" s="80"/>
      <c r="C38" s="80"/>
      <c r="D38" s="80"/>
      <c r="E38" s="80"/>
      <c r="F38" s="80"/>
      <c r="G38" s="80"/>
      <c r="H38" s="80"/>
      <c r="I38" s="80"/>
    </row>
    <row r="39" spans="1:9">
      <c r="A39" s="80"/>
      <c r="B39" s="80"/>
      <c r="C39" s="80"/>
      <c r="D39" s="80"/>
      <c r="E39" s="80"/>
      <c r="F39" s="80"/>
      <c r="G39" s="80"/>
      <c r="H39" s="80"/>
      <c r="I39" s="80"/>
    </row>
    <row r="40" spans="1:9">
      <c r="A40" s="80"/>
      <c r="B40" s="80"/>
      <c r="C40" s="80"/>
      <c r="D40" s="80"/>
      <c r="E40" s="80"/>
      <c r="F40" s="80"/>
      <c r="G40" s="80"/>
      <c r="H40" s="80"/>
      <c r="I40" s="80"/>
    </row>
    <row r="41" spans="1:9">
      <c r="A41" s="80"/>
      <c r="B41" s="80"/>
      <c r="C41" s="80"/>
      <c r="D41" s="227"/>
      <c r="E41" s="80"/>
      <c r="F41" s="80"/>
      <c r="G41" s="80"/>
      <c r="H41" s="80"/>
      <c r="I41" s="80"/>
    </row>
    <row r="42" spans="1:9">
      <c r="A42" s="80"/>
      <c r="B42" s="80"/>
      <c r="C42" s="80"/>
      <c r="D42" s="80"/>
      <c r="E42" s="80"/>
      <c r="F42" s="80"/>
      <c r="G42" s="80"/>
      <c r="H42" s="80"/>
      <c r="I42" s="80"/>
    </row>
    <row r="43" spans="1:9">
      <c r="A43" s="80"/>
      <c r="B43" s="80"/>
      <c r="C43" s="80"/>
      <c r="D43" s="80"/>
      <c r="E43" s="80"/>
      <c r="F43" s="80"/>
      <c r="G43" s="80"/>
      <c r="H43" s="80"/>
      <c r="I43" s="80"/>
    </row>
    <row r="44" spans="1:9">
      <c r="A44" s="80"/>
      <c r="B44" s="80"/>
      <c r="C44" s="80"/>
      <c r="D44" s="80"/>
      <c r="E44" s="80"/>
      <c r="F44" s="80"/>
      <c r="G44" s="80"/>
      <c r="H44" s="80"/>
      <c r="I44" s="80"/>
    </row>
  </sheetData>
  <printOptions horizontalCentered="1"/>
  <pageMargins left="0.5" right="0.5" top="0.5" bottom="0.65" header="0.4" footer="0.2"/>
  <pageSetup orientation="landscape" r:id="rId1"/>
  <headerFooter alignWithMargins="0">
    <oddFooter>&amp;LExhibit RMP_____(CCP-3)&amp;R&amp;F&amp;CTab 3 - Page  7 of 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pageSetUpPr fitToPage="1"/>
  </sheetPr>
  <dimension ref="A1:K70"/>
  <sheetViews>
    <sheetView defaultGridColor="0" colorId="22" zoomScale="90" zoomScaleNormal="80" workbookViewId="0"/>
  </sheetViews>
  <sheetFormatPr defaultColWidth="12.5703125" defaultRowHeight="12.75"/>
  <cols>
    <col min="1" max="1" width="24.28515625" style="109" bestFit="1" customWidth="1"/>
    <col min="2" max="2" width="13" style="109" customWidth="1"/>
    <col min="3" max="3" width="10.7109375" style="109" customWidth="1"/>
    <col min="4" max="4" width="20" style="109" customWidth="1"/>
    <col min="5" max="5" width="13.42578125" style="109" bestFit="1" customWidth="1"/>
    <col min="6" max="9" width="13.42578125" style="109" customWidth="1"/>
    <col min="10" max="10" width="8.85546875" style="109" bestFit="1" customWidth="1"/>
    <col min="11" max="11" width="19.7109375" style="109" bestFit="1" customWidth="1"/>
    <col min="12" max="16384" width="12.5703125" style="109"/>
  </cols>
  <sheetData>
    <row r="1" spans="1:11">
      <c r="A1" s="29" t="str">
        <f>+'TOTAL FUNCFAC'!$A$1</f>
        <v>PacifiCorp</v>
      </c>
      <c r="B1" s="107"/>
      <c r="C1" s="107"/>
      <c r="D1" s="107"/>
      <c r="E1" s="107"/>
      <c r="F1" s="107"/>
      <c r="G1" s="107"/>
      <c r="H1" s="108"/>
      <c r="I1" s="108"/>
    </row>
    <row r="2" spans="1:11">
      <c r="A2" s="29" t="str">
        <f>+'TOTAL FUNCFAC'!A2</f>
        <v>12 Months Ended December 2018</v>
      </c>
      <c r="B2" s="107"/>
      <c r="C2" s="107"/>
      <c r="D2" s="107"/>
      <c r="E2" s="107"/>
      <c r="F2" s="107"/>
      <c r="G2" s="107"/>
      <c r="H2" s="108"/>
      <c r="I2" s="108"/>
    </row>
    <row r="3" spans="1:11">
      <c r="A3" s="29" t="s">
        <v>33</v>
      </c>
      <c r="B3" s="107"/>
      <c r="C3" s="107"/>
      <c r="D3" s="107"/>
      <c r="E3" s="107"/>
      <c r="F3" s="107"/>
      <c r="G3" s="107"/>
      <c r="H3" s="108"/>
      <c r="I3" s="108"/>
    </row>
    <row r="4" spans="1:11">
      <c r="B4" s="29"/>
    </row>
    <row r="5" spans="1:11">
      <c r="B5" s="110" t="s">
        <v>156</v>
      </c>
    </row>
    <row r="6" spans="1:11">
      <c r="A6" s="111" t="s">
        <v>4</v>
      </c>
      <c r="B6" s="112" t="s">
        <v>157</v>
      </c>
      <c r="C6" s="112" t="s">
        <v>158</v>
      </c>
      <c r="D6" s="112" t="s">
        <v>159</v>
      </c>
      <c r="E6" s="112" t="s">
        <v>181</v>
      </c>
      <c r="F6" s="112" t="s">
        <v>182</v>
      </c>
      <c r="G6" s="112" t="s">
        <v>7</v>
      </c>
      <c r="H6" s="113" t="s">
        <v>8</v>
      </c>
      <c r="I6" s="113" t="s">
        <v>9</v>
      </c>
      <c r="J6" s="212"/>
    </row>
    <row r="7" spans="1:11" s="117" customFormat="1">
      <c r="A7" s="54" t="s">
        <v>167</v>
      </c>
      <c r="B7" s="114" t="s">
        <v>213</v>
      </c>
      <c r="C7" s="115" t="s">
        <v>8</v>
      </c>
      <c r="D7" s="146">
        <v>18405.609868461539</v>
      </c>
      <c r="E7" s="116">
        <f t="shared" ref="E7:E21" si="0">$D7*VLOOKUP(+$C7,$B$45:$H$51,3)</f>
        <v>0</v>
      </c>
      <c r="F7" s="116">
        <f t="shared" ref="F7:F21" si="1">$D7*VLOOKUP(+$C7,$B$45:$H$51,4)</f>
        <v>0</v>
      </c>
      <c r="G7" s="116">
        <f t="shared" ref="G7:G21" si="2">$D7*VLOOKUP(+$C7,$B$45:$H$51,5)</f>
        <v>0</v>
      </c>
      <c r="H7" s="116">
        <f t="shared" ref="H7:H21" si="3">$D7*VLOOKUP(+$C7,$B$45:$H$51,6)</f>
        <v>18405.609868461539</v>
      </c>
      <c r="I7" s="116">
        <f t="shared" ref="I7:I21" si="4">$D7*VLOOKUP(+$C7,$B$45:$H$51,7)</f>
        <v>0</v>
      </c>
      <c r="J7" s="231"/>
      <c r="K7" s="63"/>
    </row>
    <row r="8" spans="1:11" s="117" customFormat="1">
      <c r="A8" s="54"/>
      <c r="B8" s="114" t="s">
        <v>166</v>
      </c>
      <c r="C8" s="115" t="s">
        <v>72</v>
      </c>
      <c r="D8" s="146">
        <v>5541.8482153846107</v>
      </c>
      <c r="E8" s="116">
        <f t="shared" si="0"/>
        <v>5541.8482153846107</v>
      </c>
      <c r="F8" s="116">
        <f t="shared" si="1"/>
        <v>0</v>
      </c>
      <c r="G8" s="116">
        <f t="shared" si="2"/>
        <v>0</v>
      </c>
      <c r="H8" s="116">
        <f t="shared" si="3"/>
        <v>0</v>
      </c>
      <c r="I8" s="116">
        <f t="shared" si="4"/>
        <v>0</v>
      </c>
      <c r="J8" s="231"/>
      <c r="K8" s="63"/>
    </row>
    <row r="9" spans="1:11" s="117" customFormat="1">
      <c r="A9" s="54"/>
      <c r="B9" s="55" t="s">
        <v>202</v>
      </c>
      <c r="C9" s="118" t="s">
        <v>72</v>
      </c>
      <c r="D9" s="146">
        <v>120909.28342999998</v>
      </c>
      <c r="E9" s="119">
        <f t="shared" si="0"/>
        <v>120909.28342999998</v>
      </c>
      <c r="F9" s="119">
        <f t="shared" si="1"/>
        <v>0</v>
      </c>
      <c r="G9" s="119">
        <f t="shared" si="2"/>
        <v>0</v>
      </c>
      <c r="H9" s="119">
        <f t="shared" si="3"/>
        <v>0</v>
      </c>
      <c r="I9" s="119">
        <f t="shared" si="4"/>
        <v>0</v>
      </c>
      <c r="J9" s="231"/>
      <c r="K9" s="63"/>
    </row>
    <row r="10" spans="1:11" s="117" customFormat="1">
      <c r="A10" s="54"/>
      <c r="B10" s="55" t="s">
        <v>202</v>
      </c>
      <c r="C10" s="118" t="s">
        <v>113</v>
      </c>
      <c r="D10" s="146">
        <v>169952.31096384599</v>
      </c>
      <c r="E10" s="119">
        <f t="shared" si="0"/>
        <v>0</v>
      </c>
      <c r="F10" s="119">
        <f t="shared" si="1"/>
        <v>169952.31096384599</v>
      </c>
      <c r="G10" s="119">
        <f t="shared" si="2"/>
        <v>0</v>
      </c>
      <c r="H10" s="119">
        <f t="shared" si="3"/>
        <v>0</v>
      </c>
      <c r="I10" s="119">
        <f t="shared" si="4"/>
        <v>0</v>
      </c>
      <c r="J10" s="231"/>
      <c r="K10" s="63"/>
    </row>
    <row r="11" spans="1:11" s="117" customFormat="1">
      <c r="A11" s="54"/>
      <c r="B11" s="114" t="s">
        <v>202</v>
      </c>
      <c r="C11" s="115" t="s">
        <v>116</v>
      </c>
      <c r="D11" s="146">
        <v>0</v>
      </c>
      <c r="E11" s="116">
        <f t="shared" si="0"/>
        <v>0</v>
      </c>
      <c r="F11" s="116">
        <f t="shared" si="1"/>
        <v>0</v>
      </c>
      <c r="G11" s="116">
        <f t="shared" si="2"/>
        <v>0</v>
      </c>
      <c r="H11" s="116">
        <f t="shared" si="3"/>
        <v>0</v>
      </c>
      <c r="I11" s="116">
        <f t="shared" si="4"/>
        <v>0</v>
      </c>
      <c r="J11" s="231"/>
      <c r="K11" s="63"/>
    </row>
    <row r="12" spans="1:11" s="117" customFormat="1">
      <c r="A12" s="54" t="s">
        <v>33</v>
      </c>
      <c r="B12" s="120" t="s">
        <v>203</v>
      </c>
      <c r="C12" s="121" t="s">
        <v>7</v>
      </c>
      <c r="D12" s="232">
        <v>0</v>
      </c>
      <c r="E12" s="122">
        <f t="shared" si="0"/>
        <v>0</v>
      </c>
      <c r="F12" s="122">
        <f t="shared" si="1"/>
        <v>0</v>
      </c>
      <c r="G12" s="122">
        <f t="shared" si="2"/>
        <v>0</v>
      </c>
      <c r="H12" s="122">
        <f t="shared" si="3"/>
        <v>0</v>
      </c>
      <c r="I12" s="122">
        <f t="shared" si="4"/>
        <v>0</v>
      </c>
      <c r="J12" s="231"/>
      <c r="K12" s="63"/>
    </row>
    <row r="13" spans="1:11" s="117" customFormat="1">
      <c r="A13" s="54"/>
      <c r="B13" s="55" t="s">
        <v>203</v>
      </c>
      <c r="C13" s="118" t="s">
        <v>132</v>
      </c>
      <c r="D13" s="146">
        <v>282656.5200830769</v>
      </c>
      <c r="E13" s="119">
        <f t="shared" si="0"/>
        <v>137113.76060429931</v>
      </c>
      <c r="F13" s="119">
        <f t="shared" si="1"/>
        <v>69342.372807953769</v>
      </c>
      <c r="G13" s="119">
        <f t="shared" si="2"/>
        <v>76200.38667082382</v>
      </c>
      <c r="H13" s="119">
        <f t="shared" si="3"/>
        <v>0</v>
      </c>
      <c r="I13" s="119">
        <f t="shared" si="4"/>
        <v>0</v>
      </c>
      <c r="J13" s="231"/>
      <c r="K13" s="63"/>
    </row>
    <row r="14" spans="1:11" s="117" customFormat="1">
      <c r="A14" s="54"/>
      <c r="B14" s="55" t="s">
        <v>203</v>
      </c>
      <c r="C14" s="118" t="s">
        <v>116</v>
      </c>
      <c r="D14" s="146">
        <v>0</v>
      </c>
      <c r="E14" s="119">
        <f t="shared" si="0"/>
        <v>0</v>
      </c>
      <c r="F14" s="119">
        <f t="shared" si="1"/>
        <v>0</v>
      </c>
      <c r="G14" s="119">
        <f t="shared" si="2"/>
        <v>0</v>
      </c>
      <c r="H14" s="119">
        <f t="shared" si="3"/>
        <v>0</v>
      </c>
      <c r="I14" s="119">
        <f t="shared" si="4"/>
        <v>0</v>
      </c>
    </row>
    <row r="15" spans="1:11" s="117" customFormat="1">
      <c r="A15" s="54"/>
      <c r="B15" s="114" t="s">
        <v>203</v>
      </c>
      <c r="C15" s="115" t="s">
        <v>72</v>
      </c>
      <c r="D15" s="233">
        <v>0</v>
      </c>
      <c r="E15" s="116">
        <f t="shared" si="0"/>
        <v>0</v>
      </c>
      <c r="F15" s="116">
        <f t="shared" si="1"/>
        <v>0</v>
      </c>
      <c r="G15" s="116">
        <f t="shared" si="2"/>
        <v>0</v>
      </c>
      <c r="H15" s="116">
        <f t="shared" si="3"/>
        <v>0</v>
      </c>
      <c r="I15" s="116">
        <f t="shared" si="4"/>
        <v>0</v>
      </c>
    </row>
    <row r="16" spans="1:11" s="117" customFormat="1">
      <c r="A16" s="123"/>
      <c r="B16" s="55" t="s">
        <v>214</v>
      </c>
      <c r="C16" s="118" t="s">
        <v>72</v>
      </c>
      <c r="D16" s="146">
        <v>0</v>
      </c>
      <c r="E16" s="119">
        <f t="shared" si="0"/>
        <v>0</v>
      </c>
      <c r="F16" s="119">
        <f t="shared" si="1"/>
        <v>0</v>
      </c>
      <c r="G16" s="119">
        <f t="shared" si="2"/>
        <v>0</v>
      </c>
      <c r="H16" s="119">
        <f t="shared" si="3"/>
        <v>0</v>
      </c>
      <c r="I16" s="119">
        <f t="shared" si="4"/>
        <v>0</v>
      </c>
    </row>
    <row r="17" spans="1:11" s="117" customFormat="1">
      <c r="A17" s="123"/>
      <c r="B17" s="55" t="s">
        <v>215</v>
      </c>
      <c r="C17" s="118" t="s">
        <v>7</v>
      </c>
      <c r="D17" s="146">
        <v>0</v>
      </c>
      <c r="E17" s="119">
        <f t="shared" si="0"/>
        <v>0</v>
      </c>
      <c r="F17" s="119">
        <f t="shared" si="1"/>
        <v>0</v>
      </c>
      <c r="G17" s="119">
        <f t="shared" si="2"/>
        <v>0</v>
      </c>
      <c r="H17" s="119">
        <f t="shared" si="3"/>
        <v>0</v>
      </c>
      <c r="I17" s="119">
        <f t="shared" si="4"/>
        <v>0</v>
      </c>
    </row>
    <row r="18" spans="1:11" s="117" customFormat="1">
      <c r="A18" s="123"/>
      <c r="B18" s="114" t="s">
        <v>215</v>
      </c>
      <c r="C18" s="115" t="s">
        <v>72</v>
      </c>
      <c r="D18" s="146">
        <v>0</v>
      </c>
      <c r="E18" s="116">
        <f t="shared" si="0"/>
        <v>0</v>
      </c>
      <c r="F18" s="116">
        <f t="shared" si="1"/>
        <v>0</v>
      </c>
      <c r="G18" s="116">
        <f t="shared" si="2"/>
        <v>0</v>
      </c>
      <c r="H18" s="116">
        <f t="shared" si="3"/>
        <v>0</v>
      </c>
      <c r="I18" s="116">
        <f t="shared" si="4"/>
        <v>0</v>
      </c>
      <c r="J18" s="231"/>
      <c r="K18" s="63"/>
    </row>
    <row r="19" spans="1:11" s="117" customFormat="1">
      <c r="A19" s="54"/>
      <c r="B19" s="55" t="s">
        <v>204</v>
      </c>
      <c r="C19" s="118" t="s">
        <v>7</v>
      </c>
      <c r="D19" s="146">
        <v>224671.55653230756</v>
      </c>
      <c r="E19" s="119">
        <f t="shared" si="0"/>
        <v>0</v>
      </c>
      <c r="F19" s="119">
        <f t="shared" si="1"/>
        <v>0</v>
      </c>
      <c r="G19" s="119">
        <f t="shared" si="2"/>
        <v>224671.55653230756</v>
      </c>
      <c r="H19" s="119">
        <f t="shared" si="3"/>
        <v>0</v>
      </c>
      <c r="I19" s="119">
        <f t="shared" si="4"/>
        <v>0</v>
      </c>
      <c r="J19" s="231"/>
      <c r="K19" s="63"/>
    </row>
    <row r="20" spans="1:11" s="117" customFormat="1">
      <c r="A20" s="54"/>
      <c r="B20" s="55" t="s">
        <v>204</v>
      </c>
      <c r="C20" s="118" t="s">
        <v>72</v>
      </c>
      <c r="D20" s="146">
        <v>0</v>
      </c>
      <c r="E20" s="119">
        <f t="shared" si="0"/>
        <v>0</v>
      </c>
      <c r="F20" s="119">
        <f t="shared" si="1"/>
        <v>0</v>
      </c>
      <c r="G20" s="119">
        <f t="shared" si="2"/>
        <v>0</v>
      </c>
      <c r="H20" s="119">
        <f t="shared" si="3"/>
        <v>0</v>
      </c>
      <c r="I20" s="119">
        <f t="shared" si="4"/>
        <v>0</v>
      </c>
      <c r="J20" s="231"/>
      <c r="K20" s="63"/>
    </row>
    <row r="21" spans="1:11" s="117" customFormat="1">
      <c r="A21" s="54"/>
      <c r="B21" s="114" t="s">
        <v>204</v>
      </c>
      <c r="C21" s="115" t="s">
        <v>116</v>
      </c>
      <c r="D21" s="146">
        <v>404162.98757769237</v>
      </c>
      <c r="E21" s="116">
        <f t="shared" si="0"/>
        <v>0</v>
      </c>
      <c r="F21" s="116">
        <f t="shared" si="1"/>
        <v>192559.35960095152</v>
      </c>
      <c r="G21" s="116">
        <f t="shared" si="2"/>
        <v>211603.6279767408</v>
      </c>
      <c r="H21" s="116">
        <f t="shared" si="3"/>
        <v>0</v>
      </c>
      <c r="I21" s="116">
        <f t="shared" si="4"/>
        <v>0</v>
      </c>
      <c r="J21" s="231"/>
      <c r="K21" s="63"/>
    </row>
    <row r="22" spans="1:11" s="117" customFormat="1">
      <c r="A22" s="111" t="s">
        <v>216</v>
      </c>
      <c r="B22" s="55"/>
      <c r="C22" s="118"/>
      <c r="D22" s="119">
        <f t="shared" ref="D22:I22" si="5">SUMIF($C:$C,"CUST",D:D)</f>
        <v>18405.609868461539</v>
      </c>
      <c r="E22" s="119">
        <f t="shared" si="5"/>
        <v>0</v>
      </c>
      <c r="F22" s="119">
        <f t="shared" si="5"/>
        <v>0</v>
      </c>
      <c r="G22" s="119">
        <f t="shared" si="5"/>
        <v>0</v>
      </c>
      <c r="H22" s="119">
        <f t="shared" si="5"/>
        <v>18405.609868461539</v>
      </c>
      <c r="I22" s="119">
        <f t="shared" si="5"/>
        <v>0</v>
      </c>
    </row>
    <row r="23" spans="1:11" s="117" customFormat="1">
      <c r="A23" s="111" t="s">
        <v>217</v>
      </c>
      <c r="B23" s="55"/>
      <c r="C23" s="118"/>
      <c r="D23" s="119">
        <f t="shared" ref="D23:I23" si="6">SUMIF($C:$C,"TD",D:D)</f>
        <v>404162.98757769237</v>
      </c>
      <c r="E23" s="119">
        <f t="shared" si="6"/>
        <v>0</v>
      </c>
      <c r="F23" s="119">
        <f t="shared" si="6"/>
        <v>192559.35960095152</v>
      </c>
      <c r="G23" s="119">
        <f t="shared" si="6"/>
        <v>211603.6279767408</v>
      </c>
      <c r="H23" s="119">
        <f t="shared" si="6"/>
        <v>0</v>
      </c>
      <c r="I23" s="119">
        <f t="shared" si="6"/>
        <v>0</v>
      </c>
    </row>
    <row r="24" spans="1:11" s="117" customFormat="1">
      <c r="A24" s="111" t="s">
        <v>218</v>
      </c>
      <c r="B24" s="55"/>
      <c r="C24" s="118"/>
      <c r="D24" s="119">
        <f t="shared" ref="D24:I24" si="7">SUMIF($C:$C,"PTD",D:D)</f>
        <v>282656.5200830769</v>
      </c>
      <c r="E24" s="119">
        <f t="shared" si="7"/>
        <v>137113.76060429931</v>
      </c>
      <c r="F24" s="119">
        <f t="shared" si="7"/>
        <v>69342.372807953769</v>
      </c>
      <c r="G24" s="119">
        <f t="shared" si="7"/>
        <v>76200.38667082382</v>
      </c>
      <c r="H24" s="119">
        <f t="shared" si="7"/>
        <v>0</v>
      </c>
      <c r="I24" s="119">
        <f t="shared" si="7"/>
        <v>0</v>
      </c>
    </row>
    <row r="25" spans="1:11" s="117" customFormat="1">
      <c r="A25" s="111" t="s">
        <v>219</v>
      </c>
      <c r="B25" s="55"/>
      <c r="C25" s="118"/>
      <c r="D25" s="119">
        <f t="shared" ref="D25:I25" si="8">SUMIF($C:$C,"DPW",D:D)</f>
        <v>224671.55653230756</v>
      </c>
      <c r="E25" s="119">
        <f t="shared" si="8"/>
        <v>0</v>
      </c>
      <c r="F25" s="119">
        <f t="shared" si="8"/>
        <v>0</v>
      </c>
      <c r="G25" s="119">
        <f t="shared" si="8"/>
        <v>224671.55653230756</v>
      </c>
      <c r="H25" s="119">
        <f t="shared" si="8"/>
        <v>0</v>
      </c>
      <c r="I25" s="119">
        <f t="shared" si="8"/>
        <v>0</v>
      </c>
    </row>
    <row r="26" spans="1:11" s="117" customFormat="1">
      <c r="A26" s="111" t="s">
        <v>220</v>
      </c>
      <c r="B26" s="54"/>
      <c r="C26" s="54"/>
      <c r="D26" s="119">
        <f t="shared" ref="D26:I26" si="9">SUMIF($B:$B,"SSGCH",D:D)</f>
        <v>0</v>
      </c>
      <c r="E26" s="119">
        <f t="shared" si="9"/>
        <v>0</v>
      </c>
      <c r="F26" s="119">
        <f t="shared" si="9"/>
        <v>0</v>
      </c>
      <c r="G26" s="119">
        <f t="shared" si="9"/>
        <v>0</v>
      </c>
      <c r="H26" s="119">
        <f t="shared" si="9"/>
        <v>0</v>
      </c>
      <c r="I26" s="119">
        <f t="shared" si="9"/>
        <v>0</v>
      </c>
    </row>
    <row r="27" spans="1:11" s="117" customFormat="1">
      <c r="A27" s="111" t="s">
        <v>221</v>
      </c>
      <c r="B27" s="54"/>
      <c r="C27" s="54"/>
      <c r="D27" s="119">
        <f t="shared" ref="D27:I27" si="10">SUMIF($B:$B,"SSGCT",D:D)</f>
        <v>0</v>
      </c>
      <c r="E27" s="119">
        <f t="shared" si="10"/>
        <v>0</v>
      </c>
      <c r="F27" s="119">
        <f t="shared" si="10"/>
        <v>0</v>
      </c>
      <c r="G27" s="119">
        <f t="shared" si="10"/>
        <v>0</v>
      </c>
      <c r="H27" s="119">
        <f t="shared" si="10"/>
        <v>0</v>
      </c>
      <c r="I27" s="119">
        <f t="shared" si="10"/>
        <v>0</v>
      </c>
    </row>
    <row r="28" spans="1:11" s="117" customFormat="1">
      <c r="A28" s="111" t="s">
        <v>222</v>
      </c>
      <c r="B28" s="54"/>
      <c r="C28" s="54"/>
      <c r="D28" s="119">
        <f t="shared" ref="D28:I28" si="11">SUMIF($B:$B,"SG",D:D)</f>
        <v>290861.594393846</v>
      </c>
      <c r="E28" s="119">
        <f t="shared" si="11"/>
        <v>120909.28342999998</v>
      </c>
      <c r="F28" s="119">
        <f t="shared" si="11"/>
        <v>169952.31096384599</v>
      </c>
      <c r="G28" s="119">
        <f t="shared" si="11"/>
        <v>0</v>
      </c>
      <c r="H28" s="119">
        <f t="shared" si="11"/>
        <v>0</v>
      </c>
      <c r="I28" s="119">
        <f t="shared" si="11"/>
        <v>0</v>
      </c>
    </row>
    <row r="29" spans="1:11" s="117" customFormat="1">
      <c r="A29" s="111" t="s">
        <v>223</v>
      </c>
      <c r="B29" s="54"/>
      <c r="C29" s="54"/>
      <c r="D29" s="119">
        <f t="shared" ref="D29:I29" si="12">SUMIF($B:$B,"SE",D:D)</f>
        <v>5541.8482153846107</v>
      </c>
      <c r="E29" s="119">
        <f t="shared" si="12"/>
        <v>5541.8482153846107</v>
      </c>
      <c r="F29" s="119">
        <f t="shared" si="12"/>
        <v>0</v>
      </c>
      <c r="G29" s="119">
        <f t="shared" si="12"/>
        <v>0</v>
      </c>
      <c r="H29" s="119">
        <f t="shared" si="12"/>
        <v>0</v>
      </c>
      <c r="I29" s="119">
        <f t="shared" si="12"/>
        <v>0</v>
      </c>
    </row>
    <row r="30" spans="1:11" s="117" customFormat="1">
      <c r="A30" s="111" t="s">
        <v>224</v>
      </c>
      <c r="B30" s="54"/>
      <c r="C30" s="54"/>
      <c r="D30" s="119">
        <f t="shared" ref="D30:I30" si="13">SUMIF($B:$B,"SITUS",D:D)</f>
        <v>628834.5441099999</v>
      </c>
      <c r="E30" s="119">
        <f t="shared" si="13"/>
        <v>0</v>
      </c>
      <c r="F30" s="119">
        <f t="shared" si="13"/>
        <v>192559.35960095152</v>
      </c>
      <c r="G30" s="119">
        <f t="shared" si="13"/>
        <v>436275.18450904835</v>
      </c>
      <c r="H30" s="119">
        <f t="shared" si="13"/>
        <v>0</v>
      </c>
      <c r="I30" s="119">
        <f t="shared" si="13"/>
        <v>0</v>
      </c>
    </row>
    <row r="31" spans="1:11" s="117" customFormat="1">
      <c r="A31" s="124" t="s">
        <v>225</v>
      </c>
      <c r="B31" s="125"/>
      <c r="C31" s="125"/>
      <c r="D31" s="126">
        <f t="shared" ref="D31:I31" si="14">SUMIF($B:$B,"SO",D:D)</f>
        <v>282656.5200830769</v>
      </c>
      <c r="E31" s="126">
        <f t="shared" si="14"/>
        <v>137113.76060429931</v>
      </c>
      <c r="F31" s="126">
        <f t="shared" si="14"/>
        <v>69342.372807953769</v>
      </c>
      <c r="G31" s="126">
        <f t="shared" si="14"/>
        <v>76200.38667082382</v>
      </c>
      <c r="H31" s="126">
        <f t="shared" si="14"/>
        <v>0</v>
      </c>
      <c r="I31" s="126">
        <f t="shared" si="14"/>
        <v>0</v>
      </c>
    </row>
    <row r="32" spans="1:11" s="117" customFormat="1">
      <c r="A32" s="111" t="s">
        <v>226</v>
      </c>
      <c r="B32" s="54"/>
      <c r="C32" s="54"/>
      <c r="D32" s="119">
        <f t="shared" ref="D32:I32" si="15">SUM(D7:D21)</f>
        <v>1226300.1166707689</v>
      </c>
      <c r="E32" s="119">
        <f t="shared" si="15"/>
        <v>263564.89224968391</v>
      </c>
      <c r="F32" s="119">
        <f t="shared" si="15"/>
        <v>431854.04337275127</v>
      </c>
      <c r="G32" s="119">
        <f t="shared" si="15"/>
        <v>512475.57117987215</v>
      </c>
      <c r="H32" s="119">
        <f t="shared" si="15"/>
        <v>18405.609868461539</v>
      </c>
      <c r="I32" s="119">
        <f t="shared" si="15"/>
        <v>0</v>
      </c>
    </row>
    <row r="33" spans="1:9" s="117" customFormat="1">
      <c r="A33" s="111"/>
      <c r="B33" s="54"/>
      <c r="C33" s="54"/>
      <c r="D33" s="119"/>
      <c r="E33" s="119"/>
      <c r="F33" s="119"/>
      <c r="G33" s="119"/>
      <c r="H33" s="119"/>
      <c r="I33" s="119"/>
    </row>
    <row r="34" spans="1:9" s="117" customFormat="1">
      <c r="A34" s="111" t="s">
        <v>227</v>
      </c>
      <c r="B34" s="111"/>
      <c r="C34" s="111"/>
      <c r="D34" s="228">
        <f>SUM(E34:I34)</f>
        <v>1</v>
      </c>
      <c r="E34" s="229">
        <f>E28/$D$28</f>
        <v>0.41569353177058072</v>
      </c>
      <c r="F34" s="229">
        <f>F28/$D$28</f>
        <v>0.58430646822941923</v>
      </c>
      <c r="G34" s="229">
        <f>G28/$D$28</f>
        <v>0</v>
      </c>
      <c r="H34" s="229">
        <f>H28/$D$28</f>
        <v>0</v>
      </c>
      <c r="I34" s="229">
        <f>I28/$D$28</f>
        <v>0</v>
      </c>
    </row>
    <row r="35" spans="1:9" s="117" customFormat="1">
      <c r="A35" s="111" t="s">
        <v>228</v>
      </c>
      <c r="B35" s="111"/>
      <c r="C35" s="111"/>
      <c r="D35" s="228">
        <f>SUM(E35:I35)</f>
        <v>1</v>
      </c>
      <c r="E35" s="229">
        <f>E29/$D$29</f>
        <v>1</v>
      </c>
      <c r="F35" s="229">
        <f>F29/$D$29</f>
        <v>0</v>
      </c>
      <c r="G35" s="229">
        <f>G29/$D$29</f>
        <v>0</v>
      </c>
      <c r="H35" s="229">
        <f>H29/$D$29</f>
        <v>0</v>
      </c>
      <c r="I35" s="229">
        <f>I29/$D$29</f>
        <v>0</v>
      </c>
    </row>
    <row r="36" spans="1:9" s="117" customFormat="1">
      <c r="A36" s="111" t="s">
        <v>229</v>
      </c>
      <c r="B36" s="111"/>
      <c r="C36" s="111"/>
      <c r="D36" s="228">
        <f>SUM(E36:I36)</f>
        <v>0.99999999999999989</v>
      </c>
      <c r="E36" s="229">
        <f>E30/$D$30</f>
        <v>0</v>
      </c>
      <c r="F36" s="229">
        <f>F30/$D$30</f>
        <v>0.30621625577755751</v>
      </c>
      <c r="G36" s="229">
        <f>G30/$D$30</f>
        <v>0.69378374422244238</v>
      </c>
      <c r="H36" s="229">
        <f>H30/$D$30</f>
        <v>0</v>
      </c>
      <c r="I36" s="229">
        <f>I30/$D$30</f>
        <v>0</v>
      </c>
    </row>
    <row r="37" spans="1:9" s="117" customFormat="1">
      <c r="A37" s="111" t="s">
        <v>230</v>
      </c>
      <c r="B37" s="111"/>
      <c r="C37" s="111"/>
      <c r="D37" s="228">
        <f>SUM(E37:I37)</f>
        <v>1</v>
      </c>
      <c r="E37" s="229">
        <f>E31/$D$31</f>
        <v>0.48508967903517514</v>
      </c>
      <c r="F37" s="229">
        <f>F31/$D$31</f>
        <v>0.24532380426806721</v>
      </c>
      <c r="G37" s="229">
        <f>G31/$D$31</f>
        <v>0.26958651669675765</v>
      </c>
      <c r="H37" s="229">
        <f>H31/$D$31</f>
        <v>0</v>
      </c>
      <c r="I37" s="229">
        <f>I31/$D$31</f>
        <v>0</v>
      </c>
    </row>
    <row r="38" spans="1:9" s="117" customFormat="1">
      <c r="A38" s="111" t="s">
        <v>231</v>
      </c>
      <c r="B38" s="111"/>
      <c r="C38" s="111"/>
      <c r="D38" s="228">
        <f>SUM(E38:I38)</f>
        <v>0.99999999999999989</v>
      </c>
      <c r="E38" s="230">
        <f>E32/$D$32</f>
        <v>0.21492690791323191</v>
      </c>
      <c r="F38" s="230">
        <f>F32/$D$32</f>
        <v>0.35216015843264681</v>
      </c>
      <c r="G38" s="230">
        <f>G32/$D$32</f>
        <v>0.41790387541605289</v>
      </c>
      <c r="H38" s="230">
        <f>H32/$D$32</f>
        <v>1.5009058238068314E-2</v>
      </c>
      <c r="I38" s="230">
        <f>I32/$D$32</f>
        <v>0</v>
      </c>
    </row>
    <row r="39" spans="1:9" s="117" customFormat="1">
      <c r="A39" s="54" t="s">
        <v>232</v>
      </c>
      <c r="C39" s="54"/>
      <c r="D39" s="127">
        <f>D32</f>
        <v>1226300.1166707689</v>
      </c>
    </row>
    <row r="40" spans="1:9" s="117" customFormat="1">
      <c r="A40" s="54" t="s">
        <v>141</v>
      </c>
      <c r="C40" s="54" t="s">
        <v>233</v>
      </c>
      <c r="D40" s="127">
        <f>'GROSS PLANT'!D12</f>
        <v>113559.34099999999</v>
      </c>
      <c r="E40" s="128">
        <f>D29</f>
        <v>5541.8482153846107</v>
      </c>
      <c r="F40" s="128">
        <f>SUM(D40+E40)</f>
        <v>119101.1892153846</v>
      </c>
    </row>
    <row r="41" spans="1:9" s="117" customFormat="1">
      <c r="A41" s="54" t="s">
        <v>234</v>
      </c>
      <c r="C41" s="54" t="s">
        <v>72</v>
      </c>
      <c r="D41" s="159">
        <f>SUM(D39:D40)</f>
        <v>1339859.457670769</v>
      </c>
      <c r="F41" s="128"/>
    </row>
    <row r="42" spans="1:9" s="117" customFormat="1">
      <c r="D42" s="128"/>
    </row>
    <row r="43" spans="1:9" s="117" customFormat="1">
      <c r="D43" s="128"/>
    </row>
    <row r="44" spans="1:9" s="117" customFormat="1">
      <c r="B44" s="54" t="s">
        <v>180</v>
      </c>
      <c r="C44" s="54"/>
      <c r="D44" s="129" t="s">
        <v>181</v>
      </c>
      <c r="E44" s="129" t="s">
        <v>182</v>
      </c>
      <c r="F44" s="130" t="s">
        <v>7</v>
      </c>
      <c r="G44" s="130" t="s">
        <v>8</v>
      </c>
      <c r="H44" s="130" t="s">
        <v>162</v>
      </c>
    </row>
    <row r="45" spans="1:9" s="117" customFormat="1">
      <c r="B45" s="117" t="s">
        <v>72</v>
      </c>
      <c r="C45" s="131">
        <f t="shared" ref="C45:C50" si="16">SUM(D45:H45)</f>
        <v>1</v>
      </c>
      <c r="D45" s="131">
        <f>'FORM 1'!$C$13</f>
        <v>1</v>
      </c>
      <c r="E45" s="131">
        <f>'FORM 1'!$D$13</f>
        <v>0</v>
      </c>
      <c r="F45" s="131">
        <f>'FORM 1'!$E$13</f>
        <v>0</v>
      </c>
      <c r="G45" s="131">
        <f>'FORM 1'!$F$13</f>
        <v>0</v>
      </c>
      <c r="H45" s="131">
        <f>'FORM 1'!$G$13</f>
        <v>0</v>
      </c>
    </row>
    <row r="46" spans="1:9" s="117" customFormat="1">
      <c r="B46" s="117" t="s">
        <v>113</v>
      </c>
      <c r="C46" s="131">
        <f t="shared" si="16"/>
        <v>1</v>
      </c>
      <c r="D46" s="131">
        <f>'FORM 1'!$C$14</f>
        <v>0</v>
      </c>
      <c r="E46" s="131">
        <f>'FORM 1'!$D$14</f>
        <v>1</v>
      </c>
      <c r="F46" s="131">
        <f>'FORM 1'!$E$14</f>
        <v>0</v>
      </c>
      <c r="G46" s="131">
        <f>'FORM 1'!$F$14</f>
        <v>0</v>
      </c>
      <c r="H46" s="131">
        <f>'FORM 1'!$G$14</f>
        <v>0</v>
      </c>
    </row>
    <row r="47" spans="1:9" s="117" customFormat="1">
      <c r="B47" s="117" t="s">
        <v>116</v>
      </c>
      <c r="C47" s="131">
        <f t="shared" si="16"/>
        <v>0.99999999999999989</v>
      </c>
      <c r="D47" s="131">
        <f>'FORM 1'!$C$18</f>
        <v>0</v>
      </c>
      <c r="E47" s="131">
        <f>'FORM 1'!$D$18</f>
        <v>0.47643986589429044</v>
      </c>
      <c r="F47" s="131">
        <f>'FORM 1'!$E$18</f>
        <v>0.52356013410570945</v>
      </c>
      <c r="G47" s="131">
        <f>'FORM 1'!$F$18</f>
        <v>0</v>
      </c>
      <c r="H47" s="131">
        <f>'FORM 1'!$G$18</f>
        <v>0</v>
      </c>
    </row>
    <row r="48" spans="1:9" s="117" customFormat="1">
      <c r="B48" s="117" t="s">
        <v>8</v>
      </c>
      <c r="C48" s="131">
        <f t="shared" si="16"/>
        <v>1</v>
      </c>
      <c r="D48" s="131">
        <v>0</v>
      </c>
      <c r="E48" s="131">
        <v>0</v>
      </c>
      <c r="F48" s="131">
        <v>0</v>
      </c>
      <c r="G48" s="131">
        <v>1</v>
      </c>
      <c r="H48" s="131">
        <v>0</v>
      </c>
    </row>
    <row r="49" spans="1:9" s="117" customFormat="1">
      <c r="B49" s="117" t="s">
        <v>7</v>
      </c>
      <c r="C49" s="131">
        <f t="shared" si="16"/>
        <v>1</v>
      </c>
      <c r="D49" s="131">
        <v>0</v>
      </c>
      <c r="E49" s="131">
        <v>0</v>
      </c>
      <c r="F49" s="131">
        <v>1</v>
      </c>
      <c r="G49" s="131">
        <v>0</v>
      </c>
      <c r="H49" s="131">
        <v>0</v>
      </c>
    </row>
    <row r="50" spans="1:9" s="117" customFormat="1">
      <c r="B50" s="118" t="s">
        <v>132</v>
      </c>
      <c r="C50" s="131">
        <f t="shared" si="16"/>
        <v>1</v>
      </c>
      <c r="D50" s="131">
        <f>'FORM 1'!$C$16</f>
        <v>0.48508967903517519</v>
      </c>
      <c r="E50" s="131">
        <f>'FORM 1'!$D$16</f>
        <v>0.24532380426806721</v>
      </c>
      <c r="F50" s="131">
        <f>'FORM 1'!$E$16</f>
        <v>0.26958651669675765</v>
      </c>
      <c r="G50" s="131">
        <f>'FORM 1'!$F$16</f>
        <v>0</v>
      </c>
      <c r="H50" s="131">
        <f>'FORM 1'!$G$16</f>
        <v>0</v>
      </c>
    </row>
    <row r="51" spans="1:9" s="117" customFormat="1">
      <c r="B51" s="118" t="s">
        <v>38</v>
      </c>
      <c r="C51" s="131">
        <f>SUM(D51:H51)</f>
        <v>0.99999999999999989</v>
      </c>
      <c r="D51" s="131">
        <f>+'GROSS PLANT'!E42</f>
        <v>0.47642835102480052</v>
      </c>
      <c r="E51" s="131">
        <f>+'GROSS PLANT'!F42</f>
        <v>0.24678815260820858</v>
      </c>
      <c r="F51" s="131">
        <f>+'GROSS PLANT'!G42</f>
        <v>0.27019312987812671</v>
      </c>
      <c r="G51" s="131">
        <f>+'GROSS PLANT'!H42</f>
        <v>6.5903664888640485E-3</v>
      </c>
      <c r="H51" s="131">
        <f>+'GROSS PLANT'!I42</f>
        <v>0</v>
      </c>
    </row>
    <row r="52" spans="1:9" s="117" customFormat="1">
      <c r="A52" s="54"/>
      <c r="B52" s="54"/>
      <c r="C52" s="54"/>
      <c r="D52" s="119"/>
      <c r="E52" s="119"/>
      <c r="F52" s="119"/>
      <c r="G52" s="119"/>
      <c r="H52" s="119"/>
      <c r="I52" s="119"/>
    </row>
    <row r="53" spans="1:9" s="117" customFormat="1">
      <c r="A53" s="54"/>
      <c r="B53" s="54"/>
      <c r="C53" s="54"/>
      <c r="D53" s="119"/>
      <c r="E53" s="119"/>
      <c r="F53" s="119"/>
      <c r="G53" s="119"/>
    </row>
    <row r="54" spans="1:9" s="117" customFormat="1">
      <c r="A54" s="54"/>
      <c r="B54" s="54"/>
      <c r="C54" s="54"/>
      <c r="D54" s="119"/>
      <c r="E54" s="119"/>
      <c r="F54" s="119"/>
      <c r="G54" s="119"/>
    </row>
    <row r="55" spans="1:9" s="117" customFormat="1">
      <c r="A55" s="54"/>
      <c r="B55" s="54"/>
      <c r="C55" s="54"/>
      <c r="D55" s="119"/>
      <c r="E55" s="119"/>
      <c r="F55" s="119"/>
      <c r="G55" s="119"/>
      <c r="H55" s="119"/>
      <c r="I55" s="119"/>
    </row>
    <row r="56" spans="1:9" s="117" customFormat="1">
      <c r="A56" s="54"/>
      <c r="B56" s="54"/>
      <c r="C56" s="54"/>
      <c r="D56" s="119"/>
      <c r="E56" s="119"/>
      <c r="F56" s="119"/>
      <c r="G56" s="119"/>
      <c r="H56" s="119"/>
      <c r="I56" s="119"/>
    </row>
    <row r="57" spans="1:9" s="117" customFormat="1">
      <c r="A57" s="54"/>
      <c r="B57" s="54"/>
      <c r="C57" s="54"/>
      <c r="D57" s="119"/>
      <c r="E57" s="119"/>
      <c r="F57" s="119"/>
      <c r="G57" s="119"/>
    </row>
    <row r="58" spans="1:9" s="117" customFormat="1">
      <c r="A58" s="54"/>
      <c r="E58" s="119"/>
      <c r="F58" s="119"/>
      <c r="G58" s="119"/>
    </row>
    <row r="59" spans="1:9" s="117" customFormat="1">
      <c r="A59" s="54"/>
      <c r="E59" s="119"/>
      <c r="F59" s="119"/>
      <c r="G59" s="119"/>
    </row>
    <row r="60" spans="1:9" s="117" customFormat="1">
      <c r="A60" s="54"/>
      <c r="B60" s="54"/>
      <c r="C60" s="54"/>
      <c r="D60" s="119"/>
      <c r="E60" s="119"/>
      <c r="F60" s="119"/>
      <c r="G60" s="119"/>
    </row>
    <row r="61" spans="1:9" s="117" customFormat="1">
      <c r="A61" s="54"/>
      <c r="B61" s="54"/>
      <c r="C61" s="54"/>
      <c r="D61" s="119"/>
      <c r="E61" s="119"/>
      <c r="F61" s="119"/>
      <c r="G61" s="119"/>
      <c r="H61" s="119"/>
      <c r="I61" s="119"/>
    </row>
    <row r="62" spans="1:9" s="117" customFormat="1">
      <c r="A62" s="54"/>
      <c r="B62" s="54"/>
      <c r="C62" s="54"/>
      <c r="D62" s="119"/>
      <c r="E62" s="119"/>
      <c r="F62" s="119"/>
      <c r="G62" s="119"/>
      <c r="H62" s="119"/>
      <c r="I62" s="119"/>
    </row>
    <row r="63" spans="1:9" s="117" customFormat="1">
      <c r="A63" s="54"/>
      <c r="B63" s="54"/>
      <c r="C63" s="54"/>
      <c r="D63" s="119"/>
      <c r="E63" s="119"/>
      <c r="F63" s="119"/>
      <c r="G63" s="119"/>
    </row>
    <row r="64" spans="1:9" s="117" customFormat="1">
      <c r="D64" s="132"/>
      <c r="E64" s="132"/>
      <c r="F64" s="132"/>
      <c r="G64" s="132"/>
      <c r="H64" s="132"/>
      <c r="I64" s="132"/>
    </row>
    <row r="65" spans="1:9" s="117" customFormat="1">
      <c r="A65" s="54"/>
      <c r="B65" s="54"/>
      <c r="C65" s="54"/>
      <c r="D65" s="119"/>
      <c r="E65" s="119"/>
      <c r="F65" s="119"/>
      <c r="G65" s="119"/>
      <c r="H65" s="119"/>
      <c r="I65" s="119"/>
    </row>
    <row r="66" spans="1:9" s="117" customFormat="1">
      <c r="A66" s="54"/>
      <c r="B66" s="54"/>
      <c r="C66" s="54"/>
      <c r="D66" s="119"/>
      <c r="E66" s="119"/>
      <c r="F66" s="119"/>
      <c r="G66" s="119"/>
    </row>
    <row r="67" spans="1:9" s="117" customFormat="1">
      <c r="D67" s="133"/>
    </row>
    <row r="68" spans="1:9" s="117" customFormat="1"/>
    <row r="69" spans="1:9" s="117" customFormat="1"/>
    <row r="70" spans="1:9">
      <c r="A70" s="117"/>
      <c r="B70" s="117"/>
      <c r="C70" s="117"/>
      <c r="D70" s="117"/>
      <c r="E70" s="117"/>
      <c r="F70" s="117"/>
      <c r="G70" s="117"/>
      <c r="H70" s="117"/>
      <c r="I70" s="117"/>
    </row>
  </sheetData>
  <printOptions horizontalCentered="1"/>
  <pageMargins left="0.5" right="0.5" top="0.5" bottom="0.56000000000000005" header="0.4" footer="0.2"/>
  <pageSetup scale="84" orientation="landscape" r:id="rId1"/>
  <headerFooter alignWithMargins="0">
    <oddFooter>&amp;LExhibit RMP_____(CCP-3)&amp;R&amp;F&amp;CTab 3 - Page  3 of 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J47"/>
  <sheetViews>
    <sheetView defaultGridColor="0" colorId="22" zoomScale="90" workbookViewId="0"/>
  </sheetViews>
  <sheetFormatPr defaultColWidth="12.5703125" defaultRowHeight="12.75"/>
  <cols>
    <col min="1" max="1" width="10" style="137" customWidth="1"/>
    <col min="2" max="2" width="21" style="103" bestFit="1" customWidth="1"/>
    <col min="3" max="8" width="16.7109375" style="103" customWidth="1"/>
    <col min="9" max="9" width="8.85546875" style="103" bestFit="1" customWidth="1"/>
    <col min="10" max="10" width="19.7109375" style="103" bestFit="1" customWidth="1"/>
    <col min="11" max="16384" width="12.5703125" style="103"/>
  </cols>
  <sheetData>
    <row r="1" spans="1:10">
      <c r="A1" s="134" t="str">
        <f>+'TOTAL FUNCFAC'!A1</f>
        <v>PacifiCorp</v>
      </c>
      <c r="B1" s="135"/>
      <c r="C1" s="135"/>
      <c r="D1" s="135"/>
      <c r="E1" s="135"/>
      <c r="F1" s="135"/>
      <c r="G1" s="136"/>
      <c r="H1" s="136"/>
    </row>
    <row r="2" spans="1:10">
      <c r="A2" s="134" t="str">
        <f>+'TOTAL FUNCFAC'!A2</f>
        <v>12 Months Ended December 2018</v>
      </c>
      <c r="B2" s="135"/>
      <c r="C2" s="135"/>
      <c r="D2" s="135"/>
      <c r="E2" s="135"/>
      <c r="F2" s="135"/>
      <c r="G2" s="136"/>
      <c r="H2" s="136"/>
    </row>
    <row r="3" spans="1:10">
      <c r="A3" s="134" t="s">
        <v>45</v>
      </c>
      <c r="B3" s="135"/>
      <c r="C3" s="135"/>
      <c r="D3" s="135"/>
      <c r="E3" s="135"/>
      <c r="F3" s="135"/>
      <c r="G3" s="136"/>
      <c r="H3" s="136"/>
    </row>
    <row r="4" spans="1:10">
      <c r="A4" s="211" t="s">
        <v>155</v>
      </c>
      <c r="B4" s="136"/>
      <c r="C4" s="136"/>
      <c r="D4" s="136"/>
      <c r="E4" s="136"/>
      <c r="F4" s="136"/>
      <c r="G4" s="136"/>
      <c r="H4" s="136"/>
    </row>
    <row r="5" spans="1:10">
      <c r="A5" s="137" t="s">
        <v>156</v>
      </c>
    </row>
    <row r="6" spans="1:10">
      <c r="A6" s="138" t="s">
        <v>157</v>
      </c>
      <c r="B6" s="138" t="s">
        <v>158</v>
      </c>
      <c r="C6" s="138" t="s">
        <v>159</v>
      </c>
      <c r="D6" s="138" t="s">
        <v>5</v>
      </c>
      <c r="E6" s="138" t="s">
        <v>160</v>
      </c>
      <c r="F6" s="138" t="s">
        <v>7</v>
      </c>
      <c r="G6" s="139" t="s">
        <v>199</v>
      </c>
      <c r="H6" s="139" t="s">
        <v>9</v>
      </c>
      <c r="I6" s="212"/>
    </row>
    <row r="7" spans="1:10">
      <c r="A7" s="140" t="s">
        <v>213</v>
      </c>
      <c r="B7" s="140" t="s">
        <v>8</v>
      </c>
      <c r="C7" s="236">
        <v>162752.21777692289</v>
      </c>
      <c r="D7" s="141">
        <f t="shared" ref="D7:D25" si="0">$C7*VLOOKUP(+$B7,$B$39:$H$46,3)</f>
        <v>0</v>
      </c>
      <c r="E7" s="141">
        <f t="shared" ref="E7:E25" si="1">$C7*VLOOKUP(+$B7,$B$39:$H$46,4)</f>
        <v>0</v>
      </c>
      <c r="F7" s="141">
        <f t="shared" ref="F7:F25" si="2">$C7*VLOOKUP(+$B7,$B$39:$H$46,5)</f>
        <v>0</v>
      </c>
      <c r="G7" s="141">
        <f t="shared" ref="G7:G25" si="3">$C7*VLOOKUP(+$B7,$B$39:$H$46,6)</f>
        <v>162752.21777692289</v>
      </c>
      <c r="H7" s="141">
        <f t="shared" ref="H7:H25" si="4">$C7*VLOOKUP(+$B7,$B$39:$H$46,7)</f>
        <v>0</v>
      </c>
      <c r="I7" s="231"/>
      <c r="J7" s="63"/>
    </row>
    <row r="8" spans="1:10">
      <c r="A8" s="140" t="s">
        <v>166</v>
      </c>
      <c r="B8" s="140" t="s">
        <v>72</v>
      </c>
      <c r="C8" s="236">
        <v>13.526169230769201</v>
      </c>
      <c r="D8" s="141">
        <f t="shared" si="0"/>
        <v>13.526169230769201</v>
      </c>
      <c r="E8" s="141">
        <f t="shared" si="1"/>
        <v>0</v>
      </c>
      <c r="F8" s="141">
        <f t="shared" si="2"/>
        <v>0</v>
      </c>
      <c r="G8" s="141">
        <f t="shared" si="3"/>
        <v>0</v>
      </c>
      <c r="H8" s="141">
        <f t="shared" si="4"/>
        <v>0</v>
      </c>
      <c r="I8" s="231"/>
      <c r="J8" s="63"/>
    </row>
    <row r="9" spans="1:10">
      <c r="A9" s="140" t="s">
        <v>202</v>
      </c>
      <c r="B9" s="140" t="s">
        <v>72</v>
      </c>
      <c r="C9" s="236">
        <v>116210.40035307691</v>
      </c>
      <c r="D9" s="141">
        <f t="shared" si="0"/>
        <v>116210.40035307691</v>
      </c>
      <c r="E9" s="141">
        <f t="shared" si="1"/>
        <v>0</v>
      </c>
      <c r="F9" s="141">
        <f t="shared" si="2"/>
        <v>0</v>
      </c>
      <c r="G9" s="141">
        <f t="shared" si="3"/>
        <v>0</v>
      </c>
      <c r="H9" s="141">
        <f t="shared" si="4"/>
        <v>0</v>
      </c>
      <c r="I9" s="231"/>
      <c r="J9" s="63"/>
    </row>
    <row r="10" spans="1:10">
      <c r="A10" s="140" t="s">
        <v>202</v>
      </c>
      <c r="B10" s="140" t="s">
        <v>113</v>
      </c>
      <c r="C10" s="236">
        <v>59577.252989999964</v>
      </c>
      <c r="D10" s="141">
        <f t="shared" si="0"/>
        <v>0</v>
      </c>
      <c r="E10" s="141">
        <f t="shared" si="1"/>
        <v>59577.252989999964</v>
      </c>
      <c r="F10" s="141">
        <f t="shared" si="2"/>
        <v>0</v>
      </c>
      <c r="G10" s="141">
        <f t="shared" si="3"/>
        <v>0</v>
      </c>
      <c r="H10" s="141">
        <f t="shared" si="4"/>
        <v>0</v>
      </c>
      <c r="I10" s="231"/>
      <c r="J10" s="63"/>
    </row>
    <row r="11" spans="1:10">
      <c r="A11" s="140" t="s">
        <v>235</v>
      </c>
      <c r="B11" s="140" t="s">
        <v>72</v>
      </c>
      <c r="C11" s="236">
        <v>175524.52486999999</v>
      </c>
      <c r="D11" s="141">
        <f t="shared" si="0"/>
        <v>175524.52486999999</v>
      </c>
      <c r="E11" s="141">
        <f t="shared" si="1"/>
        <v>0</v>
      </c>
      <c r="F11" s="141">
        <f t="shared" si="2"/>
        <v>0</v>
      </c>
      <c r="G11" s="141">
        <f t="shared" si="3"/>
        <v>0</v>
      </c>
      <c r="H11" s="141">
        <f t="shared" si="4"/>
        <v>0</v>
      </c>
      <c r="I11" s="231"/>
      <c r="J11" s="63"/>
    </row>
    <row r="12" spans="1:10">
      <c r="A12" s="140" t="s">
        <v>236</v>
      </c>
      <c r="B12" s="140" t="s">
        <v>72</v>
      </c>
      <c r="C12" s="236">
        <v>9790.3560099999995</v>
      </c>
      <c r="D12" s="141">
        <f t="shared" si="0"/>
        <v>9790.3560099999995</v>
      </c>
      <c r="E12" s="141">
        <f t="shared" si="1"/>
        <v>0</v>
      </c>
      <c r="F12" s="141">
        <f t="shared" si="2"/>
        <v>0</v>
      </c>
      <c r="G12" s="141">
        <f t="shared" si="3"/>
        <v>0</v>
      </c>
      <c r="H12" s="141">
        <f t="shared" si="4"/>
        <v>0</v>
      </c>
      <c r="I12" s="231"/>
      <c r="J12" s="63"/>
    </row>
    <row r="13" spans="1:10">
      <c r="A13" s="140" t="s">
        <v>203</v>
      </c>
      <c r="B13" s="140" t="s">
        <v>8</v>
      </c>
      <c r="C13" s="236">
        <v>8217.2810399999998</v>
      </c>
      <c r="D13" s="141">
        <f t="shared" si="0"/>
        <v>0</v>
      </c>
      <c r="E13" s="141">
        <f t="shared" si="1"/>
        <v>0</v>
      </c>
      <c r="F13" s="141">
        <f t="shared" si="2"/>
        <v>0</v>
      </c>
      <c r="G13" s="141">
        <f t="shared" si="3"/>
        <v>8217.2810399999998</v>
      </c>
      <c r="H13" s="141">
        <f t="shared" si="4"/>
        <v>0</v>
      </c>
      <c r="I13" s="231"/>
      <c r="J13" s="63"/>
    </row>
    <row r="14" spans="1:10">
      <c r="A14" s="140" t="s">
        <v>203</v>
      </c>
      <c r="B14" s="140" t="s">
        <v>7</v>
      </c>
      <c r="C14" s="236">
        <v>32672.861640769199</v>
      </c>
      <c r="D14" s="141">
        <f t="shared" si="0"/>
        <v>0</v>
      </c>
      <c r="E14" s="141">
        <f t="shared" si="1"/>
        <v>0</v>
      </c>
      <c r="F14" s="141">
        <f t="shared" si="2"/>
        <v>32672.861640769199</v>
      </c>
      <c r="G14" s="141">
        <f t="shared" si="3"/>
        <v>0</v>
      </c>
      <c r="H14" s="141">
        <f t="shared" si="4"/>
        <v>0</v>
      </c>
      <c r="I14" s="231"/>
      <c r="J14" s="63"/>
    </row>
    <row r="15" spans="1:10">
      <c r="A15" s="140" t="s">
        <v>203</v>
      </c>
      <c r="B15" s="140" t="s">
        <v>72</v>
      </c>
      <c r="C15" s="236">
        <v>30142.865496923099</v>
      </c>
      <c r="D15" s="141">
        <f t="shared" si="0"/>
        <v>30142.865496923099</v>
      </c>
      <c r="E15" s="141">
        <f t="shared" si="1"/>
        <v>0</v>
      </c>
      <c r="F15" s="141">
        <f t="shared" si="2"/>
        <v>0</v>
      </c>
      <c r="G15" s="141">
        <f t="shared" si="3"/>
        <v>0</v>
      </c>
      <c r="H15" s="141">
        <f t="shared" si="4"/>
        <v>0</v>
      </c>
      <c r="I15" s="231"/>
      <c r="J15" s="63"/>
    </row>
    <row r="16" spans="1:10">
      <c r="A16" s="140" t="s">
        <v>203</v>
      </c>
      <c r="B16" s="140" t="s">
        <v>132</v>
      </c>
      <c r="C16" s="236">
        <v>266512.59356999974</v>
      </c>
      <c r="D16" s="141">
        <f t="shared" si="0"/>
        <v>129282.50847370327</v>
      </c>
      <c r="E16" s="141">
        <f t="shared" si="1"/>
        <v>65381.883339941567</v>
      </c>
      <c r="F16" s="141">
        <f t="shared" si="2"/>
        <v>71848.201756354916</v>
      </c>
      <c r="G16" s="141">
        <f t="shared" si="3"/>
        <v>0</v>
      </c>
      <c r="H16" s="141">
        <f t="shared" si="4"/>
        <v>0</v>
      </c>
      <c r="I16" s="231"/>
      <c r="J16" s="63"/>
    </row>
    <row r="17" spans="1:10">
      <c r="A17" s="140" t="s">
        <v>203</v>
      </c>
      <c r="B17" s="140" t="s">
        <v>113</v>
      </c>
      <c r="C17" s="236">
        <v>1239.5300299999999</v>
      </c>
      <c r="D17" s="141">
        <f t="shared" si="0"/>
        <v>0</v>
      </c>
      <c r="E17" s="141">
        <f t="shared" si="1"/>
        <v>1239.5300299999999</v>
      </c>
      <c r="F17" s="141">
        <f t="shared" si="2"/>
        <v>0</v>
      </c>
      <c r="G17" s="141">
        <f t="shared" si="3"/>
        <v>0</v>
      </c>
      <c r="H17" s="141">
        <f t="shared" si="4"/>
        <v>0</v>
      </c>
      <c r="I17" s="231"/>
      <c r="J17" s="63"/>
    </row>
    <row r="18" spans="1:10">
      <c r="A18" s="140" t="s">
        <v>203</v>
      </c>
      <c r="B18" s="140" t="s">
        <v>116</v>
      </c>
      <c r="C18" s="236">
        <v>41608.162810000002</v>
      </c>
      <c r="D18" s="141">
        <f t="shared" si="0"/>
        <v>0</v>
      </c>
      <c r="E18" s="141">
        <f t="shared" si="1"/>
        <v>19823.787509304202</v>
      </c>
      <c r="F18" s="141">
        <f t="shared" si="2"/>
        <v>21784.375300695792</v>
      </c>
      <c r="G18" s="141">
        <f t="shared" si="3"/>
        <v>0</v>
      </c>
      <c r="H18" s="141">
        <f t="shared" si="4"/>
        <v>0</v>
      </c>
      <c r="I18" s="231"/>
      <c r="J18" s="63"/>
    </row>
    <row r="19" spans="1:10">
      <c r="A19" s="140" t="s">
        <v>203</v>
      </c>
      <c r="B19" s="140" t="s">
        <v>54</v>
      </c>
      <c r="C19" s="237">
        <v>0</v>
      </c>
      <c r="D19" s="141">
        <f t="shared" si="0"/>
        <v>0</v>
      </c>
      <c r="E19" s="141">
        <f t="shared" si="1"/>
        <v>0</v>
      </c>
      <c r="F19" s="141">
        <f t="shared" si="2"/>
        <v>0</v>
      </c>
      <c r="G19" s="141">
        <f t="shared" si="3"/>
        <v>0</v>
      </c>
      <c r="H19" s="141">
        <f t="shared" si="4"/>
        <v>0</v>
      </c>
      <c r="I19" s="231"/>
      <c r="J19" s="63"/>
    </row>
    <row r="20" spans="1:10">
      <c r="A20" s="140" t="s">
        <v>203</v>
      </c>
      <c r="B20" s="140" t="s">
        <v>9</v>
      </c>
      <c r="C20" s="237">
        <v>0</v>
      </c>
      <c r="D20" s="141">
        <f t="shared" si="0"/>
        <v>0</v>
      </c>
      <c r="E20" s="141">
        <f t="shared" si="1"/>
        <v>0</v>
      </c>
      <c r="F20" s="141">
        <f t="shared" si="2"/>
        <v>0</v>
      </c>
      <c r="G20" s="141">
        <f t="shared" si="3"/>
        <v>0</v>
      </c>
      <c r="H20" s="141">
        <f t="shared" si="4"/>
        <v>0</v>
      </c>
      <c r="I20" s="231"/>
      <c r="J20" s="63"/>
    </row>
    <row r="21" spans="1:10">
      <c r="A21" s="140" t="s">
        <v>204</v>
      </c>
      <c r="B21" s="140" t="s">
        <v>7</v>
      </c>
      <c r="C21" s="236">
        <v>157.66159999999999</v>
      </c>
      <c r="D21" s="141">
        <f t="shared" si="0"/>
        <v>0</v>
      </c>
      <c r="E21" s="141">
        <f t="shared" si="1"/>
        <v>0</v>
      </c>
      <c r="F21" s="141">
        <f t="shared" si="2"/>
        <v>157.66159999999999</v>
      </c>
      <c r="G21" s="141">
        <f t="shared" si="3"/>
        <v>0</v>
      </c>
      <c r="H21" s="141">
        <f t="shared" si="4"/>
        <v>0</v>
      </c>
      <c r="I21" s="231"/>
      <c r="J21" s="63"/>
    </row>
    <row r="22" spans="1:10">
      <c r="A22" s="140" t="s">
        <v>204</v>
      </c>
      <c r="B22" s="140" t="s">
        <v>72</v>
      </c>
      <c r="C22" s="236">
        <v>-32081.21485</v>
      </c>
      <c r="D22" s="141">
        <f t="shared" si="0"/>
        <v>-32081.21485</v>
      </c>
      <c r="E22" s="141">
        <f t="shared" si="1"/>
        <v>0</v>
      </c>
      <c r="F22" s="141">
        <f t="shared" si="2"/>
        <v>0</v>
      </c>
      <c r="G22" s="141">
        <f t="shared" si="3"/>
        <v>0</v>
      </c>
      <c r="H22" s="141">
        <f t="shared" si="4"/>
        <v>0</v>
      </c>
      <c r="I22" s="231"/>
      <c r="J22" s="63"/>
    </row>
    <row r="23" spans="1:10">
      <c r="A23" s="140" t="s">
        <v>204</v>
      </c>
      <c r="B23" s="140" t="s">
        <v>132</v>
      </c>
      <c r="C23" s="236">
        <v>0</v>
      </c>
      <c r="D23" s="141">
        <f t="shared" si="0"/>
        <v>0</v>
      </c>
      <c r="E23" s="141">
        <f t="shared" si="1"/>
        <v>0</v>
      </c>
      <c r="F23" s="141">
        <f t="shared" si="2"/>
        <v>0</v>
      </c>
      <c r="G23" s="141">
        <f t="shared" si="3"/>
        <v>0</v>
      </c>
      <c r="H23" s="141">
        <f t="shared" si="4"/>
        <v>0</v>
      </c>
      <c r="I23" s="231"/>
      <c r="J23" s="63"/>
    </row>
    <row r="24" spans="1:10">
      <c r="A24" s="140" t="s">
        <v>204</v>
      </c>
      <c r="B24" s="140" t="s">
        <v>113</v>
      </c>
      <c r="C24" s="236">
        <v>2677.3551453846171</v>
      </c>
      <c r="D24" s="141">
        <f t="shared" si="0"/>
        <v>0</v>
      </c>
      <c r="E24" s="141">
        <f t="shared" si="1"/>
        <v>2677.3551453846171</v>
      </c>
      <c r="F24" s="141">
        <f t="shared" si="2"/>
        <v>0</v>
      </c>
      <c r="G24" s="141">
        <f t="shared" si="3"/>
        <v>0</v>
      </c>
      <c r="H24" s="141">
        <f t="shared" si="4"/>
        <v>0</v>
      </c>
      <c r="I24" s="231"/>
      <c r="J24" s="63"/>
    </row>
    <row r="25" spans="1:10">
      <c r="A25" s="140" t="s">
        <v>204</v>
      </c>
      <c r="B25" s="140" t="s">
        <v>116</v>
      </c>
      <c r="C25" s="236">
        <v>16512.674163076921</v>
      </c>
      <c r="D25" s="141">
        <f t="shared" si="0"/>
        <v>0</v>
      </c>
      <c r="E25" s="141">
        <f t="shared" si="1"/>
        <v>7867.2962638124827</v>
      </c>
      <c r="F25" s="141">
        <f t="shared" si="2"/>
        <v>8645.3778992644366</v>
      </c>
      <c r="G25" s="141">
        <f t="shared" si="3"/>
        <v>0</v>
      </c>
      <c r="H25" s="141">
        <f t="shared" si="4"/>
        <v>0</v>
      </c>
      <c r="I25" s="231"/>
      <c r="J25" s="63"/>
    </row>
    <row r="26" spans="1:10">
      <c r="A26" s="142" t="s">
        <v>237</v>
      </c>
      <c r="B26" s="80"/>
      <c r="C26" s="132"/>
      <c r="D26" s="132"/>
      <c r="E26" s="132"/>
      <c r="F26" s="132"/>
      <c r="G26" s="132"/>
      <c r="H26" s="132"/>
    </row>
    <row r="27" spans="1:10">
      <c r="A27" s="98" t="s">
        <v>238</v>
      </c>
      <c r="B27" s="143"/>
      <c r="C27" s="132"/>
      <c r="D27" s="132"/>
      <c r="E27" s="132"/>
      <c r="F27" s="132"/>
      <c r="G27" s="132"/>
      <c r="H27" s="132"/>
    </row>
    <row r="28" spans="1:10">
      <c r="A28" s="98" t="s">
        <v>239</v>
      </c>
      <c r="B28" s="140"/>
      <c r="C28" s="132">
        <f t="shared" ref="C28:H28" si="5">SUMIF($A:$A,"SG",C:C)+SUMIF($A:$A,"SG-P",C:C)+SUMIF($A:$A,"SG-U",C:C)</f>
        <v>361102.53422307689</v>
      </c>
      <c r="D28" s="132">
        <f t="shared" si="5"/>
        <v>301525.28123307688</v>
      </c>
      <c r="E28" s="132">
        <f t="shared" si="5"/>
        <v>59577.252989999964</v>
      </c>
      <c r="F28" s="132">
        <f t="shared" si="5"/>
        <v>0</v>
      </c>
      <c r="G28" s="132">
        <f t="shared" si="5"/>
        <v>0</v>
      </c>
      <c r="H28" s="132">
        <f t="shared" si="5"/>
        <v>0</v>
      </c>
      <c r="I28" s="137"/>
    </row>
    <row r="29" spans="1:10">
      <c r="A29" s="98" t="s">
        <v>240</v>
      </c>
      <c r="B29" s="140"/>
      <c r="C29" s="132">
        <f t="shared" ref="C29:H29" si="6">SUMIF($A:$A,"SITUS",C:C)</f>
        <v>-12733.523941538464</v>
      </c>
      <c r="D29" s="132">
        <f t="shared" si="6"/>
        <v>-32081.21485</v>
      </c>
      <c r="E29" s="132">
        <f t="shared" si="6"/>
        <v>10544.6514091971</v>
      </c>
      <c r="F29" s="132">
        <f t="shared" si="6"/>
        <v>8803.039499264436</v>
      </c>
      <c r="G29" s="132">
        <f t="shared" si="6"/>
        <v>0</v>
      </c>
      <c r="H29" s="132">
        <f t="shared" si="6"/>
        <v>0</v>
      </c>
      <c r="I29" s="137"/>
    </row>
    <row r="30" spans="1:10">
      <c r="A30" s="98" t="s">
        <v>241</v>
      </c>
      <c r="B30" s="140"/>
      <c r="C30" s="132">
        <f t="shared" ref="C30:H30" si="7">SUM(C7:C25)</f>
        <v>891528.04881538427</v>
      </c>
      <c r="D30" s="132">
        <f>SUM(D7:D25)</f>
        <v>428882.96652293403</v>
      </c>
      <c r="E30" s="132">
        <f t="shared" si="7"/>
        <v>156567.10527844285</v>
      </c>
      <c r="F30" s="132">
        <f t="shared" si="7"/>
        <v>135108.47819708436</v>
      </c>
      <c r="G30" s="132">
        <f t="shared" si="7"/>
        <v>170969.49881692289</v>
      </c>
      <c r="H30" s="132">
        <f t="shared" si="7"/>
        <v>0</v>
      </c>
      <c r="I30" s="137"/>
    </row>
    <row r="31" spans="1:10" hidden="1">
      <c r="A31" s="234" t="s">
        <v>242</v>
      </c>
      <c r="B31" s="234"/>
      <c r="C31" s="228" t="e">
        <f>SUM(D31:H31)</f>
        <v>#DIV/0!</v>
      </c>
      <c r="D31" s="229" t="e">
        <f>D26/$C$26</f>
        <v>#DIV/0!</v>
      </c>
      <c r="E31" s="229" t="e">
        <f>E26/$C$26</f>
        <v>#DIV/0!</v>
      </c>
      <c r="F31" s="229" t="e">
        <f>F26/$C$26</f>
        <v>#DIV/0!</v>
      </c>
      <c r="G31" s="229" t="e">
        <f>G26/$C$26</f>
        <v>#DIV/0!</v>
      </c>
      <c r="H31" s="229" t="e">
        <f>H26/$C$26</f>
        <v>#DIV/0!</v>
      </c>
      <c r="I31" s="137"/>
    </row>
    <row r="32" spans="1:10" hidden="1">
      <c r="A32" s="234" t="s">
        <v>243</v>
      </c>
      <c r="B32" s="234"/>
      <c r="C32" s="228" t="e">
        <f>SUM(D32:H32)</f>
        <v>#DIV/0!</v>
      </c>
      <c r="D32" s="229" t="e">
        <f>D27/$C$27</f>
        <v>#DIV/0!</v>
      </c>
      <c r="E32" s="229" t="e">
        <f>E27/$C$27</f>
        <v>#DIV/0!</v>
      </c>
      <c r="F32" s="229" t="e">
        <f>F27/$C$27</f>
        <v>#DIV/0!</v>
      </c>
      <c r="G32" s="229" t="e">
        <f>G27/$C$27</f>
        <v>#DIV/0!</v>
      </c>
      <c r="H32" s="229" t="e">
        <f>H27/$C$27</f>
        <v>#DIV/0!</v>
      </c>
    </row>
    <row r="33" spans="1:9">
      <c r="A33" s="234" t="s">
        <v>244</v>
      </c>
      <c r="B33" s="234"/>
      <c r="C33" s="228">
        <f>SUM(D33:H33)</f>
        <v>0.99999999999999978</v>
      </c>
      <c r="D33" s="229">
        <f>D28/$C$28</f>
        <v>0.83501291920262399</v>
      </c>
      <c r="E33" s="229">
        <f>E28/$C$28</f>
        <v>0.16498708079737584</v>
      </c>
      <c r="F33" s="229">
        <f>F28/$C$28</f>
        <v>0</v>
      </c>
      <c r="G33" s="229">
        <f>G28/$C$28</f>
        <v>0</v>
      </c>
      <c r="H33" s="229">
        <f>H28/$C$28</f>
        <v>0</v>
      </c>
    </row>
    <row r="34" spans="1:9">
      <c r="A34" s="234" t="s">
        <v>245</v>
      </c>
      <c r="B34" s="234"/>
      <c r="C34" s="228">
        <f>SUM(D34:H34)</f>
        <v>1</v>
      </c>
      <c r="D34" s="229">
        <f>D29/$C$29</f>
        <v>2.5194294208963455</v>
      </c>
      <c r="E34" s="229">
        <f>E29/$C$29</f>
        <v>-0.82810158897169328</v>
      </c>
      <c r="F34" s="229">
        <f>F29/$C$29</f>
        <v>-0.69132783192465208</v>
      </c>
      <c r="G34" s="229">
        <f>G29/$C$29</f>
        <v>0</v>
      </c>
      <c r="H34" s="229">
        <f>H29/$C$29</f>
        <v>0</v>
      </c>
    </row>
    <row r="35" spans="1:9">
      <c r="A35" s="235" t="s">
        <v>246</v>
      </c>
      <c r="B35" s="235"/>
      <c r="C35" s="228">
        <f>SUM(D35:H35)</f>
        <v>0.99999999999999978</v>
      </c>
      <c r="D35" s="229">
        <f>D30/$C$30</f>
        <v>0.48106502884885249</v>
      </c>
      <c r="E35" s="229">
        <f>E30/$C$30</f>
        <v>0.17561657817326221</v>
      </c>
      <c r="F35" s="229">
        <f>F30/$C$30</f>
        <v>0.15154708634978947</v>
      </c>
      <c r="G35" s="229">
        <f>G30/$C$30</f>
        <v>0.19177130662809566</v>
      </c>
      <c r="H35" s="229">
        <f>H30/$C$30</f>
        <v>0</v>
      </c>
    </row>
    <row r="36" spans="1:9">
      <c r="A36" s="144"/>
      <c r="B36" s="145"/>
      <c r="C36" s="146"/>
      <c r="D36" s="146"/>
      <c r="E36" s="146"/>
      <c r="F36" s="146"/>
      <c r="G36" s="146"/>
      <c r="H36" s="147"/>
      <c r="I36" s="137"/>
    </row>
    <row r="38" spans="1:9">
      <c r="A38" s="103"/>
      <c r="B38" s="148" t="s">
        <v>180</v>
      </c>
      <c r="D38" s="149" t="s">
        <v>181</v>
      </c>
      <c r="E38" s="149" t="s">
        <v>182</v>
      </c>
      <c r="F38" s="149" t="s">
        <v>7</v>
      </c>
      <c r="G38" s="149" t="s">
        <v>8</v>
      </c>
      <c r="H38" s="149" t="s">
        <v>9</v>
      </c>
    </row>
    <row r="39" spans="1:9">
      <c r="B39" s="32" t="s">
        <v>72</v>
      </c>
      <c r="C39" s="106">
        <f t="shared" ref="C39:C45" si="8">SUM(D39:H39)</f>
        <v>1</v>
      </c>
      <c r="D39" s="106">
        <f>'FORM 1'!$C$13</f>
        <v>1</v>
      </c>
      <c r="E39" s="106">
        <f>'FORM 1'!$D$13</f>
        <v>0</v>
      </c>
      <c r="F39" s="106">
        <f>'FORM 1'!$E$13</f>
        <v>0</v>
      </c>
      <c r="G39" s="106">
        <f>'FORM 1'!$F$13</f>
        <v>0</v>
      </c>
      <c r="H39" s="106">
        <f>'FORM 1'!$G$13</f>
        <v>0</v>
      </c>
    </row>
    <row r="40" spans="1:9">
      <c r="B40" s="32" t="s">
        <v>113</v>
      </c>
      <c r="C40" s="106">
        <f t="shared" si="8"/>
        <v>1</v>
      </c>
      <c r="D40" s="106">
        <f>'FORM 1'!$C$14</f>
        <v>0</v>
      </c>
      <c r="E40" s="106">
        <f>'FORM 1'!$D$14</f>
        <v>1</v>
      </c>
      <c r="F40" s="106">
        <f>'FORM 1'!$E$14</f>
        <v>0</v>
      </c>
      <c r="G40" s="106">
        <f>'FORM 1'!$F$14</f>
        <v>0</v>
      </c>
      <c r="H40" s="106">
        <f>'FORM 1'!$G$14</f>
        <v>0</v>
      </c>
    </row>
    <row r="41" spans="1:9">
      <c r="B41" s="32" t="s">
        <v>116</v>
      </c>
      <c r="C41" s="106">
        <f t="shared" si="8"/>
        <v>0.99999999999999989</v>
      </c>
      <c r="D41" s="106">
        <f>'FORM 1'!$C$18</f>
        <v>0</v>
      </c>
      <c r="E41" s="106">
        <f>'FORM 1'!$D$18</f>
        <v>0.47643986589429044</v>
      </c>
      <c r="F41" s="106">
        <f>'FORM 1'!$E$18</f>
        <v>0.52356013410570945</v>
      </c>
      <c r="G41" s="106">
        <f>'FORM 1'!$F$18</f>
        <v>0</v>
      </c>
      <c r="H41" s="106">
        <f>'FORM 1'!$G$18</f>
        <v>0</v>
      </c>
    </row>
    <row r="42" spans="1:9">
      <c r="B42" s="32" t="s">
        <v>8</v>
      </c>
      <c r="C42" s="106">
        <f t="shared" si="8"/>
        <v>1</v>
      </c>
      <c r="D42" s="106">
        <v>0</v>
      </c>
      <c r="E42" s="106">
        <v>0</v>
      </c>
      <c r="F42" s="106">
        <v>0</v>
      </c>
      <c r="G42" s="106">
        <v>1</v>
      </c>
      <c r="H42" s="106">
        <v>0</v>
      </c>
    </row>
    <row r="43" spans="1:9">
      <c r="B43" s="32" t="s">
        <v>7</v>
      </c>
      <c r="C43" s="106">
        <f t="shared" si="8"/>
        <v>1</v>
      </c>
      <c r="D43" s="106">
        <v>0</v>
      </c>
      <c r="E43" s="106">
        <v>0</v>
      </c>
      <c r="F43" s="106">
        <v>1</v>
      </c>
      <c r="G43" s="106">
        <v>0</v>
      </c>
      <c r="H43" s="106">
        <v>0</v>
      </c>
    </row>
    <row r="44" spans="1:9">
      <c r="B44" s="215" t="s">
        <v>132</v>
      </c>
      <c r="C44" s="106">
        <f t="shared" si="8"/>
        <v>1</v>
      </c>
      <c r="D44" s="106">
        <f>'FORM 1'!$C$16</f>
        <v>0.48508967903517519</v>
      </c>
      <c r="E44" s="106">
        <f>'FORM 1'!$D$16</f>
        <v>0.24532380426806721</v>
      </c>
      <c r="F44" s="106">
        <f>'FORM 1'!$E$16</f>
        <v>0.26958651669675765</v>
      </c>
      <c r="G44" s="106">
        <f>'FORM 1'!$F$16</f>
        <v>0</v>
      </c>
      <c r="H44" s="106">
        <f>'FORM 1'!$G$16</f>
        <v>0</v>
      </c>
    </row>
    <row r="45" spans="1:9">
      <c r="B45" s="215" t="s">
        <v>9</v>
      </c>
      <c r="C45" s="106">
        <f t="shared" si="8"/>
        <v>1</v>
      </c>
      <c r="D45" s="106">
        <f>'TOTAL FUNCFAC'!C16</f>
        <v>0</v>
      </c>
      <c r="E45" s="106">
        <f>'TOTAL FUNCFAC'!D16</f>
        <v>0</v>
      </c>
      <c r="F45" s="106">
        <f>'TOTAL FUNCFAC'!E16</f>
        <v>0</v>
      </c>
      <c r="G45" s="106">
        <f>'TOTAL FUNCFAC'!F16</f>
        <v>0</v>
      </c>
      <c r="H45" s="106">
        <f>'TOTAL FUNCFAC'!G16</f>
        <v>1</v>
      </c>
    </row>
    <row r="46" spans="1:9">
      <c r="B46" s="103" t="s">
        <v>54</v>
      </c>
      <c r="C46" s="106">
        <f>SUM(D46:H46)</f>
        <v>1</v>
      </c>
      <c r="D46" s="106">
        <f>'SCH M'!F146</f>
        <v>0.46137836289269235</v>
      </c>
      <c r="E46" s="106">
        <f>'SCH M'!G146</f>
        <v>8.6868274473763427E-2</v>
      </c>
      <c r="F46" s="106">
        <f>'SCH M'!H146</f>
        <v>0.30489927544920509</v>
      </c>
      <c r="G46" s="106">
        <f>'SCH M'!I146</f>
        <v>0.14685408718433918</v>
      </c>
      <c r="H46" s="106">
        <f>'SCH M'!J146</f>
        <v>0</v>
      </c>
    </row>
    <row r="47" spans="1:9">
      <c r="B47" s="227"/>
    </row>
  </sheetData>
  <printOptions horizontalCentered="1"/>
  <pageMargins left="0.5" right="0.5" top="0.5" bottom="0.65" header="0.4" footer="0.2"/>
  <pageSetup scale="99" orientation="landscape" r:id="rId1"/>
  <headerFooter alignWithMargins="0">
    <oddFooter>&amp;LExhibit RMP_____(CCP-3)&amp;R&amp;F&amp;CTab 3 - Page  5 of 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165"/>
  <sheetViews>
    <sheetView zoomScale="90" zoomScaleNormal="90" workbookViewId="0"/>
  </sheetViews>
  <sheetFormatPr defaultRowHeight="12.75"/>
  <cols>
    <col min="1" max="1" width="19.7109375" style="80" customWidth="1"/>
    <col min="2" max="2" width="14.28515625" style="80" customWidth="1"/>
    <col min="3" max="3" width="12" style="80" customWidth="1"/>
    <col min="4" max="4" width="13.7109375" style="80" customWidth="1"/>
    <col min="5" max="5" width="15.7109375" style="80" customWidth="1"/>
    <col min="6" max="6" width="15" style="80" bestFit="1" customWidth="1"/>
    <col min="7" max="10" width="15.7109375" style="80" customWidth="1"/>
    <col min="11" max="11" width="9.42578125" style="24" bestFit="1" customWidth="1"/>
    <col min="12" max="12" width="20.28515625" style="80" bestFit="1" customWidth="1"/>
    <col min="13" max="13" width="11.140625" style="24" bestFit="1" customWidth="1"/>
    <col min="14" max="14" width="10.85546875" style="24" customWidth="1"/>
    <col min="15" max="15" width="10.5703125" style="24" bestFit="1" customWidth="1"/>
    <col min="16" max="17" width="10" style="24" bestFit="1" customWidth="1"/>
    <col min="18" max="16384" width="9.140625" style="24"/>
  </cols>
  <sheetData>
    <row r="1" spans="1:12">
      <c r="B1" s="70" t="str">
        <f>+'TOTAL FUNCFAC'!A1</f>
        <v>PacifiCorp</v>
      </c>
      <c r="C1" s="70"/>
      <c r="D1" s="150"/>
      <c r="E1" s="150"/>
      <c r="F1" s="70"/>
      <c r="G1" s="70"/>
      <c r="H1" s="70"/>
      <c r="I1" s="70"/>
      <c r="J1" s="70"/>
      <c r="K1" s="80"/>
      <c r="L1" s="150"/>
    </row>
    <row r="2" spans="1:12">
      <c r="B2" s="151" t="str">
        <f>+'TOTAL FUNCFAC'!A2</f>
        <v>12 Months Ended December 2018</v>
      </c>
      <c r="C2" s="70"/>
      <c r="D2" s="150"/>
      <c r="E2" s="150"/>
      <c r="F2" s="70"/>
      <c r="G2" s="70"/>
      <c r="H2" s="70"/>
      <c r="I2" s="70"/>
      <c r="J2" s="70"/>
      <c r="K2" s="80"/>
      <c r="L2" s="150"/>
    </row>
    <row r="3" spans="1:12">
      <c r="B3" s="70" t="s">
        <v>247</v>
      </c>
      <c r="C3" s="70"/>
      <c r="D3" s="150"/>
      <c r="E3" s="150"/>
      <c r="F3" s="70"/>
      <c r="G3" s="70"/>
      <c r="H3" s="70"/>
      <c r="I3" s="70"/>
      <c r="J3" s="70"/>
      <c r="K3" s="80"/>
      <c r="L3" s="150"/>
    </row>
    <row r="4" spans="1:12">
      <c r="B4" s="73" t="s">
        <v>248</v>
      </c>
      <c r="C4" s="73" t="s">
        <v>249</v>
      </c>
      <c r="K4" s="80"/>
      <c r="L4" s="239"/>
    </row>
    <row r="5" spans="1:12">
      <c r="B5" s="152" t="s">
        <v>198</v>
      </c>
      <c r="C5" s="152" t="s">
        <v>157</v>
      </c>
      <c r="D5" s="152" t="s">
        <v>3</v>
      </c>
      <c r="E5" s="153" t="s">
        <v>159</v>
      </c>
      <c r="F5" s="153" t="s">
        <v>5</v>
      </c>
      <c r="G5" s="153" t="s">
        <v>6</v>
      </c>
      <c r="H5" s="153" t="s">
        <v>250</v>
      </c>
      <c r="I5" s="153" t="s">
        <v>251</v>
      </c>
      <c r="J5" s="153" t="s">
        <v>252</v>
      </c>
      <c r="K5" s="80"/>
      <c r="L5" s="212"/>
    </row>
    <row r="6" spans="1:12" ht="20.100000000000001" customHeight="1">
      <c r="B6" s="240" t="s">
        <v>253</v>
      </c>
      <c r="C6" s="150"/>
      <c r="D6" s="150"/>
      <c r="E6" s="150"/>
      <c r="F6" s="150"/>
      <c r="G6" s="150"/>
      <c r="H6" s="150"/>
      <c r="I6" s="150"/>
      <c r="J6" s="150"/>
      <c r="K6" s="80"/>
    </row>
    <row r="7" spans="1:12">
      <c r="A7" s="80" t="str">
        <f>IF(C7="","",B7&amp;"-"&amp;C7)</f>
        <v>SCHMAP-SCHMDEXP</v>
      </c>
      <c r="B7" s="154" t="s">
        <v>77</v>
      </c>
      <c r="C7" s="155" t="s">
        <v>254</v>
      </c>
      <c r="D7" s="155" t="s">
        <v>54</v>
      </c>
      <c r="E7" s="133">
        <v>38.2971</v>
      </c>
      <c r="F7" s="132">
        <f>VLOOKUP($D7,$D$140:$J$152,3,FALSE)*$E7</f>
        <v>17.669453301537729</v>
      </c>
      <c r="G7" s="132">
        <f>VLOOKUP($D7,$D$140:$J$152,4,FALSE)*$E7</f>
        <v>3.3268029943491655</v>
      </c>
      <c r="H7" s="132">
        <f>VLOOKUP($D7,$D$140:$J$152,5,FALSE)*$E7</f>
        <v>11.676758041805753</v>
      </c>
      <c r="I7" s="132">
        <f>VLOOKUP($D7,$D$140:$J$152,6,FALSE)*$E7</f>
        <v>5.6240856623073556</v>
      </c>
      <c r="J7" s="132">
        <f>VLOOKUP($D7,$D$140:$J$152,7,FALSE)*$E7</f>
        <v>0</v>
      </c>
      <c r="K7" s="231"/>
      <c r="L7" s="63"/>
    </row>
    <row r="8" spans="1:12">
      <c r="A8" s="80" t="str">
        <f>IF(C8="","",B8&amp;"-"&amp;C8)</f>
        <v>SCHMAP-SE</v>
      </c>
      <c r="B8" s="154" t="s">
        <v>77</v>
      </c>
      <c r="C8" s="155" t="s">
        <v>166</v>
      </c>
      <c r="D8" s="155" t="s">
        <v>72</v>
      </c>
      <c r="E8" s="133">
        <v>20.183</v>
      </c>
      <c r="F8" s="132">
        <f>VLOOKUP($D8,$D$140:$J$152,3,FALSE)*$E8</f>
        <v>20.183</v>
      </c>
      <c r="G8" s="132">
        <f>VLOOKUP($D8,$D$140:$J$152,4,FALSE)*$E8</f>
        <v>0</v>
      </c>
      <c r="H8" s="132">
        <f>VLOOKUP($D8,$D$140:$J$152,5,FALSE)*$E8</f>
        <v>0</v>
      </c>
      <c r="I8" s="132">
        <f>VLOOKUP($D8,$D$140:$J$152,6,FALSE)*$E8</f>
        <v>0</v>
      </c>
      <c r="J8" s="132">
        <f>VLOOKUP($D8,$D$140:$J$152,7,FALSE)*$E8</f>
        <v>0</v>
      </c>
      <c r="K8" s="231"/>
      <c r="L8" s="63"/>
    </row>
    <row r="9" spans="1:12">
      <c r="A9" s="80" t="str">
        <f>IF(C9="","",B9&amp;"-"&amp;C9)</f>
        <v>SCHMAP-SO</v>
      </c>
      <c r="B9" s="154" t="s">
        <v>77</v>
      </c>
      <c r="C9" s="155" t="s">
        <v>203</v>
      </c>
      <c r="D9" s="155" t="s">
        <v>72</v>
      </c>
      <c r="E9" s="133">
        <v>-963.12179000000003</v>
      </c>
      <c r="F9" s="132">
        <f>VLOOKUP($D9,$D$140:$J$152,3,FALSE)*$E9</f>
        <v>-963.12179000000003</v>
      </c>
      <c r="G9" s="132">
        <f>VLOOKUP($D9,$D$140:$J$152,4,FALSE)*$E9</f>
        <v>0</v>
      </c>
      <c r="H9" s="132">
        <f>VLOOKUP($D9,$D$140:$J$152,5,FALSE)*$E9</f>
        <v>0</v>
      </c>
      <c r="I9" s="132">
        <f>VLOOKUP($D9,$D$140:$J$152,6,FALSE)*$E9</f>
        <v>0</v>
      </c>
      <c r="J9" s="132">
        <f>VLOOKUP($D9,$D$140:$J$152,7,FALSE)*$E9</f>
        <v>0</v>
      </c>
      <c r="K9" s="231"/>
      <c r="L9" s="63"/>
    </row>
    <row r="10" spans="1:12">
      <c r="A10" s="80" t="str">
        <f>IF(C10="","",B10&amp;"-"&amp;C10)</f>
        <v>SCHMAP-SO</v>
      </c>
      <c r="B10" s="154" t="s">
        <v>77</v>
      </c>
      <c r="C10" s="155" t="s">
        <v>203</v>
      </c>
      <c r="D10" s="155" t="s">
        <v>54</v>
      </c>
      <c r="E10" s="133">
        <v>150.97581</v>
      </c>
      <c r="F10" s="132">
        <f>VLOOKUP($D10,$D$140:$J$152,3,FALSE)*$E10</f>
        <v>69.656972054198164</v>
      </c>
      <c r="G10" s="132">
        <f>VLOOKUP($D10,$D$140:$J$152,4,FALSE)*$E10</f>
        <v>13.115008101978757</v>
      </c>
      <c r="H10" s="132">
        <f>VLOOKUP($D10,$D$140:$J$152,5,FALSE)*$E10</f>
        <v>46.032415079356852</v>
      </c>
      <c r="I10" s="132">
        <f>VLOOKUP($D10,$D$140:$J$152,6,FALSE)*$E10</f>
        <v>22.171414764466228</v>
      </c>
      <c r="J10" s="132">
        <f>VLOOKUP($D10,$D$140:$J$152,7,FALSE)*$E10</f>
        <v>0</v>
      </c>
      <c r="K10" s="231"/>
      <c r="L10" s="63"/>
    </row>
    <row r="11" spans="1:12">
      <c r="A11" s="80" t="str">
        <f>IF(C11="","",B11&amp;"-"&amp;C11)</f>
        <v>SCHMAP-SO</v>
      </c>
      <c r="B11" s="154" t="s">
        <v>77</v>
      </c>
      <c r="C11" s="155" t="s">
        <v>203</v>
      </c>
      <c r="D11" s="155" t="s">
        <v>132</v>
      </c>
      <c r="E11" s="133">
        <v>0</v>
      </c>
      <c r="F11" s="132">
        <f>VLOOKUP($D11,$D$140:$J$152,3,FALSE)*$E11</f>
        <v>0</v>
      </c>
      <c r="G11" s="132">
        <f>VLOOKUP($D11,$D$140:$J$152,4,FALSE)*$E11</f>
        <v>0</v>
      </c>
      <c r="H11" s="132">
        <f>VLOOKUP($D11,$D$140:$J$152,5,FALSE)*$E11</f>
        <v>0</v>
      </c>
      <c r="I11" s="132">
        <f>VLOOKUP($D11,$D$140:$J$152,6,FALSE)*$E11</f>
        <v>0</v>
      </c>
      <c r="J11" s="132">
        <f>VLOOKUP($D11,$D$140:$J$152,7,FALSE)*$E11</f>
        <v>0</v>
      </c>
      <c r="K11" s="231"/>
      <c r="L11" s="63"/>
    </row>
    <row r="12" spans="1:12">
      <c r="B12" s="154"/>
      <c r="C12" s="154"/>
      <c r="D12" s="154"/>
      <c r="E12" s="158"/>
      <c r="F12" s="132"/>
      <c r="G12" s="132"/>
      <c r="H12" s="132"/>
      <c r="I12" s="132"/>
      <c r="J12" s="132"/>
      <c r="K12" s="80"/>
      <c r="L12" s="154"/>
    </row>
    <row r="13" spans="1:12">
      <c r="A13" s="80" t="str">
        <f>IF(C13="","",B13&amp;"-"&amp;C13)</f>
        <v/>
      </c>
      <c r="B13" s="142" t="s">
        <v>225</v>
      </c>
      <c r="E13" s="132">
        <f t="shared" ref="E13:J13" si="0">SUMIF($A:$A,"SCHMAP-SO",E:E)</f>
        <v>-812.14598000000001</v>
      </c>
      <c r="F13" s="132">
        <f t="shared" si="0"/>
        <v>-893.46481794580188</v>
      </c>
      <c r="G13" s="132">
        <f t="shared" si="0"/>
        <v>13.115008101978757</v>
      </c>
      <c r="H13" s="132">
        <f t="shared" si="0"/>
        <v>46.032415079356852</v>
      </c>
      <c r="I13" s="132">
        <f t="shared" si="0"/>
        <v>22.171414764466228</v>
      </c>
      <c r="J13" s="132">
        <f t="shared" si="0"/>
        <v>0</v>
      </c>
      <c r="K13" s="80"/>
    </row>
    <row r="14" spans="1:12">
      <c r="A14" s="80" t="str">
        <f>IF(C14="","",B14&amp;"-"&amp;C14)</f>
        <v/>
      </c>
      <c r="B14" s="98" t="s">
        <v>255</v>
      </c>
      <c r="C14" s="143"/>
      <c r="D14" s="143"/>
      <c r="E14" s="132">
        <f t="shared" ref="E14:J14" si="1">SUMIF($B:$B,"SCHMAP",E:E)</f>
        <v>-753.66588000000002</v>
      </c>
      <c r="F14" s="132">
        <f t="shared" si="1"/>
        <v>-855.61236464426418</v>
      </c>
      <c r="G14" s="132">
        <f t="shared" si="1"/>
        <v>16.441811096327925</v>
      </c>
      <c r="H14" s="132">
        <f t="shared" si="1"/>
        <v>57.709173121162607</v>
      </c>
      <c r="I14" s="132">
        <f t="shared" si="1"/>
        <v>27.795500426773582</v>
      </c>
      <c r="J14" s="132">
        <f t="shared" si="1"/>
        <v>0</v>
      </c>
      <c r="K14" s="80"/>
    </row>
    <row r="15" spans="1:12">
      <c r="A15" s="80" t="str">
        <f>IF(C15="","",B15&amp;"-"&amp;C15)</f>
        <v/>
      </c>
      <c r="B15" s="98" t="s">
        <v>79</v>
      </c>
      <c r="C15" s="98"/>
      <c r="D15" s="143"/>
      <c r="E15" s="222">
        <f>SUM(F15:J15)</f>
        <v>0.99999999999999989</v>
      </c>
      <c r="F15" s="223">
        <f t="shared" ref="F15:J16" si="2">IF(ISERROR(F13/$E13)," ",(F13/$E13))</f>
        <v>1.1001283512427185</v>
      </c>
      <c r="G15" s="223">
        <f t="shared" si="2"/>
        <v>-1.6148584644818113E-2</v>
      </c>
      <c r="H15" s="223">
        <f t="shared" si="2"/>
        <v>-5.6679976522640486E-2</v>
      </c>
      <c r="I15" s="223">
        <f t="shared" si="2"/>
        <v>-2.7299790075259903E-2</v>
      </c>
      <c r="J15" s="223">
        <f t="shared" si="2"/>
        <v>0</v>
      </c>
      <c r="K15" s="80"/>
    </row>
    <row r="16" spans="1:12">
      <c r="A16" s="80" t="str">
        <f>IF(C16="","",B16&amp;"-"&amp;C16)</f>
        <v/>
      </c>
      <c r="B16" s="98" t="s">
        <v>256</v>
      </c>
      <c r="C16" s="98"/>
      <c r="D16" s="143"/>
      <c r="E16" s="222">
        <f>SUM(F16:J16)</f>
        <v>1</v>
      </c>
      <c r="F16" s="223">
        <f t="shared" si="2"/>
        <v>1.1352674803909979</v>
      </c>
      <c r="G16" s="223">
        <f t="shared" si="2"/>
        <v>-2.1815782739597982E-2</v>
      </c>
      <c r="H16" s="223">
        <f t="shared" si="2"/>
        <v>-7.6571295918507823E-2</v>
      </c>
      <c r="I16" s="223">
        <f t="shared" si="2"/>
        <v>-3.6880401732892011E-2</v>
      </c>
      <c r="J16" s="223">
        <f t="shared" si="2"/>
        <v>0</v>
      </c>
      <c r="K16" s="80"/>
    </row>
    <row r="17" spans="1:12" s="80" customFormat="1">
      <c r="B17" s="156"/>
      <c r="C17" s="156"/>
      <c r="D17" s="143"/>
      <c r="E17" s="131"/>
      <c r="F17" s="157"/>
      <c r="G17" s="157"/>
      <c r="H17" s="157"/>
      <c r="I17" s="157"/>
      <c r="J17" s="157"/>
    </row>
    <row r="18" spans="1:12" s="80" customFormat="1">
      <c r="A18" s="80" t="str">
        <f t="shared" ref="A18:A47" si="3">IF(C18="","",B18&amp;"-"&amp;C18)</f>
        <v>SCHMAT-CIAC</v>
      </c>
      <c r="B18" s="154" t="s">
        <v>81</v>
      </c>
      <c r="C18" s="155" t="s">
        <v>257</v>
      </c>
      <c r="D18" s="155" t="s">
        <v>7</v>
      </c>
      <c r="E18" s="133">
        <v>44418.843500000003</v>
      </c>
      <c r="F18" s="132">
        <f t="shared" ref="F18:F47" si="4">VLOOKUP($D18,$D$140:$J$152,3,FALSE)*$E18</f>
        <v>0</v>
      </c>
      <c r="G18" s="132">
        <f t="shared" ref="G18:G47" si="5">VLOOKUP($D18,$D$140:$J$152,4,FALSE)*$E18</f>
        <v>0</v>
      </c>
      <c r="H18" s="132">
        <f t="shared" ref="H18:H47" si="6">VLOOKUP($D18,$D$140:$J$152,5,FALSE)*$E18</f>
        <v>44418.843500000003</v>
      </c>
      <c r="I18" s="132">
        <f t="shared" ref="I18:I47" si="7">VLOOKUP($D18,$D$140:$J$152,6,FALSE)*$E18</f>
        <v>0</v>
      </c>
      <c r="J18" s="132">
        <f t="shared" ref="J18:J47" si="8">VLOOKUP($D18,$D$140:$J$152,7,FALSE)*$E18</f>
        <v>0</v>
      </c>
      <c r="K18" s="231"/>
      <c r="L18" s="63"/>
    </row>
    <row r="19" spans="1:12" s="80" customFormat="1">
      <c r="A19" s="80" t="str">
        <f t="shared" si="3"/>
        <v>SCHMAT-BADDEBT</v>
      </c>
      <c r="B19" s="154" t="s">
        <v>81</v>
      </c>
      <c r="C19" s="155" t="s">
        <v>258</v>
      </c>
      <c r="D19" s="155" t="s">
        <v>8</v>
      </c>
      <c r="E19" s="133">
        <v>-510.672330510672</v>
      </c>
      <c r="F19" s="132">
        <f t="shared" si="4"/>
        <v>0</v>
      </c>
      <c r="G19" s="132">
        <f t="shared" si="5"/>
        <v>0</v>
      </c>
      <c r="H19" s="132">
        <f t="shared" si="6"/>
        <v>0</v>
      </c>
      <c r="I19" s="132">
        <f t="shared" si="7"/>
        <v>-510.672330510672</v>
      </c>
      <c r="J19" s="132">
        <f t="shared" si="8"/>
        <v>0</v>
      </c>
      <c r="K19" s="231"/>
      <c r="L19" s="63"/>
    </row>
    <row r="20" spans="1:12" s="80" customFormat="1">
      <c r="A20" s="80" t="str">
        <f t="shared" si="3"/>
        <v>SCHMAT-SCHMDEXP</v>
      </c>
      <c r="B20" s="154" t="s">
        <v>81</v>
      </c>
      <c r="C20" s="155" t="s">
        <v>254</v>
      </c>
      <c r="D20" s="155" t="s">
        <v>38</v>
      </c>
      <c r="E20" s="133">
        <v>392630.24089999998</v>
      </c>
      <c r="F20" s="132">
        <f t="shared" si="4"/>
        <v>187060.17823445718</v>
      </c>
      <c r="G20" s="132">
        <f t="shared" si="5"/>
        <v>96896.491809826897</v>
      </c>
      <c r="H20" s="132">
        <f t="shared" si="6"/>
        <v>106085.99367357387</v>
      </c>
      <c r="I20" s="132">
        <f t="shared" si="7"/>
        <v>2587.5771821419785</v>
      </c>
      <c r="J20" s="132">
        <f t="shared" si="8"/>
        <v>0</v>
      </c>
      <c r="K20" s="231"/>
      <c r="L20" s="63"/>
    </row>
    <row r="21" spans="1:12" s="80" customFormat="1">
      <c r="A21" s="80" t="str">
        <f>IF(C21="","",B21&amp;"-"&amp;C21)</f>
        <v>SCHMAT-GPS</v>
      </c>
      <c r="B21" s="154" t="s">
        <v>81</v>
      </c>
      <c r="C21" s="155" t="s">
        <v>259</v>
      </c>
      <c r="D21" s="155" t="s">
        <v>38</v>
      </c>
      <c r="E21" s="133">
        <v>-355.70236999999997</v>
      </c>
      <c r="F21" s="132">
        <f t="shared" si="4"/>
        <v>-169.46669359471346</v>
      </c>
      <c r="G21" s="132">
        <f t="shared" si="5"/>
        <v>-87.783130770661472</v>
      </c>
      <c r="H21" s="132">
        <f t="shared" si="6"/>
        <v>-96.108336655367481</v>
      </c>
      <c r="I21" s="132">
        <f t="shared" si="7"/>
        <v>-2.3442089792575205</v>
      </c>
      <c r="J21" s="132">
        <f t="shared" si="8"/>
        <v>0</v>
      </c>
      <c r="K21" s="231"/>
      <c r="L21" s="63"/>
    </row>
    <row r="22" spans="1:12" s="80" customFormat="1">
      <c r="A22" s="80" t="str">
        <f>IF(C22="","",B22&amp;"-"&amp;C22)</f>
        <v>SCHMAT-SE</v>
      </c>
      <c r="B22" s="154" t="s">
        <v>81</v>
      </c>
      <c r="C22" s="155" t="s">
        <v>166</v>
      </c>
      <c r="D22" s="155" t="s">
        <v>54</v>
      </c>
      <c r="E22" s="133">
        <v>0</v>
      </c>
      <c r="F22" s="132">
        <f t="shared" si="4"/>
        <v>0</v>
      </c>
      <c r="G22" s="132">
        <f t="shared" si="5"/>
        <v>0</v>
      </c>
      <c r="H22" s="132">
        <f t="shared" si="6"/>
        <v>0</v>
      </c>
      <c r="I22" s="132">
        <f t="shared" si="7"/>
        <v>0</v>
      </c>
      <c r="J22" s="132">
        <f t="shared" si="8"/>
        <v>0</v>
      </c>
      <c r="K22" s="231"/>
      <c r="L22" s="63"/>
    </row>
    <row r="23" spans="1:12" s="80" customFormat="1">
      <c r="A23" s="80" t="str">
        <f t="shared" si="3"/>
        <v>SCHMAT-SE</v>
      </c>
      <c r="B23" s="154" t="s">
        <v>81</v>
      </c>
      <c r="C23" s="155" t="s">
        <v>166</v>
      </c>
      <c r="D23" s="155" t="s">
        <v>72</v>
      </c>
      <c r="E23" s="133">
        <v>13376.917289999999</v>
      </c>
      <c r="F23" s="132">
        <f t="shared" si="4"/>
        <v>13376.917289999999</v>
      </c>
      <c r="G23" s="132">
        <f t="shared" si="5"/>
        <v>0</v>
      </c>
      <c r="H23" s="132">
        <f t="shared" si="6"/>
        <v>0</v>
      </c>
      <c r="I23" s="132">
        <f t="shared" si="7"/>
        <v>0</v>
      </c>
      <c r="J23" s="132">
        <f t="shared" si="8"/>
        <v>0</v>
      </c>
      <c r="K23" s="231"/>
      <c r="L23" s="63"/>
    </row>
    <row r="24" spans="1:12" s="80" customFormat="1">
      <c r="A24" s="80" t="str">
        <f t="shared" si="3"/>
        <v>SCHMAT-SG</v>
      </c>
      <c r="B24" s="154" t="s">
        <v>81</v>
      </c>
      <c r="C24" s="155" t="s">
        <v>202</v>
      </c>
      <c r="D24" s="155" t="s">
        <v>7</v>
      </c>
      <c r="E24" s="133">
        <v>0</v>
      </c>
      <c r="F24" s="132">
        <f t="shared" si="4"/>
        <v>0</v>
      </c>
      <c r="G24" s="132">
        <f t="shared" si="5"/>
        <v>0</v>
      </c>
      <c r="H24" s="132">
        <f t="shared" si="6"/>
        <v>0</v>
      </c>
      <c r="I24" s="132">
        <f t="shared" si="7"/>
        <v>0</v>
      </c>
      <c r="J24" s="132">
        <f t="shared" si="8"/>
        <v>0</v>
      </c>
      <c r="K24" s="231"/>
      <c r="L24" s="63"/>
    </row>
    <row r="25" spans="1:12" s="80" customFormat="1">
      <c r="A25" s="80" t="str">
        <f>IF(C25="","",B25&amp;"-"&amp;C25)</f>
        <v>SCHMAT-SG</v>
      </c>
      <c r="B25" s="154" t="s">
        <v>81</v>
      </c>
      <c r="C25" s="155" t="s">
        <v>202</v>
      </c>
      <c r="D25" s="155" t="s">
        <v>72</v>
      </c>
      <c r="E25" s="133">
        <v>1662.31312</v>
      </c>
      <c r="F25" s="132">
        <f t="shared" si="4"/>
        <v>1662.31312</v>
      </c>
      <c r="G25" s="132">
        <f t="shared" si="5"/>
        <v>0</v>
      </c>
      <c r="H25" s="132">
        <f t="shared" si="6"/>
        <v>0</v>
      </c>
      <c r="I25" s="132">
        <f t="shared" si="7"/>
        <v>0</v>
      </c>
      <c r="J25" s="132">
        <f t="shared" si="8"/>
        <v>0</v>
      </c>
      <c r="K25" s="231"/>
      <c r="L25" s="63"/>
    </row>
    <row r="26" spans="1:12" s="80" customFormat="1">
      <c r="A26" s="80" t="str">
        <f t="shared" si="3"/>
        <v>SCHMAT-SG</v>
      </c>
      <c r="B26" s="154" t="s">
        <v>81</v>
      </c>
      <c r="C26" s="155" t="s">
        <v>202</v>
      </c>
      <c r="D26" s="155" t="s">
        <v>113</v>
      </c>
      <c r="E26" s="133">
        <v>0</v>
      </c>
      <c r="F26" s="132">
        <f t="shared" si="4"/>
        <v>0</v>
      </c>
      <c r="G26" s="132">
        <f t="shared" si="5"/>
        <v>0</v>
      </c>
      <c r="H26" s="132">
        <f t="shared" si="6"/>
        <v>0</v>
      </c>
      <c r="I26" s="132">
        <f t="shared" si="7"/>
        <v>0</v>
      </c>
      <c r="J26" s="132">
        <f t="shared" si="8"/>
        <v>0</v>
      </c>
      <c r="K26" s="231"/>
      <c r="L26" s="63"/>
    </row>
    <row r="27" spans="1:12" s="80" customFormat="1">
      <c r="A27" s="80" t="str">
        <f t="shared" si="3"/>
        <v>SCHMAT-SGCT</v>
      </c>
      <c r="B27" s="154" t="s">
        <v>81</v>
      </c>
      <c r="C27" s="155" t="s">
        <v>260</v>
      </c>
      <c r="D27" s="155" t="s">
        <v>72</v>
      </c>
      <c r="E27" s="133">
        <v>0</v>
      </c>
      <c r="F27" s="132">
        <f t="shared" si="4"/>
        <v>0</v>
      </c>
      <c r="G27" s="132">
        <f t="shared" si="5"/>
        <v>0</v>
      </c>
      <c r="H27" s="132">
        <f t="shared" si="6"/>
        <v>0</v>
      </c>
      <c r="I27" s="132">
        <f t="shared" si="7"/>
        <v>0</v>
      </c>
      <c r="J27" s="132">
        <f t="shared" si="8"/>
        <v>0</v>
      </c>
      <c r="K27" s="231"/>
      <c r="L27" s="63"/>
    </row>
    <row r="28" spans="1:12" s="80" customFormat="1">
      <c r="A28" s="80" t="str">
        <f t="shared" si="3"/>
        <v>SCHMAT-SNP</v>
      </c>
      <c r="B28" s="154" t="s">
        <v>81</v>
      </c>
      <c r="C28" s="155" t="s">
        <v>261</v>
      </c>
      <c r="D28" s="155" t="s">
        <v>38</v>
      </c>
      <c r="E28" s="133">
        <v>292.46102000000002</v>
      </c>
      <c r="F28" s="132">
        <f t="shared" si="4"/>
        <v>139.3367214976312</v>
      </c>
      <c r="G28" s="132">
        <f t="shared" si="5"/>
        <v>72.175914835712348</v>
      </c>
      <c r="H28" s="132">
        <f t="shared" si="6"/>
        <v>79.020958361149425</v>
      </c>
      <c r="I28" s="132">
        <f t="shared" si="7"/>
        <v>1.9274253055069983</v>
      </c>
      <c r="J28" s="132">
        <f t="shared" si="8"/>
        <v>0</v>
      </c>
      <c r="K28" s="231"/>
      <c r="L28" s="63"/>
    </row>
    <row r="29" spans="1:12" s="80" customFormat="1">
      <c r="A29" s="80" t="str">
        <f t="shared" si="3"/>
        <v>SCHMAT-SNP</v>
      </c>
      <c r="B29" s="154" t="s">
        <v>81</v>
      </c>
      <c r="C29" s="155" t="s">
        <v>261</v>
      </c>
      <c r="D29" s="155" t="s">
        <v>132</v>
      </c>
      <c r="E29" s="133">
        <v>10187.689</v>
      </c>
      <c r="F29" s="132">
        <f t="shared" si="4"/>
        <v>4941.9427871201851</v>
      </c>
      <c r="G29" s="132">
        <f t="shared" si="5"/>
        <v>2499.2826221799414</v>
      </c>
      <c r="H29" s="132">
        <f t="shared" si="6"/>
        <v>2746.4635906998742</v>
      </c>
      <c r="I29" s="132">
        <f t="shared" si="7"/>
        <v>0</v>
      </c>
      <c r="J29" s="132">
        <f t="shared" si="8"/>
        <v>0</v>
      </c>
      <c r="K29" s="231"/>
      <c r="L29" s="63"/>
    </row>
    <row r="30" spans="1:12" s="80" customFormat="1">
      <c r="A30" s="80" t="str">
        <f t="shared" si="3"/>
        <v>SCHMAT-SNPD</v>
      </c>
      <c r="B30" s="154" t="s">
        <v>81</v>
      </c>
      <c r="C30" s="155" t="s">
        <v>262</v>
      </c>
      <c r="D30" s="155" t="s">
        <v>7</v>
      </c>
      <c r="E30" s="133">
        <v>0</v>
      </c>
      <c r="F30" s="132">
        <f t="shared" si="4"/>
        <v>0</v>
      </c>
      <c r="G30" s="132">
        <f t="shared" si="5"/>
        <v>0</v>
      </c>
      <c r="H30" s="132">
        <f t="shared" si="6"/>
        <v>0</v>
      </c>
      <c r="I30" s="132">
        <f t="shared" si="7"/>
        <v>0</v>
      </c>
      <c r="J30" s="132">
        <f t="shared" si="8"/>
        <v>0</v>
      </c>
      <c r="K30" s="231"/>
      <c r="L30" s="63"/>
    </row>
    <row r="31" spans="1:12" s="80" customFormat="1">
      <c r="A31" s="80" t="str">
        <f>IF(C31="","",B31&amp;"-"&amp;C31)</f>
        <v>SCHMAT-SO</v>
      </c>
      <c r="B31" s="154" t="s">
        <v>81</v>
      </c>
      <c r="C31" s="155" t="s">
        <v>203</v>
      </c>
      <c r="D31" s="143" t="s">
        <v>9</v>
      </c>
      <c r="E31" s="133">
        <v>0</v>
      </c>
      <c r="F31" s="132">
        <f t="shared" si="4"/>
        <v>0</v>
      </c>
      <c r="G31" s="132">
        <f t="shared" si="5"/>
        <v>0</v>
      </c>
      <c r="H31" s="132">
        <f t="shared" si="6"/>
        <v>0</v>
      </c>
      <c r="I31" s="132">
        <f t="shared" si="7"/>
        <v>0</v>
      </c>
      <c r="J31" s="132">
        <f t="shared" si="8"/>
        <v>0</v>
      </c>
      <c r="K31" s="231"/>
      <c r="L31" s="63"/>
    </row>
    <row r="32" spans="1:12" s="80" customFormat="1">
      <c r="A32" s="80" t="str">
        <f>IF(C32="","",B32&amp;"-"&amp;C32)</f>
        <v>SCHMAT-SO</v>
      </c>
      <c r="B32" s="154" t="s">
        <v>81</v>
      </c>
      <c r="C32" s="155" t="s">
        <v>203</v>
      </c>
      <c r="D32" s="143" t="s">
        <v>54</v>
      </c>
      <c r="E32" s="133">
        <v>24902.469169999997</v>
      </c>
      <c r="F32" s="132">
        <f t="shared" si="4"/>
        <v>11489.460457640342</v>
      </c>
      <c r="G32" s="132">
        <f t="shared" si="5"/>
        <v>2163.2345269339912</v>
      </c>
      <c r="H32" s="132">
        <f t="shared" si="6"/>
        <v>7592.7448068291669</v>
      </c>
      <c r="I32" s="132">
        <f t="shared" si="7"/>
        <v>3657.0293785964982</v>
      </c>
      <c r="J32" s="132">
        <f t="shared" si="8"/>
        <v>0</v>
      </c>
      <c r="K32" s="231"/>
      <c r="L32" s="63"/>
    </row>
    <row r="33" spans="1:12" s="80" customFormat="1">
      <c r="A33" s="80" t="str">
        <f t="shared" si="3"/>
        <v>SCHMAT-SO</v>
      </c>
      <c r="B33" s="154" t="s">
        <v>81</v>
      </c>
      <c r="C33" s="155" t="s">
        <v>203</v>
      </c>
      <c r="D33" s="143" t="s">
        <v>132</v>
      </c>
      <c r="E33" s="133">
        <v>5306.1942300000001</v>
      </c>
      <c r="F33" s="132">
        <f t="shared" si="4"/>
        <v>2573.9800559289988</v>
      </c>
      <c r="G33" s="132">
        <f t="shared" si="5"/>
        <v>1301.7357546888677</v>
      </c>
      <c r="H33" s="132">
        <f t="shared" si="6"/>
        <v>1430.478419382134</v>
      </c>
      <c r="I33" s="132">
        <f t="shared" si="7"/>
        <v>0</v>
      </c>
      <c r="J33" s="132">
        <f t="shared" si="8"/>
        <v>0</v>
      </c>
      <c r="K33" s="231"/>
      <c r="L33" s="63"/>
    </row>
    <row r="34" spans="1:12" s="80" customFormat="1">
      <c r="A34" s="80" t="str">
        <f>IF(C34="","",B34&amp;"-"&amp;C34)</f>
        <v>SCHMAT-OTHER</v>
      </c>
      <c r="B34" s="154" t="s">
        <v>81</v>
      </c>
      <c r="C34" s="155" t="s">
        <v>201</v>
      </c>
      <c r="D34" s="143" t="s">
        <v>9</v>
      </c>
      <c r="E34" s="133">
        <v>-781.34215000000006</v>
      </c>
      <c r="F34" s="132">
        <f t="shared" si="4"/>
        <v>0</v>
      </c>
      <c r="G34" s="132">
        <f t="shared" si="5"/>
        <v>0</v>
      </c>
      <c r="H34" s="132">
        <f t="shared" si="6"/>
        <v>0</v>
      </c>
      <c r="I34" s="132">
        <f t="shared" si="7"/>
        <v>0</v>
      </c>
      <c r="J34" s="132">
        <f t="shared" si="8"/>
        <v>-781.34215000000006</v>
      </c>
      <c r="K34" s="231"/>
      <c r="L34" s="63"/>
    </row>
    <row r="35" spans="1:12" s="80" customFormat="1">
      <c r="A35" s="80" t="str">
        <f>IF(C35="","",B35&amp;"-"&amp;C35)</f>
        <v>SCHMAT-OTHER</v>
      </c>
      <c r="B35" s="154" t="s">
        <v>81</v>
      </c>
      <c r="C35" s="155" t="s">
        <v>201</v>
      </c>
      <c r="D35" s="143" t="s">
        <v>38</v>
      </c>
      <c r="E35" s="133">
        <v>88115.924120000011</v>
      </c>
      <c r="F35" s="132">
        <f t="shared" si="4"/>
        <v>41980.924427518054</v>
      </c>
      <c r="G35" s="132">
        <f t="shared" si="5"/>
        <v>21745.96612893989</v>
      </c>
      <c r="H35" s="132">
        <f t="shared" si="6"/>
        <v>23808.31733008632</v>
      </c>
      <c r="I35" s="132">
        <f t="shared" si="7"/>
        <v>580.71623345573539</v>
      </c>
      <c r="J35" s="132">
        <f t="shared" si="8"/>
        <v>0</v>
      </c>
      <c r="K35" s="231"/>
      <c r="L35" s="63"/>
    </row>
    <row r="36" spans="1:12" s="80" customFormat="1">
      <c r="A36" s="80" t="str">
        <f>IF(C36="","",B36&amp;"-"&amp;C36)</f>
        <v>SCHMAT-OTHER</v>
      </c>
      <c r="B36" s="154" t="s">
        <v>81</v>
      </c>
      <c r="C36" s="155" t="s">
        <v>201</v>
      </c>
      <c r="D36" s="143" t="s">
        <v>72</v>
      </c>
      <c r="E36" s="133">
        <v>2189.5623400000004</v>
      </c>
      <c r="F36" s="132">
        <f t="shared" si="4"/>
        <v>2189.5623400000004</v>
      </c>
      <c r="G36" s="132">
        <f t="shared" si="5"/>
        <v>0</v>
      </c>
      <c r="H36" s="132">
        <f t="shared" si="6"/>
        <v>0</v>
      </c>
      <c r="I36" s="132">
        <f t="shared" si="7"/>
        <v>0</v>
      </c>
      <c r="J36" s="132">
        <f t="shared" si="8"/>
        <v>0</v>
      </c>
      <c r="K36" s="231"/>
      <c r="L36" s="63"/>
    </row>
    <row r="37" spans="1:12" s="80" customFormat="1">
      <c r="A37" s="80" t="str">
        <f>IF(C37="","",B37&amp;"-"&amp;C37)</f>
        <v>SCHMAT-OTHER</v>
      </c>
      <c r="B37" s="154" t="s">
        <v>81</v>
      </c>
      <c r="C37" s="155" t="s">
        <v>201</v>
      </c>
      <c r="D37" s="143" t="s">
        <v>132</v>
      </c>
      <c r="E37" s="133">
        <v>15867.770690000001</v>
      </c>
      <c r="F37" s="132">
        <f t="shared" si="4"/>
        <v>7697.2917910158612</v>
      </c>
      <c r="G37" s="132">
        <f t="shared" si="5"/>
        <v>3892.7418709241342</v>
      </c>
      <c r="H37" s="132">
        <f t="shared" si="6"/>
        <v>4277.7370280600071</v>
      </c>
      <c r="I37" s="132">
        <f t="shared" si="7"/>
        <v>0</v>
      </c>
      <c r="J37" s="132">
        <f t="shared" si="8"/>
        <v>0</v>
      </c>
      <c r="K37" s="231"/>
      <c r="L37" s="63"/>
    </row>
    <row r="38" spans="1:12" s="80" customFormat="1">
      <c r="A38" s="80" t="str">
        <f>IF(C38="","",B38&amp;"-"&amp;C38)</f>
        <v>SCHMAT-OTHER</v>
      </c>
      <c r="B38" s="154" t="s">
        <v>81</v>
      </c>
      <c r="C38" s="155" t="s">
        <v>201</v>
      </c>
      <c r="D38" s="143" t="s">
        <v>8</v>
      </c>
      <c r="E38" s="133">
        <v>-93.155019999999993</v>
      </c>
      <c r="F38" s="132">
        <f t="shared" si="4"/>
        <v>0</v>
      </c>
      <c r="G38" s="132">
        <f t="shared" si="5"/>
        <v>0</v>
      </c>
      <c r="H38" s="132">
        <f t="shared" si="6"/>
        <v>0</v>
      </c>
      <c r="I38" s="132">
        <f t="shared" si="7"/>
        <v>-93.155019999999993</v>
      </c>
      <c r="J38" s="132">
        <f t="shared" si="8"/>
        <v>0</v>
      </c>
      <c r="K38" s="231"/>
      <c r="L38" s="63"/>
    </row>
    <row r="39" spans="1:12" s="80" customFormat="1">
      <c r="A39" s="80" t="str">
        <f t="shared" si="3"/>
        <v>SCHMAT-TROJD</v>
      </c>
      <c r="B39" s="154" t="s">
        <v>81</v>
      </c>
      <c r="C39" s="155" t="s">
        <v>263</v>
      </c>
      <c r="D39" s="155" t="s">
        <v>72</v>
      </c>
      <c r="E39" s="133">
        <v>30.70693</v>
      </c>
      <c r="F39" s="132">
        <f t="shared" si="4"/>
        <v>30.70693</v>
      </c>
      <c r="G39" s="132">
        <f t="shared" si="5"/>
        <v>0</v>
      </c>
      <c r="H39" s="132">
        <f t="shared" si="6"/>
        <v>0</v>
      </c>
      <c r="I39" s="132">
        <f t="shared" si="7"/>
        <v>0</v>
      </c>
      <c r="J39" s="132">
        <f t="shared" si="8"/>
        <v>0</v>
      </c>
      <c r="K39" s="231"/>
      <c r="L39" s="63"/>
    </row>
    <row r="40" spans="1:12" s="80" customFormat="1">
      <c r="A40" s="80" t="str">
        <f t="shared" si="3"/>
        <v>SCHMAT-SITUS</v>
      </c>
      <c r="B40" s="154" t="s">
        <v>81</v>
      </c>
      <c r="C40" s="155" t="s">
        <v>204</v>
      </c>
      <c r="D40" s="155" t="s">
        <v>9</v>
      </c>
      <c r="E40" s="133">
        <v>0</v>
      </c>
      <c r="F40" s="132">
        <f t="shared" si="4"/>
        <v>0</v>
      </c>
      <c r="G40" s="132">
        <f t="shared" si="5"/>
        <v>0</v>
      </c>
      <c r="H40" s="132">
        <f t="shared" si="6"/>
        <v>0</v>
      </c>
      <c r="I40" s="132">
        <f t="shared" si="7"/>
        <v>0</v>
      </c>
      <c r="J40" s="132">
        <f t="shared" si="8"/>
        <v>0</v>
      </c>
      <c r="K40" s="231"/>
      <c r="L40" s="63"/>
    </row>
    <row r="41" spans="1:12" s="80" customFormat="1">
      <c r="A41" s="80" t="str">
        <f t="shared" si="3"/>
        <v>SCHMAT-SITUS</v>
      </c>
      <c r="B41" s="154" t="s">
        <v>81</v>
      </c>
      <c r="C41" s="155" t="s">
        <v>204</v>
      </c>
      <c r="D41" s="155" t="s">
        <v>7</v>
      </c>
      <c r="E41" s="133">
        <v>-677.20703000000003</v>
      </c>
      <c r="F41" s="132">
        <f t="shared" si="4"/>
        <v>0</v>
      </c>
      <c r="G41" s="132">
        <f t="shared" si="5"/>
        <v>0</v>
      </c>
      <c r="H41" s="132">
        <f t="shared" si="6"/>
        <v>-677.20703000000003</v>
      </c>
      <c r="I41" s="132">
        <f t="shared" si="7"/>
        <v>0</v>
      </c>
      <c r="J41" s="132">
        <f t="shared" si="8"/>
        <v>0</v>
      </c>
      <c r="K41" s="231"/>
      <c r="L41" s="63"/>
    </row>
    <row r="42" spans="1:12" s="80" customFormat="1">
      <c r="A42" s="80" t="str">
        <f t="shared" si="3"/>
        <v>SCHMAT-SITUS</v>
      </c>
      <c r="B42" s="154" t="s">
        <v>81</v>
      </c>
      <c r="C42" s="155" t="s">
        <v>204</v>
      </c>
      <c r="D42" s="155" t="s">
        <v>28</v>
      </c>
      <c r="E42" s="133">
        <v>-33.648530000000001</v>
      </c>
      <c r="F42" s="132">
        <f t="shared" si="4"/>
        <v>-10.094559</v>
      </c>
      <c r="G42" s="132">
        <f t="shared" si="5"/>
        <v>-3.3648530000000001</v>
      </c>
      <c r="H42" s="132">
        <f t="shared" si="6"/>
        <v>-20.189118000000001</v>
      </c>
      <c r="I42" s="132">
        <f t="shared" si="7"/>
        <v>0</v>
      </c>
      <c r="J42" s="132">
        <f t="shared" si="8"/>
        <v>0</v>
      </c>
      <c r="K42" s="231"/>
      <c r="L42" s="63"/>
    </row>
    <row r="43" spans="1:12" s="80" customFormat="1">
      <c r="A43" s="80" t="str">
        <f t="shared" si="3"/>
        <v>SCHMAT-SITUS</v>
      </c>
      <c r="B43" s="154" t="s">
        <v>81</v>
      </c>
      <c r="C43" s="155" t="s">
        <v>204</v>
      </c>
      <c r="D43" s="155" t="s">
        <v>38</v>
      </c>
      <c r="E43" s="133">
        <v>0</v>
      </c>
      <c r="F43" s="132">
        <f t="shared" si="4"/>
        <v>0</v>
      </c>
      <c r="G43" s="132">
        <f t="shared" si="5"/>
        <v>0</v>
      </c>
      <c r="H43" s="132">
        <f t="shared" si="6"/>
        <v>0</v>
      </c>
      <c r="I43" s="132">
        <f t="shared" si="7"/>
        <v>0</v>
      </c>
      <c r="J43" s="132">
        <f t="shared" si="8"/>
        <v>0</v>
      </c>
      <c r="K43" s="231"/>
      <c r="L43" s="63"/>
    </row>
    <row r="44" spans="1:12" s="80" customFormat="1">
      <c r="A44" s="80" t="str">
        <f t="shared" si="3"/>
        <v>SCHMAT-SITUS</v>
      </c>
      <c r="B44" s="154" t="s">
        <v>81</v>
      </c>
      <c r="C44" s="155" t="s">
        <v>204</v>
      </c>
      <c r="D44" s="155" t="s">
        <v>54</v>
      </c>
      <c r="E44" s="133">
        <v>1214.48317</v>
      </c>
      <c r="F44" s="132">
        <f t="shared" si="4"/>
        <v>560.33625673532731</v>
      </c>
      <c r="G44" s="132">
        <f t="shared" si="5"/>
        <v>105.50005735532629</v>
      </c>
      <c r="H44" s="132">
        <f t="shared" si="6"/>
        <v>370.29503857825375</v>
      </c>
      <c r="I44" s="132">
        <f t="shared" si="7"/>
        <v>178.3518173310926</v>
      </c>
      <c r="J44" s="132">
        <f t="shared" si="8"/>
        <v>0</v>
      </c>
      <c r="K44" s="231"/>
      <c r="L44" s="63"/>
    </row>
    <row r="45" spans="1:12" s="80" customFormat="1">
      <c r="A45" s="80" t="str">
        <f t="shared" si="3"/>
        <v>SCHMAT-SITUS</v>
      </c>
      <c r="B45" s="154" t="s">
        <v>81</v>
      </c>
      <c r="C45" s="155" t="s">
        <v>204</v>
      </c>
      <c r="D45" s="155" t="s">
        <v>72</v>
      </c>
      <c r="E45" s="133">
        <v>5782.5174500000003</v>
      </c>
      <c r="F45" s="132">
        <f t="shared" si="4"/>
        <v>5782.5174500000003</v>
      </c>
      <c r="G45" s="132">
        <f t="shared" si="5"/>
        <v>0</v>
      </c>
      <c r="H45" s="132">
        <f t="shared" si="6"/>
        <v>0</v>
      </c>
      <c r="I45" s="132">
        <f t="shared" si="7"/>
        <v>0</v>
      </c>
      <c r="J45" s="132">
        <f t="shared" si="8"/>
        <v>0</v>
      </c>
      <c r="K45" s="231"/>
      <c r="L45" s="63"/>
    </row>
    <row r="46" spans="1:12" s="80" customFormat="1">
      <c r="A46" s="80" t="str">
        <f t="shared" si="3"/>
        <v>SCHMAT-SITUS</v>
      </c>
      <c r="B46" s="154" t="s">
        <v>81</v>
      </c>
      <c r="C46" s="155" t="s">
        <v>204</v>
      </c>
      <c r="D46" s="155" t="s">
        <v>132</v>
      </c>
      <c r="E46" s="133">
        <v>2286.6554399999995</v>
      </c>
      <c r="F46" s="132">
        <f t="shared" si="4"/>
        <v>1109.232953453637</v>
      </c>
      <c r="G46" s="132">
        <f t="shared" si="5"/>
        <v>560.97101159107103</v>
      </c>
      <c r="H46" s="132">
        <f t="shared" si="6"/>
        <v>616.45147495529159</v>
      </c>
      <c r="I46" s="132">
        <f t="shared" si="7"/>
        <v>0</v>
      </c>
      <c r="J46" s="132">
        <f t="shared" si="8"/>
        <v>0</v>
      </c>
      <c r="K46" s="231"/>
      <c r="L46" s="63"/>
    </row>
    <row r="47" spans="1:12" s="80" customFormat="1">
      <c r="A47" s="80" t="str">
        <f t="shared" si="3"/>
        <v>SCHMAT-SITUS</v>
      </c>
      <c r="B47" s="154" t="s">
        <v>81</v>
      </c>
      <c r="C47" s="155" t="s">
        <v>204</v>
      </c>
      <c r="D47" s="155" t="s">
        <v>113</v>
      </c>
      <c r="E47" s="133">
        <v>0</v>
      </c>
      <c r="F47" s="132">
        <f t="shared" si="4"/>
        <v>0</v>
      </c>
      <c r="G47" s="132">
        <f t="shared" si="5"/>
        <v>0</v>
      </c>
      <c r="H47" s="132">
        <f t="shared" si="6"/>
        <v>0</v>
      </c>
      <c r="I47" s="132">
        <f t="shared" si="7"/>
        <v>0</v>
      </c>
      <c r="J47" s="132">
        <f t="shared" si="8"/>
        <v>0</v>
      </c>
      <c r="K47" s="231"/>
      <c r="L47" s="63"/>
    </row>
    <row r="48" spans="1:12" s="80" customFormat="1">
      <c r="B48" s="142" t="s">
        <v>223</v>
      </c>
      <c r="C48" s="155"/>
      <c r="D48" s="155"/>
      <c r="E48" s="158">
        <f>SUMIF($A:$A,"SCHMAT-SE",E:E)</f>
        <v>13376.917289999999</v>
      </c>
      <c r="F48" s="158">
        <f>SUMIF($A:$A,"SCHMAT-SE",F:F)</f>
        <v>13376.917289999999</v>
      </c>
      <c r="G48" s="158">
        <f t="shared" ref="G48:J48" si="9">SUMIF($A:$A,"SCHMAT-SE",G:G)</f>
        <v>0</v>
      </c>
      <c r="H48" s="158">
        <f t="shared" si="9"/>
        <v>0</v>
      </c>
      <c r="I48" s="158">
        <f t="shared" si="9"/>
        <v>0</v>
      </c>
      <c r="J48" s="158">
        <f t="shared" si="9"/>
        <v>0</v>
      </c>
    </row>
    <row r="49" spans="1:17">
      <c r="A49" s="80" t="str">
        <f t="shared" ref="A49:A57" si="10">IF(C49="","",B49&amp;"-"&amp;C49)</f>
        <v/>
      </c>
      <c r="B49" s="142" t="s">
        <v>264</v>
      </c>
      <c r="E49" s="158">
        <f>SUMIF($A:$A,"SCHMAT-SNP",E:E)</f>
        <v>10480.150020000001</v>
      </c>
      <c r="F49" s="158">
        <f t="shared" ref="F49:J49" si="11">SUMIF($A:$A,"SCHMAT-SNP",F:F)</f>
        <v>5081.2795086178166</v>
      </c>
      <c r="G49" s="158">
        <f t="shared" si="11"/>
        <v>2571.4585370156537</v>
      </c>
      <c r="H49" s="158">
        <f t="shared" si="11"/>
        <v>2825.4845490610237</v>
      </c>
      <c r="I49" s="158">
        <f t="shared" si="11"/>
        <v>1.9274253055069983</v>
      </c>
      <c r="J49" s="158">
        <f t="shared" si="11"/>
        <v>0</v>
      </c>
      <c r="K49" s="80"/>
    </row>
    <row r="50" spans="1:17">
      <c r="A50" s="80" t="str">
        <f t="shared" si="10"/>
        <v/>
      </c>
      <c r="B50" s="142" t="s">
        <v>240</v>
      </c>
      <c r="E50" s="158">
        <f>SUMIF($A:$A,"SCHMAT-SITUS",E:E)</f>
        <v>8572.8004999999994</v>
      </c>
      <c r="F50" s="158">
        <f t="shared" ref="F50:J50" si="12">SUMIF($A:$A,"SCHMAT-SITUS",F:F)</f>
        <v>7441.9921011889637</v>
      </c>
      <c r="G50" s="158">
        <f t="shared" si="12"/>
        <v>663.10621594639736</v>
      </c>
      <c r="H50" s="158">
        <f t="shared" si="12"/>
        <v>289.3503655335453</v>
      </c>
      <c r="I50" s="158">
        <f t="shared" si="12"/>
        <v>178.3518173310926</v>
      </c>
      <c r="J50" s="158">
        <f t="shared" si="12"/>
        <v>0</v>
      </c>
      <c r="K50" s="80"/>
    </row>
    <row r="51" spans="1:17">
      <c r="B51" s="142" t="s">
        <v>225</v>
      </c>
      <c r="E51" s="158">
        <f>SUMIF($A:$A,"SCHMAT-SO",E:E)</f>
        <v>30208.663399999998</v>
      </c>
      <c r="F51" s="158">
        <f t="shared" ref="F51:J51" si="13">SUMIF($A:$A,"SCHMAT-SO",F:F)</f>
        <v>14063.440513569341</v>
      </c>
      <c r="G51" s="158">
        <f t="shared" si="13"/>
        <v>3464.9702816228591</v>
      </c>
      <c r="H51" s="158">
        <f t="shared" si="13"/>
        <v>9023.2232262113012</v>
      </c>
      <c r="I51" s="158">
        <f t="shared" si="13"/>
        <v>3657.0293785964982</v>
      </c>
      <c r="J51" s="158">
        <f t="shared" si="13"/>
        <v>0</v>
      </c>
      <c r="K51" s="80"/>
    </row>
    <row r="52" spans="1:17" s="84" customFormat="1">
      <c r="A52" s="80" t="str">
        <f t="shared" si="10"/>
        <v/>
      </c>
      <c r="B52" s="142" t="s">
        <v>265</v>
      </c>
      <c r="C52" s="155"/>
      <c r="D52" s="155"/>
      <c r="E52" s="158">
        <f>SUMIF($B:$B,"SCHMAT",E:E)</f>
        <v>605813.02093948936</v>
      </c>
      <c r="F52" s="158">
        <f t="shared" ref="F52:J52" si="14">SUMIF($B:$B,"SCHMAT",F:F)</f>
        <v>280415.13956277247</v>
      </c>
      <c r="G52" s="158">
        <f t="shared" si="14"/>
        <v>129146.95171350516</v>
      </c>
      <c r="H52" s="158">
        <f t="shared" si="14"/>
        <v>190632.84133587073</v>
      </c>
      <c r="I52" s="158">
        <f t="shared" si="14"/>
        <v>6399.4304773408812</v>
      </c>
      <c r="J52" s="158">
        <f t="shared" si="14"/>
        <v>-781.34215000000006</v>
      </c>
      <c r="K52" s="143"/>
      <c r="L52" s="155"/>
    </row>
    <row r="53" spans="1:17" s="84" customFormat="1">
      <c r="A53" s="80"/>
      <c r="B53" s="98" t="s">
        <v>85</v>
      </c>
      <c r="C53" s="155"/>
      <c r="D53" s="155"/>
      <c r="E53" s="222">
        <f>SUM(F53:J53)</f>
        <v>1</v>
      </c>
      <c r="F53" s="223">
        <f t="shared" ref="F53:J57" si="15">IF(ISERROR(F48/$E48)," ",(F48/$E48))</f>
        <v>1</v>
      </c>
      <c r="G53" s="223">
        <f t="shared" si="15"/>
        <v>0</v>
      </c>
      <c r="H53" s="223">
        <f t="shared" si="15"/>
        <v>0</v>
      </c>
      <c r="I53" s="223">
        <f t="shared" si="15"/>
        <v>0</v>
      </c>
      <c r="J53" s="223">
        <f t="shared" si="15"/>
        <v>0</v>
      </c>
      <c r="K53" s="143"/>
      <c r="L53" s="155"/>
      <c r="M53" s="85"/>
      <c r="N53" s="85"/>
      <c r="O53" s="85"/>
      <c r="P53" s="85"/>
      <c r="Q53" s="85"/>
    </row>
    <row r="54" spans="1:17">
      <c r="A54" s="80" t="str">
        <f t="shared" si="10"/>
        <v/>
      </c>
      <c r="B54" s="98" t="s">
        <v>89</v>
      </c>
      <c r="C54" s="98"/>
      <c r="D54" s="143"/>
      <c r="E54" s="222">
        <f>SUM(F54:J54)</f>
        <v>1</v>
      </c>
      <c r="F54" s="223">
        <f t="shared" si="15"/>
        <v>0.48484797440121152</v>
      </c>
      <c r="G54" s="223">
        <f t="shared" si="15"/>
        <v>0.24536466864580755</v>
      </c>
      <c r="H54" s="223">
        <f t="shared" si="15"/>
        <v>0.26960344495727206</v>
      </c>
      <c r="I54" s="223">
        <f t="shared" si="15"/>
        <v>1.8391199570891238E-4</v>
      </c>
      <c r="J54" s="223">
        <f t="shared" si="15"/>
        <v>0</v>
      </c>
      <c r="K54" s="80"/>
      <c r="L54" s="154"/>
      <c r="M54" s="75"/>
      <c r="N54" s="75"/>
      <c r="O54" s="75"/>
      <c r="P54" s="75"/>
      <c r="Q54" s="75"/>
    </row>
    <row r="55" spans="1:17">
      <c r="A55" s="80" t="str">
        <f t="shared" si="10"/>
        <v/>
      </c>
      <c r="B55" s="98" t="s">
        <v>87</v>
      </c>
      <c r="C55" s="98"/>
      <c r="D55" s="143"/>
      <c r="E55" s="222">
        <f>SUM(F55:J55)</f>
        <v>0.99999999999999989</v>
      </c>
      <c r="F55" s="223">
        <f t="shared" si="15"/>
        <v>0.86809346621199968</v>
      </c>
      <c r="G55" s="223">
        <f t="shared" si="15"/>
        <v>7.7350011346513592E-2</v>
      </c>
      <c r="H55" s="223">
        <f t="shared" si="15"/>
        <v>3.3752140334251952E-2</v>
      </c>
      <c r="I55" s="223">
        <f t="shared" si="15"/>
        <v>2.0804382107234693E-2</v>
      </c>
      <c r="J55" s="223">
        <f t="shared" si="15"/>
        <v>0</v>
      </c>
      <c r="K55" s="80"/>
      <c r="M55" s="75"/>
      <c r="N55" s="75"/>
      <c r="O55" s="75"/>
      <c r="P55" s="75"/>
      <c r="Q55" s="75"/>
    </row>
    <row r="56" spans="1:17">
      <c r="B56" s="98" t="s">
        <v>91</v>
      </c>
      <c r="C56" s="98"/>
      <c r="D56" s="143"/>
      <c r="E56" s="222">
        <f>SUM(F56:J56)</f>
        <v>1</v>
      </c>
      <c r="F56" s="223">
        <f t="shared" si="15"/>
        <v>0.46554328893509872</v>
      </c>
      <c r="G56" s="223">
        <f t="shared" si="15"/>
        <v>0.11470121123011551</v>
      </c>
      <c r="H56" s="223">
        <f t="shared" si="15"/>
        <v>0.29869653968905163</v>
      </c>
      <c r="I56" s="223">
        <f t="shared" si="15"/>
        <v>0.12105896014573417</v>
      </c>
      <c r="J56" s="223">
        <f t="shared" si="15"/>
        <v>0</v>
      </c>
      <c r="K56" s="80"/>
      <c r="M56" s="75"/>
      <c r="N56" s="75"/>
      <c r="O56" s="75"/>
      <c r="P56" s="75"/>
      <c r="Q56" s="75"/>
    </row>
    <row r="57" spans="1:17">
      <c r="A57" s="80" t="str">
        <f t="shared" si="10"/>
        <v/>
      </c>
      <c r="B57" s="98" t="s">
        <v>266</v>
      </c>
      <c r="C57" s="98"/>
      <c r="D57" s="143"/>
      <c r="E57" s="222">
        <f>SUM(F57:J57)</f>
        <v>0.99999999999999978</v>
      </c>
      <c r="F57" s="223">
        <f t="shared" si="15"/>
        <v>0.462874071488109</v>
      </c>
      <c r="G57" s="223">
        <f t="shared" si="15"/>
        <v>0.21317955747010064</v>
      </c>
      <c r="H57" s="223">
        <f t="shared" si="15"/>
        <v>0.31467273687884595</v>
      </c>
      <c r="I57" s="223">
        <f t="shared" si="15"/>
        <v>1.0563375589743355E-2</v>
      </c>
      <c r="J57" s="223">
        <f t="shared" si="15"/>
        <v>-1.2897414267991495E-3</v>
      </c>
      <c r="K57" s="80"/>
      <c r="M57" s="75"/>
      <c r="N57" s="75"/>
      <c r="O57" s="75"/>
      <c r="P57" s="75"/>
      <c r="Q57" s="75"/>
    </row>
    <row r="58" spans="1:17" s="80" customFormat="1">
      <c r="B58" s="156"/>
      <c r="C58" s="156"/>
      <c r="D58" s="143"/>
      <c r="E58" s="131"/>
      <c r="F58" s="157"/>
      <c r="G58" s="157"/>
      <c r="H58" s="157"/>
      <c r="I58" s="157"/>
      <c r="J58" s="157"/>
    </row>
    <row r="59" spans="1:17">
      <c r="A59" s="80" t="str">
        <f>IF(C59="","",B59&amp;"-"&amp;C59)</f>
        <v>SCHMAF-DGP</v>
      </c>
      <c r="B59" s="80" t="s">
        <v>75</v>
      </c>
      <c r="C59" s="80" t="s">
        <v>267</v>
      </c>
      <c r="D59" s="80" t="s">
        <v>72</v>
      </c>
      <c r="E59" s="132">
        <v>0</v>
      </c>
      <c r="F59" s="53">
        <f>VLOOKUP($D59,$D$140:$J$152,3,FALSE)*$E59</f>
        <v>0</v>
      </c>
      <c r="G59" s="53">
        <f>VLOOKUP($D59,$D$140:$J$152,4,FALSE)*$E59</f>
        <v>0</v>
      </c>
      <c r="H59" s="53">
        <f>VLOOKUP($D59,$D$140:$J$152,5,FALSE)*$E59</f>
        <v>0</v>
      </c>
      <c r="I59" s="53">
        <f>VLOOKUP($D59,$D$140:$J$152,6,FALSE)*$E59</f>
        <v>0</v>
      </c>
      <c r="J59" s="53">
        <f>VLOOKUP($D59,$D$140:$J$152,7,FALSE)*$E59</f>
        <v>0</v>
      </c>
      <c r="K59" s="80"/>
    </row>
    <row r="60" spans="1:17">
      <c r="A60" s="80" t="str">
        <f>IF(C60="","",B60&amp;"-"&amp;C60)</f>
        <v>SCHMAF-TROJP</v>
      </c>
      <c r="B60" s="80" t="s">
        <v>75</v>
      </c>
      <c r="C60" s="80" t="s">
        <v>268</v>
      </c>
      <c r="D60" s="80" t="s">
        <v>72</v>
      </c>
      <c r="E60" s="158">
        <v>0</v>
      </c>
      <c r="F60" s="53">
        <f>VLOOKUP($D60,$D$140:$J$152,3,FALSE)*$E60</f>
        <v>0</v>
      </c>
      <c r="G60" s="53">
        <f>VLOOKUP($D60,$D$140:$J$152,4,FALSE)*$E60</f>
        <v>0</v>
      </c>
      <c r="H60" s="53">
        <f>VLOOKUP($D60,$D$140:$J$152,5,FALSE)*$E60</f>
        <v>0</v>
      </c>
      <c r="I60" s="53">
        <f>VLOOKUP($D60,$D$140:$J$152,6,FALSE)*$E60</f>
        <v>0</v>
      </c>
      <c r="J60" s="53">
        <f>VLOOKUP($D60,$D$140:$J$152,7,FALSE)*$E60</f>
        <v>0</v>
      </c>
      <c r="K60" s="80"/>
    </row>
    <row r="61" spans="1:17">
      <c r="A61" s="80" t="str">
        <f t="shared" ref="A61:A124" si="16">IF(C61="","",B61&amp;"-"&amp;C61)</f>
        <v/>
      </c>
      <c r="B61" s="98" t="s">
        <v>269</v>
      </c>
      <c r="E61" s="158">
        <f t="shared" ref="E61:J61" si="17">SUMIF($A:$A,"SCHMAF",E:E)</f>
        <v>0</v>
      </c>
      <c r="F61" s="158">
        <f t="shared" si="17"/>
        <v>0</v>
      </c>
      <c r="G61" s="158">
        <f t="shared" si="17"/>
        <v>0</v>
      </c>
      <c r="H61" s="158">
        <f t="shared" si="17"/>
        <v>0</v>
      </c>
      <c r="I61" s="158">
        <f t="shared" si="17"/>
        <v>0</v>
      </c>
      <c r="J61" s="158">
        <f t="shared" si="17"/>
        <v>0</v>
      </c>
      <c r="K61" s="80"/>
    </row>
    <row r="62" spans="1:17">
      <c r="A62" s="80" t="str">
        <f t="shared" si="16"/>
        <v/>
      </c>
      <c r="B62" s="98" t="s">
        <v>270</v>
      </c>
      <c r="C62" s="98"/>
      <c r="D62" s="143"/>
      <c r="E62" s="222">
        <f>SUM(F62:J62)</f>
        <v>0</v>
      </c>
      <c r="F62" s="223" t="str">
        <f>IF(ISERROR(F61/$E61)," ",(F61/$E61))</f>
        <v xml:space="preserve"> </v>
      </c>
      <c r="G62" s="223" t="str">
        <f>IF(ISERROR(G61/$E61)," ",(G61/$E61))</f>
        <v xml:space="preserve"> </v>
      </c>
      <c r="H62" s="223" t="str">
        <f>IF(ISERROR(H61/$E61)," ",(H61/$E61))</f>
        <v xml:space="preserve"> </v>
      </c>
      <c r="I62" s="223" t="str">
        <f>IF(ISERROR(I61/$E61)," ",(I61/$E61))</f>
        <v xml:space="preserve"> </v>
      </c>
      <c r="J62" s="223" t="str">
        <f>IF(ISERROR(J61/$E61)," ",(J61/$E61))</f>
        <v xml:space="preserve"> </v>
      </c>
      <c r="K62" s="80"/>
    </row>
    <row r="63" spans="1:17" s="80" customFormat="1">
      <c r="B63" s="156"/>
      <c r="C63" s="156"/>
      <c r="D63" s="143"/>
      <c r="E63" s="131"/>
      <c r="F63" s="157"/>
      <c r="G63" s="157"/>
      <c r="H63" s="157"/>
      <c r="I63" s="157"/>
      <c r="J63" s="157"/>
    </row>
    <row r="64" spans="1:17">
      <c r="A64" s="80" t="str">
        <f t="shared" si="16"/>
        <v/>
      </c>
      <c r="B64" s="95" t="s">
        <v>271</v>
      </c>
      <c r="C64" s="143"/>
      <c r="D64" s="143"/>
      <c r="E64" s="132">
        <f t="shared" ref="E64:J64" si="18">SUM(E61,E52,E14)</f>
        <v>605059.35505948937</v>
      </c>
      <c r="F64" s="132">
        <f t="shared" si="18"/>
        <v>279559.52719812823</v>
      </c>
      <c r="G64" s="132">
        <f t="shared" si="18"/>
        <v>129163.39352460149</v>
      </c>
      <c r="H64" s="132">
        <f t="shared" si="18"/>
        <v>190690.5505089919</v>
      </c>
      <c r="I64" s="132">
        <f t="shared" si="18"/>
        <v>6427.2259777676545</v>
      </c>
      <c r="J64" s="132">
        <f t="shared" si="18"/>
        <v>-781.34215000000006</v>
      </c>
      <c r="K64" s="80"/>
    </row>
    <row r="65" spans="1:12">
      <c r="A65" s="80" t="str">
        <f t="shared" si="16"/>
        <v/>
      </c>
      <c r="B65" s="98" t="s">
        <v>272</v>
      </c>
      <c r="C65" s="98"/>
      <c r="D65" s="143"/>
      <c r="E65" s="222">
        <f>SUM(F65:J65)</f>
        <v>0.99999999999999967</v>
      </c>
      <c r="F65" s="223">
        <f>IF(ISERROR(F64/$E64)," ",(F64/$E64))</f>
        <v>0.46203653387136201</v>
      </c>
      <c r="G65" s="223">
        <f>IF(ISERROR(G64/$E64)," ",(G64/$E64))</f>
        <v>0.21347226919894852</v>
      </c>
      <c r="H65" s="223">
        <f>IF(ISERROR(H64/$E64)," ",(H64/$E64))</f>
        <v>0.31516007299852961</v>
      </c>
      <c r="I65" s="223">
        <f>IF(ISERROR(I64/$E64)," ",(I64/$E64))</f>
        <v>1.0622471868294195E-2</v>
      </c>
      <c r="J65" s="223">
        <f>IF(ISERROR(J64/$E64)," ",(J64/$E64))</f>
        <v>-1.2913479371344959E-3</v>
      </c>
      <c r="K65" s="80"/>
    </row>
    <row r="66" spans="1:12" s="80" customFormat="1">
      <c r="B66" s="156"/>
      <c r="C66" s="156"/>
      <c r="D66" s="143"/>
      <c r="E66" s="131"/>
      <c r="F66" s="157"/>
      <c r="G66" s="157"/>
      <c r="H66" s="157"/>
      <c r="I66" s="157"/>
      <c r="J66" s="157"/>
    </row>
    <row r="67" spans="1:12" ht="15.75">
      <c r="A67" s="80" t="str">
        <f t="shared" si="16"/>
        <v/>
      </c>
      <c r="B67" s="93" t="s">
        <v>273</v>
      </c>
      <c r="C67" s="150"/>
      <c r="D67" s="150"/>
      <c r="E67" s="150"/>
      <c r="F67" s="238"/>
      <c r="G67" s="238"/>
      <c r="H67" s="238"/>
      <c r="I67" s="238"/>
      <c r="J67" s="238"/>
      <c r="K67" s="80"/>
      <c r="L67" s="154"/>
    </row>
    <row r="68" spans="1:12">
      <c r="A68" s="80" t="str">
        <f t="shared" si="16"/>
        <v>SCHMDP-SCHMDEXP</v>
      </c>
      <c r="B68" s="154" t="s">
        <v>97</v>
      </c>
      <c r="C68" s="154" t="s">
        <v>254</v>
      </c>
      <c r="D68" s="154" t="s">
        <v>54</v>
      </c>
      <c r="E68" s="133">
        <v>0</v>
      </c>
      <c r="F68" s="53">
        <f t="shared" ref="F68:F73" si="19">VLOOKUP($D68,$D$140:$J$152,3,FALSE)*$E68</f>
        <v>0</v>
      </c>
      <c r="G68" s="53">
        <f t="shared" ref="G68:G73" si="20">VLOOKUP($D68,$D$140:$J$152,4,FALSE)*$E68</f>
        <v>0</v>
      </c>
      <c r="H68" s="53">
        <f t="shared" ref="H68:H73" si="21">VLOOKUP($D68,$D$140:$J$152,5,FALSE)*$E68</f>
        <v>0</v>
      </c>
      <c r="I68" s="53">
        <f t="shared" ref="I68:I73" si="22">VLOOKUP($D68,$D$140:$J$152,6,FALSE)*$E68</f>
        <v>0</v>
      </c>
      <c r="J68" s="53">
        <f t="shared" ref="J68:J73" si="23">VLOOKUP($D68,$D$140:$J$152,7,FALSE)*$E68</f>
        <v>0</v>
      </c>
      <c r="K68" s="231"/>
      <c r="L68" s="63"/>
    </row>
    <row r="69" spans="1:12">
      <c r="A69" s="80" t="str">
        <f t="shared" si="16"/>
        <v>SCHMDP-SE</v>
      </c>
      <c r="B69" s="155" t="s">
        <v>97</v>
      </c>
      <c r="C69" s="154" t="s">
        <v>166</v>
      </c>
      <c r="D69" s="155" t="s">
        <v>72</v>
      </c>
      <c r="E69" s="133">
        <v>0</v>
      </c>
      <c r="F69" s="53">
        <f t="shared" si="19"/>
        <v>0</v>
      </c>
      <c r="G69" s="53">
        <f t="shared" si="20"/>
        <v>0</v>
      </c>
      <c r="H69" s="53">
        <f t="shared" si="21"/>
        <v>0</v>
      </c>
      <c r="I69" s="53">
        <f t="shared" si="22"/>
        <v>0</v>
      </c>
      <c r="J69" s="53">
        <f t="shared" si="23"/>
        <v>0</v>
      </c>
      <c r="K69" s="231"/>
      <c r="L69" s="63"/>
    </row>
    <row r="70" spans="1:12">
      <c r="A70" s="80" t="str">
        <f t="shared" si="16"/>
        <v>SCHMDP-SG</v>
      </c>
      <c r="B70" s="155" t="s">
        <v>97</v>
      </c>
      <c r="C70" s="155" t="s">
        <v>202</v>
      </c>
      <c r="D70" s="155" t="s">
        <v>72</v>
      </c>
      <c r="E70" s="133">
        <v>0</v>
      </c>
      <c r="F70" s="53">
        <f t="shared" si="19"/>
        <v>0</v>
      </c>
      <c r="G70" s="53">
        <f t="shared" si="20"/>
        <v>0</v>
      </c>
      <c r="H70" s="53">
        <f t="shared" si="21"/>
        <v>0</v>
      </c>
      <c r="I70" s="53">
        <f t="shared" si="22"/>
        <v>0</v>
      </c>
      <c r="J70" s="53">
        <f t="shared" si="23"/>
        <v>0</v>
      </c>
      <c r="K70" s="231"/>
      <c r="L70" s="63"/>
    </row>
    <row r="71" spans="1:12">
      <c r="A71" s="80" t="str">
        <f t="shared" si="16"/>
        <v>SCHMDP-SNP</v>
      </c>
      <c r="B71" s="155" t="s">
        <v>97</v>
      </c>
      <c r="C71" s="155" t="s">
        <v>261</v>
      </c>
      <c r="D71" s="155" t="s">
        <v>132</v>
      </c>
      <c r="E71" s="133">
        <v>47.456429999999997</v>
      </c>
      <c r="F71" s="53">
        <f t="shared" si="19"/>
        <v>23.020624396855258</v>
      </c>
      <c r="G71" s="53">
        <f t="shared" si="20"/>
        <v>11.642191944581233</v>
      </c>
      <c r="H71" s="53">
        <f t="shared" si="21"/>
        <v>12.79361365856351</v>
      </c>
      <c r="I71" s="53">
        <f t="shared" si="22"/>
        <v>0</v>
      </c>
      <c r="J71" s="53">
        <f t="shared" si="23"/>
        <v>0</v>
      </c>
      <c r="K71" s="231"/>
      <c r="L71" s="63"/>
    </row>
    <row r="72" spans="1:12">
      <c r="A72" s="80" t="str">
        <f t="shared" si="16"/>
        <v>SCHMDP-SO</v>
      </c>
      <c r="B72" s="155" t="s">
        <v>97</v>
      </c>
      <c r="C72" s="155" t="s">
        <v>203</v>
      </c>
      <c r="D72" s="155" t="s">
        <v>54</v>
      </c>
      <c r="E72" s="133">
        <v>0</v>
      </c>
      <c r="F72" s="53">
        <f t="shared" si="19"/>
        <v>0</v>
      </c>
      <c r="G72" s="53">
        <f t="shared" si="20"/>
        <v>0</v>
      </c>
      <c r="H72" s="53">
        <f t="shared" si="21"/>
        <v>0</v>
      </c>
      <c r="I72" s="53">
        <f t="shared" si="22"/>
        <v>0</v>
      </c>
      <c r="J72" s="53">
        <f t="shared" si="23"/>
        <v>0</v>
      </c>
      <c r="K72" s="231"/>
      <c r="L72" s="63"/>
    </row>
    <row r="73" spans="1:12">
      <c r="A73" s="80" t="str">
        <f t="shared" si="16"/>
        <v>SCHMDP-SITUS</v>
      </c>
      <c r="B73" s="155" t="s">
        <v>97</v>
      </c>
      <c r="C73" s="155" t="s">
        <v>204</v>
      </c>
      <c r="D73" s="155" t="s">
        <v>132</v>
      </c>
      <c r="E73" s="133">
        <v>0</v>
      </c>
      <c r="F73" s="53">
        <f t="shared" si="19"/>
        <v>0</v>
      </c>
      <c r="G73" s="53">
        <f t="shared" si="20"/>
        <v>0</v>
      </c>
      <c r="H73" s="53">
        <f t="shared" si="21"/>
        <v>0</v>
      </c>
      <c r="I73" s="53">
        <f t="shared" si="22"/>
        <v>0</v>
      </c>
      <c r="J73" s="53">
        <f t="shared" si="23"/>
        <v>0</v>
      </c>
      <c r="K73" s="231"/>
      <c r="L73" s="63"/>
    </row>
    <row r="74" spans="1:12">
      <c r="B74" s="98" t="s">
        <v>225</v>
      </c>
      <c r="C74" s="155"/>
      <c r="D74" s="155"/>
      <c r="E74" s="159">
        <f t="shared" ref="E74:J74" si="24">SUMIF($A:$A,"SCHMDP-SO",E:E)</f>
        <v>0</v>
      </c>
      <c r="F74" s="159">
        <f t="shared" si="24"/>
        <v>0</v>
      </c>
      <c r="G74" s="159">
        <f t="shared" si="24"/>
        <v>0</v>
      </c>
      <c r="H74" s="159">
        <f t="shared" si="24"/>
        <v>0</v>
      </c>
      <c r="I74" s="159">
        <f t="shared" si="24"/>
        <v>0</v>
      </c>
      <c r="J74" s="159">
        <f t="shared" si="24"/>
        <v>0</v>
      </c>
      <c r="K74" s="80"/>
    </row>
    <row r="75" spans="1:12">
      <c r="A75" s="80" t="str">
        <f t="shared" si="16"/>
        <v/>
      </c>
      <c r="B75" s="98" t="s">
        <v>274</v>
      </c>
      <c r="C75" s="143"/>
      <c r="D75" s="143"/>
      <c r="E75" s="132">
        <f t="shared" ref="E75:J75" si="25">SUMIF($B:$B,"SCHMDP",E:E)</f>
        <v>47.456429999999997</v>
      </c>
      <c r="F75" s="132">
        <f t="shared" si="25"/>
        <v>23.020624396855258</v>
      </c>
      <c r="G75" s="132">
        <f t="shared" si="25"/>
        <v>11.642191944581233</v>
      </c>
      <c r="H75" s="132">
        <f t="shared" si="25"/>
        <v>12.79361365856351</v>
      </c>
      <c r="I75" s="132">
        <f t="shared" si="25"/>
        <v>0</v>
      </c>
      <c r="J75" s="132">
        <f t="shared" si="25"/>
        <v>0</v>
      </c>
      <c r="K75" s="80"/>
    </row>
    <row r="76" spans="1:12">
      <c r="A76" s="80" t="str">
        <f t="shared" si="16"/>
        <v/>
      </c>
      <c r="B76" s="98" t="s">
        <v>99</v>
      </c>
      <c r="C76" s="98"/>
      <c r="D76" s="143"/>
      <c r="E76" s="222">
        <f>SUM(F76:J76)</f>
        <v>0</v>
      </c>
      <c r="F76" s="223" t="str">
        <f t="shared" ref="F76:J77" si="26">IF(ISERROR(F74/$E74)," ",(F74/$E74))</f>
        <v xml:space="preserve"> </v>
      </c>
      <c r="G76" s="223" t="str">
        <f t="shared" si="26"/>
        <v xml:space="preserve"> </v>
      </c>
      <c r="H76" s="223" t="str">
        <f t="shared" si="26"/>
        <v xml:space="preserve"> </v>
      </c>
      <c r="I76" s="223" t="str">
        <f t="shared" si="26"/>
        <v xml:space="preserve"> </v>
      </c>
      <c r="J76" s="223" t="str">
        <f t="shared" si="26"/>
        <v xml:space="preserve"> </v>
      </c>
      <c r="K76" s="80"/>
    </row>
    <row r="77" spans="1:12">
      <c r="A77" s="80" t="str">
        <f t="shared" si="16"/>
        <v/>
      </c>
      <c r="B77" s="98" t="s">
        <v>275</v>
      </c>
      <c r="C77" s="98"/>
      <c r="D77" s="143"/>
      <c r="E77" s="222">
        <f>SUM(F77:J77)</f>
        <v>1</v>
      </c>
      <c r="F77" s="223">
        <f t="shared" si="26"/>
        <v>0.48508967903517519</v>
      </c>
      <c r="G77" s="223">
        <f t="shared" si="26"/>
        <v>0.24532380426806724</v>
      </c>
      <c r="H77" s="223">
        <f t="shared" si="26"/>
        <v>0.26958651669675765</v>
      </c>
      <c r="I77" s="223">
        <f t="shared" si="26"/>
        <v>0</v>
      </c>
      <c r="J77" s="223">
        <f t="shared" si="26"/>
        <v>0</v>
      </c>
      <c r="K77" s="80"/>
      <c r="L77" s="154"/>
    </row>
    <row r="78" spans="1:12" s="80" customFormat="1">
      <c r="B78" s="156"/>
      <c r="C78" s="156"/>
      <c r="D78" s="143"/>
      <c r="E78" s="131"/>
      <c r="F78" s="157"/>
      <c r="G78" s="157"/>
      <c r="H78" s="157"/>
      <c r="I78" s="157"/>
      <c r="J78" s="157"/>
    </row>
    <row r="79" spans="1:12">
      <c r="A79" s="80" t="str">
        <f t="shared" si="16"/>
        <v>SCHMDT-BADDEBT</v>
      </c>
      <c r="B79" s="155" t="s">
        <v>101</v>
      </c>
      <c r="C79" s="155" t="s">
        <v>258</v>
      </c>
      <c r="D79" s="155" t="s">
        <v>8</v>
      </c>
      <c r="E79" s="133">
        <v>0</v>
      </c>
      <c r="F79" s="132">
        <f t="shared" ref="F79:F108" si="27">VLOOKUP($D79,$D$140:$J$152,3,FALSE)*$E79</f>
        <v>0</v>
      </c>
      <c r="G79" s="132">
        <f t="shared" ref="G79:G108" si="28">VLOOKUP($D79,$D$140:$J$152,4,FALSE)*$E79</f>
        <v>0</v>
      </c>
      <c r="H79" s="132">
        <f t="shared" ref="H79:H108" si="29">VLOOKUP($D79,$D$140:$J$152,5,FALSE)*$E79</f>
        <v>0</v>
      </c>
      <c r="I79" s="132">
        <f t="shared" ref="I79:I108" si="30">VLOOKUP($D79,$D$140:$J$152,6,FALSE)*$E79</f>
        <v>0</v>
      </c>
      <c r="J79" s="132">
        <f t="shared" ref="J79:J108" si="31">VLOOKUP($D79,$D$140:$J$152,7,FALSE)*$E79</f>
        <v>0</v>
      </c>
      <c r="K79" s="231"/>
      <c r="L79" s="63"/>
    </row>
    <row r="80" spans="1:12">
      <c r="A80" s="80" t="str">
        <f t="shared" si="16"/>
        <v>SCHMDT-CN</v>
      </c>
      <c r="B80" s="155" t="s">
        <v>101</v>
      </c>
      <c r="C80" s="155" t="s">
        <v>213</v>
      </c>
      <c r="D80" s="155" t="s">
        <v>8</v>
      </c>
      <c r="E80" s="133">
        <v>0</v>
      </c>
      <c r="F80" s="132">
        <f t="shared" si="27"/>
        <v>0</v>
      </c>
      <c r="G80" s="132">
        <f t="shared" si="28"/>
        <v>0</v>
      </c>
      <c r="H80" s="132">
        <f t="shared" si="29"/>
        <v>0</v>
      </c>
      <c r="I80" s="132">
        <f t="shared" si="30"/>
        <v>0</v>
      </c>
      <c r="J80" s="132">
        <f t="shared" si="31"/>
        <v>0</v>
      </c>
      <c r="K80" s="231"/>
      <c r="L80" s="63"/>
    </row>
    <row r="81" spans="1:14">
      <c r="A81" s="80" t="str">
        <f t="shared" si="16"/>
        <v>SCHMDT-GPS</v>
      </c>
      <c r="B81" s="155" t="s">
        <v>101</v>
      </c>
      <c r="C81" s="155" t="s">
        <v>259</v>
      </c>
      <c r="D81" s="155" t="s">
        <v>38</v>
      </c>
      <c r="E81" s="133">
        <v>0</v>
      </c>
      <c r="F81" s="132">
        <f t="shared" si="27"/>
        <v>0</v>
      </c>
      <c r="G81" s="132">
        <f t="shared" si="28"/>
        <v>0</v>
      </c>
      <c r="H81" s="132">
        <f t="shared" si="29"/>
        <v>0</v>
      </c>
      <c r="I81" s="132">
        <f t="shared" si="30"/>
        <v>0</v>
      </c>
      <c r="J81" s="132">
        <f t="shared" si="31"/>
        <v>0</v>
      </c>
      <c r="K81" s="231"/>
      <c r="L81" s="63"/>
    </row>
    <row r="82" spans="1:14">
      <c r="A82" s="80" t="str">
        <f t="shared" si="16"/>
        <v>SCHMDT-GPS</v>
      </c>
      <c r="B82" s="155" t="s">
        <v>101</v>
      </c>
      <c r="C82" s="155" t="s">
        <v>259</v>
      </c>
      <c r="D82" s="155" t="s">
        <v>72</v>
      </c>
      <c r="E82" s="133">
        <v>0</v>
      </c>
      <c r="F82" s="132">
        <f t="shared" si="27"/>
        <v>0</v>
      </c>
      <c r="G82" s="132">
        <f t="shared" si="28"/>
        <v>0</v>
      </c>
      <c r="H82" s="132">
        <f t="shared" si="29"/>
        <v>0</v>
      </c>
      <c r="I82" s="132">
        <f t="shared" si="30"/>
        <v>0</v>
      </c>
      <c r="J82" s="132">
        <f t="shared" si="31"/>
        <v>0</v>
      </c>
      <c r="K82" s="231"/>
      <c r="L82" s="63"/>
    </row>
    <row r="83" spans="1:14">
      <c r="A83" s="80" t="str">
        <f t="shared" si="16"/>
        <v>SCHMDT-GPS</v>
      </c>
      <c r="B83" s="155" t="s">
        <v>101</v>
      </c>
      <c r="C83" s="155" t="s">
        <v>259</v>
      </c>
      <c r="D83" s="155" t="s">
        <v>132</v>
      </c>
      <c r="E83" s="133">
        <v>22048.816999999999</v>
      </c>
      <c r="F83" s="132">
        <f t="shared" si="27"/>
        <v>10695.653561635314</v>
      </c>
      <c r="G83" s="132">
        <f t="shared" si="28"/>
        <v>5409.0996660504325</v>
      </c>
      <c r="H83" s="132">
        <f t="shared" si="29"/>
        <v>5944.0637723142536</v>
      </c>
      <c r="I83" s="132">
        <f t="shared" si="30"/>
        <v>0</v>
      </c>
      <c r="J83" s="132">
        <f t="shared" si="31"/>
        <v>0</v>
      </c>
      <c r="K83" s="231"/>
      <c r="L83" s="63"/>
    </row>
    <row r="84" spans="1:14">
      <c r="A84" s="80" t="str">
        <f t="shared" si="16"/>
        <v>SCHMDT-SG</v>
      </c>
      <c r="B84" s="155" t="s">
        <v>101</v>
      </c>
      <c r="C84" s="155" t="s">
        <v>202</v>
      </c>
      <c r="D84" s="155" t="s">
        <v>72</v>
      </c>
      <c r="E84" s="133">
        <v>83678.364700000006</v>
      </c>
      <c r="F84" s="132">
        <f t="shared" si="27"/>
        <v>83678.364700000006</v>
      </c>
      <c r="G84" s="132">
        <f t="shared" si="28"/>
        <v>0</v>
      </c>
      <c r="H84" s="132">
        <f t="shared" si="29"/>
        <v>0</v>
      </c>
      <c r="I84" s="132">
        <f t="shared" si="30"/>
        <v>0</v>
      </c>
      <c r="J84" s="132">
        <f t="shared" si="31"/>
        <v>0</v>
      </c>
      <c r="K84" s="231"/>
      <c r="L84" s="63"/>
    </row>
    <row r="85" spans="1:14">
      <c r="A85" s="80" t="str">
        <f>IF(C85="","",B85&amp;"-"&amp;C85)</f>
        <v>SCHMDT-SG</v>
      </c>
      <c r="B85" s="155" t="s">
        <v>101</v>
      </c>
      <c r="C85" s="155" t="s">
        <v>202</v>
      </c>
      <c r="D85" s="155" t="s">
        <v>113</v>
      </c>
      <c r="E85" s="133">
        <v>-80.85821</v>
      </c>
      <c r="F85" s="132">
        <f t="shared" si="27"/>
        <v>0</v>
      </c>
      <c r="G85" s="132">
        <f t="shared" si="28"/>
        <v>-80.85821</v>
      </c>
      <c r="H85" s="132">
        <f t="shared" si="29"/>
        <v>0</v>
      </c>
      <c r="I85" s="132">
        <f t="shared" si="30"/>
        <v>0</v>
      </c>
      <c r="J85" s="132">
        <f t="shared" si="31"/>
        <v>0</v>
      </c>
      <c r="K85" s="231"/>
      <c r="L85" s="63"/>
    </row>
    <row r="86" spans="1:14">
      <c r="A86" s="80" t="str">
        <f t="shared" si="16"/>
        <v>SCHMDT-SE</v>
      </c>
      <c r="B86" s="155" t="s">
        <v>101</v>
      </c>
      <c r="C86" s="155" t="s">
        <v>166</v>
      </c>
      <c r="D86" s="155" t="s">
        <v>72</v>
      </c>
      <c r="E86" s="133">
        <v>6910.7772000000004</v>
      </c>
      <c r="F86" s="132">
        <f t="shared" si="27"/>
        <v>6910.7772000000004</v>
      </c>
      <c r="G86" s="132">
        <f t="shared" si="28"/>
        <v>0</v>
      </c>
      <c r="H86" s="132">
        <f t="shared" si="29"/>
        <v>0</v>
      </c>
      <c r="I86" s="132">
        <f t="shared" si="30"/>
        <v>0</v>
      </c>
      <c r="J86" s="132">
        <f t="shared" si="31"/>
        <v>0</v>
      </c>
      <c r="K86" s="231"/>
      <c r="L86" s="63"/>
    </row>
    <row r="87" spans="1:14">
      <c r="A87" s="80" t="str">
        <f>IF(C87="","",B87&amp;"-"&amp;C87)</f>
        <v>SCHMDT-SNPD</v>
      </c>
      <c r="B87" s="155" t="s">
        <v>101</v>
      </c>
      <c r="C87" s="155" t="s">
        <v>262</v>
      </c>
      <c r="D87" s="155" t="s">
        <v>7</v>
      </c>
      <c r="E87" s="133">
        <v>2643.8479000000002</v>
      </c>
      <c r="F87" s="132">
        <f t="shared" si="27"/>
        <v>0</v>
      </c>
      <c r="G87" s="132">
        <f t="shared" si="28"/>
        <v>0</v>
      </c>
      <c r="H87" s="132">
        <f t="shared" si="29"/>
        <v>2643.8479000000002</v>
      </c>
      <c r="I87" s="132">
        <f t="shared" si="30"/>
        <v>0</v>
      </c>
      <c r="J87" s="132">
        <f t="shared" si="31"/>
        <v>0</v>
      </c>
      <c r="K87" s="231"/>
      <c r="L87" s="63"/>
    </row>
    <row r="88" spans="1:14">
      <c r="A88" s="80" t="str">
        <f>IF(C88="","",B88&amp;"-"&amp;C88)</f>
        <v>SCHMDT-SNPD</v>
      </c>
      <c r="B88" s="155" t="s">
        <v>101</v>
      </c>
      <c r="C88" s="155" t="s">
        <v>262</v>
      </c>
      <c r="D88" s="155" t="s">
        <v>72</v>
      </c>
      <c r="E88" s="133">
        <v>-2316.5083199999999</v>
      </c>
      <c r="F88" s="132">
        <f t="shared" si="27"/>
        <v>-2316.5083199999999</v>
      </c>
      <c r="G88" s="132">
        <f t="shared" si="28"/>
        <v>0</v>
      </c>
      <c r="H88" s="132">
        <f t="shared" si="29"/>
        <v>0</v>
      </c>
      <c r="I88" s="132">
        <f t="shared" si="30"/>
        <v>0</v>
      </c>
      <c r="J88" s="132">
        <f t="shared" si="31"/>
        <v>0</v>
      </c>
      <c r="K88" s="231"/>
      <c r="L88" s="63"/>
    </row>
    <row r="89" spans="1:14">
      <c r="A89" s="80" t="str">
        <f t="shared" si="16"/>
        <v>SCHMDT-SNP</v>
      </c>
      <c r="B89" s="155" t="s">
        <v>101</v>
      </c>
      <c r="C89" s="155" t="s">
        <v>261</v>
      </c>
      <c r="D89" s="155" t="s">
        <v>132</v>
      </c>
      <c r="E89" s="133">
        <v>23253.38006</v>
      </c>
      <c r="F89" s="132">
        <f t="shared" si="27"/>
        <v>11279.974669788342</v>
      </c>
      <c r="G89" s="132">
        <f t="shared" si="28"/>
        <v>5704.6076584104167</v>
      </c>
      <c r="H89" s="132">
        <f t="shared" si="29"/>
        <v>6268.7977318012408</v>
      </c>
      <c r="I89" s="132">
        <f t="shared" si="30"/>
        <v>0</v>
      </c>
      <c r="J89" s="132">
        <f t="shared" si="31"/>
        <v>0</v>
      </c>
      <c r="K89" s="231"/>
      <c r="L89" s="63"/>
    </row>
    <row r="90" spans="1:14">
      <c r="A90" s="80" t="str">
        <f t="shared" si="16"/>
        <v>SCHMDT-SO</v>
      </c>
      <c r="B90" s="155" t="s">
        <v>101</v>
      </c>
      <c r="C90" s="155" t="s">
        <v>203</v>
      </c>
      <c r="D90" s="155" t="s">
        <v>28</v>
      </c>
      <c r="E90" s="133">
        <v>5015.2019</v>
      </c>
      <c r="F90" s="132">
        <f t="shared" si="27"/>
        <v>1504.5605699999999</v>
      </c>
      <c r="G90" s="132">
        <f t="shared" si="28"/>
        <v>501.52019000000001</v>
      </c>
      <c r="H90" s="132">
        <f t="shared" si="29"/>
        <v>3009.1211399999997</v>
      </c>
      <c r="I90" s="132">
        <f t="shared" si="30"/>
        <v>0</v>
      </c>
      <c r="J90" s="132">
        <f t="shared" si="31"/>
        <v>0</v>
      </c>
      <c r="K90" s="231"/>
      <c r="L90" s="63"/>
    </row>
    <row r="91" spans="1:14">
      <c r="A91" s="80" t="str">
        <f t="shared" si="16"/>
        <v>SCHMDT-SO</v>
      </c>
      <c r="B91" s="155" t="s">
        <v>101</v>
      </c>
      <c r="C91" s="155" t="s">
        <v>203</v>
      </c>
      <c r="D91" s="155" t="s">
        <v>38</v>
      </c>
      <c r="E91" s="133">
        <v>0</v>
      </c>
      <c r="F91" s="132">
        <f t="shared" si="27"/>
        <v>0</v>
      </c>
      <c r="G91" s="132">
        <f t="shared" si="28"/>
        <v>0</v>
      </c>
      <c r="H91" s="132">
        <f t="shared" si="29"/>
        <v>0</v>
      </c>
      <c r="I91" s="132">
        <f t="shared" si="30"/>
        <v>0</v>
      </c>
      <c r="J91" s="132">
        <f t="shared" si="31"/>
        <v>0</v>
      </c>
      <c r="K91" s="231"/>
      <c r="L91" s="63"/>
    </row>
    <row r="92" spans="1:14">
      <c r="A92" s="80" t="str">
        <f t="shared" si="16"/>
        <v>SCHMDT-SO</v>
      </c>
      <c r="B92" s="155" t="s">
        <v>101</v>
      </c>
      <c r="C92" s="155" t="s">
        <v>203</v>
      </c>
      <c r="D92" s="155" t="s">
        <v>54</v>
      </c>
      <c r="E92" s="133">
        <v>34902.736649999999</v>
      </c>
      <c r="F92" s="132">
        <f t="shared" si="27"/>
        <v>16103.367496051773</v>
      </c>
      <c r="G92" s="132">
        <f t="shared" si="28"/>
        <v>3031.9405071976821</v>
      </c>
      <c r="H92" s="132">
        <f t="shared" si="29"/>
        <v>10641.819115779415</v>
      </c>
      <c r="I92" s="132">
        <f t="shared" si="30"/>
        <v>5125.60953097113</v>
      </c>
      <c r="J92" s="132">
        <f t="shared" si="31"/>
        <v>0</v>
      </c>
      <c r="K92" s="231"/>
      <c r="L92" s="63"/>
    </row>
    <row r="93" spans="1:14">
      <c r="A93" s="80" t="str">
        <f t="shared" si="16"/>
        <v>SCHMDT-SO</v>
      </c>
      <c r="B93" s="155" t="s">
        <v>101</v>
      </c>
      <c r="C93" s="155" t="s">
        <v>203</v>
      </c>
      <c r="D93" s="155" t="s">
        <v>132</v>
      </c>
      <c r="E93" s="133">
        <v>-1814.50155</v>
      </c>
      <c r="F93" s="132">
        <f t="shared" si="27"/>
        <v>-880.19597449832781</v>
      </c>
      <c r="G93" s="132">
        <f t="shared" si="28"/>
        <v>-445.14042309630457</v>
      </c>
      <c r="H93" s="132">
        <f t="shared" si="29"/>
        <v>-489.16515240536762</v>
      </c>
      <c r="I93" s="132">
        <f t="shared" si="30"/>
        <v>0</v>
      </c>
      <c r="J93" s="132">
        <f t="shared" si="31"/>
        <v>0</v>
      </c>
      <c r="K93" s="231"/>
      <c r="L93" s="63"/>
    </row>
    <row r="94" spans="1:14">
      <c r="A94" s="80" t="str">
        <f>IF(C94="","",B94&amp;"-"&amp;C94)</f>
        <v>SCHMDT-OTHER</v>
      </c>
      <c r="B94" s="155" t="s">
        <v>101</v>
      </c>
      <c r="C94" s="155" t="s">
        <v>201</v>
      </c>
      <c r="D94" s="155" t="s">
        <v>8</v>
      </c>
      <c r="E94" s="133">
        <v>120.78022</v>
      </c>
      <c r="F94" s="132">
        <f t="shared" si="27"/>
        <v>0</v>
      </c>
      <c r="G94" s="132">
        <f t="shared" si="28"/>
        <v>0</v>
      </c>
      <c r="H94" s="132">
        <f t="shared" si="29"/>
        <v>0</v>
      </c>
      <c r="I94" s="132">
        <f t="shared" si="30"/>
        <v>120.78022</v>
      </c>
      <c r="J94" s="132">
        <f t="shared" si="31"/>
        <v>0</v>
      </c>
      <c r="K94" s="231"/>
      <c r="L94" s="63"/>
      <c r="N94" s="80"/>
    </row>
    <row r="95" spans="1:14">
      <c r="A95" s="80" t="str">
        <f t="shared" si="16"/>
        <v>SCHMDT-OTHER</v>
      </c>
      <c r="B95" s="155" t="s">
        <v>101</v>
      </c>
      <c r="C95" s="155" t="s">
        <v>201</v>
      </c>
      <c r="D95" s="155" t="s">
        <v>18</v>
      </c>
      <c r="E95" s="133">
        <v>-62.145119999999999</v>
      </c>
      <c r="F95" s="132">
        <f t="shared" si="27"/>
        <v>-7.132602101846194</v>
      </c>
      <c r="G95" s="132">
        <f t="shared" si="28"/>
        <v>4.1996315982103063</v>
      </c>
      <c r="H95" s="132">
        <f t="shared" si="29"/>
        <v>22.093919946820577</v>
      </c>
      <c r="I95" s="132">
        <f t="shared" si="30"/>
        <v>-82.783600574412702</v>
      </c>
      <c r="J95" s="132">
        <f t="shared" si="31"/>
        <v>1.477531131228027</v>
      </c>
      <c r="K95" s="231"/>
      <c r="L95" s="63"/>
      <c r="N95" s="80"/>
    </row>
    <row r="96" spans="1:14">
      <c r="A96" s="80" t="str">
        <f t="shared" si="16"/>
        <v>SCHMDT-OTHER</v>
      </c>
      <c r="B96" s="155" t="s">
        <v>101</v>
      </c>
      <c r="C96" s="155" t="s">
        <v>201</v>
      </c>
      <c r="D96" s="155" t="s">
        <v>9</v>
      </c>
      <c r="E96" s="133">
        <v>1221.9825000000001</v>
      </c>
      <c r="F96" s="132">
        <f t="shared" si="27"/>
        <v>0</v>
      </c>
      <c r="G96" s="132">
        <f t="shared" si="28"/>
        <v>0</v>
      </c>
      <c r="H96" s="132">
        <f t="shared" si="29"/>
        <v>0</v>
      </c>
      <c r="I96" s="132">
        <f t="shared" si="30"/>
        <v>0</v>
      </c>
      <c r="J96" s="132">
        <f t="shared" si="31"/>
        <v>1221.9825000000001</v>
      </c>
      <c r="K96" s="231"/>
      <c r="L96" s="63"/>
      <c r="N96" s="80"/>
    </row>
    <row r="97" spans="1:14">
      <c r="A97" s="80" t="str">
        <f t="shared" si="16"/>
        <v>SCHMDT-OTHER</v>
      </c>
      <c r="B97" s="155" t="s">
        <v>101</v>
      </c>
      <c r="C97" s="155" t="s">
        <v>201</v>
      </c>
      <c r="D97" s="155" t="s">
        <v>7</v>
      </c>
      <c r="E97" s="133">
        <v>0</v>
      </c>
      <c r="F97" s="132">
        <f t="shared" si="27"/>
        <v>0</v>
      </c>
      <c r="G97" s="132">
        <f t="shared" si="28"/>
        <v>0</v>
      </c>
      <c r="H97" s="132">
        <f t="shared" si="29"/>
        <v>0</v>
      </c>
      <c r="I97" s="132">
        <f t="shared" si="30"/>
        <v>0</v>
      </c>
      <c r="J97" s="132">
        <f t="shared" si="31"/>
        <v>0</v>
      </c>
      <c r="K97" s="231"/>
      <c r="L97" s="63"/>
      <c r="N97" s="80"/>
    </row>
    <row r="98" spans="1:14">
      <c r="A98" s="80" t="str">
        <f t="shared" si="16"/>
        <v>SCHMDT-OTHER</v>
      </c>
      <c r="B98" s="155" t="s">
        <v>101</v>
      </c>
      <c r="C98" s="155" t="s">
        <v>201</v>
      </c>
      <c r="D98" s="155" t="s">
        <v>54</v>
      </c>
      <c r="E98" s="133">
        <v>0</v>
      </c>
      <c r="F98" s="132">
        <f t="shared" si="27"/>
        <v>0</v>
      </c>
      <c r="G98" s="132">
        <f t="shared" si="28"/>
        <v>0</v>
      </c>
      <c r="H98" s="132">
        <f t="shared" si="29"/>
        <v>0</v>
      </c>
      <c r="I98" s="132">
        <f t="shared" si="30"/>
        <v>0</v>
      </c>
      <c r="J98" s="132">
        <f t="shared" si="31"/>
        <v>0</v>
      </c>
      <c r="K98" s="231"/>
      <c r="L98" s="63"/>
      <c r="N98" s="80"/>
    </row>
    <row r="99" spans="1:14">
      <c r="A99" s="80" t="str">
        <f t="shared" si="16"/>
        <v>SCHMDT-OTHER</v>
      </c>
      <c r="B99" s="155" t="s">
        <v>101</v>
      </c>
      <c r="C99" s="155" t="s">
        <v>201</v>
      </c>
      <c r="D99" s="155" t="s">
        <v>72</v>
      </c>
      <c r="E99" s="133">
        <v>-4021.3053499999987</v>
      </c>
      <c r="F99" s="132">
        <f t="shared" si="27"/>
        <v>-4021.3053499999987</v>
      </c>
      <c r="G99" s="132">
        <f t="shared" si="28"/>
        <v>0</v>
      </c>
      <c r="H99" s="132">
        <f t="shared" si="29"/>
        <v>0</v>
      </c>
      <c r="I99" s="132">
        <f t="shared" si="30"/>
        <v>0</v>
      </c>
      <c r="J99" s="132">
        <f t="shared" si="31"/>
        <v>0</v>
      </c>
      <c r="K99" s="231"/>
      <c r="L99" s="63"/>
      <c r="N99" s="80"/>
    </row>
    <row r="100" spans="1:14">
      <c r="A100" s="80" t="str">
        <f t="shared" si="16"/>
        <v>SCHMDT-OTHER</v>
      </c>
      <c r="B100" s="155" t="s">
        <v>101</v>
      </c>
      <c r="C100" s="155" t="s">
        <v>201</v>
      </c>
      <c r="D100" s="155" t="s">
        <v>130</v>
      </c>
      <c r="E100" s="133">
        <v>0</v>
      </c>
      <c r="F100" s="132">
        <f t="shared" si="27"/>
        <v>0</v>
      </c>
      <c r="G100" s="132">
        <f t="shared" si="28"/>
        <v>0</v>
      </c>
      <c r="H100" s="132">
        <f t="shared" si="29"/>
        <v>0</v>
      </c>
      <c r="I100" s="132">
        <f t="shared" si="30"/>
        <v>0</v>
      </c>
      <c r="J100" s="132">
        <f t="shared" si="31"/>
        <v>0</v>
      </c>
      <c r="K100" s="231"/>
      <c r="L100" s="63"/>
      <c r="N100" s="80"/>
    </row>
    <row r="101" spans="1:14">
      <c r="A101" s="80" t="str">
        <f t="shared" si="16"/>
        <v>SCHMDT-OTHER</v>
      </c>
      <c r="B101" s="155" t="s">
        <v>101</v>
      </c>
      <c r="C101" s="155" t="s">
        <v>201</v>
      </c>
      <c r="D101" s="155" t="s">
        <v>38</v>
      </c>
      <c r="E101" s="133">
        <v>3900.73803</v>
      </c>
      <c r="F101" s="132">
        <f t="shared" si="27"/>
        <v>1858.4221874126288</v>
      </c>
      <c r="G101" s="132">
        <f t="shared" si="28"/>
        <v>962.65593223228291</v>
      </c>
      <c r="H101" s="132">
        <f t="shared" si="29"/>
        <v>1053.9526171603381</v>
      </c>
      <c r="I101" s="132">
        <f t="shared" si="30"/>
        <v>25.707293194749564</v>
      </c>
      <c r="J101" s="132">
        <f t="shared" si="31"/>
        <v>0</v>
      </c>
      <c r="K101" s="231"/>
      <c r="L101" s="63"/>
      <c r="N101" s="80"/>
    </row>
    <row r="102" spans="1:14">
      <c r="A102" s="80" t="str">
        <f t="shared" si="16"/>
        <v>SCHMDT-TAXDEPR</v>
      </c>
      <c r="B102" s="155" t="s">
        <v>101</v>
      </c>
      <c r="C102" s="155" t="s">
        <v>276</v>
      </c>
      <c r="D102" s="155" t="s">
        <v>276</v>
      </c>
      <c r="E102" s="133">
        <v>278073.27500000002</v>
      </c>
      <c r="F102" s="132">
        <f t="shared" si="27"/>
        <v>104899.43109882199</v>
      </c>
      <c r="G102" s="132">
        <f t="shared" si="28"/>
        <v>83601.625764039796</v>
      </c>
      <c r="H102" s="132">
        <f t="shared" si="29"/>
        <v>86754.027571246144</v>
      </c>
      <c r="I102" s="132">
        <f t="shared" si="30"/>
        <v>2818.1905658920127</v>
      </c>
      <c r="J102" s="132">
        <f t="shared" si="31"/>
        <v>0</v>
      </c>
      <c r="K102" s="231"/>
      <c r="L102" s="63"/>
    </row>
    <row r="103" spans="1:14">
      <c r="A103" s="80" t="str">
        <f t="shared" si="16"/>
        <v>SCHMDT-SITUS</v>
      </c>
      <c r="B103" s="155" t="s">
        <v>101</v>
      </c>
      <c r="C103" s="155" t="s">
        <v>204</v>
      </c>
      <c r="D103" s="155" t="s">
        <v>9</v>
      </c>
      <c r="E103" s="133">
        <v>170.47577999999999</v>
      </c>
      <c r="F103" s="132">
        <f t="shared" si="27"/>
        <v>0</v>
      </c>
      <c r="G103" s="132">
        <f t="shared" si="28"/>
        <v>0</v>
      </c>
      <c r="H103" s="132">
        <f t="shared" si="29"/>
        <v>0</v>
      </c>
      <c r="I103" s="132">
        <f t="shared" si="30"/>
        <v>0</v>
      </c>
      <c r="J103" s="132">
        <f t="shared" si="31"/>
        <v>170.47577999999999</v>
      </c>
      <c r="K103" s="231"/>
      <c r="L103" s="63"/>
    </row>
    <row r="104" spans="1:14">
      <c r="A104" s="80" t="str">
        <f>IF(C104="","",B104&amp;"-"&amp;C104)</f>
        <v>SCHMDT-SITUS</v>
      </c>
      <c r="B104" s="155" t="s">
        <v>101</v>
      </c>
      <c r="C104" s="155" t="s">
        <v>204</v>
      </c>
      <c r="D104" s="155" t="s">
        <v>18</v>
      </c>
      <c r="E104" s="133">
        <v>-4456.9093199999998</v>
      </c>
      <c r="F104" s="132">
        <f t="shared" si="27"/>
        <v>-511.53430524504404</v>
      </c>
      <c r="G104" s="132">
        <f t="shared" si="28"/>
        <v>301.18820609936881</v>
      </c>
      <c r="H104" s="132">
        <f t="shared" si="29"/>
        <v>1584.5266326031478</v>
      </c>
      <c r="I104" s="132">
        <f t="shared" si="30"/>
        <v>-5937.0550888510206</v>
      </c>
      <c r="J104" s="132">
        <f t="shared" si="31"/>
        <v>105.9652353935488</v>
      </c>
      <c r="K104" s="231"/>
      <c r="L104" s="63"/>
    </row>
    <row r="105" spans="1:14">
      <c r="A105" s="80" t="str">
        <f t="shared" si="16"/>
        <v>SCHMDT-SITUS</v>
      </c>
      <c r="B105" s="155" t="s">
        <v>101</v>
      </c>
      <c r="C105" s="155" t="s">
        <v>204</v>
      </c>
      <c r="D105" s="155" t="s">
        <v>38</v>
      </c>
      <c r="E105" s="133">
        <v>5414.4487300000001</v>
      </c>
      <c r="F105" s="132">
        <f t="shared" si="27"/>
        <v>2579.5968801422255</v>
      </c>
      <c r="G105" s="132">
        <f t="shared" si="28"/>
        <v>1336.2217994685611</v>
      </c>
      <c r="H105" s="132">
        <f t="shared" si="29"/>
        <v>1462.9468489233482</v>
      </c>
      <c r="I105" s="132">
        <f t="shared" si="30"/>
        <v>35.683201465864506</v>
      </c>
      <c r="J105" s="132">
        <f t="shared" si="31"/>
        <v>0</v>
      </c>
      <c r="K105" s="231"/>
      <c r="L105" s="63"/>
    </row>
    <row r="106" spans="1:14">
      <c r="A106" s="80" t="str">
        <f t="shared" si="16"/>
        <v>SCHMDT-SITUS</v>
      </c>
      <c r="B106" s="155" t="s">
        <v>101</v>
      </c>
      <c r="C106" s="155" t="s">
        <v>204</v>
      </c>
      <c r="D106" s="155" t="s">
        <v>54</v>
      </c>
      <c r="E106" s="133">
        <v>548.76947999999993</v>
      </c>
      <c r="F106" s="132">
        <f t="shared" si="27"/>
        <v>253.19036428787405</v>
      </c>
      <c r="G106" s="132">
        <f t="shared" si="28"/>
        <v>47.670657811464423</v>
      </c>
      <c r="H106" s="132">
        <f t="shared" si="29"/>
        <v>167.31941684063702</v>
      </c>
      <c r="I106" s="132">
        <f t="shared" si="30"/>
        <v>80.589041060024471</v>
      </c>
      <c r="J106" s="132">
        <f t="shared" si="31"/>
        <v>0</v>
      </c>
      <c r="K106" s="231"/>
      <c r="L106" s="63"/>
    </row>
    <row r="107" spans="1:14">
      <c r="A107" s="80" t="str">
        <f t="shared" si="16"/>
        <v>SCHMDT-SITUS</v>
      </c>
      <c r="B107" s="155" t="s">
        <v>101</v>
      </c>
      <c r="C107" s="155" t="s">
        <v>204</v>
      </c>
      <c r="D107" s="155" t="s">
        <v>72</v>
      </c>
      <c r="E107" s="133">
        <v>-454.51823999999988</v>
      </c>
      <c r="F107" s="132">
        <f t="shared" si="27"/>
        <v>-454.51823999999988</v>
      </c>
      <c r="G107" s="132">
        <f t="shared" si="28"/>
        <v>0</v>
      </c>
      <c r="H107" s="132">
        <f t="shared" si="29"/>
        <v>0</v>
      </c>
      <c r="I107" s="132">
        <f t="shared" si="30"/>
        <v>0</v>
      </c>
      <c r="J107" s="132">
        <f t="shared" si="31"/>
        <v>0</v>
      </c>
      <c r="K107" s="231"/>
      <c r="L107" s="63"/>
    </row>
    <row r="108" spans="1:14">
      <c r="A108" s="80" t="str">
        <f t="shared" si="16"/>
        <v>SCHMDT-SITUS</v>
      </c>
      <c r="B108" s="160" t="s">
        <v>101</v>
      </c>
      <c r="C108" s="160" t="s">
        <v>204</v>
      </c>
      <c r="D108" s="161" t="s">
        <v>132</v>
      </c>
      <c r="E108" s="241">
        <v>0.10156999999999999</v>
      </c>
      <c r="F108" s="162">
        <f t="shared" si="27"/>
        <v>4.9270558699602743E-2</v>
      </c>
      <c r="G108" s="162">
        <f t="shared" si="28"/>
        <v>2.4917538799507585E-2</v>
      </c>
      <c r="H108" s="162">
        <f t="shared" si="29"/>
        <v>2.7381902500889673E-2</v>
      </c>
      <c r="I108" s="162">
        <f t="shared" si="30"/>
        <v>0</v>
      </c>
      <c r="J108" s="162">
        <f t="shared" si="31"/>
        <v>0</v>
      </c>
      <c r="K108" s="231"/>
      <c r="L108" s="63"/>
    </row>
    <row r="109" spans="1:14">
      <c r="A109" s="80" t="str">
        <f t="shared" si="16"/>
        <v/>
      </c>
      <c r="B109" s="142" t="s">
        <v>277</v>
      </c>
      <c r="C109" s="155"/>
      <c r="D109" s="143"/>
      <c r="E109" s="132">
        <f t="shared" ref="E109:J109" si="32">SUMIF($A:$A,"SCHMDT-GPS",E:E)</f>
        <v>22048.816999999999</v>
      </c>
      <c r="F109" s="132">
        <f t="shared" si="32"/>
        <v>10695.653561635314</v>
      </c>
      <c r="G109" s="132">
        <f t="shared" si="32"/>
        <v>5409.0996660504325</v>
      </c>
      <c r="H109" s="132">
        <f t="shared" si="32"/>
        <v>5944.0637723142536</v>
      </c>
      <c r="I109" s="132">
        <f t="shared" si="32"/>
        <v>0</v>
      </c>
      <c r="J109" s="132">
        <f t="shared" si="32"/>
        <v>0</v>
      </c>
      <c r="K109" s="80"/>
    </row>
    <row r="110" spans="1:14">
      <c r="A110" s="80" t="str">
        <f>IF(C110="","",B110&amp;"-"&amp;C110)</f>
        <v/>
      </c>
      <c r="B110" s="142" t="s">
        <v>278</v>
      </c>
      <c r="C110" s="155"/>
      <c r="D110" s="143"/>
      <c r="E110" s="132">
        <f t="shared" ref="E110:J110" si="33">SUMIF($A:$A,"SCHMDT-CN",E:E)</f>
        <v>0</v>
      </c>
      <c r="F110" s="132">
        <f t="shared" si="33"/>
        <v>0</v>
      </c>
      <c r="G110" s="132">
        <f t="shared" si="33"/>
        <v>0</v>
      </c>
      <c r="H110" s="132">
        <f t="shared" si="33"/>
        <v>0</v>
      </c>
      <c r="I110" s="132">
        <f t="shared" si="33"/>
        <v>0</v>
      </c>
      <c r="J110" s="132">
        <f t="shared" si="33"/>
        <v>0</v>
      </c>
      <c r="K110" s="80"/>
    </row>
    <row r="111" spans="1:14">
      <c r="A111" s="80" t="str">
        <f t="shared" si="16"/>
        <v/>
      </c>
      <c r="B111" s="142" t="s">
        <v>239</v>
      </c>
      <c r="C111" s="155"/>
      <c r="D111" s="143"/>
      <c r="E111" s="132">
        <f t="shared" ref="E111:J111" si="34">SUMIF($A:$A,"SCHMDT-SG",E:E)</f>
        <v>83597.50649</v>
      </c>
      <c r="F111" s="132">
        <f t="shared" si="34"/>
        <v>83678.364700000006</v>
      </c>
      <c r="G111" s="132">
        <f t="shared" si="34"/>
        <v>-80.85821</v>
      </c>
      <c r="H111" s="132">
        <f t="shared" si="34"/>
        <v>0</v>
      </c>
      <c r="I111" s="132">
        <f t="shared" si="34"/>
        <v>0</v>
      </c>
      <c r="J111" s="132">
        <f t="shared" si="34"/>
        <v>0</v>
      </c>
      <c r="K111" s="80"/>
    </row>
    <row r="112" spans="1:14">
      <c r="A112" s="80" t="str">
        <f>IF(C112="","",B112&amp;"-"&amp;C112)</f>
        <v/>
      </c>
      <c r="B112" s="142" t="s">
        <v>223</v>
      </c>
      <c r="C112" s="155"/>
      <c r="D112" s="143"/>
      <c r="E112" s="132">
        <f t="shared" ref="E112:J112" si="35">SUMIF($A:$A,"SCHMDT-SE",E:E)</f>
        <v>6910.7772000000004</v>
      </c>
      <c r="F112" s="132">
        <f t="shared" si="35"/>
        <v>6910.7772000000004</v>
      </c>
      <c r="G112" s="132">
        <f t="shared" si="35"/>
        <v>0</v>
      </c>
      <c r="H112" s="132">
        <f t="shared" si="35"/>
        <v>0</v>
      </c>
      <c r="I112" s="132">
        <f t="shared" si="35"/>
        <v>0</v>
      </c>
      <c r="J112" s="132">
        <f t="shared" si="35"/>
        <v>0</v>
      </c>
      <c r="K112" s="80"/>
    </row>
    <row r="113" spans="1:17">
      <c r="A113" s="80" t="str">
        <f t="shared" si="16"/>
        <v/>
      </c>
      <c r="B113" s="142" t="s">
        <v>264</v>
      </c>
      <c r="C113" s="155"/>
      <c r="D113" s="143"/>
      <c r="E113" s="132">
        <f t="shared" ref="E113:J113" si="36">SUMIF($A:$A,"SCHMDT-SNP",E:E)</f>
        <v>23253.38006</v>
      </c>
      <c r="F113" s="132">
        <f t="shared" si="36"/>
        <v>11279.974669788342</v>
      </c>
      <c r="G113" s="132">
        <f t="shared" si="36"/>
        <v>5704.6076584104167</v>
      </c>
      <c r="H113" s="132">
        <f t="shared" si="36"/>
        <v>6268.7977318012408</v>
      </c>
      <c r="I113" s="132">
        <f t="shared" si="36"/>
        <v>0</v>
      </c>
      <c r="J113" s="132">
        <f t="shared" si="36"/>
        <v>0</v>
      </c>
      <c r="K113" s="80"/>
    </row>
    <row r="114" spans="1:17">
      <c r="A114" s="80" t="str">
        <f t="shared" si="16"/>
        <v/>
      </c>
      <c r="B114" s="98" t="s">
        <v>279</v>
      </c>
      <c r="C114" s="155"/>
      <c r="D114" s="143"/>
      <c r="E114" s="132">
        <f t="shared" ref="E114:J114" si="37">SUMIF($A:$A,"SCHMDT-SO",E:E)</f>
        <v>38103.436999999998</v>
      </c>
      <c r="F114" s="132">
        <f t="shared" si="37"/>
        <v>16727.732091553444</v>
      </c>
      <c r="G114" s="132">
        <f t="shared" si="37"/>
        <v>3088.3202741013779</v>
      </c>
      <c r="H114" s="132">
        <f t="shared" si="37"/>
        <v>13161.775103374048</v>
      </c>
      <c r="I114" s="132">
        <f t="shared" si="37"/>
        <v>5125.60953097113</v>
      </c>
      <c r="J114" s="132">
        <f t="shared" si="37"/>
        <v>0</v>
      </c>
      <c r="K114" s="80"/>
    </row>
    <row r="115" spans="1:17">
      <c r="A115" s="80" t="str">
        <f>IF(C115="","",B115&amp;"-"&amp;C115)</f>
        <v/>
      </c>
      <c r="B115" s="98" t="s">
        <v>280</v>
      </c>
      <c r="C115" s="155"/>
      <c r="D115" s="143"/>
      <c r="E115" s="132">
        <f t="shared" ref="E115:J115" si="38">SUMIF($A:$A,"SCHMDT-OTHER",E:E)</f>
        <v>1160.0502800000013</v>
      </c>
      <c r="F115" s="132">
        <f t="shared" si="38"/>
        <v>-2170.0157646892162</v>
      </c>
      <c r="G115" s="132">
        <f t="shared" si="38"/>
        <v>966.85556383049322</v>
      </c>
      <c r="H115" s="132">
        <f t="shared" si="38"/>
        <v>1076.0465371071587</v>
      </c>
      <c r="I115" s="132">
        <f t="shared" si="38"/>
        <v>63.703912620336865</v>
      </c>
      <c r="J115" s="132">
        <f t="shared" si="38"/>
        <v>1223.4600311312281</v>
      </c>
      <c r="K115" s="80"/>
    </row>
    <row r="116" spans="1:17">
      <c r="A116" s="80" t="str">
        <f>IF(C116="","",B116&amp;"-"&amp;C116)</f>
        <v/>
      </c>
      <c r="B116" s="98" t="s">
        <v>281</v>
      </c>
      <c r="C116" s="155"/>
      <c r="D116" s="143"/>
      <c r="E116" s="132">
        <f t="shared" ref="E116:J116" si="39">SUMIF($A:$A,"SCHMDT-TAXDEPR",E:E)</f>
        <v>278073.27500000002</v>
      </c>
      <c r="F116" s="132">
        <f t="shared" si="39"/>
        <v>104899.43109882199</v>
      </c>
      <c r="G116" s="132">
        <f t="shared" si="39"/>
        <v>83601.625764039796</v>
      </c>
      <c r="H116" s="132">
        <f t="shared" si="39"/>
        <v>86754.027571246144</v>
      </c>
      <c r="I116" s="132">
        <f t="shared" si="39"/>
        <v>2818.1905658920127</v>
      </c>
      <c r="J116" s="132">
        <f t="shared" si="39"/>
        <v>0</v>
      </c>
      <c r="K116" s="80"/>
    </row>
    <row r="117" spans="1:17">
      <c r="A117" s="80" t="str">
        <f t="shared" si="16"/>
        <v/>
      </c>
      <c r="B117" s="142" t="s">
        <v>240</v>
      </c>
      <c r="C117" s="155"/>
      <c r="D117" s="143"/>
      <c r="E117" s="132">
        <f t="shared" ref="E117:J117" si="40">SUMIF($A:$A,"SCHMDT-SITUS",E:E)+SUMIF($A:$A,"SCHMDT-CN",E:E)</f>
        <v>1222.3680000000002</v>
      </c>
      <c r="F117" s="132">
        <f t="shared" si="40"/>
        <v>1866.7839697437555</v>
      </c>
      <c r="G117" s="132">
        <f t="shared" si="40"/>
        <v>1685.1055809181939</v>
      </c>
      <c r="H117" s="132">
        <f t="shared" si="40"/>
        <v>3214.8202802696342</v>
      </c>
      <c r="I117" s="132">
        <f t="shared" si="40"/>
        <v>-5820.7828463251317</v>
      </c>
      <c r="J117" s="132">
        <f t="shared" si="40"/>
        <v>276.44101539354881</v>
      </c>
      <c r="K117" s="80"/>
    </row>
    <row r="118" spans="1:17">
      <c r="A118" s="80" t="str">
        <f t="shared" si="16"/>
        <v/>
      </c>
      <c r="B118" s="98" t="s">
        <v>282</v>
      </c>
      <c r="C118" s="143"/>
      <c r="D118" s="143"/>
      <c r="E118" s="132">
        <f t="shared" ref="E118:J118" si="41">SUMIF($B:$B,"SCHMDT",E:E)</f>
        <v>454696.95061000006</v>
      </c>
      <c r="F118" s="132">
        <f t="shared" si="41"/>
        <v>231572.19320685364</v>
      </c>
      <c r="G118" s="132">
        <f t="shared" si="41"/>
        <v>100374.75629735072</v>
      </c>
      <c r="H118" s="132">
        <f t="shared" si="41"/>
        <v>119063.37889611248</v>
      </c>
      <c r="I118" s="132">
        <f t="shared" si="41"/>
        <v>2186.7211631583468</v>
      </c>
      <c r="J118" s="132">
        <f t="shared" si="41"/>
        <v>1499.9010465247768</v>
      </c>
      <c r="K118" s="80"/>
    </row>
    <row r="119" spans="1:17">
      <c r="A119" s="80" t="str">
        <f t="shared" si="16"/>
        <v/>
      </c>
      <c r="B119" s="98" t="s">
        <v>103</v>
      </c>
      <c r="C119" s="98"/>
      <c r="D119" s="143"/>
      <c r="E119" s="222">
        <f>SUM(F119:J119)</f>
        <v>1</v>
      </c>
      <c r="F119" s="223">
        <f t="shared" ref="F119:J128" si="42">IF(ISERROR(F109/$E109)," ",(F109/$E109))</f>
        <v>0.48508967903517519</v>
      </c>
      <c r="G119" s="223">
        <f t="shared" si="42"/>
        <v>0.24532380426806721</v>
      </c>
      <c r="H119" s="223">
        <f t="shared" si="42"/>
        <v>0.26958651669675765</v>
      </c>
      <c r="I119" s="223">
        <f t="shared" si="42"/>
        <v>0</v>
      </c>
      <c r="J119" s="223">
        <f t="shared" si="42"/>
        <v>0</v>
      </c>
      <c r="K119" s="80"/>
      <c r="L119" s="154"/>
      <c r="M119" s="75"/>
      <c r="N119" s="75"/>
      <c r="O119" s="75"/>
      <c r="P119" s="75"/>
      <c r="Q119" s="75"/>
    </row>
    <row r="120" spans="1:17">
      <c r="A120" s="80" t="str">
        <f>IF(C120="","",B120&amp;"-"&amp;C120)</f>
        <v/>
      </c>
      <c r="B120" s="98" t="s">
        <v>283</v>
      </c>
      <c r="C120" s="98"/>
      <c r="D120" s="143"/>
      <c r="E120" s="222">
        <f>SUM(F120:J120)</f>
        <v>0</v>
      </c>
      <c r="F120" s="223" t="str">
        <f t="shared" si="42"/>
        <v xml:space="preserve"> </v>
      </c>
      <c r="G120" s="223" t="str">
        <f t="shared" si="42"/>
        <v xml:space="preserve"> </v>
      </c>
      <c r="H120" s="223" t="str">
        <f t="shared" si="42"/>
        <v xml:space="preserve"> </v>
      </c>
      <c r="I120" s="223" t="str">
        <f t="shared" si="42"/>
        <v xml:space="preserve"> </v>
      </c>
      <c r="J120" s="223" t="str">
        <f t="shared" si="42"/>
        <v xml:space="preserve"> </v>
      </c>
      <c r="K120" s="80"/>
      <c r="L120" s="154"/>
      <c r="M120" s="75"/>
      <c r="N120" s="75"/>
      <c r="O120" s="75"/>
      <c r="P120" s="75"/>
      <c r="Q120" s="75"/>
    </row>
    <row r="121" spans="1:17">
      <c r="A121" s="80" t="str">
        <f t="shared" si="16"/>
        <v/>
      </c>
      <c r="B121" s="98" t="s">
        <v>105</v>
      </c>
      <c r="C121" s="98"/>
      <c r="D121" s="143"/>
      <c r="E121" s="222">
        <f t="shared" ref="E121:E128" si="43">SUM(F121:J121)</f>
        <v>1</v>
      </c>
      <c r="F121" s="223">
        <f t="shared" si="42"/>
        <v>1.0009672323182233</v>
      </c>
      <c r="G121" s="223">
        <f t="shared" si="42"/>
        <v>-9.6723231822317963E-4</v>
      </c>
      <c r="H121" s="223">
        <f t="shared" si="42"/>
        <v>0</v>
      </c>
      <c r="I121" s="223">
        <f t="shared" si="42"/>
        <v>0</v>
      </c>
      <c r="J121" s="223">
        <f t="shared" si="42"/>
        <v>0</v>
      </c>
      <c r="K121" s="80"/>
      <c r="L121" s="154"/>
      <c r="M121" s="75"/>
      <c r="N121" s="75"/>
      <c r="O121" s="75"/>
      <c r="P121" s="75"/>
      <c r="Q121" s="75"/>
    </row>
    <row r="122" spans="1:17">
      <c r="A122" s="80" t="str">
        <f>IF(C122="","",B122&amp;"-"&amp;C122)</f>
        <v/>
      </c>
      <c r="B122" s="98" t="s">
        <v>284</v>
      </c>
      <c r="C122" s="98"/>
      <c r="D122" s="143"/>
      <c r="E122" s="222">
        <f>SUM(F122:J122)</f>
        <v>1</v>
      </c>
      <c r="F122" s="223">
        <f t="shared" si="42"/>
        <v>1</v>
      </c>
      <c r="G122" s="223">
        <f t="shared" si="42"/>
        <v>0</v>
      </c>
      <c r="H122" s="223">
        <f t="shared" si="42"/>
        <v>0</v>
      </c>
      <c r="I122" s="223">
        <f t="shared" si="42"/>
        <v>0</v>
      </c>
      <c r="J122" s="223">
        <f t="shared" si="42"/>
        <v>0</v>
      </c>
      <c r="K122" s="80"/>
      <c r="L122" s="154"/>
      <c r="M122" s="75"/>
      <c r="N122" s="75"/>
      <c r="O122" s="75"/>
      <c r="P122" s="75"/>
      <c r="Q122" s="75"/>
    </row>
    <row r="123" spans="1:17">
      <c r="A123" s="80" t="str">
        <f t="shared" si="16"/>
        <v/>
      </c>
      <c r="B123" s="98" t="s">
        <v>109</v>
      </c>
      <c r="C123" s="98"/>
      <c r="D123" s="143"/>
      <c r="E123" s="222">
        <f t="shared" si="43"/>
        <v>1</v>
      </c>
      <c r="F123" s="223">
        <f t="shared" si="42"/>
        <v>0.48508967903517519</v>
      </c>
      <c r="G123" s="223">
        <f t="shared" si="42"/>
        <v>0.24532380426806721</v>
      </c>
      <c r="H123" s="223">
        <f t="shared" si="42"/>
        <v>0.26958651669675765</v>
      </c>
      <c r="I123" s="223">
        <f t="shared" si="42"/>
        <v>0</v>
      </c>
      <c r="J123" s="223">
        <f t="shared" si="42"/>
        <v>0</v>
      </c>
      <c r="K123" s="80"/>
      <c r="L123" s="154"/>
      <c r="M123" s="75"/>
      <c r="N123" s="75"/>
      <c r="O123" s="75"/>
      <c r="P123" s="75"/>
      <c r="Q123" s="75"/>
    </row>
    <row r="124" spans="1:17">
      <c r="A124" s="80" t="str">
        <f t="shared" si="16"/>
        <v/>
      </c>
      <c r="B124" s="98" t="s">
        <v>111</v>
      </c>
      <c r="C124" s="98"/>
      <c r="D124" s="143"/>
      <c r="E124" s="222">
        <f t="shared" si="43"/>
        <v>1</v>
      </c>
      <c r="F124" s="223">
        <f t="shared" si="42"/>
        <v>0.43900848344870946</v>
      </c>
      <c r="G124" s="223">
        <f t="shared" si="42"/>
        <v>8.1050963305524859E-2</v>
      </c>
      <c r="H124" s="223">
        <f t="shared" si="42"/>
        <v>0.34542225425423034</v>
      </c>
      <c r="I124" s="223">
        <f t="shared" si="42"/>
        <v>0.13451829899153533</v>
      </c>
      <c r="J124" s="223">
        <f t="shared" si="42"/>
        <v>0</v>
      </c>
      <c r="K124" s="80"/>
      <c r="L124" s="154"/>
      <c r="M124" s="75"/>
      <c r="N124" s="75"/>
      <c r="O124" s="75"/>
      <c r="P124" s="75"/>
      <c r="Q124" s="75"/>
    </row>
    <row r="125" spans="1:17">
      <c r="A125" s="80" t="str">
        <f>IF(C125="","",B125&amp;"-"&amp;C125)</f>
        <v/>
      </c>
      <c r="B125" s="98" t="s">
        <v>285</v>
      </c>
      <c r="C125" s="98"/>
      <c r="D125" s="143"/>
      <c r="E125" s="222">
        <f>SUM(F125:J125)</f>
        <v>0.99999999999999933</v>
      </c>
      <c r="F125" s="223">
        <f t="shared" si="42"/>
        <v>-1.8706221636265747</v>
      </c>
      <c r="G125" s="223">
        <f t="shared" si="42"/>
        <v>0.83346004953379449</v>
      </c>
      <c r="H125" s="223">
        <f t="shared" si="42"/>
        <v>0.9275861190319763</v>
      </c>
      <c r="I125" s="223">
        <f t="shared" si="42"/>
        <v>5.4914785780092908E-2</v>
      </c>
      <c r="J125" s="223">
        <f t="shared" si="42"/>
        <v>1.0546612092807104</v>
      </c>
      <c r="K125" s="80"/>
      <c r="L125" s="154"/>
      <c r="M125" s="75"/>
      <c r="N125" s="75"/>
      <c r="O125" s="75"/>
      <c r="P125" s="75"/>
      <c r="Q125" s="75"/>
    </row>
    <row r="126" spans="1:17">
      <c r="A126" s="80" t="str">
        <f>IF(C126="","",B126&amp;"-"&amp;C126)</f>
        <v/>
      </c>
      <c r="B126" s="98" t="s">
        <v>286</v>
      </c>
      <c r="C126" s="98"/>
      <c r="D126" s="143"/>
      <c r="E126" s="222">
        <f>SUM(F126:J126)</f>
        <v>0.99999999999999978</v>
      </c>
      <c r="F126" s="223">
        <f t="shared" si="42"/>
        <v>0.37723665137838935</v>
      </c>
      <c r="G126" s="223">
        <f t="shared" si="42"/>
        <v>0.30064602851187261</v>
      </c>
      <c r="H126" s="223">
        <f t="shared" si="42"/>
        <v>0.31198261527018784</v>
      </c>
      <c r="I126" s="223">
        <f t="shared" si="42"/>
        <v>1.0134704839549979E-2</v>
      </c>
      <c r="J126" s="223">
        <f t="shared" si="42"/>
        <v>0</v>
      </c>
      <c r="K126" s="80"/>
      <c r="L126" s="154"/>
      <c r="M126" s="75"/>
      <c r="N126" s="75"/>
      <c r="O126" s="75"/>
      <c r="P126" s="75"/>
      <c r="Q126" s="75"/>
    </row>
    <row r="127" spans="1:17">
      <c r="A127" s="80" t="str">
        <f t="shared" ref="A127:A138" si="44">IF(C127="","",B127&amp;"-"&amp;C127)</f>
        <v/>
      </c>
      <c r="B127" s="98" t="s">
        <v>107</v>
      </c>
      <c r="C127" s="98"/>
      <c r="D127" s="143"/>
      <c r="E127" s="222">
        <f t="shared" si="43"/>
        <v>1.0000000000000002</v>
      </c>
      <c r="F127" s="223">
        <f t="shared" si="42"/>
        <v>1.5271865508126483</v>
      </c>
      <c r="G127" s="223">
        <f t="shared" si="42"/>
        <v>1.3785583236130148</v>
      </c>
      <c r="H127" s="223">
        <f t="shared" si="42"/>
        <v>2.6299938155037057</v>
      </c>
      <c r="I127" s="223">
        <f t="shared" si="42"/>
        <v>-4.7618907287536416</v>
      </c>
      <c r="J127" s="223">
        <f t="shared" si="42"/>
        <v>0.22615203882427287</v>
      </c>
      <c r="K127" s="80"/>
      <c r="M127" s="75"/>
      <c r="N127" s="75"/>
      <c r="O127" s="75"/>
      <c r="P127" s="75"/>
      <c r="Q127" s="75"/>
    </row>
    <row r="128" spans="1:17">
      <c r="A128" s="80" t="str">
        <f t="shared" si="44"/>
        <v/>
      </c>
      <c r="B128" s="98" t="s">
        <v>287</v>
      </c>
      <c r="C128" s="98"/>
      <c r="D128" s="143"/>
      <c r="E128" s="222">
        <f t="shared" si="43"/>
        <v>0.99999999999999978</v>
      </c>
      <c r="F128" s="223">
        <f t="shared" si="42"/>
        <v>0.50928908341300128</v>
      </c>
      <c r="G128" s="223">
        <f t="shared" si="42"/>
        <v>0.2207508894939644</v>
      </c>
      <c r="H128" s="223">
        <f t="shared" si="42"/>
        <v>0.26185216051346427</v>
      </c>
      <c r="I128" s="223">
        <f t="shared" si="42"/>
        <v>4.8091836996591785E-3</v>
      </c>
      <c r="J128" s="223">
        <f t="shared" si="42"/>
        <v>3.2986828799106307E-3</v>
      </c>
      <c r="K128" s="80"/>
      <c r="M128" s="75"/>
      <c r="N128" s="75"/>
      <c r="O128" s="75"/>
      <c r="P128" s="75"/>
      <c r="Q128" s="75"/>
    </row>
    <row r="129" spans="1:11" s="80" customFormat="1">
      <c r="B129" s="156"/>
      <c r="C129" s="156"/>
      <c r="D129" s="143"/>
      <c r="E129" s="131"/>
      <c r="F129" s="157"/>
      <c r="G129" s="157"/>
      <c r="H129" s="157"/>
      <c r="I129" s="157"/>
      <c r="J129" s="157"/>
    </row>
    <row r="130" spans="1:11">
      <c r="A130" s="80" t="str">
        <f t="shared" si="44"/>
        <v>SCHMDF-DGP</v>
      </c>
      <c r="B130" s="143" t="s">
        <v>95</v>
      </c>
      <c r="C130" s="155" t="s">
        <v>267</v>
      </c>
      <c r="D130" s="143" t="s">
        <v>72</v>
      </c>
      <c r="E130" s="158">
        <v>0</v>
      </c>
      <c r="F130" s="132">
        <f>VLOOKUP($D130,$D$140:$J$152,3,FALSE)*$E130</f>
        <v>0</v>
      </c>
      <c r="G130" s="132">
        <f>VLOOKUP($D130,$D$140:$J$152,4,FALSE)*$E130</f>
        <v>0</v>
      </c>
      <c r="H130" s="132">
        <f>VLOOKUP($D130,$D$140:$J$152,5,FALSE)*$E130</f>
        <v>0</v>
      </c>
      <c r="I130" s="132">
        <f>VLOOKUP($D130,$D$140:$J$152,6,FALSE)*$E130</f>
        <v>0</v>
      </c>
      <c r="J130" s="132">
        <f>VLOOKUP($D130,$D$140:$J$152,7,FALSE)*$E130</f>
        <v>0</v>
      </c>
      <c r="K130" s="80"/>
    </row>
    <row r="131" spans="1:11">
      <c r="A131" s="80" t="str">
        <f t="shared" si="44"/>
        <v/>
      </c>
      <c r="B131" s="98" t="s">
        <v>288</v>
      </c>
      <c r="E131" s="158">
        <f t="shared" ref="E131:J131" si="45">SUMIF($A:$A,"SCHMDF",E:E)</f>
        <v>0</v>
      </c>
      <c r="F131" s="158">
        <f t="shared" si="45"/>
        <v>0</v>
      </c>
      <c r="G131" s="158">
        <f t="shared" si="45"/>
        <v>0</v>
      </c>
      <c r="H131" s="158">
        <f t="shared" si="45"/>
        <v>0</v>
      </c>
      <c r="I131" s="158">
        <f t="shared" si="45"/>
        <v>0</v>
      </c>
      <c r="J131" s="158">
        <f t="shared" si="45"/>
        <v>0</v>
      </c>
      <c r="K131" s="80"/>
    </row>
    <row r="132" spans="1:11">
      <c r="A132" s="80" t="str">
        <f t="shared" si="44"/>
        <v/>
      </c>
      <c r="B132" s="98" t="s">
        <v>289</v>
      </c>
      <c r="C132" s="98"/>
      <c r="D132" s="143"/>
      <c r="E132" s="222">
        <f>SUM(F132:J132)</f>
        <v>0</v>
      </c>
      <c r="F132" s="223" t="str">
        <f>IF(ISERROR(F131/$E131)," ",(F131/$E131))</f>
        <v xml:space="preserve"> </v>
      </c>
      <c r="G132" s="223" t="str">
        <f>IF(ISERROR(G131/$E131)," ",(G131/$E131))</f>
        <v xml:space="preserve"> </v>
      </c>
      <c r="H132" s="223" t="str">
        <f>IF(ISERROR(H131/$E131)," ",(H131/$E131))</f>
        <v xml:space="preserve"> </v>
      </c>
      <c r="I132" s="223" t="str">
        <f>IF(ISERROR(I131/$E131)," ",(I131/$E131))</f>
        <v xml:space="preserve"> </v>
      </c>
      <c r="J132" s="223" t="str">
        <f>IF(ISERROR(J131/$E131)," ",(J131/$E131))</f>
        <v xml:space="preserve"> </v>
      </c>
      <c r="K132" s="80"/>
    </row>
    <row r="133" spans="1:11" s="80" customFormat="1">
      <c r="B133" s="156"/>
      <c r="C133" s="156"/>
      <c r="D133" s="143"/>
      <c r="E133" s="131"/>
      <c r="F133" s="157"/>
      <c r="G133" s="157"/>
      <c r="H133" s="157"/>
      <c r="I133" s="157"/>
      <c r="J133" s="157"/>
    </row>
    <row r="134" spans="1:11">
      <c r="A134" s="80" t="str">
        <f t="shared" si="44"/>
        <v/>
      </c>
      <c r="B134" s="95" t="s">
        <v>290</v>
      </c>
      <c r="C134" s="143"/>
      <c r="D134" s="143"/>
      <c r="E134" s="132">
        <f t="shared" ref="E134:J134" si="46">SUM(E131,E118,E75)</f>
        <v>454744.40704000008</v>
      </c>
      <c r="F134" s="132">
        <f t="shared" si="46"/>
        <v>231595.2138312505</v>
      </c>
      <c r="G134" s="132">
        <f t="shared" si="46"/>
        <v>100386.3984892953</v>
      </c>
      <c r="H134" s="132">
        <f t="shared" si="46"/>
        <v>119076.17250977104</v>
      </c>
      <c r="I134" s="132">
        <f t="shared" si="46"/>
        <v>2186.7211631583468</v>
      </c>
      <c r="J134" s="132">
        <f t="shared" si="46"/>
        <v>1499.9010465247768</v>
      </c>
      <c r="K134" s="80"/>
    </row>
    <row r="135" spans="1:11">
      <c r="A135" s="80" t="str">
        <f t="shared" si="44"/>
        <v/>
      </c>
      <c r="B135" s="98" t="s">
        <v>291</v>
      </c>
      <c r="C135" s="98"/>
      <c r="D135" s="143"/>
      <c r="E135" s="222">
        <f>SUM(F135:J135)</f>
        <v>0.99999999999999967</v>
      </c>
      <c r="F135" s="223">
        <f>IF(ISERROR(F134/$E134)," ",(F134/$E134))</f>
        <v>0.50928655800021527</v>
      </c>
      <c r="G135" s="223">
        <f>IF(ISERROR(G134/$E134)," ",(G134/$E134))</f>
        <v>0.22075345388572343</v>
      </c>
      <c r="H135" s="223">
        <f>IF(ISERROR(H134/$E134)," ",(H134/$E134))</f>
        <v>0.26185296765903249</v>
      </c>
      <c r="I135" s="223">
        <f>IF(ISERROR(I134/$E134)," ",(I134/$E134))</f>
        <v>4.8086818206122522E-3</v>
      </c>
      <c r="J135" s="223">
        <f>IF(ISERROR(J134/$E134)," ",(J134/$E134))</f>
        <v>3.2983386344163281E-3</v>
      </c>
      <c r="K135" s="80"/>
    </row>
    <row r="136" spans="1:11" s="80" customFormat="1">
      <c r="B136" s="156"/>
      <c r="C136" s="156"/>
      <c r="D136" s="143"/>
      <c r="E136" s="131"/>
      <c r="F136" s="157"/>
      <c r="G136" s="157"/>
      <c r="H136" s="157"/>
      <c r="I136" s="157"/>
      <c r="J136" s="157"/>
    </row>
    <row r="137" spans="1:11">
      <c r="A137" s="80" t="str">
        <f t="shared" si="44"/>
        <v/>
      </c>
      <c r="B137" s="95" t="s">
        <v>292</v>
      </c>
      <c r="C137" s="143"/>
      <c r="D137" s="143"/>
      <c r="E137" s="163"/>
      <c r="F137" s="164"/>
      <c r="G137" s="143"/>
      <c r="H137" s="143"/>
      <c r="I137" s="143"/>
      <c r="J137" s="143"/>
      <c r="K137" s="80"/>
    </row>
    <row r="138" spans="1:11">
      <c r="A138" s="80" t="str">
        <f t="shared" si="44"/>
        <v/>
      </c>
      <c r="K138" s="80"/>
    </row>
    <row r="139" spans="1:11">
      <c r="E139" s="165" t="s">
        <v>10</v>
      </c>
      <c r="F139" s="165" t="s">
        <v>5</v>
      </c>
      <c r="G139" s="165" t="s">
        <v>6</v>
      </c>
      <c r="H139" s="165" t="s">
        <v>250</v>
      </c>
      <c r="I139" s="165" t="s">
        <v>251</v>
      </c>
      <c r="J139" s="165" t="s">
        <v>252</v>
      </c>
      <c r="K139" s="80"/>
    </row>
    <row r="140" spans="1:11">
      <c r="D140" s="80" t="s">
        <v>9</v>
      </c>
      <c r="E140" s="106">
        <f>SUM(F140:J140)</f>
        <v>1</v>
      </c>
      <c r="F140" s="157">
        <v>0</v>
      </c>
      <c r="G140" s="157">
        <v>0</v>
      </c>
      <c r="H140" s="157">
        <v>0</v>
      </c>
      <c r="I140" s="157">
        <v>0</v>
      </c>
      <c r="J140" s="157">
        <v>1</v>
      </c>
      <c r="K140" s="80"/>
    </row>
    <row r="141" spans="1:11">
      <c r="D141" s="80" t="s">
        <v>7</v>
      </c>
      <c r="E141" s="106">
        <f t="shared" ref="E141:E152" si="47">SUM(F141:J141)</f>
        <v>1</v>
      </c>
      <c r="F141" s="66">
        <v>0</v>
      </c>
      <c r="G141" s="66">
        <v>0</v>
      </c>
      <c r="H141" s="66">
        <v>1</v>
      </c>
      <c r="I141" s="66">
        <v>0</v>
      </c>
      <c r="J141" s="66">
        <v>0</v>
      </c>
      <c r="K141" s="80"/>
    </row>
    <row r="142" spans="1:11">
      <c r="D142" s="80" t="s">
        <v>18</v>
      </c>
      <c r="E142" s="106">
        <f t="shared" si="47"/>
        <v>0.99999999999999978</v>
      </c>
      <c r="F142" s="66">
        <f>'REGASS&amp;DDS'!F35</f>
        <v>0.1147733257550423</v>
      </c>
      <c r="G142" s="66">
        <f>'REGASS&amp;DDS'!G35</f>
        <v>-6.7577817827213241E-2</v>
      </c>
      <c r="H142" s="66">
        <f>'REGASS&amp;DDS'!H35</f>
        <v>-0.35552139808919153</v>
      </c>
      <c r="I142" s="66">
        <f>'REGASS&amp;DDS'!I35</f>
        <v>1.3321013874365792</v>
      </c>
      <c r="J142" s="66">
        <f>'REGASS&amp;DDS'!J35</f>
        <v>-2.3775497275216897E-2</v>
      </c>
      <c r="K142" s="80"/>
    </row>
    <row r="143" spans="1:11">
      <c r="D143" s="80" t="s">
        <v>8</v>
      </c>
      <c r="E143" s="106">
        <f t="shared" si="47"/>
        <v>1</v>
      </c>
      <c r="F143" s="66">
        <v>0</v>
      </c>
      <c r="G143" s="66">
        <v>0</v>
      </c>
      <c r="H143" s="66">
        <v>0</v>
      </c>
      <c r="I143" s="66">
        <v>1</v>
      </c>
      <c r="J143" s="66">
        <v>0</v>
      </c>
      <c r="K143" s="80"/>
    </row>
    <row r="144" spans="1:11">
      <c r="D144" s="80" t="s">
        <v>28</v>
      </c>
      <c r="E144" s="106">
        <f t="shared" si="47"/>
        <v>1</v>
      </c>
      <c r="F144" s="66">
        <v>0.3</v>
      </c>
      <c r="G144" s="66">
        <v>0.1</v>
      </c>
      <c r="H144" s="66">
        <v>0.6</v>
      </c>
      <c r="I144" s="66">
        <v>0</v>
      </c>
      <c r="J144" s="66">
        <v>0</v>
      </c>
      <c r="K144" s="80"/>
    </row>
    <row r="145" spans="4:11">
      <c r="D145" s="80" t="s">
        <v>38</v>
      </c>
      <c r="E145" s="106">
        <f t="shared" si="47"/>
        <v>0.99999999999999989</v>
      </c>
      <c r="F145" s="66">
        <f>'GROSS PLANT'!E42</f>
        <v>0.47642835102480052</v>
      </c>
      <c r="G145" s="66">
        <f>'GROSS PLANT'!F42</f>
        <v>0.24678815260820858</v>
      </c>
      <c r="H145" s="66">
        <f>'GROSS PLANT'!G42</f>
        <v>0.27019312987812671</v>
      </c>
      <c r="I145" s="66">
        <f>'GROSS PLANT'!H42</f>
        <v>6.5903664888640485E-3</v>
      </c>
      <c r="J145" s="66">
        <f>'GROSS PLANT'!I42</f>
        <v>0</v>
      </c>
      <c r="K145" s="80"/>
    </row>
    <row r="146" spans="4:11">
      <c r="D146" s="80" t="s">
        <v>54</v>
      </c>
      <c r="E146" s="106">
        <f t="shared" si="47"/>
        <v>1</v>
      </c>
      <c r="F146" s="66">
        <f>'FORM 1'!C25</f>
        <v>0.46137836289269235</v>
      </c>
      <c r="G146" s="66">
        <f>'FORM 1'!D25</f>
        <v>8.6868274473763427E-2</v>
      </c>
      <c r="H146" s="66">
        <f>'FORM 1'!E25</f>
        <v>0.30489927544920509</v>
      </c>
      <c r="I146" s="66">
        <f>'FORM 1'!F25</f>
        <v>0.14685408718433918</v>
      </c>
      <c r="J146" s="66">
        <f>'FORM 1'!G25</f>
        <v>0</v>
      </c>
      <c r="K146" s="80"/>
    </row>
    <row r="147" spans="4:11" ht="12" customHeight="1">
      <c r="D147" s="80" t="s">
        <v>72</v>
      </c>
      <c r="E147" s="106">
        <f t="shared" si="47"/>
        <v>1</v>
      </c>
      <c r="F147" s="66">
        <f>'FORM 1'!C13</f>
        <v>1</v>
      </c>
      <c r="G147" s="66">
        <f>'FORM 1'!D13</f>
        <v>0</v>
      </c>
      <c r="H147" s="66">
        <f>'FORM 1'!E13</f>
        <v>0</v>
      </c>
      <c r="I147" s="66">
        <f>'FORM 1'!F13</f>
        <v>0</v>
      </c>
      <c r="J147" s="66">
        <f>'FORM 1'!G13</f>
        <v>0</v>
      </c>
      <c r="K147" s="80"/>
    </row>
    <row r="148" spans="4:11">
      <c r="D148" s="80" t="s">
        <v>130</v>
      </c>
      <c r="E148" s="106">
        <f>SUM(F148:J148)</f>
        <v>1</v>
      </c>
      <c r="F148" s="66">
        <f>+'FORM 1'!C17</f>
        <v>0.6641302359882405</v>
      </c>
      <c r="G148" s="66">
        <f>+'FORM 1'!D17</f>
        <v>0.33586976401175944</v>
      </c>
      <c r="H148" s="66">
        <v>0</v>
      </c>
      <c r="I148" s="66">
        <v>0</v>
      </c>
      <c r="J148" s="66">
        <v>0</v>
      </c>
      <c r="K148" s="80"/>
    </row>
    <row r="149" spans="4:11">
      <c r="D149" s="80" t="s">
        <v>132</v>
      </c>
      <c r="E149" s="106">
        <f t="shared" si="47"/>
        <v>1</v>
      </c>
      <c r="F149" s="66">
        <f>'FORM 1'!C16</f>
        <v>0.48508967903517519</v>
      </c>
      <c r="G149" s="66">
        <f>'FORM 1'!D16</f>
        <v>0.24532380426806721</v>
      </c>
      <c r="H149" s="66">
        <f>'FORM 1'!E16</f>
        <v>0.26958651669675765</v>
      </c>
      <c r="I149" s="66">
        <f>'FORM 1'!F16</f>
        <v>0</v>
      </c>
      <c r="J149" s="66">
        <f>'FORM 1'!G16</f>
        <v>0</v>
      </c>
      <c r="K149" s="80"/>
    </row>
    <row r="150" spans="4:11">
      <c r="D150" s="80" t="s">
        <v>113</v>
      </c>
      <c r="E150" s="106">
        <f t="shared" si="47"/>
        <v>1</v>
      </c>
      <c r="F150" s="66">
        <f>'FORM 1'!C14</f>
        <v>0</v>
      </c>
      <c r="G150" s="66">
        <f>'FORM 1'!D14</f>
        <v>1</v>
      </c>
      <c r="H150" s="66">
        <f>'FORM 1'!E14</f>
        <v>0</v>
      </c>
      <c r="I150" s="66">
        <f>'FORM 1'!F14</f>
        <v>0</v>
      </c>
      <c r="J150" s="66">
        <f>'FORM 1'!G14</f>
        <v>0</v>
      </c>
      <c r="K150" s="80"/>
    </row>
    <row r="151" spans="4:11">
      <c r="D151" s="80" t="s">
        <v>276</v>
      </c>
      <c r="E151" s="106">
        <f t="shared" si="47"/>
        <v>0.99999999999999978</v>
      </c>
      <c r="F151" s="66">
        <f>'TAX DEPR'!C24</f>
        <v>0.37723665137838935</v>
      </c>
      <c r="G151" s="66">
        <f>'TAX DEPR'!D24</f>
        <v>0.30064602851187261</v>
      </c>
      <c r="H151" s="66">
        <f>'TAX DEPR'!E24</f>
        <v>0.31198261527018784</v>
      </c>
      <c r="I151" s="66">
        <f>'TAX DEPR'!F24</f>
        <v>1.0134704839549979E-2</v>
      </c>
      <c r="J151" s="66">
        <f>'TAX DEPR'!G24</f>
        <v>0</v>
      </c>
      <c r="K151" s="80"/>
    </row>
    <row r="152" spans="4:11">
      <c r="D152" s="80" t="s">
        <v>116</v>
      </c>
      <c r="E152" s="106">
        <f t="shared" si="47"/>
        <v>0.99999999999999989</v>
      </c>
      <c r="F152" s="66">
        <f>'FORM 1'!C18</f>
        <v>0</v>
      </c>
      <c r="G152" s="66">
        <f>'FORM 1'!D18</f>
        <v>0.47643986589429044</v>
      </c>
      <c r="H152" s="66">
        <f>'FORM 1'!E18</f>
        <v>0.52356013410570945</v>
      </c>
      <c r="I152" s="66">
        <f>'FORM 1'!F18</f>
        <v>0</v>
      </c>
      <c r="J152" s="66">
        <f>'FORM 1'!G18</f>
        <v>0</v>
      </c>
      <c r="K152" s="80"/>
    </row>
    <row r="153" spans="4:11">
      <c r="F153" s="66"/>
      <c r="G153" s="66"/>
      <c r="H153" s="66"/>
      <c r="I153" s="66"/>
      <c r="J153" s="66"/>
      <c r="K153" s="80"/>
    </row>
    <row r="154" spans="4:11">
      <c r="K154" s="80"/>
    </row>
    <row r="155" spans="4:11">
      <c r="K155" s="80"/>
    </row>
    <row r="165" spans="5:5">
      <c r="E165" s="166"/>
    </row>
  </sheetData>
  <printOptions horizontalCentered="1"/>
  <pageMargins left="0.25" right="0.25" top="0.5" bottom="0.65" header="0.4" footer="0.2"/>
  <pageSetup scale="38" orientation="portrait" r:id="rId1"/>
  <headerFooter alignWithMargins="0">
    <oddFooter>&amp;LExhibit RMP_____(CCP-3)&amp;R&amp;F&amp;CTab 3 - Page 12 of 16</oddFooter>
  </headerFooter>
  <rowBreaks count="1" manualBreakCount="1"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TOTAL FUNCFAC</vt:lpstr>
      <vt:lpstr>TAX DEPR</vt:lpstr>
      <vt:lpstr>GROSS PLANT</vt:lpstr>
      <vt:lpstr>FORM 1</vt:lpstr>
      <vt:lpstr>BOOKDPR</vt:lpstr>
      <vt:lpstr>ELEC OPS</vt:lpstr>
      <vt:lpstr>GP</vt:lpstr>
      <vt:lpstr>IP</vt:lpstr>
      <vt:lpstr>SCH M</vt:lpstr>
      <vt:lpstr>REGASS&amp;DDS</vt:lpstr>
      <vt:lpstr>ACCUMDIT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Dean, Mitchell</dc:creator>
  <cp:lastModifiedBy>Fred Nass</cp:lastModifiedBy>
  <dcterms:created xsi:type="dcterms:W3CDTF">2019-06-10T14:50:15Z</dcterms:created>
  <dcterms:modified xsi:type="dcterms:W3CDTF">2019-06-17T14:22:36Z</dcterms:modified>
</cp:coreProperties>
</file>